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stonacosta/Desktop/Hunter Holdings /"/>
    </mc:Choice>
  </mc:AlternateContent>
  <xr:revisionPtr revIDLastSave="0" documentId="8_{8AF24297-F719-C842-B657-CC5C7AD04BE3}" xr6:coauthVersionLast="47" xr6:coauthVersionMax="47" xr10:uidLastSave="{00000000-0000-0000-0000-000000000000}"/>
  <bookViews>
    <workbookView xWindow="0" yWindow="500" windowWidth="35840" windowHeight="20200" activeTab="1" xr2:uid="{14F714FA-390E-B144-8BB6-2B618AEC6031}"/>
  </bookViews>
  <sheets>
    <sheet name="analysis" sheetId="1" r:id="rId1"/>
    <sheet name="cost estim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C25" i="2" s="1"/>
  <c r="E25" i="2" s="1"/>
  <c r="G8" i="2"/>
  <c r="G9" i="2" s="1"/>
  <c r="J7" i="2"/>
  <c r="J8" i="2" s="1"/>
  <c r="I29" i="1"/>
  <c r="I28" i="1"/>
  <c r="E15" i="2"/>
  <c r="E16" i="2"/>
  <c r="E17" i="2"/>
  <c r="E18" i="2"/>
  <c r="E14" i="2"/>
  <c r="B10" i="2" s="1"/>
  <c r="B31" i="1"/>
  <c r="C23" i="2" l="1"/>
  <c r="E23" i="2" s="1"/>
  <c r="C24" i="2"/>
  <c r="E24" i="2" s="1"/>
  <c r="C22" i="2"/>
  <c r="E22" i="2" s="1"/>
  <c r="B6" i="2"/>
  <c r="C26" i="2"/>
  <c r="E26" i="2" s="1"/>
  <c r="B32" i="1"/>
  <c r="E3" i="1"/>
  <c r="B7" i="1" s="1"/>
  <c r="B19" i="1" s="1"/>
  <c r="D27" i="2" l="1"/>
  <c r="E27" i="2" s="1"/>
  <c r="C10" i="2" s="1"/>
  <c r="B30" i="1"/>
  <c r="E26" i="1" s="1"/>
  <c r="E15" i="1"/>
  <c r="B18" i="1" l="1"/>
  <c r="E16" i="1"/>
  <c r="E27" i="1"/>
  <c r="B29" i="1"/>
</calcChain>
</file>

<file path=xl/sharedStrings.xml><?xml version="1.0" encoding="utf-8"?>
<sst xmlns="http://schemas.openxmlformats.org/spreadsheetml/2006/main" count="143" uniqueCount="106">
  <si>
    <t>three-phase current formula</t>
  </si>
  <si>
    <t>I</t>
  </si>
  <si>
    <t>key</t>
  </si>
  <si>
    <t>variable</t>
  </si>
  <si>
    <t>value</t>
  </si>
  <si>
    <t>Answer (amps)</t>
  </si>
  <si>
    <t>V (volts)</t>
  </si>
  <si>
    <t>voltage drop formula</t>
  </si>
  <si>
    <t>R</t>
  </si>
  <si>
    <t>L</t>
  </si>
  <si>
    <t>Vdrop (voltage drop: volts)</t>
  </si>
  <si>
    <t>I (current: amps)</t>
  </si>
  <si>
    <t>R (conductor resistance per foot: ohms/ft)</t>
  </si>
  <si>
    <t>L line length (feet)</t>
  </si>
  <si>
    <t>power loss formula</t>
  </si>
  <si>
    <t>Ploss</t>
  </si>
  <si>
    <t>Answer (watts)</t>
  </si>
  <si>
    <t>(MW)</t>
  </si>
  <si>
    <t>Answer (volts)</t>
  </si>
  <si>
    <t>P (real power: watts)</t>
  </si>
  <si>
    <t>pf (power factor: unitless, 0-1) 0.8 is typical planning factor</t>
  </si>
  <si>
    <t>Ampacity (A)</t>
  </si>
  <si>
    <t>Parallel Runs Needed</t>
  </si>
  <si>
    <t>AC Resistance (ohms/1000 ft)</t>
  </si>
  <si>
    <t>Conductor Type</t>
  </si>
  <si>
    <t>Size (kcmil)</t>
  </si>
  <si>
    <t>Voltage Drop (%)</t>
  </si>
  <si>
    <t>Balanced strength/ampacity</t>
  </si>
  <si>
    <t>Cost per Foot</t>
  </si>
  <si>
    <t>Key Features</t>
  </si>
  <si>
    <t>AAC (Overhead)</t>
  </si>
  <si>
    <t>Lightweight, low-cost</t>
  </si>
  <si>
    <t>Minimal voltage drop</t>
  </si>
  <si>
    <t>AAAC (Overhead)</t>
  </si>
  <si>
    <t>Corrosion-resistant</t>
  </si>
  <si>
    <t>High ampacity</t>
  </si>
  <si>
    <t>ACSR (Overhead)</t>
  </si>
  <si>
    <t>High strength</t>
  </si>
  <si>
    <t>Steel core for heavy spans</t>
  </si>
  <si>
    <t>ACAR (Overhead)</t>
  </si>
  <si>
    <t>Alloy-reinforced</t>
  </si>
  <si>
    <t>HTLS (Overhead)</t>
  </si>
  <si>
    <t>Low sag at high temps</t>
  </si>
  <si>
    <t>Carbon-fiber core</t>
  </si>
  <si>
    <t>Covered MVCC (Overhead)</t>
  </si>
  <si>
    <t>Storm resilience</t>
  </si>
  <si>
    <t>Insulated for urban areas</t>
  </si>
  <si>
    <t>XLPE (Underground)</t>
  </si>
  <si>
    <t>Fire-resistant, armored</t>
  </si>
  <si>
    <t>High-capacity underground</t>
  </si>
  <si>
    <t>Low-loss underground</t>
  </si>
  <si>
    <t>ACCR (Overhead)</t>
  </si>
  <si>
    <t>Composite core, ultra-high temp</t>
  </si>
  <si>
    <t>Silicone-Coated</t>
  </si>
  <si>
    <t>High-temp industrial use</t>
  </si>
  <si>
    <t>Entergy mandates a Vdrop of  &lt; 5%</t>
  </si>
  <si>
    <t>Project Details</t>
  </si>
  <si>
    <t>Voltage</t>
  </si>
  <si>
    <t>13.8kV</t>
  </si>
  <si>
    <t>Load</t>
  </si>
  <si>
    <t>Distance</t>
  </si>
  <si>
    <t>Conductor</t>
  </si>
  <si>
    <t>Summary</t>
  </si>
  <si>
    <t>Overhead</t>
  </si>
  <si>
    <t>Underground</t>
  </si>
  <si>
    <t>Total Cost</t>
  </si>
  <si>
    <t>Item</t>
  </si>
  <si>
    <t>Unit</t>
  </si>
  <si>
    <t>Quantity</t>
  </si>
  <si>
    <t>Unit Cost</t>
  </si>
  <si>
    <t>feet</t>
  </si>
  <si>
    <t>Installation Labor</t>
  </si>
  <si>
    <t>hours</t>
  </si>
  <si>
    <t>Poles</t>
  </si>
  <si>
    <t>each</t>
  </si>
  <si>
    <t>Hardware</t>
  </si>
  <si>
    <t>lump sum</t>
  </si>
  <si>
    <t>[Estimate]</t>
  </si>
  <si>
    <t>Contingency</t>
  </si>
  <si>
    <t>percentage</t>
  </si>
  <si>
    <t>[=SUM(E2:E5)]</t>
  </si>
  <si>
    <t>Conductor (XLPE)</t>
  </si>
  <si>
    <t>Trenching</t>
  </si>
  <si>
    <t>Conduit</t>
  </si>
  <si>
    <t>backfill</t>
  </si>
  <si>
    <t>UNDERGROUND</t>
  </si>
  <si>
    <t>OVERHEAD</t>
  </si>
  <si>
    <t># of wires per phase</t>
  </si>
  <si>
    <t>Input Parameters</t>
  </si>
  <si>
    <t>Power (MW)</t>
  </si>
  <si>
    <t>Voltage (kV)</t>
  </si>
  <si>
    <t>Power Factor</t>
  </si>
  <si>
    <t>Conductor Ampacity (A)</t>
  </si>
  <si>
    <t>Calculations</t>
  </si>
  <si>
    <t>Total Current (A)</t>
  </si>
  <si>
    <t>#of wires per phase</t>
  </si>
  <si>
    <t xml:space="preserve">1,590 kcmil AAC </t>
  </si>
  <si>
    <t>total # of wires</t>
  </si>
  <si>
    <t>Underground Installation Parameters</t>
  </si>
  <si>
    <t>Project Distance (feet)</t>
  </si>
  <si>
    <t>Crew Daily Production Rate (feet/day)</t>
  </si>
  <si>
    <t>Labor Calculations</t>
  </si>
  <si>
    <t>Total Labor Cost ($)</t>
  </si>
  <si>
    <t>Hours Required</t>
  </si>
  <si>
    <t>Hourly Crew Cost ($)</t>
  </si>
  <si>
    <t>120 MW at 0.8 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</si>
</sst>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5" formatCode="&quot;$&quot;#,##0.00"/>
    <numFmt numFmtId="166" formatCode="&quot;$&quot;#,##0"/>
    <numFmt numFmtId="167" formatCode="_(&quot;$&quot;* #,##0_);_(&quot;$&quot;* \(#,##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5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8" fontId="0" fillId="0" borderId="0" xfId="0" applyNumberFormat="1"/>
    <xf numFmtId="8" fontId="0" fillId="0" borderId="0" xfId="0" applyNumberFormat="1" applyAlignment="1">
      <alignment horizontal="center"/>
    </xf>
    <xf numFmtId="0" fontId="0" fillId="0" borderId="1" xfId="0" applyBorder="1"/>
    <xf numFmtId="10" fontId="0" fillId="0" borderId="0" xfId="1" applyNumberFormat="1" applyFont="1"/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0" fontId="1" fillId="4" borderId="0" xfId="3"/>
    <xf numFmtId="0" fontId="1" fillId="3" borderId="0" xfId="2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9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166" fontId="1" fillId="3" borderId="0" xfId="2" applyNumberFormat="1" applyAlignment="1">
      <alignment horizontal="left"/>
    </xf>
    <xf numFmtId="9" fontId="1" fillId="3" borderId="0" xfId="2" applyNumberFormat="1" applyAlignment="1">
      <alignment horizontal="left"/>
    </xf>
    <xf numFmtId="165" fontId="0" fillId="0" borderId="0" xfId="0" applyNumberFormat="1" applyAlignment="1">
      <alignment horizontal="left"/>
    </xf>
    <xf numFmtId="165" fontId="1" fillId="3" borderId="0" xfId="2" applyNumberFormat="1" applyAlignment="1">
      <alignment horizontal="left"/>
    </xf>
    <xf numFmtId="0" fontId="1" fillId="5" borderId="0" xfId="5"/>
    <xf numFmtId="0" fontId="1" fillId="2" borderId="0" xfId="2" applyFill="1"/>
    <xf numFmtId="0" fontId="1" fillId="2" borderId="0" xfId="3" applyFill="1"/>
    <xf numFmtId="0" fontId="2" fillId="0" borderId="0" xfId="0" applyFont="1" applyAlignment="1">
      <alignment horizontal="left"/>
    </xf>
    <xf numFmtId="0" fontId="1" fillId="3" borderId="0" xfId="2" applyAlignment="1"/>
    <xf numFmtId="3" fontId="0" fillId="0" borderId="0" xfId="0" applyNumberFormat="1"/>
    <xf numFmtId="0" fontId="1" fillId="4" borderId="0" xfId="3" applyAlignment="1">
      <alignment horizontal="left"/>
    </xf>
    <xf numFmtId="2" fontId="0" fillId="0" borderId="0" xfId="0" applyNumberFormat="1" applyAlignment="1">
      <alignment horizontal="left"/>
    </xf>
    <xf numFmtId="167" fontId="0" fillId="0" borderId="0" xfId="4" applyNumberFormat="1" applyFont="1" applyAlignment="1">
      <alignment horizontal="left"/>
    </xf>
    <xf numFmtId="0" fontId="0" fillId="2" borderId="0" xfId="0" applyFill="1" applyAlignment="1">
      <alignment horizontal="center"/>
    </xf>
    <xf numFmtId="0" fontId="1" fillId="3" borderId="0" xfId="2" applyAlignment="1">
      <alignment horizontal="left"/>
    </xf>
    <xf numFmtId="0" fontId="3" fillId="0" borderId="0" xfId="0" applyFont="1"/>
  </cellXfs>
  <cellStyles count="6">
    <cellStyle name="20% - Accent1" xfId="2" builtinId="30"/>
    <cellStyle name="40% - Accent1" xfId="3" builtinId="31"/>
    <cellStyle name="60% - Accent1" xfId="5" builtinId="32"/>
    <cellStyle name="Currency" xfId="4" builtinId="4"/>
    <cellStyle name="Normal" xfId="0" builtinId="0"/>
    <cellStyle name="Percent" xfId="1" builtinId="5"/>
  </cellStyles>
  <dxfs count="6"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190500</xdr:rowOff>
    </xdr:from>
    <xdr:ext cx="1511300" cy="635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3871F91-292C-02BB-E6F5-06F99615EACC}"/>
                </a:ext>
              </a:extLst>
            </xdr:cNvPr>
            <xdr:cNvSpPr txBox="1"/>
          </xdr:nvSpPr>
          <xdr:spPr>
            <a:xfrm>
              <a:off x="12700" y="190500"/>
              <a:ext cx="1511300" cy="635000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200" i="0">
                  <a:latin typeface="+mn-lt"/>
                </a:rPr>
                <a:t>      </a:t>
              </a:r>
            </a:p>
            <a:p>
              <a:r>
                <a:rPr lang="en-US" sz="1200" i="0">
                  <a:latin typeface="+mn-lt"/>
                </a:rPr>
                <a:t>    </a:t>
              </a:r>
              <a:r>
                <a:rPr lang="en-US" sz="1600" i="0">
                  <a:latin typeface="+mn-lt"/>
                </a:rPr>
                <a:t>   </a:t>
              </a:r>
              <a:r>
                <a:rPr lang="en-US" sz="1800" i="0">
                  <a:latin typeface="+mn-lt"/>
                </a:rPr>
                <a:t>I</a:t>
              </a:r>
              <a14:m>
                <m:oMath xmlns:m="http://schemas.openxmlformats.org/officeDocument/2006/math">
                  <m:r>
                    <a:rPr lang="en-US" sz="18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8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8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sz="1800" b="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sz="18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e>
                      </m:rad>
                      <m:r>
                        <a:rPr lang="en-US" sz="18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sz="1800" b="0" i="1">
                          <a:latin typeface="Cambria Math" panose="02040503050406030204" pitchFamily="18" charset="0"/>
                        </a:rPr>
                        <m:t>𝑉</m:t>
                      </m:r>
                      <m:r>
                        <a:rPr lang="en-US" sz="18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sz="1800" b="0" i="1">
                          <a:latin typeface="Cambria Math" panose="02040503050406030204" pitchFamily="18" charset="0"/>
                        </a:rPr>
                        <m:t>𝑝𝑓</m:t>
                      </m:r>
                    </m:den>
                  </m:f>
                </m:oMath>
              </a14:m>
              <a:endParaRPr lang="en-US" sz="18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3871F91-292C-02BB-E6F5-06F99615EACC}"/>
                </a:ext>
              </a:extLst>
            </xdr:cNvPr>
            <xdr:cNvSpPr txBox="1"/>
          </xdr:nvSpPr>
          <xdr:spPr>
            <a:xfrm>
              <a:off x="12700" y="190500"/>
              <a:ext cx="1511300" cy="635000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200" i="0">
                  <a:latin typeface="+mn-lt"/>
                </a:rPr>
                <a:t>      </a:t>
              </a:r>
            </a:p>
            <a:p>
              <a:r>
                <a:rPr lang="en-US" sz="1200" i="0">
                  <a:latin typeface="+mn-lt"/>
                </a:rPr>
                <a:t>    </a:t>
              </a:r>
              <a:r>
                <a:rPr lang="en-US" sz="1600" i="0">
                  <a:latin typeface="+mn-lt"/>
                </a:rPr>
                <a:t>   </a:t>
              </a:r>
              <a:r>
                <a:rPr lang="en-US" sz="1800" i="0">
                  <a:latin typeface="+mn-lt"/>
                </a:rPr>
                <a:t>I</a:t>
              </a:r>
              <a:r>
                <a:rPr lang="en-US" sz="1800" i="0">
                  <a:latin typeface="Cambria Math" panose="02040503050406030204" pitchFamily="18" charset="0"/>
                </a:rPr>
                <a:t>=</a:t>
              </a:r>
              <a:r>
                <a:rPr lang="en-US" sz="1800" b="0" i="0">
                  <a:latin typeface="Cambria Math" panose="02040503050406030204" pitchFamily="18" charset="0"/>
                </a:rPr>
                <a:t>𝑃/(√3∗𝑉∗𝑝𝑓)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0</xdr:col>
      <xdr:colOff>3714</xdr:colOff>
      <xdr:row>13</xdr:row>
      <xdr:rowOff>9272</xdr:rowOff>
    </xdr:from>
    <xdr:ext cx="2611805" cy="316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76415F-D57B-0B42-B664-7EB2F28B1974}"/>
                </a:ext>
              </a:extLst>
            </xdr:cNvPr>
            <xdr:cNvSpPr txBox="1"/>
          </xdr:nvSpPr>
          <xdr:spPr>
            <a:xfrm>
              <a:off x="3714" y="2641301"/>
              <a:ext cx="2611805" cy="316818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+mn-lt"/>
                </a:rPr>
                <a:t>V</a:t>
              </a:r>
              <a:r>
                <a:rPr lang="en-US" sz="1400" i="0">
                  <a:latin typeface="+mn-lt"/>
                </a:rPr>
                <a:t>drop</a:t>
              </a:r>
              <a14:m>
                <m:oMath xmlns:m="http://schemas.openxmlformats.org/officeDocument/2006/math">
                  <m:r>
                    <a:rPr lang="en-US" sz="180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en-US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US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3</m:t>
                      </m:r>
                    </m:e>
                  </m:rad>
                  <m:r>
                    <a:rPr lang="en-US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∗</m:t>
                  </m:r>
                  <m:r>
                    <a:rPr lang="en-US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𝐼</m:t>
                  </m:r>
                  <m:r>
                    <a:rPr lang="en-US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∗</m:t>
                  </m:r>
                  <m:r>
                    <a:rPr lang="en-US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𝑅</m:t>
                  </m:r>
                  <m:r>
                    <a:rPr lang="en-US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∗</m:t>
                  </m:r>
                  <m:r>
                    <a:rPr lang="en-US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𝐿</m:t>
                  </m:r>
                  <m:r>
                    <a:rPr lang="en-US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/1000</m:t>
                  </m:r>
                </m:oMath>
              </a14:m>
              <a:endParaRPr lang="en-US" sz="18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76415F-D57B-0B42-B664-7EB2F28B1974}"/>
                </a:ext>
              </a:extLst>
            </xdr:cNvPr>
            <xdr:cNvSpPr txBox="1"/>
          </xdr:nvSpPr>
          <xdr:spPr>
            <a:xfrm>
              <a:off x="3714" y="2641301"/>
              <a:ext cx="2611805" cy="316818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+mn-lt"/>
                </a:rPr>
                <a:t>V</a:t>
              </a:r>
              <a:r>
                <a:rPr lang="en-US" sz="1400" i="0">
                  <a:latin typeface="+mn-lt"/>
                </a:rPr>
                <a:t>drop</a:t>
              </a:r>
              <a:r>
                <a:rPr lang="en-US" sz="1800" i="0">
                  <a:latin typeface="Cambria Math" panose="02040503050406030204" pitchFamily="18" charset="0"/>
                </a:rPr>
                <a:t>=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√3∗𝐼∗𝑅∗𝐿/1000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0</xdr:col>
      <xdr:colOff>12147</xdr:colOff>
      <xdr:row>24</xdr:row>
      <xdr:rowOff>7547</xdr:rowOff>
    </xdr:from>
    <xdr:ext cx="2153859" cy="2898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67A2ED9-EA76-1856-9611-D809E2FF160A}"/>
                </a:ext>
              </a:extLst>
            </xdr:cNvPr>
            <xdr:cNvSpPr txBox="1"/>
          </xdr:nvSpPr>
          <xdr:spPr>
            <a:xfrm>
              <a:off x="12147" y="4875880"/>
              <a:ext cx="2153859" cy="289888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𝑃𝑙𝑜𝑠𝑠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=3∗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67A2ED9-EA76-1856-9611-D809E2FF160A}"/>
                </a:ext>
              </a:extLst>
            </xdr:cNvPr>
            <xdr:cNvSpPr txBox="1"/>
          </xdr:nvSpPr>
          <xdr:spPr>
            <a:xfrm>
              <a:off x="12147" y="4875880"/>
              <a:ext cx="2153859" cy="289888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𝑃𝑙𝑜𝑠𝑠=3∗𝐼^2∗𝑅∗𝐿</a:t>
              </a:r>
              <a:endParaRPr lang="en-US" sz="18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85A26-134F-CA4E-BEBA-A59B4DE1FBC3}" name="Table1" displayName="Table1" ref="H1:O18" totalsRowShown="0">
  <autoFilter ref="H1:O18" xr:uid="{BF585A26-134F-CA4E-BEBA-A59B4DE1FBC3}"/>
  <tableColumns count="8">
    <tableColumn id="1" xr3:uid="{CE2F1DDB-7A52-EA49-A6F6-2CB2F1354B2C}" name="Conductor Type"/>
    <tableColumn id="2" xr3:uid="{1D2CE823-A48F-2647-9AA9-9E6DFB7F28E0}" name="Size (kcmil)" dataDxfId="5"/>
    <tableColumn id="3" xr3:uid="{2CC83BA9-D9B1-4641-97BD-7AC8F499E14B}" name="AC Resistance (ohms/1000 ft)" dataDxfId="4"/>
    <tableColumn id="4" xr3:uid="{96EB6AAA-2E44-854B-A97B-79CF1E072D0A}" name="Ampacity (A)" dataDxfId="3"/>
    <tableColumn id="5" xr3:uid="{D3512A87-80CE-2646-BF53-98B50C94C547}" name="Parallel Runs Needed" dataDxfId="2"/>
    <tableColumn id="6" xr3:uid="{4CB1358B-0CF3-CF40-90AF-2E9546FAC730}" name="Voltage Drop (%)" dataDxfId="1"/>
    <tableColumn id="8" xr3:uid="{17C3A034-B2A4-AC47-8588-A11EAF546C2E}" name="Cost per Foot" dataDxfId="0"/>
    <tableColumn id="9" xr3:uid="{90B1654D-97F7-AB45-965E-5B19E50C8F37}" name="Key Featur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DDAD-2A4B-034D-BD15-043B026E737E}">
  <dimension ref="A1:O32"/>
  <sheetViews>
    <sheetView zoomScale="116" workbookViewId="0">
      <selection activeCell="E3" sqref="E3"/>
    </sheetView>
  </sheetViews>
  <sheetFormatPr baseColWidth="10" defaultRowHeight="16" x14ac:dyDescent="0.2"/>
  <cols>
    <col min="1" max="1" width="49" bestFit="1" customWidth="1"/>
    <col min="3" max="3" width="12.33203125" customWidth="1"/>
    <col min="4" max="4" width="15.33203125" customWidth="1"/>
    <col min="5" max="5" width="13.1640625" bestFit="1" customWidth="1"/>
    <col min="8" max="8" width="26.83203125" customWidth="1"/>
    <col min="9" max="9" width="25.33203125" bestFit="1" customWidth="1"/>
    <col min="10" max="10" width="28.83203125" bestFit="1" customWidth="1"/>
    <col min="11" max="11" width="25.6640625" bestFit="1" customWidth="1"/>
    <col min="12" max="12" width="21.33203125" bestFit="1" customWidth="1"/>
    <col min="13" max="13" width="17.5" bestFit="1" customWidth="1"/>
    <col min="14" max="14" width="14.6640625" bestFit="1" customWidth="1"/>
    <col min="15" max="15" width="27.6640625" bestFit="1" customWidth="1"/>
  </cols>
  <sheetData>
    <row r="1" spans="1:15" x14ac:dyDescent="0.2">
      <c r="A1" s="1" t="s">
        <v>0</v>
      </c>
      <c r="H1" t="s">
        <v>24</v>
      </c>
      <c r="I1" t="s">
        <v>25</v>
      </c>
      <c r="J1" t="s">
        <v>23</v>
      </c>
      <c r="K1" t="s">
        <v>21</v>
      </c>
      <c r="L1" t="s">
        <v>22</v>
      </c>
      <c r="M1" t="s">
        <v>26</v>
      </c>
      <c r="N1" t="s">
        <v>28</v>
      </c>
      <c r="O1" t="s">
        <v>29</v>
      </c>
    </row>
    <row r="2" spans="1:15" x14ac:dyDescent="0.2">
      <c r="H2" t="s">
        <v>30</v>
      </c>
      <c r="I2" s="6">
        <v>477</v>
      </c>
      <c r="J2" s="13">
        <v>3.2000000000000001E-2</v>
      </c>
      <c r="K2" s="6">
        <v>705</v>
      </c>
      <c r="L2" s="6">
        <v>15</v>
      </c>
      <c r="M2" s="7">
        <v>0.16700000000000001</v>
      </c>
      <c r="N2" s="10">
        <v>5.5</v>
      </c>
      <c r="O2" t="s">
        <v>31</v>
      </c>
    </row>
    <row r="3" spans="1:15" x14ac:dyDescent="0.2">
      <c r="D3" s="1" t="s">
        <v>5</v>
      </c>
      <c r="E3" s="3">
        <f>(B8/(SQRT(3)*B9*B10))</f>
        <v>10459.244007058438</v>
      </c>
      <c r="H3" t="s">
        <v>30</v>
      </c>
      <c r="I3" s="8">
        <v>1590</v>
      </c>
      <c r="J3" s="13">
        <v>8.9999999999999993E-3</v>
      </c>
      <c r="K3" s="8">
        <v>1830</v>
      </c>
      <c r="L3" s="6">
        <v>6</v>
      </c>
      <c r="M3" s="7">
        <v>4.7E-2</v>
      </c>
      <c r="N3" s="10">
        <v>15.8</v>
      </c>
      <c r="O3" t="s">
        <v>32</v>
      </c>
    </row>
    <row r="4" spans="1:15" x14ac:dyDescent="0.2">
      <c r="H4" t="s">
        <v>33</v>
      </c>
      <c r="I4" s="6">
        <v>795</v>
      </c>
      <c r="J4" s="13">
        <v>1.7999999999999999E-2</v>
      </c>
      <c r="K4" s="8">
        <v>1120</v>
      </c>
      <c r="L4" s="6">
        <v>10</v>
      </c>
      <c r="M4" s="7">
        <v>9.4E-2</v>
      </c>
      <c r="N4" s="10">
        <v>8.1999999999999993</v>
      </c>
      <c r="O4" t="s">
        <v>34</v>
      </c>
    </row>
    <row r="5" spans="1:15" x14ac:dyDescent="0.2">
      <c r="A5" s="1" t="s">
        <v>2</v>
      </c>
      <c r="H5" t="s">
        <v>33</v>
      </c>
      <c r="I5" s="8">
        <v>1590</v>
      </c>
      <c r="J5" s="13">
        <v>8.0000000000000002E-3</v>
      </c>
      <c r="K5" s="8">
        <v>2200</v>
      </c>
      <c r="L5" s="6">
        <v>5</v>
      </c>
      <c r="M5" s="7">
        <v>4.2000000000000003E-2</v>
      </c>
      <c r="N5" s="10">
        <v>16.5</v>
      </c>
      <c r="O5" t="s">
        <v>35</v>
      </c>
    </row>
    <row r="6" spans="1:15" x14ac:dyDescent="0.2">
      <c r="A6" t="s">
        <v>3</v>
      </c>
      <c r="B6" t="s">
        <v>4</v>
      </c>
      <c r="H6" t="s">
        <v>36</v>
      </c>
      <c r="I6" s="6">
        <v>795</v>
      </c>
      <c r="J6" s="13">
        <v>1.7999999999999999E-2</v>
      </c>
      <c r="K6" s="8">
        <v>1120</v>
      </c>
      <c r="L6" s="6">
        <v>10</v>
      </c>
      <c r="M6" s="7">
        <v>9.4E-2</v>
      </c>
      <c r="N6" s="10">
        <v>8.5</v>
      </c>
      <c r="O6" t="s">
        <v>37</v>
      </c>
    </row>
    <row r="7" spans="1:15" x14ac:dyDescent="0.2">
      <c r="A7" t="s">
        <v>11</v>
      </c>
      <c r="B7">
        <f>E3</f>
        <v>10459.244007058438</v>
      </c>
      <c r="H7" t="s">
        <v>36</v>
      </c>
      <c r="I7" s="8">
        <v>1590</v>
      </c>
      <c r="J7" s="13">
        <v>8.0000000000000002E-3</v>
      </c>
      <c r="K7" s="8">
        <v>2200</v>
      </c>
      <c r="L7" s="6">
        <v>5</v>
      </c>
      <c r="M7" s="7">
        <v>4.2000000000000003E-2</v>
      </c>
      <c r="N7" s="10">
        <v>17</v>
      </c>
      <c r="O7" t="s">
        <v>38</v>
      </c>
    </row>
    <row r="8" spans="1:15" x14ac:dyDescent="0.2">
      <c r="A8" t="s">
        <v>19</v>
      </c>
      <c r="B8">
        <v>200000000</v>
      </c>
      <c r="H8" t="s">
        <v>39</v>
      </c>
      <c r="I8" s="6">
        <v>795</v>
      </c>
      <c r="J8" s="13">
        <v>1.7999999999999999E-2</v>
      </c>
      <c r="K8" s="8">
        <v>1120</v>
      </c>
      <c r="L8" s="6">
        <v>10</v>
      </c>
      <c r="M8" s="7">
        <v>9.4E-2</v>
      </c>
      <c r="N8" s="10">
        <v>9</v>
      </c>
      <c r="O8" t="s">
        <v>27</v>
      </c>
    </row>
    <row r="9" spans="1:15" x14ac:dyDescent="0.2">
      <c r="A9" t="s">
        <v>6</v>
      </c>
      <c r="B9">
        <v>13800</v>
      </c>
      <c r="H9" t="s">
        <v>39</v>
      </c>
      <c r="I9" s="8">
        <v>1590</v>
      </c>
      <c r="J9" s="13">
        <v>8.0000000000000002E-3</v>
      </c>
      <c r="K9" s="8">
        <v>2200</v>
      </c>
      <c r="L9" s="6">
        <v>5</v>
      </c>
      <c r="M9" s="7">
        <v>4.2000000000000003E-2</v>
      </c>
      <c r="N9" s="10">
        <v>17.5</v>
      </c>
      <c r="O9" t="s">
        <v>40</v>
      </c>
    </row>
    <row r="10" spans="1:15" x14ac:dyDescent="0.2">
      <c r="A10" t="s">
        <v>20</v>
      </c>
      <c r="B10">
        <v>0.8</v>
      </c>
      <c r="H10" t="s">
        <v>41</v>
      </c>
      <c r="I10" s="6">
        <v>795</v>
      </c>
      <c r="J10" s="13">
        <v>1.6E-2</v>
      </c>
      <c r="K10" s="8">
        <v>1430</v>
      </c>
      <c r="L10" s="6">
        <v>8</v>
      </c>
      <c r="M10" s="7">
        <v>7.9000000000000001E-2</v>
      </c>
      <c r="N10" s="10">
        <v>12</v>
      </c>
      <c r="O10" t="s">
        <v>42</v>
      </c>
    </row>
    <row r="11" spans="1:15" ht="17" thickBot="1" x14ac:dyDescent="0.25">
      <c r="A11" s="11"/>
      <c r="B11" s="11"/>
      <c r="C11" s="11"/>
      <c r="D11" s="11"/>
      <c r="E11" s="11"/>
      <c r="H11" t="s">
        <v>41</v>
      </c>
      <c r="I11" s="8">
        <v>1590</v>
      </c>
      <c r="J11" s="13">
        <v>7.0000000000000001E-3</v>
      </c>
      <c r="K11" s="8">
        <v>2500</v>
      </c>
      <c r="L11" s="6">
        <v>4</v>
      </c>
      <c r="M11" s="7">
        <v>3.5999999999999997E-2</v>
      </c>
      <c r="N11" s="10">
        <v>22</v>
      </c>
      <c r="O11" t="s">
        <v>43</v>
      </c>
    </row>
    <row r="12" spans="1:15" x14ac:dyDescent="0.2">
      <c r="H12" t="s">
        <v>44</v>
      </c>
      <c r="I12" s="6">
        <v>500</v>
      </c>
      <c r="J12" s="13">
        <v>2.8000000000000001E-2</v>
      </c>
      <c r="K12" s="6">
        <v>880</v>
      </c>
      <c r="L12" s="6">
        <v>12</v>
      </c>
      <c r="M12" s="7">
        <v>0.13200000000000001</v>
      </c>
      <c r="N12" s="10">
        <v>14</v>
      </c>
      <c r="O12" t="s">
        <v>45</v>
      </c>
    </row>
    <row r="13" spans="1:15" x14ac:dyDescent="0.2">
      <c r="A13" s="1" t="s">
        <v>7</v>
      </c>
      <c r="H13" t="s">
        <v>44</v>
      </c>
      <c r="I13" s="8">
        <v>1590</v>
      </c>
      <c r="J13" s="13">
        <v>0.01</v>
      </c>
      <c r="K13" s="8">
        <v>1950</v>
      </c>
      <c r="L13" s="6">
        <v>6</v>
      </c>
      <c r="M13" s="7">
        <v>4.4999999999999998E-2</v>
      </c>
      <c r="N13" s="10">
        <v>24</v>
      </c>
      <c r="O13" t="s">
        <v>46</v>
      </c>
    </row>
    <row r="14" spans="1:15" x14ac:dyDescent="0.2">
      <c r="H14" t="s">
        <v>47</v>
      </c>
      <c r="I14" s="6">
        <v>500</v>
      </c>
      <c r="J14" s="13">
        <v>2.8000000000000001E-2</v>
      </c>
      <c r="K14" s="6">
        <v>880</v>
      </c>
      <c r="L14" s="6">
        <v>12</v>
      </c>
      <c r="M14" s="7">
        <v>0.13200000000000001</v>
      </c>
      <c r="N14" s="10">
        <v>18</v>
      </c>
      <c r="O14" t="s">
        <v>48</v>
      </c>
    </row>
    <row r="15" spans="1:15" x14ac:dyDescent="0.2">
      <c r="D15" s="1" t="s">
        <v>18</v>
      </c>
      <c r="E15" s="3">
        <f>SQRT(3)*B19*B20*(B21/1000)</f>
        <v>652.17391304347825</v>
      </c>
      <c r="H15" t="s">
        <v>47</v>
      </c>
      <c r="I15" s="8">
        <v>1000</v>
      </c>
      <c r="J15" s="13">
        <v>1.4E-2</v>
      </c>
      <c r="K15" s="8">
        <v>1300</v>
      </c>
      <c r="L15" s="6">
        <v>8</v>
      </c>
      <c r="M15" s="7">
        <v>6.5000000000000002E-2</v>
      </c>
      <c r="N15" s="10">
        <v>26</v>
      </c>
      <c r="O15" t="s">
        <v>49</v>
      </c>
    </row>
    <row r="16" spans="1:15" x14ac:dyDescent="0.2">
      <c r="A16" s="1" t="s">
        <v>2</v>
      </c>
      <c r="C16" s="36" t="s">
        <v>55</v>
      </c>
      <c r="D16" s="36"/>
      <c r="E16" s="12">
        <f>E15/13800</f>
        <v>4.725897920604915E-2</v>
      </c>
      <c r="H16" t="s">
        <v>47</v>
      </c>
      <c r="I16" s="8">
        <v>1590</v>
      </c>
      <c r="J16" s="13">
        <v>8.9999999999999993E-3</v>
      </c>
      <c r="K16" s="8">
        <v>1830</v>
      </c>
      <c r="L16" s="6">
        <v>6</v>
      </c>
      <c r="M16" s="7">
        <v>4.7E-2</v>
      </c>
      <c r="N16" s="10">
        <v>32</v>
      </c>
      <c r="O16" t="s">
        <v>50</v>
      </c>
    </row>
    <row r="17" spans="1:15" x14ac:dyDescent="0.2">
      <c r="A17" t="s">
        <v>3</v>
      </c>
      <c r="B17" t="s">
        <v>4</v>
      </c>
      <c r="H17" t="s">
        <v>51</v>
      </c>
      <c r="I17" s="6">
        <v>795</v>
      </c>
      <c r="J17" s="13">
        <v>1.4999999999999999E-2</v>
      </c>
      <c r="K17" s="8">
        <v>1600</v>
      </c>
      <c r="L17" s="6">
        <v>7</v>
      </c>
      <c r="M17" s="7">
        <v>6.8000000000000005E-2</v>
      </c>
      <c r="N17" s="10">
        <v>25</v>
      </c>
      <c r="O17" t="s">
        <v>52</v>
      </c>
    </row>
    <row r="18" spans="1:15" x14ac:dyDescent="0.2">
      <c r="A18" t="s">
        <v>10</v>
      </c>
      <c r="B18">
        <f>E15</f>
        <v>652.17391304347825</v>
      </c>
      <c r="H18" t="s">
        <v>53</v>
      </c>
      <c r="I18" s="6">
        <v>500</v>
      </c>
      <c r="J18" s="13">
        <v>0.03</v>
      </c>
      <c r="K18" s="6">
        <v>800</v>
      </c>
      <c r="L18" s="6">
        <v>13</v>
      </c>
      <c r="M18" s="7">
        <v>0.14000000000000001</v>
      </c>
      <c r="N18" s="10">
        <v>20</v>
      </c>
      <c r="O18" t="s">
        <v>54</v>
      </c>
    </row>
    <row r="19" spans="1:15" x14ac:dyDescent="0.2">
      <c r="A19" t="s">
        <v>11</v>
      </c>
      <c r="B19">
        <f>B7</f>
        <v>10459.244007058438</v>
      </c>
      <c r="M19" s="5"/>
      <c r="N19" s="9"/>
    </row>
    <row r="20" spans="1:15" ht="17" x14ac:dyDescent="0.2">
      <c r="A20" s="2" t="s">
        <v>12</v>
      </c>
      <c r="B20">
        <v>8.9999999999999993E-3</v>
      </c>
    </row>
    <row r="21" spans="1:15" x14ac:dyDescent="0.2">
      <c r="A21" t="s">
        <v>13</v>
      </c>
      <c r="B21">
        <v>4000</v>
      </c>
      <c r="H21" s="16" t="s">
        <v>88</v>
      </c>
      <c r="I21" s="16"/>
    </row>
    <row r="22" spans="1:15" ht="17" thickBot="1" x14ac:dyDescent="0.25">
      <c r="A22" s="11"/>
      <c r="B22" s="11"/>
      <c r="C22" s="11"/>
      <c r="D22" s="11"/>
      <c r="E22" s="11"/>
      <c r="H22" s="17" t="s">
        <v>89</v>
      </c>
      <c r="I22">
        <v>120</v>
      </c>
    </row>
    <row r="23" spans="1:15" x14ac:dyDescent="0.2">
      <c r="H23" s="17" t="s">
        <v>90</v>
      </c>
      <c r="I23">
        <v>13.8</v>
      </c>
    </row>
    <row r="24" spans="1:15" x14ac:dyDescent="0.2">
      <c r="A24" s="1" t="s">
        <v>14</v>
      </c>
      <c r="H24" s="17" t="s">
        <v>91</v>
      </c>
      <c r="I24">
        <v>0.8</v>
      </c>
    </row>
    <row r="25" spans="1:15" x14ac:dyDescent="0.2">
      <c r="H25" s="17" t="s">
        <v>92</v>
      </c>
      <c r="I25">
        <v>1590</v>
      </c>
    </row>
    <row r="26" spans="1:15" x14ac:dyDescent="0.2">
      <c r="D26" s="1" t="s">
        <v>16</v>
      </c>
      <c r="E26" s="3">
        <f>3*(B30)^2*(B31/1000)*B32</f>
        <v>11814744.801512284</v>
      </c>
      <c r="H26" s="17"/>
    </row>
    <row r="27" spans="1:15" x14ac:dyDescent="0.2">
      <c r="A27" s="1" t="s">
        <v>2</v>
      </c>
      <c r="D27" t="s">
        <v>17</v>
      </c>
      <c r="E27" s="4">
        <f>E26/1000000</f>
        <v>11.814744801512283</v>
      </c>
      <c r="H27" s="17" t="s">
        <v>93</v>
      </c>
    </row>
    <row r="28" spans="1:15" x14ac:dyDescent="0.2">
      <c r="A28" t="s">
        <v>3</v>
      </c>
      <c r="B28" t="s">
        <v>4</v>
      </c>
      <c r="H28" s="17" t="s">
        <v>94</v>
      </c>
      <c r="I28" s="4">
        <f>(I22*1000000/(SQRT(3)*I23*1000)*I24)</f>
        <v>4016.3496987104404</v>
      </c>
    </row>
    <row r="29" spans="1:15" x14ac:dyDescent="0.2">
      <c r="A29" t="s">
        <v>15</v>
      </c>
      <c r="B29">
        <f>E26</f>
        <v>11814744.801512284</v>
      </c>
      <c r="H29" s="17" t="s">
        <v>95</v>
      </c>
      <c r="I29">
        <f>ROUNDUP(I28/I25,0)</f>
        <v>3</v>
      </c>
    </row>
    <row r="30" spans="1:15" x14ac:dyDescent="0.2">
      <c r="A30" t="s">
        <v>1</v>
      </c>
      <c r="B30">
        <f>B19</f>
        <v>10459.244007058438</v>
      </c>
    </row>
    <row r="31" spans="1:15" x14ac:dyDescent="0.2">
      <c r="A31" t="s">
        <v>8</v>
      </c>
      <c r="B31">
        <f>B20</f>
        <v>8.9999999999999993E-3</v>
      </c>
    </row>
    <row r="32" spans="1:15" x14ac:dyDescent="0.2">
      <c r="A32" t="s">
        <v>9</v>
      </c>
      <c r="B32">
        <f>B21</f>
        <v>4000</v>
      </c>
    </row>
  </sheetData>
  <mergeCells count="1">
    <mergeCell ref="C16:D1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A857-06F6-434B-98AF-2466BD34441B}">
  <dimension ref="A1:L27"/>
  <sheetViews>
    <sheetView tabSelected="1" zoomScale="150" workbookViewId="0">
      <selection activeCell="K24" sqref="K24"/>
    </sheetView>
  </sheetViews>
  <sheetFormatPr baseColWidth="10" defaultRowHeight="16" x14ac:dyDescent="0.2"/>
  <cols>
    <col min="1" max="1" width="16.5" customWidth="1"/>
    <col min="2" max="2" width="17.33203125" customWidth="1"/>
    <col min="3" max="3" width="19.33203125" customWidth="1"/>
    <col min="4" max="5" width="12.6640625" bestFit="1" customWidth="1"/>
    <col min="6" max="6" width="20.5" bestFit="1" customWidth="1"/>
    <col min="7" max="7" width="11.33203125" customWidth="1"/>
    <col min="8" max="8" width="11.83203125" customWidth="1"/>
    <col min="9" max="9" width="30.1640625" customWidth="1"/>
  </cols>
  <sheetData>
    <row r="1" spans="1:10" x14ac:dyDescent="0.2">
      <c r="A1" s="16" t="s">
        <v>56</v>
      </c>
      <c r="B1" s="16"/>
      <c r="C1" s="16"/>
      <c r="F1" s="16" t="s">
        <v>88</v>
      </c>
      <c r="G1" s="16"/>
      <c r="I1" s="16" t="s">
        <v>98</v>
      </c>
      <c r="J1" s="16"/>
    </row>
    <row r="2" spans="1:10" x14ac:dyDescent="0.2">
      <c r="A2" t="s">
        <v>57</v>
      </c>
      <c r="B2" s="14" t="s">
        <v>58</v>
      </c>
      <c r="C2" s="14"/>
      <c r="D2" s="14"/>
      <c r="F2" s="28" t="s">
        <v>89</v>
      </c>
      <c r="G2" s="18">
        <v>120</v>
      </c>
      <c r="I2" s="28" t="s">
        <v>99</v>
      </c>
      <c r="J2" s="18">
        <v>1200</v>
      </c>
    </row>
    <row r="3" spans="1:10" x14ac:dyDescent="0.2">
      <c r="A3" s="17" t="s">
        <v>59</v>
      </c>
      <c r="B3" s="37" t="s">
        <v>105</v>
      </c>
      <c r="C3" s="37"/>
      <c r="F3" s="17" t="s">
        <v>90</v>
      </c>
      <c r="G3" s="18">
        <v>13.8</v>
      </c>
      <c r="I3" s="17" t="s">
        <v>100</v>
      </c>
      <c r="J3" s="18">
        <v>300</v>
      </c>
    </row>
    <row r="4" spans="1:10" x14ac:dyDescent="0.2">
      <c r="A4" t="s">
        <v>60</v>
      </c>
      <c r="B4" s="30">
        <f>J2</f>
        <v>1200</v>
      </c>
      <c r="C4" s="14"/>
      <c r="D4" s="14"/>
      <c r="F4" s="17" t="s">
        <v>91</v>
      </c>
      <c r="G4" s="18">
        <v>0.8</v>
      </c>
      <c r="I4" s="17" t="s">
        <v>104</v>
      </c>
      <c r="J4" s="35">
        <v>452.5</v>
      </c>
    </row>
    <row r="5" spans="1:10" x14ac:dyDescent="0.2">
      <c r="A5" s="17" t="s">
        <v>61</v>
      </c>
      <c r="B5" s="31" t="s">
        <v>96</v>
      </c>
      <c r="C5" s="31"/>
      <c r="F5" s="17" t="s">
        <v>92</v>
      </c>
      <c r="G5" s="18">
        <v>1590</v>
      </c>
      <c r="I5" s="17"/>
      <c r="J5" s="19"/>
    </row>
    <row r="6" spans="1:10" x14ac:dyDescent="0.2">
      <c r="A6" s="1" t="s">
        <v>97</v>
      </c>
      <c r="B6" s="18">
        <f>3*G9</f>
        <v>12</v>
      </c>
      <c r="F6" s="17"/>
      <c r="G6" s="19"/>
      <c r="I6" s="16" t="s">
        <v>101</v>
      </c>
      <c r="J6" s="33"/>
    </row>
    <row r="7" spans="1:10" x14ac:dyDescent="0.2">
      <c r="F7" s="16" t="s">
        <v>93</v>
      </c>
      <c r="G7" s="33"/>
      <c r="I7" s="17" t="s">
        <v>103</v>
      </c>
      <c r="J7" s="18">
        <f>(ROUNDUP(J2/J3,0))*8</f>
        <v>32</v>
      </c>
    </row>
    <row r="8" spans="1:10" x14ac:dyDescent="0.2">
      <c r="A8" s="14"/>
      <c r="B8" s="14"/>
      <c r="C8" s="14"/>
      <c r="D8" s="14"/>
      <c r="F8" s="17" t="s">
        <v>94</v>
      </c>
      <c r="G8" s="34">
        <f>(G2*1000000/(SQRT(3)*G3*1000*G4))</f>
        <v>6275.5464042350623</v>
      </c>
      <c r="I8" s="17" t="s">
        <v>102</v>
      </c>
      <c r="J8" s="22">
        <f>J7*J4</f>
        <v>14480</v>
      </c>
    </row>
    <row r="9" spans="1:10" x14ac:dyDescent="0.2">
      <c r="A9" s="16" t="s">
        <v>62</v>
      </c>
      <c r="B9" s="16" t="s">
        <v>63</v>
      </c>
      <c r="C9" s="29" t="s">
        <v>64</v>
      </c>
      <c r="F9" s="17" t="s">
        <v>87</v>
      </c>
      <c r="G9" s="18">
        <f>ROUNDUP(G8/G5,0)</f>
        <v>4</v>
      </c>
    </row>
    <row r="10" spans="1:10" x14ac:dyDescent="0.2">
      <c r="A10" t="s">
        <v>65</v>
      </c>
      <c r="B10" s="6" t="e">
        <f>SUM(E14:E18)</f>
        <v>#VALUE!</v>
      </c>
      <c r="C10" s="21">
        <f>SUM(E22:E27)</f>
        <v>649084.80000000005</v>
      </c>
    </row>
    <row r="12" spans="1:10" hidden="1" x14ac:dyDescent="0.2">
      <c r="A12" t="s">
        <v>86</v>
      </c>
    </row>
    <row r="13" spans="1:10" hidden="1" x14ac:dyDescent="0.2">
      <c r="A13" s="16" t="s">
        <v>66</v>
      </c>
      <c r="B13" s="16" t="s">
        <v>67</v>
      </c>
      <c r="C13" s="16" t="s">
        <v>68</v>
      </c>
      <c r="D13" s="16" t="s">
        <v>69</v>
      </c>
      <c r="E13" s="16" t="s">
        <v>65</v>
      </c>
    </row>
    <row r="14" spans="1:10" hidden="1" x14ac:dyDescent="0.2">
      <c r="A14" t="s">
        <v>61</v>
      </c>
      <c r="B14" t="s">
        <v>70</v>
      </c>
      <c r="C14" s="18">
        <v>72000</v>
      </c>
      <c r="D14" s="18"/>
      <c r="E14" s="18">
        <f>C14*D14</f>
        <v>0</v>
      </c>
    </row>
    <row r="15" spans="1:10" hidden="1" x14ac:dyDescent="0.2">
      <c r="A15" s="17" t="s">
        <v>71</v>
      </c>
      <c r="B15" s="17" t="s">
        <v>72</v>
      </c>
      <c r="C15" s="19">
        <v>56</v>
      </c>
      <c r="D15" s="19">
        <v>390</v>
      </c>
      <c r="E15" s="19">
        <f t="shared" ref="E15:E18" si="0">C15*D15</f>
        <v>21840</v>
      </c>
    </row>
    <row r="16" spans="1:10" hidden="1" x14ac:dyDescent="0.2">
      <c r="A16" t="s">
        <v>73</v>
      </c>
      <c r="B16" t="s">
        <v>74</v>
      </c>
      <c r="C16" s="18">
        <v>20</v>
      </c>
      <c r="D16" s="18">
        <v>750</v>
      </c>
      <c r="E16" s="18">
        <f t="shared" si="0"/>
        <v>15000</v>
      </c>
    </row>
    <row r="17" spans="1:12" hidden="1" x14ac:dyDescent="0.2">
      <c r="A17" s="17" t="s">
        <v>75</v>
      </c>
      <c r="B17" s="17" t="s">
        <v>76</v>
      </c>
      <c r="C17" s="19">
        <v>1</v>
      </c>
      <c r="D17" s="19" t="s">
        <v>77</v>
      </c>
      <c r="E17" s="19" t="e">
        <f t="shared" si="0"/>
        <v>#VALUE!</v>
      </c>
    </row>
    <row r="18" spans="1:12" hidden="1" x14ac:dyDescent="0.2">
      <c r="A18" t="s">
        <v>78</v>
      </c>
      <c r="B18" t="s">
        <v>79</v>
      </c>
      <c r="C18" s="20">
        <v>0.3</v>
      </c>
      <c r="D18" s="18" t="s">
        <v>80</v>
      </c>
      <c r="E18" s="18" t="e">
        <f t="shared" si="0"/>
        <v>#VALUE!</v>
      </c>
    </row>
    <row r="19" spans="1:12" x14ac:dyDescent="0.2">
      <c r="C19" s="15"/>
    </row>
    <row r="20" spans="1:12" x14ac:dyDescent="0.2">
      <c r="A20" s="27" t="s">
        <v>85</v>
      </c>
    </row>
    <row r="21" spans="1:12" x14ac:dyDescent="0.2">
      <c r="A21" s="16" t="s">
        <v>66</v>
      </c>
      <c r="B21" s="16" t="s">
        <v>67</v>
      </c>
      <c r="C21" s="16" t="s">
        <v>68</v>
      </c>
      <c r="D21" s="16" t="s">
        <v>69</v>
      </c>
      <c r="E21" s="16" t="s">
        <v>65</v>
      </c>
    </row>
    <row r="22" spans="1:12" x14ac:dyDescent="0.2">
      <c r="A22" t="s">
        <v>81</v>
      </c>
      <c r="B22" t="s">
        <v>70</v>
      </c>
      <c r="C22" s="18">
        <f>(B4*G9)*3</f>
        <v>14400</v>
      </c>
      <c r="D22" s="22">
        <v>32</v>
      </c>
      <c r="E22" s="25">
        <f>D22*C22</f>
        <v>460800</v>
      </c>
      <c r="H22" s="32"/>
      <c r="L22" s="38"/>
    </row>
    <row r="23" spans="1:12" x14ac:dyDescent="0.2">
      <c r="A23" s="17" t="s">
        <v>82</v>
      </c>
      <c r="B23" s="17" t="s">
        <v>70</v>
      </c>
      <c r="C23" s="19">
        <f>B4</f>
        <v>1200</v>
      </c>
      <c r="D23" s="23">
        <v>10</v>
      </c>
      <c r="E23" s="26">
        <f t="shared" ref="E23:E26" si="1">D23*C23</f>
        <v>12000</v>
      </c>
    </row>
    <row r="24" spans="1:12" x14ac:dyDescent="0.2">
      <c r="A24" t="s">
        <v>83</v>
      </c>
      <c r="B24" t="s">
        <v>70</v>
      </c>
      <c r="C24" s="18">
        <f>B4</f>
        <v>1200</v>
      </c>
      <c r="D24" s="22">
        <v>5</v>
      </c>
      <c r="E24" s="25">
        <f t="shared" si="1"/>
        <v>6000</v>
      </c>
    </row>
    <row r="25" spans="1:12" x14ac:dyDescent="0.2">
      <c r="A25" s="17" t="s">
        <v>84</v>
      </c>
      <c r="B25" s="17" t="s">
        <v>70</v>
      </c>
      <c r="C25" s="19">
        <f>B4</f>
        <v>1200</v>
      </c>
      <c r="D25" s="23">
        <v>5</v>
      </c>
      <c r="E25" s="26">
        <f>D25*C25</f>
        <v>6000</v>
      </c>
    </row>
    <row r="26" spans="1:12" x14ac:dyDescent="0.2">
      <c r="A26" t="s">
        <v>71</v>
      </c>
      <c r="B26" t="s">
        <v>72</v>
      </c>
      <c r="C26" s="18">
        <f>J7</f>
        <v>32</v>
      </c>
      <c r="D26" s="22">
        <v>453</v>
      </c>
      <c r="E26" s="25">
        <f t="shared" si="1"/>
        <v>14496</v>
      </c>
    </row>
    <row r="27" spans="1:12" x14ac:dyDescent="0.2">
      <c r="A27" s="17" t="s">
        <v>78</v>
      </c>
      <c r="B27" s="17" t="s">
        <v>79</v>
      </c>
      <c r="C27" s="24">
        <v>0.3</v>
      </c>
      <c r="D27" s="23">
        <f>SUM(E22:E26)</f>
        <v>499296</v>
      </c>
      <c r="E27" s="26">
        <f>D27*0.3</f>
        <v>149788.79999999999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cost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Acosta</dc:creator>
  <cp:lastModifiedBy>Preston Acosta</cp:lastModifiedBy>
  <dcterms:created xsi:type="dcterms:W3CDTF">2025-02-27T16:30:20Z</dcterms:created>
  <dcterms:modified xsi:type="dcterms:W3CDTF">2025-03-02T02:39:21Z</dcterms:modified>
</cp:coreProperties>
</file>