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5.xml" ContentType="application/vnd.openxmlformats-officedocument.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iagrams/data5.xml" ContentType="application/vnd.openxmlformats-officedocument.drawingml.diagramData+xml"/>
  <Override PartName="/xl/diagrams/layout5.xml" ContentType="application/vnd.openxmlformats-officedocument.drawingml.diagramLayout+xml"/>
  <Override PartName="/xl/diagrams/quickStyle5.xml" ContentType="application/vnd.openxmlformats-officedocument.drawingml.diagramStyle+xml"/>
  <Override PartName="/xl/diagrams/colors5.xml" ContentType="application/vnd.openxmlformats-officedocument.drawingml.diagramColors+xml"/>
  <Override PartName="/xl/diagrams/drawing5.xml" ContentType="application/vnd.ms-office.drawingml.diagram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iagrams/data6.xml" ContentType="application/vnd.openxmlformats-officedocument.drawingml.diagramData+xml"/>
  <Override PartName="/xl/diagrams/layout6.xml" ContentType="application/vnd.openxmlformats-officedocument.drawingml.diagramLayout+xml"/>
  <Override PartName="/xl/diagrams/quickStyle6.xml" ContentType="application/vnd.openxmlformats-officedocument.drawingml.diagramStyle+xml"/>
  <Override PartName="/xl/diagrams/colors6.xml" ContentType="application/vnd.openxmlformats-officedocument.drawingml.diagramColors+xml"/>
  <Override PartName="/xl/diagrams/drawing6.xml" ContentType="application/vnd.ms-office.drawingml.diagramDrawing+xml"/>
  <Override PartName="/xl/drawings/drawing8.xml" ContentType="application/vnd.openxmlformats-officedocument.drawing+xml"/>
  <Override PartName="/xl/diagrams/data7.xml" ContentType="application/vnd.openxmlformats-officedocument.drawingml.diagramData+xml"/>
  <Override PartName="/xl/diagrams/layout7.xml" ContentType="application/vnd.openxmlformats-officedocument.drawingml.diagramLayout+xml"/>
  <Override PartName="/xl/diagrams/quickStyle7.xml" ContentType="application/vnd.openxmlformats-officedocument.drawingml.diagramStyle+xml"/>
  <Override PartName="/xl/diagrams/colors7.xml" ContentType="application/vnd.openxmlformats-officedocument.drawingml.diagramColors+xml"/>
  <Override PartName="/xl/diagrams/drawing7.xml" ContentType="application/vnd.ms-office.drawingml.diagram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prestonacosta/Desktop/Hunter Holdings /"/>
    </mc:Choice>
  </mc:AlternateContent>
  <xr:revisionPtr revIDLastSave="0" documentId="8_{9C73F4A7-6F71-154A-B039-E6B366BDA2A5}" xr6:coauthVersionLast="47" xr6:coauthVersionMax="47" xr10:uidLastSave="{00000000-0000-0000-0000-000000000000}"/>
  <bookViews>
    <workbookView xWindow="0" yWindow="500" windowWidth="35840" windowHeight="20200" activeTab="7" xr2:uid="{0E1CF479-6F43-7441-A168-C06CD1A60F93}"/>
  </bookViews>
  <sheets>
    <sheet name="depth" sheetId="1" r:id="rId1"/>
    <sheet name="snapshot" sheetId="2" r:id="rId2"/>
    <sheet name="Hive " sheetId="3" r:id="rId3"/>
    <sheet name="Hut8" sheetId="5" r:id="rId4"/>
    <sheet name="Wulf" sheetId="6" r:id="rId5"/>
    <sheet name="Cipher" sheetId="7" r:id="rId6"/>
    <sheet name="RIOT" sheetId="8" r:id="rId7"/>
    <sheet name="IREN" sheetId="9" r:id="rId8"/>
    <sheet name="BTBT" sheetId="10" r:id="rId9"/>
    <sheet name="Cathedra" sheetId="11" r:id="rId10"/>
    <sheet name="monthly data" sheetId="4"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9" l="1"/>
  <c r="L18" i="9"/>
  <c r="J18" i="9"/>
  <c r="G18" i="9"/>
  <c r="F18" i="9"/>
  <c r="E47" i="8"/>
  <c r="K62" i="8"/>
  <c r="E62" i="8"/>
  <c r="M62" i="8"/>
  <c r="F62" i="8"/>
  <c r="D62" i="8"/>
  <c r="E57" i="8"/>
  <c r="B62" i="8" s="1"/>
  <c r="B57" i="8"/>
  <c r="C47" i="8" a="1"/>
  <c r="C47" i="8" s="1"/>
  <c r="R46" i="8" s="1"/>
  <c r="D47" i="8" s="1" a="1"/>
  <c r="D47" i="8" s="1"/>
  <c r="B47" i="8" a="1"/>
  <c r="B47" i="8" s="1"/>
  <c r="I46" i="8" a="1"/>
  <c r="I46" i="8" s="1"/>
  <c r="I45" i="8" a="1"/>
  <c r="I45" i="8" s="1"/>
  <c r="K18" i="8"/>
  <c r="D18" i="8"/>
  <c r="B13" i="8"/>
  <c r="B41" i="8" a="1"/>
  <c r="B41" i="8" s="1"/>
  <c r="D41" i="8" s="1"/>
  <c r="D3" i="8" a="1"/>
  <c r="D3" i="8" s="1"/>
  <c r="D3" i="9" a="1"/>
  <c r="D3" i="9" s="1"/>
  <c r="D18" i="9"/>
  <c r="C18" i="9"/>
  <c r="C3" i="9" a="1"/>
  <c r="C3" i="9" s="1"/>
  <c r="B3" i="9" l="1"/>
  <c r="R48" i="8"/>
  <c r="R47" i="8"/>
  <c r="G47" i="8"/>
  <c r="J62" i="8"/>
  <c r="C52" i="8"/>
  <c r="D52" i="8" s="1"/>
  <c r="B13" i="9"/>
  <c r="K18" i="6"/>
  <c r="F18" i="11"/>
  <c r="D18" i="11"/>
  <c r="B18" i="11"/>
  <c r="B13" i="11"/>
  <c r="E13" i="11"/>
  <c r="M18" i="11"/>
  <c r="K18" i="11"/>
  <c r="B18" i="10"/>
  <c r="B13" i="10"/>
  <c r="C18" i="10"/>
  <c r="F13" i="10"/>
  <c r="D18" i="10"/>
  <c r="K18" i="10"/>
  <c r="M18" i="10"/>
  <c r="D3" i="11" a="1"/>
  <c r="D3" i="11" s="1"/>
  <c r="C3" i="11" a="1"/>
  <c r="C3" i="11" s="1"/>
  <c r="B3" i="11" a="1"/>
  <c r="B3" i="11" s="1"/>
  <c r="I2" i="11" a="1"/>
  <c r="I2" i="11" s="1"/>
  <c r="I1" i="11" a="1"/>
  <c r="I1" i="11" s="1"/>
  <c r="C8" i="11" s="1"/>
  <c r="D3" i="10" a="1"/>
  <c r="D3" i="10" s="1"/>
  <c r="C3" i="10" a="1"/>
  <c r="C3" i="10" s="1"/>
  <c r="B3" i="10" a="1"/>
  <c r="B3" i="10" s="1"/>
  <c r="I2" i="10" a="1"/>
  <c r="I2" i="10" s="1"/>
  <c r="I18" i="10" s="1"/>
  <c r="I1" i="10" a="1"/>
  <c r="I1" i="10" s="1"/>
  <c r="J18" i="10" s="1"/>
  <c r="B41" i="2"/>
  <c r="G3" i="8"/>
  <c r="C8" i="9"/>
  <c r="E13" i="9"/>
  <c r="B18" i="9" s="1"/>
  <c r="I2" i="9" a="1"/>
  <c r="I2" i="9" s="1"/>
  <c r="I1" i="9" a="1"/>
  <c r="I1" i="9" s="1"/>
  <c r="I18" i="9" s="1"/>
  <c r="F18" i="8"/>
  <c r="G41" i="2"/>
  <c r="E13" i="8"/>
  <c r="B18" i="8" s="1"/>
  <c r="M18" i="8"/>
  <c r="C3" i="8" a="1"/>
  <c r="C3" i="8" s="1"/>
  <c r="B3" i="8" a="1"/>
  <c r="B3" i="8" s="1"/>
  <c r="I2" i="8" a="1"/>
  <c r="I2" i="8" s="1"/>
  <c r="I1" i="8" a="1"/>
  <c r="I1" i="8" s="1"/>
  <c r="J18" i="8" s="1"/>
  <c r="D18" i="7"/>
  <c r="M18" i="7"/>
  <c r="K18" i="7"/>
  <c r="F18" i="7"/>
  <c r="F13" i="7"/>
  <c r="B18" i="7" s="1"/>
  <c r="B13" i="7"/>
  <c r="I2" i="7" a="1"/>
  <c r="I2" i="7" s="1"/>
  <c r="I1" i="7" a="1"/>
  <c r="I1" i="7" s="1"/>
  <c r="C8" i="7" s="1"/>
  <c r="D3" i="7" a="1"/>
  <c r="D3" i="7" s="1"/>
  <c r="C3" i="7" a="1"/>
  <c r="C3" i="7" s="1"/>
  <c r="B3" i="7" a="1"/>
  <c r="B3" i="7" s="1"/>
  <c r="G18" i="6"/>
  <c r="E18" i="6"/>
  <c r="D18" i="6"/>
  <c r="F18" i="6"/>
  <c r="C18" i="6"/>
  <c r="I2" i="6" a="1"/>
  <c r="I2" i="6" s="1"/>
  <c r="I1" i="6" a="1"/>
  <c r="I1" i="6" s="1"/>
  <c r="M18" i="6"/>
  <c r="E13" i="6"/>
  <c r="B18" i="6" s="1"/>
  <c r="B13" i="6"/>
  <c r="B13" i="5"/>
  <c r="B18" i="5"/>
  <c r="B40" i="2"/>
  <c r="B18" i="3"/>
  <c r="J18" i="6"/>
  <c r="C8" i="6"/>
  <c r="D3" i="6" a="1"/>
  <c r="D3" i="6" s="1"/>
  <c r="C3" i="6" a="1"/>
  <c r="C3" i="6" s="1"/>
  <c r="B3" i="6" a="1"/>
  <c r="B3" i="6" s="1"/>
  <c r="D3" i="5" a="1"/>
  <c r="D3" i="5" s="1"/>
  <c r="E18" i="3"/>
  <c r="F18" i="5"/>
  <c r="D18" i="5"/>
  <c r="D3" i="3" a="1"/>
  <c r="D3" i="3" s="1"/>
  <c r="A13" i="5"/>
  <c r="A18" i="5" s="1"/>
  <c r="B3" i="5" a="1"/>
  <c r="B3" i="5" s="1"/>
  <c r="N18" i="5"/>
  <c r="L18" i="5"/>
  <c r="E13" i="5"/>
  <c r="M4" i="5" a="1"/>
  <c r="M4" i="5" s="1"/>
  <c r="M3" i="5" a="1"/>
  <c r="M3" i="5" s="1"/>
  <c r="C3" i="5" a="1"/>
  <c r="C3" i="5" s="1"/>
  <c r="G18" i="3"/>
  <c r="F18" i="3"/>
  <c r="B13" i="3"/>
  <c r="N18" i="3"/>
  <c r="L18" i="3"/>
  <c r="F46" i="2"/>
  <c r="D18" i="3"/>
  <c r="D46" i="2"/>
  <c r="M4" i="3" a="1"/>
  <c r="M4" i="3" s="1"/>
  <c r="M3" i="3" a="1"/>
  <c r="M3" i="3" s="1"/>
  <c r="C8" i="3" s="1"/>
  <c r="B34" i="2"/>
  <c r="E13" i="3"/>
  <c r="C3" i="3" a="1"/>
  <c r="C3" i="3" s="1"/>
  <c r="B3" i="3" a="1"/>
  <c r="B3" i="3" s="1"/>
  <c r="B31" i="2"/>
  <c r="N43" i="2"/>
  <c r="F32" i="2"/>
  <c r="B44" i="2" s="1"/>
  <c r="C44" i="2"/>
  <c r="B30" i="2"/>
  <c r="F30" i="2"/>
  <c r="N40" i="2"/>
  <c r="N47" i="2"/>
  <c r="E48" i="2"/>
  <c r="D48" i="2"/>
  <c r="F36" i="2"/>
  <c r="B48" i="2" s="1"/>
  <c r="L46" i="2"/>
  <c r="L44" i="2"/>
  <c r="L41" i="2"/>
  <c r="C10" i="2" a="1"/>
  <c r="C10" i="2" s="1"/>
  <c r="F41" i="2"/>
  <c r="G40" i="2"/>
  <c r="D40" i="2"/>
  <c r="F40" i="2"/>
  <c r="B36" i="2"/>
  <c r="L48" i="2"/>
  <c r="N48" i="2"/>
  <c r="D47" i="2"/>
  <c r="F47" i="2"/>
  <c r="L47" i="2"/>
  <c r="B35" i="2"/>
  <c r="F35" i="2"/>
  <c r="B47" i="2" s="1"/>
  <c r="D11" i="2" a="1"/>
  <c r="D11" i="2" s="1"/>
  <c r="D12" i="2" a="1"/>
  <c r="D12" i="2" s="1"/>
  <c r="C11" i="2" a="1"/>
  <c r="C11" i="2" s="1"/>
  <c r="C12" i="2" a="1"/>
  <c r="C12" i="2" s="1"/>
  <c r="B12" i="2" a="1"/>
  <c r="B12" i="2" s="1"/>
  <c r="B11" i="2" a="1"/>
  <c r="B11" i="2" s="1"/>
  <c r="G45" i="2"/>
  <c r="E45" i="2"/>
  <c r="F34" i="2"/>
  <c r="B46" i="2" s="1"/>
  <c r="D45" i="2"/>
  <c r="F45" i="2"/>
  <c r="N46" i="2"/>
  <c r="D41" i="2"/>
  <c r="D10" i="2" a="1"/>
  <c r="D10" i="2" s="1"/>
  <c r="B10" i="2" a="1"/>
  <c r="B10" i="2" s="1"/>
  <c r="F42" i="2"/>
  <c r="F43" i="2"/>
  <c r="D42" i="2"/>
  <c r="D43" i="2"/>
  <c r="L45" i="2"/>
  <c r="B33" i="2"/>
  <c r="F33" i="2"/>
  <c r="B45" i="2" s="1"/>
  <c r="B32" i="2"/>
  <c r="D9" i="2" a="1"/>
  <c r="D9" i="2" s="1"/>
  <c r="C9" i="2" a="1"/>
  <c r="C9" i="2" s="1"/>
  <c r="B9" i="2" a="1"/>
  <c r="B9" i="2" s="1"/>
  <c r="N44" i="2"/>
  <c r="N42" i="2"/>
  <c r="N41" i="2"/>
  <c r="L43" i="2"/>
  <c r="L42" i="2"/>
  <c r="C41" i="2"/>
  <c r="B13" i="1"/>
  <c r="B42" i="2"/>
  <c r="F29" i="2"/>
  <c r="F31" i="2"/>
  <c r="B43" i="2" s="1"/>
  <c r="F28" i="2"/>
  <c r="B29" i="2"/>
  <c r="B28" i="2"/>
  <c r="D8" i="2" a="1"/>
  <c r="D8" i="2" s="1"/>
  <c r="D7" i="2" a="1"/>
  <c r="D7" i="2" s="1"/>
  <c r="D6" i="2" a="1"/>
  <c r="D6" i="2" s="1"/>
  <c r="D5" i="2" a="1"/>
  <c r="D5" i="2" s="1"/>
  <c r="D4" i="2" a="1"/>
  <c r="D4" i="2" s="1"/>
  <c r="M4" i="2" a="1"/>
  <c r="M4" i="2" s="1"/>
  <c r="M3" i="2" a="1"/>
  <c r="M3" i="2" s="1"/>
  <c r="C17" i="2" s="1"/>
  <c r="B39" i="1"/>
  <c r="C7" i="2" a="1"/>
  <c r="C7" i="2" s="1"/>
  <c r="C8" i="2" a="1"/>
  <c r="C8" i="2" s="1"/>
  <c r="C5" i="2" a="1"/>
  <c r="C5" i="2" s="1"/>
  <c r="C6" i="2" a="1"/>
  <c r="C6" i="2" s="1"/>
  <c r="C4" i="2" a="1"/>
  <c r="C4" i="2" s="1"/>
  <c r="B8" i="2" a="1"/>
  <c r="B8" i="2" s="1"/>
  <c r="B7" i="2" a="1"/>
  <c r="B7" i="2" s="1"/>
  <c r="B5" i="2" a="1"/>
  <c r="B5" i="2" s="1"/>
  <c r="B6" i="2" a="1"/>
  <c r="B6" i="2" s="1"/>
  <c r="B4" i="2" a="1"/>
  <c r="B4" i="2" s="1"/>
  <c r="B31" i="1" a="1"/>
  <c r="B31" i="1" s="1"/>
  <c r="B35" i="1" s="1"/>
  <c r="B5" i="1" a="1"/>
  <c r="B5" i="1" s="1"/>
  <c r="B9" i="1" s="1"/>
  <c r="B121" i="1"/>
  <c r="B120" i="1"/>
  <c r="E3" i="1" a="1"/>
  <c r="E3" i="1" s="1"/>
  <c r="B67" i="1" s="1"/>
  <c r="K44" i="2" s="1"/>
  <c r="E2" i="1" a="1"/>
  <c r="E2" i="1" s="1"/>
  <c r="B65" i="1" s="1"/>
  <c r="B171" i="1" a="1"/>
  <c r="B171" i="1" s="1"/>
  <c r="B173" i="1" s="1"/>
  <c r="B170" i="1" a="1"/>
  <c r="B170" i="1" s="1"/>
  <c r="B169" i="1" a="1"/>
  <c r="B169" i="1" s="1"/>
  <c r="B150" i="1" a="1"/>
  <c r="B150" i="1" s="1"/>
  <c r="B152" i="1" s="1"/>
  <c r="B149" i="1" a="1"/>
  <c r="B149" i="1" s="1"/>
  <c r="B148" i="1" a="1"/>
  <c r="B148" i="1" s="1"/>
  <c r="B97" i="1"/>
  <c r="B58" i="1" a="1"/>
  <c r="B58" i="1" s="1"/>
  <c r="B62" i="1" s="1"/>
  <c r="B57" i="1" a="1"/>
  <c r="B57" i="1" s="1"/>
  <c r="B56" i="1" a="1"/>
  <c r="B56" i="1" s="1"/>
  <c r="B45" i="1"/>
  <c r="B30" i="1" a="1"/>
  <c r="B30" i="1" s="1"/>
  <c r="B29" i="1" a="1"/>
  <c r="B29" i="1" s="1"/>
  <c r="B130" i="1" a="1"/>
  <c r="B130" i="1" s="1"/>
  <c r="B132" i="1" s="1"/>
  <c r="B4" i="1" a="1"/>
  <c r="B4" i="1" s="1"/>
  <c r="B3" i="1" a="1"/>
  <c r="B3" i="1" s="1"/>
  <c r="B79" i="1" a="1"/>
  <c r="B79" i="1" s="1"/>
  <c r="B80" i="1" a="1"/>
  <c r="B80" i="1" s="1"/>
  <c r="B81" i="1" a="1"/>
  <c r="B81" i="1" s="1"/>
  <c r="B85" i="1" s="1"/>
  <c r="B105" i="1" a="1"/>
  <c r="B105" i="1" s="1"/>
  <c r="B109" i="1" s="1"/>
  <c r="B104" i="1" a="1"/>
  <c r="B104" i="1" s="1"/>
  <c r="B103" i="1" a="1"/>
  <c r="B103" i="1" s="1"/>
  <c r="B129" i="1" a="1"/>
  <c r="B129" i="1" s="1"/>
  <c r="B128" i="1" a="1"/>
  <c r="B128" i="1" s="1"/>
  <c r="L62" i="8" l="1"/>
  <c r="N62" i="8" s="1"/>
  <c r="L18" i="8"/>
  <c r="K18" i="9"/>
  <c r="N21" i="9" s="1"/>
  <c r="N18" i="9" s="1"/>
  <c r="D8" i="9"/>
  <c r="D8" i="11"/>
  <c r="J18" i="11"/>
  <c r="L18" i="11" s="1"/>
  <c r="N18" i="11" s="1"/>
  <c r="B9" i="10"/>
  <c r="L18" i="10"/>
  <c r="N18" i="10" s="1"/>
  <c r="D8" i="10"/>
  <c r="C9" i="10" s="1"/>
  <c r="C8" i="8"/>
  <c r="D8" i="8" s="1"/>
  <c r="D8" i="7"/>
  <c r="J18" i="7"/>
  <c r="L18" i="7" s="1"/>
  <c r="N18" i="7" s="1"/>
  <c r="L18" i="6"/>
  <c r="N18" i="6" s="1"/>
  <c r="C8" i="5"/>
  <c r="J18" i="5" s="1"/>
  <c r="M18" i="5" s="1"/>
  <c r="O18" i="5" s="1"/>
  <c r="D8" i="3"/>
  <c r="J18" i="3"/>
  <c r="M18" i="3" s="1"/>
  <c r="O18" i="3" s="1"/>
  <c r="C24" i="2"/>
  <c r="C23" i="2"/>
  <c r="C22" i="2"/>
  <c r="M45" i="2"/>
  <c r="O45" i="2" s="1"/>
  <c r="C21" i="2"/>
  <c r="D21" i="2" s="1"/>
  <c r="C18" i="2"/>
  <c r="J42" i="2" s="1"/>
  <c r="M42" i="2" s="1"/>
  <c r="O42" i="2" s="1"/>
  <c r="C19" i="2"/>
  <c r="J43" i="2" s="1"/>
  <c r="M43" i="2" s="1"/>
  <c r="O43" i="2" s="1"/>
  <c r="C20" i="2"/>
  <c r="J44" i="2" s="1"/>
  <c r="M44" i="2" s="1"/>
  <c r="C16" i="2"/>
  <c r="J40" i="2" s="1"/>
  <c r="B10" i="1"/>
  <c r="B110" i="1"/>
  <c r="B112" i="1"/>
  <c r="B138" i="1"/>
  <c r="B155" i="1"/>
  <c r="B180" i="1"/>
  <c r="B153" i="1"/>
  <c r="B174" i="1"/>
  <c r="B63" i="1"/>
  <c r="B36" i="1"/>
  <c r="B86" i="1"/>
  <c r="N66" i="8" l="1"/>
  <c r="O62" i="8" s="1"/>
  <c r="N18" i="8"/>
  <c r="M13" i="8"/>
  <c r="O18" i="8" s="1"/>
  <c r="M18" i="9"/>
  <c r="E8" i="10"/>
  <c r="D8" i="5"/>
  <c r="J48" i="2"/>
  <c r="M48" i="2" s="1"/>
  <c r="O48" i="2" s="1"/>
  <c r="D24" i="2"/>
  <c r="D22" i="2"/>
  <c r="J46" i="2"/>
  <c r="M46" i="2" s="1"/>
  <c r="O46" i="2" s="1"/>
  <c r="D23" i="2"/>
  <c r="J47" i="2"/>
  <c r="M47" i="2" s="1"/>
  <c r="O47" i="2" s="1"/>
  <c r="D16" i="2"/>
  <c r="M40" i="2"/>
  <c r="O40" i="2" s="1"/>
  <c r="D20" i="2"/>
  <c r="O44" i="2"/>
  <c r="D17" i="2"/>
  <c r="J41" i="2"/>
  <c r="M41" i="2" s="1"/>
  <c r="O41" i="2" s="1"/>
  <c r="B13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6">
    <bk>
      <extLst>
        <ext uri="{3e2802c4-a4d2-4d8b-9148-e3be6c30e623}">
          <xlrd:rvb i="2"/>
        </ext>
      </extLst>
    </bk>
    <bk>
      <extLst>
        <ext uri="{3e2802c4-a4d2-4d8b-9148-e3be6c30e623}">
          <xlrd:rvb i="4"/>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futureMetadata>
  <cellMetadata count="1">
    <bk>
      <rc t="1" v="0"/>
    </bk>
  </cellMetadata>
  <valueMetadata count="16">
    <bk>
      <rc t="2" v="0"/>
    </bk>
    <bk>
      <rc t="2" v="1"/>
    </bk>
    <bk>
      <rc t="2" v="2"/>
    </bk>
    <bk>
      <rc t="2" v="3"/>
    </bk>
    <bk>
      <rc t="2" v="4"/>
    </bk>
    <bk>
      <rc t="2" v="5"/>
    </bk>
    <bk>
      <rc t="2" v="6"/>
    </bk>
    <bk>
      <rc t="2" v="7"/>
    </bk>
    <bk>
      <rc t="2" v="8"/>
    </bk>
    <bk>
      <rc t="2" v="9"/>
    </bk>
    <bk>
      <rc t="2" v="10"/>
    </bk>
    <bk>
      <rc t="2" v="11"/>
    </bk>
    <bk>
      <rc t="2" v="12"/>
    </bk>
    <bk>
      <rc t="2" v="13"/>
    </bk>
    <bk>
      <rc t="2" v="14"/>
    </bk>
    <bk>
      <rc t="2" v="15"/>
    </bk>
  </valueMetadata>
</metadata>
</file>

<file path=xl/sharedStrings.xml><?xml version="1.0" encoding="utf-8"?>
<sst xmlns="http://schemas.openxmlformats.org/spreadsheetml/2006/main" count="693" uniqueCount="174">
  <si>
    <t>miner value (EH/s)</t>
  </si>
  <si>
    <t>miners</t>
  </si>
  <si>
    <t>BTC owned</t>
  </si>
  <si>
    <t>total MW operational</t>
  </si>
  <si>
    <t>operating (MW)</t>
  </si>
  <si>
    <t>infastructrure</t>
  </si>
  <si>
    <t>details</t>
  </si>
  <si>
    <t>miners (aprox.)</t>
  </si>
  <si>
    <t>total MW secured</t>
  </si>
  <si>
    <t>footnote:liquidate on a daily basis</t>
  </si>
  <si>
    <t>footnote:</t>
  </si>
  <si>
    <t>PPA</t>
  </si>
  <si>
    <t>unknown</t>
  </si>
  <si>
    <t>H100 GPUs</t>
  </si>
  <si>
    <t>hosted (MW)</t>
  </si>
  <si>
    <t>MW underway</t>
  </si>
  <si>
    <t>USD value</t>
  </si>
  <si>
    <t>market cap</t>
  </si>
  <si>
    <t>book value</t>
  </si>
  <si>
    <t>share price</t>
  </si>
  <si>
    <t>shares outstanding</t>
  </si>
  <si>
    <t>BVPS</t>
  </si>
  <si>
    <t>P/B</t>
  </si>
  <si>
    <t>RIOT</t>
  </si>
  <si>
    <t>IREN</t>
  </si>
  <si>
    <t>CIFR</t>
  </si>
  <si>
    <t>CLSK</t>
  </si>
  <si>
    <t>BTBT</t>
  </si>
  <si>
    <t>MARA</t>
  </si>
  <si>
    <t>BTDR</t>
  </si>
  <si>
    <t>end of 24' EH/s goal</t>
  </si>
  <si>
    <t>BTC held</t>
  </si>
  <si>
    <t>Cost to mine/ BTC</t>
  </si>
  <si>
    <t>c/kWh</t>
  </si>
  <si>
    <t>PPA/ infastructure</t>
  </si>
  <si>
    <t>PPA / infastructure</t>
  </si>
  <si>
    <t>per GPU hour</t>
  </si>
  <si>
    <t>revenue</t>
  </si>
  <si>
    <t>electricity costs</t>
  </si>
  <si>
    <t>$2.00 - $2.50</t>
  </si>
  <si>
    <t>footnote: just purchaced 816 NVIDIA H100's</t>
  </si>
  <si>
    <t>miners under management</t>
  </si>
  <si>
    <t>hosted</t>
  </si>
  <si>
    <t>self-owned</t>
  </si>
  <si>
    <t>self-mining</t>
  </si>
  <si>
    <t>cloud hash rate</t>
  </si>
  <si>
    <t>hosting</t>
  </si>
  <si>
    <t>MW secured</t>
  </si>
  <si>
    <t xml:space="preserve"> infastructure</t>
  </si>
  <si>
    <t>footnote: combination of old miners and 4-5c/kWh energy costs, currently replacing their slower fleets. Sourced from an anylist, working to confirm this</t>
  </si>
  <si>
    <t>footnote: liquidate daily</t>
  </si>
  <si>
    <t>PPA / infstructure</t>
  </si>
  <si>
    <t>Q3 24' EH/s goal</t>
  </si>
  <si>
    <t>end of 25' EH/s goal</t>
  </si>
  <si>
    <t xml:space="preserve">end of 25' MW goal </t>
  </si>
  <si>
    <t>footnote: 90% is at a fixed cost</t>
  </si>
  <si>
    <t xml:space="preserve">miners </t>
  </si>
  <si>
    <t>ETH held</t>
  </si>
  <si>
    <t>H100 GPUs (approx)</t>
  </si>
  <si>
    <t>24' year end EH/s goal</t>
  </si>
  <si>
    <t>footnote: combination of old miners and 5c/kWh energy costs</t>
  </si>
  <si>
    <t>total MW operational (approx)</t>
  </si>
  <si>
    <t>owned MW to scale</t>
  </si>
  <si>
    <t xml:space="preserve">end of 24' operational MW goal </t>
  </si>
  <si>
    <t>liquidates</t>
  </si>
  <si>
    <t>-</t>
  </si>
  <si>
    <t>miners deployed</t>
  </si>
  <si>
    <t>miners owned</t>
  </si>
  <si>
    <t>footnote:  Includes call option to purchase an additional 100K S21s; requires additional infrastructure to support</t>
  </si>
  <si>
    <t>footnote: Includes call option to purchase 100,000 S21s at a fixed price of $16 per terahash</t>
  </si>
  <si>
    <t>cash</t>
  </si>
  <si>
    <t>debt</t>
  </si>
  <si>
    <t>2025 EH/s goal</t>
  </si>
  <si>
    <t>owned and opperated MW</t>
  </si>
  <si>
    <t>co-located MW</t>
  </si>
  <si>
    <t>Sidelines:</t>
  </si>
  <si>
    <t>total debt</t>
  </si>
  <si>
    <t>Cost to mine/BTC</t>
  </si>
  <si>
    <t>MW owned</t>
  </si>
  <si>
    <t>footnote: the 90 MW are not owned by Bit Digital. The are paying for rackspace see PPA details below</t>
  </si>
  <si>
    <t>mkt cap</t>
  </si>
  <si>
    <t>Financial Metrics</t>
  </si>
  <si>
    <t>BTC HODL</t>
  </si>
  <si>
    <t>Market Value</t>
  </si>
  <si>
    <t>BTC as % of MC</t>
  </si>
  <si>
    <t>efficiency rate (J/Th)</t>
  </si>
  <si>
    <t>deployed fleet</t>
  </si>
  <si>
    <t>Deployed EH/s</t>
  </si>
  <si>
    <t>Mining Metrics</t>
  </si>
  <si>
    <t>Fleet Efficiency (Self-Mining only)</t>
  </si>
  <si>
    <t>cost of energy / BTC</t>
  </si>
  <si>
    <t>EH/s by 2025</t>
  </si>
  <si>
    <t>miner running : ADD</t>
  </si>
  <si>
    <t>Salvage/ Intrinsic Value</t>
  </si>
  <si>
    <t>value of miners</t>
  </si>
  <si>
    <t>value of HPC</t>
  </si>
  <si>
    <t>PPA value</t>
  </si>
  <si>
    <t>ETH (USD)</t>
  </si>
  <si>
    <t>asset value</t>
  </si>
  <si>
    <t>debt &amp; other liablities</t>
  </si>
  <si>
    <t>salvage ratio</t>
  </si>
  <si>
    <t>miner price index</t>
  </si>
  <si>
    <t>under 25 J/TH</t>
  </si>
  <si>
    <t>25-38 J/TH</t>
  </si>
  <si>
    <t>38-69 J/TH</t>
  </si>
  <si>
    <t>TH/ miner</t>
  </si>
  <si>
    <t>total MW operating</t>
  </si>
  <si>
    <t>total MW rack-ready</t>
  </si>
  <si>
    <t>MW opperating</t>
  </si>
  <si>
    <t>MW BTC mining</t>
  </si>
  <si>
    <t>total H100's</t>
  </si>
  <si>
    <t>value key</t>
  </si>
  <si>
    <t>BTC HODL (USD)</t>
  </si>
  <si>
    <t>Fetg</t>
  </si>
  <si>
    <t>PPA detail</t>
  </si>
  <si>
    <t>CLEANSPARK, INC. (XNAS:CLSK)</t>
  </si>
  <si>
    <t>**updated with lasted June 4th releases**</t>
  </si>
  <si>
    <t>core total operational MW including hosted</t>
  </si>
  <si>
    <t>raw power \and secured</t>
  </si>
  <si>
    <t>operating btc mine infrastructure</t>
  </si>
  <si>
    <t>operating btc that can be converted to ppc with only redundancy added</t>
  </si>
  <si>
    <t>ppc tier 2 or higher</t>
  </si>
  <si>
    <t xml:space="preserve">opperating BTC infra. value </t>
  </si>
  <si>
    <t>ppc infra. tier 2 or higher</t>
  </si>
  <si>
    <t>HPC (h-100's)per card</t>
  </si>
  <si>
    <t>raw power \ land secured</t>
  </si>
  <si>
    <t>n/a</t>
  </si>
  <si>
    <t>`</t>
  </si>
  <si>
    <t>hpc infra. tier 2 or higher</t>
  </si>
  <si>
    <t>operating btc that can be converted to hpc with only redundancy added</t>
  </si>
  <si>
    <t>revenue per TH/s</t>
  </si>
  <si>
    <t>op. btc that can be converted to hpc with only redundancy added</t>
  </si>
  <si>
    <t>HIVE</t>
  </si>
  <si>
    <t>HUT8</t>
  </si>
  <si>
    <t>MW under management</t>
  </si>
  <si>
    <t>MW opperating (self)</t>
  </si>
  <si>
    <t xml:space="preserve">operating BTC infra. value </t>
  </si>
  <si>
    <t>Energized hashrate EH/S</t>
  </si>
  <si>
    <t>not disclosed (3MW)</t>
  </si>
  <si>
    <t>Look at every sites they have in terms of Ai conversion. Access to water, fiber, rail, power, option to buy site ppa. Etc. likelihood of a buyout of one of these companies increasing.</t>
  </si>
  <si>
    <t>EH/s by YE 2025</t>
  </si>
  <si>
    <t>op. btc infrastructure</t>
  </si>
  <si>
    <t>raw power\land</t>
  </si>
  <si>
    <t>convertible to hpc w/ redundancy</t>
  </si>
  <si>
    <t>WULF</t>
  </si>
  <si>
    <t>EH/s by YE 2024</t>
  </si>
  <si>
    <t>BTC per EH/s</t>
  </si>
  <si>
    <t>Secured power capacity</t>
  </si>
  <si>
    <t>riot ownership</t>
  </si>
  <si>
    <t>ETH HODL</t>
  </si>
  <si>
    <t>ETH HODL (USD)</t>
  </si>
  <si>
    <t>EH/s YE24</t>
  </si>
  <si>
    <t>Crypto holdings as % of mkt cap</t>
  </si>
  <si>
    <t>No specified #</t>
  </si>
  <si>
    <t>Sites</t>
  </si>
  <si>
    <t>AI Pipeline</t>
  </si>
  <si>
    <t>Warrants June/30/24</t>
  </si>
  <si>
    <t>Stock options Outstanding June/30/24</t>
  </si>
  <si>
    <t>EH/s by H1 2025</t>
  </si>
  <si>
    <t>salvage ratio per share</t>
  </si>
  <si>
    <t>Value</t>
  </si>
  <si>
    <t>BitFarm ownership</t>
  </si>
  <si>
    <t>MW mining</t>
  </si>
  <si>
    <t>Financial Metrics w/ AI expansion</t>
  </si>
  <si>
    <t>AI</t>
  </si>
  <si>
    <t>Aggressive ATM</t>
  </si>
  <si>
    <t>Moderate ATM</t>
  </si>
  <si>
    <t>Conservative ATM</t>
  </si>
  <si>
    <t>ATM</t>
  </si>
  <si>
    <t>Shares Issued</t>
  </si>
  <si>
    <t>Senarios</t>
  </si>
  <si>
    <t>None</t>
  </si>
  <si>
    <t>50 mw of operational</t>
  </si>
  <si>
    <t>MW opperational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</si>
</sst>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8" formatCode="&quot;$&quot;#,##0.00_);[Red]\(&quot;$&quot;#,##0.00\)"/>
    <numFmt numFmtId="44" formatCode="_(&quot;$&quot;* #,##0.00_);_(&quot;$&quot;* \(#,##0.00\);_(&quot;$&quot;* &quot;-&quot;??_);_(@_)"/>
    <numFmt numFmtId="164" formatCode="&quot;$&quot;#,##0.0_);[Red]\(&quot;$&quot;#,##0.0\)"/>
    <numFmt numFmtId="165" formatCode="_([$$-409]* #,##0.00_);_([$$-409]* \(#,##0.00\);_([$$-409]* &quot;-&quot;??_);_(@_)"/>
    <numFmt numFmtId="166" formatCode="_([$$-409]* #,##0_);_([$$-409]* \(#,##0\);_([$$-409]* &quot;-&quot;_);_(@_)"/>
    <numFmt numFmtId="167" formatCode="_([$$-409]* #,##0_);_([$$-409]* \(#,##0\);_([$$-409]* &quot;-&quot;??_);_(@_)"/>
    <numFmt numFmtId="168" formatCode="_(&quot;$&quot;* #,##0_);_(&quot;$&quot;* \(#,##0\);_(&quot;$&quot;* &quot;-&quot;??_);_(@_)"/>
    <numFmt numFmtId="169" formatCode="&quot;$&quot;#,##0.00"/>
    <numFmt numFmtId="170" formatCode="&quot;$&quot;#,##0"/>
    <numFmt numFmtId="171" formatCode="0.0"/>
    <numFmt numFmtId="172" formatCode="_(&quot;$&quot;* #,##0.0_);_(&quot;$&quot;* \(#,##0.0\);_(&quot;$&quot;* &quot;-&quot;??_);_(@_)"/>
    <numFmt numFmtId="173" formatCode="0.0%"/>
    <numFmt numFmtId="174" formatCode="_([$$-409]* #,##0.000_);_([$$-409]* \(#,##0.000\);_([$$-409]* &quot;-&quot;??_);_(@_)"/>
  </numFmts>
  <fonts count="21" x14ac:knownFonts="1">
    <font>
      <sz val="12"/>
      <color theme="1"/>
      <name val="Calibri"/>
      <family val="2"/>
      <scheme val="minor"/>
    </font>
    <font>
      <u/>
      <sz val="12"/>
      <color theme="10"/>
      <name val="Calibri"/>
      <family val="2"/>
      <scheme val="minor"/>
    </font>
    <font>
      <sz val="12"/>
      <color theme="1"/>
      <name val="Calibri"/>
      <family val="2"/>
      <scheme val="minor"/>
    </font>
    <font>
      <i/>
      <sz val="10.5"/>
      <color theme="1"/>
      <name val="Calibri (Body)"/>
    </font>
    <font>
      <i/>
      <sz val="10.5"/>
      <color theme="1"/>
      <name val="Calibri"/>
      <family val="2"/>
      <scheme val="minor"/>
    </font>
    <font>
      <sz val="10.5"/>
      <color theme="1"/>
      <name val="Calibri"/>
      <family val="2"/>
      <scheme val="minor"/>
    </font>
    <font>
      <sz val="13"/>
      <color rgb="FF000000"/>
      <name val="Times New Roman"/>
      <family val="1"/>
    </font>
    <font>
      <b/>
      <sz val="10"/>
      <color rgb="FF000000"/>
      <name val="Times New Roman"/>
      <family val="1"/>
    </font>
    <font>
      <sz val="12"/>
      <color rgb="FF000000"/>
      <name val="Calibri"/>
      <family val="2"/>
      <scheme val="minor"/>
    </font>
    <font>
      <sz val="13"/>
      <color rgb="FF000000"/>
      <name val="Calibri"/>
      <family val="2"/>
      <scheme val="minor"/>
    </font>
    <font>
      <i/>
      <sz val="10"/>
      <color theme="1"/>
      <name val="Calibri"/>
      <family val="2"/>
      <scheme val="minor"/>
    </font>
    <font>
      <b/>
      <sz val="12"/>
      <color theme="1"/>
      <name val="Calibri"/>
      <family val="2"/>
      <scheme val="minor"/>
    </font>
    <font>
      <b/>
      <sz val="18"/>
      <color theme="1"/>
      <name val="Calibri"/>
      <family val="2"/>
      <scheme val="minor"/>
    </font>
    <font>
      <b/>
      <sz val="14"/>
      <color theme="1"/>
      <name val="Calibri"/>
      <family val="2"/>
      <scheme val="minor"/>
    </font>
    <font>
      <b/>
      <sz val="18"/>
      <color rgb="FF000000"/>
      <name val="Calibri"/>
      <family val="2"/>
      <scheme val="minor"/>
    </font>
    <font>
      <b/>
      <sz val="16"/>
      <color theme="1"/>
      <name val="Calibri"/>
      <family val="2"/>
      <scheme val="minor"/>
    </font>
    <font>
      <sz val="8"/>
      <name val="Calibri"/>
      <family val="2"/>
      <scheme val="minor"/>
    </font>
    <font>
      <sz val="12"/>
      <color rgb="FF006100"/>
      <name val="Calibri"/>
      <family val="2"/>
      <scheme val="minor"/>
    </font>
    <font>
      <sz val="12"/>
      <color theme="0"/>
      <name val="Calibri"/>
      <family val="2"/>
      <scheme val="minor"/>
    </font>
    <font>
      <sz val="12"/>
      <color rgb="FF9C5700"/>
      <name val="Calibri"/>
      <family val="2"/>
      <scheme val="minor"/>
    </font>
    <font>
      <b/>
      <i/>
      <sz val="12"/>
      <color theme="1"/>
      <name val="Calibri"/>
      <family val="2"/>
      <scheme val="minor"/>
    </font>
  </fonts>
  <fills count="19">
    <fill>
      <patternFill patternType="none"/>
    </fill>
    <fill>
      <patternFill patternType="gray125"/>
    </fill>
    <fill>
      <patternFill patternType="solid">
        <fgColor theme="7" tint="0.59999389629810485"/>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7" tint="0.79998168889431442"/>
        <bgColor indexed="65"/>
      </patternFill>
    </fill>
    <fill>
      <patternFill patternType="solid">
        <fgColor theme="7" tint="0.59999389629810485"/>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5"/>
      </patternFill>
    </fill>
    <fill>
      <patternFill patternType="solid">
        <fgColor theme="9" tint="0.79998168889431442"/>
        <bgColor indexed="65"/>
      </patternFill>
    </fill>
    <fill>
      <patternFill patternType="solid">
        <fgColor theme="5" tint="0.79998168889431442"/>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rgb="FFFFFF00"/>
        <bgColor indexed="64"/>
      </patternFill>
    </fill>
    <fill>
      <patternFill patternType="solid">
        <fgColor rgb="FFFCE4D6"/>
        <bgColor rgb="FF000000"/>
      </patternFill>
    </fill>
    <fill>
      <patternFill patternType="solid">
        <fgColor rgb="FFC6EFCE"/>
      </patternFill>
    </fill>
    <fill>
      <patternFill patternType="solid">
        <fgColor theme="1"/>
        <bgColor indexed="64"/>
      </patternFill>
    </fill>
    <fill>
      <patternFill patternType="solid">
        <fgColor rgb="FFFFEB9C"/>
      </patternFill>
    </fill>
  </fills>
  <borders count="3">
    <border>
      <left/>
      <right/>
      <top/>
      <bottom/>
      <diagonal/>
    </border>
    <border>
      <left/>
      <right/>
      <top style="thin">
        <color indexed="64"/>
      </top>
      <bottom/>
      <diagonal/>
    </border>
    <border>
      <left style="thin">
        <color indexed="64"/>
      </left>
      <right/>
      <top/>
      <bottom/>
      <diagonal/>
    </border>
  </borders>
  <cellStyleXfs count="14">
    <xf numFmtId="0" fontId="0" fillId="0" borderId="0"/>
    <xf numFmtId="0" fontId="1" fillId="0" borderId="0" applyNumberFormat="0" applyFill="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44" fontId="2" fillId="0" borderId="0" applyFont="0" applyFill="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7" fillId="16" borderId="0" applyNumberFormat="0" applyBorder="0" applyAlignment="0" applyProtection="0"/>
    <xf numFmtId="0" fontId="19" fillId="18" borderId="0" applyNumberFormat="0" applyBorder="0" applyAlignment="0" applyProtection="0"/>
  </cellStyleXfs>
  <cellXfs count="125">
    <xf numFmtId="0" fontId="0" fillId="0" borderId="0" xfId="0"/>
    <xf numFmtId="3" fontId="0" fillId="0" borderId="0" xfId="0" applyNumberFormat="1"/>
    <xf numFmtId="0" fontId="0" fillId="2" borderId="0" xfId="0" applyFill="1"/>
    <xf numFmtId="0" fontId="0" fillId="3" borderId="0" xfId="0" applyFill="1"/>
    <xf numFmtId="164" fontId="0" fillId="0" borderId="0" xfId="0" applyNumberFormat="1"/>
    <xf numFmtId="0" fontId="0" fillId="4" borderId="0" xfId="0" applyFill="1"/>
    <xf numFmtId="0" fontId="1" fillId="0" borderId="0" xfId="1" applyFill="1" applyAlignment="1">
      <alignment horizontal="right"/>
    </xf>
    <xf numFmtId="164" fontId="1" fillId="0" borderId="0" xfId="1" applyNumberFormat="1"/>
    <xf numFmtId="0" fontId="1" fillId="2" borderId="0" xfId="1" applyFill="1"/>
    <xf numFmtId="17" fontId="0" fillId="2" borderId="0" xfId="0" applyNumberFormat="1" applyFill="1"/>
    <xf numFmtId="0" fontId="3" fillId="0" borderId="0" xfId="0" applyFont="1"/>
    <xf numFmtId="0" fontId="4" fillId="0" borderId="0" xfId="0" applyFont="1"/>
    <xf numFmtId="0" fontId="5" fillId="0" borderId="0" xfId="0" applyFont="1"/>
    <xf numFmtId="0" fontId="1" fillId="0" borderId="0" xfId="1" applyFill="1"/>
    <xf numFmtId="165" fontId="0" fillId="0" borderId="0" xfId="0" applyNumberFormat="1"/>
    <xf numFmtId="166" fontId="0" fillId="0" borderId="0" xfId="0" applyNumberFormat="1"/>
    <xf numFmtId="0" fontId="2" fillId="6" borderId="0" xfId="3"/>
    <xf numFmtId="0" fontId="2" fillId="5" borderId="0" xfId="2"/>
    <xf numFmtId="167" fontId="2" fillId="5" borderId="0" xfId="2" applyNumberFormat="1"/>
    <xf numFmtId="0" fontId="2" fillId="2" borderId="0" xfId="1" applyFont="1" applyFill="1" applyAlignment="1">
      <alignment horizontal="right"/>
    </xf>
    <xf numFmtId="0" fontId="2" fillId="8" borderId="0" xfId="5"/>
    <xf numFmtId="165" fontId="2" fillId="7" borderId="0" xfId="4" applyNumberFormat="1"/>
    <xf numFmtId="168" fontId="0" fillId="0" borderId="0" xfId="6" applyNumberFormat="1" applyFont="1"/>
    <xf numFmtId="3" fontId="6" fillId="0" borderId="0" xfId="0" applyNumberFormat="1" applyFont="1"/>
    <xf numFmtId="168" fontId="0" fillId="0" borderId="0" xfId="0" applyNumberFormat="1"/>
    <xf numFmtId="44" fontId="0" fillId="0" borderId="0" xfId="6" applyFont="1"/>
    <xf numFmtId="2" fontId="0" fillId="0" borderId="0" xfId="6" applyNumberFormat="1" applyFont="1"/>
    <xf numFmtId="3" fontId="7" fillId="0" borderId="0" xfId="0" applyNumberFormat="1" applyFont="1"/>
    <xf numFmtId="167" fontId="0" fillId="0" borderId="0" xfId="0" applyNumberFormat="1"/>
    <xf numFmtId="0" fontId="2" fillId="9" borderId="0" xfId="7"/>
    <xf numFmtId="170" fontId="8" fillId="0" borderId="0" xfId="0" applyNumberFormat="1" applyFont="1"/>
    <xf numFmtId="14" fontId="0" fillId="2" borderId="0" xfId="0" applyNumberFormat="1" applyFill="1"/>
    <xf numFmtId="3" fontId="2" fillId="6" borderId="0" xfId="3" applyNumberFormat="1"/>
    <xf numFmtId="0" fontId="1" fillId="2" borderId="0" xfId="1" applyFill="1" applyAlignment="1">
      <alignment horizontal="right"/>
    </xf>
    <xf numFmtId="8" fontId="2" fillId="5" borderId="0" xfId="2" applyNumberFormat="1"/>
    <xf numFmtId="0" fontId="2" fillId="5" borderId="0" xfId="2" applyAlignment="1">
      <alignment horizontal="right"/>
    </xf>
    <xf numFmtId="0" fontId="2" fillId="10" borderId="0" xfId="8"/>
    <xf numFmtId="0" fontId="2" fillId="7" borderId="0" xfId="4"/>
    <xf numFmtId="170" fontId="2" fillId="7" borderId="0" xfId="4" applyNumberFormat="1"/>
    <xf numFmtId="171" fontId="2" fillId="10" borderId="0" xfId="8" applyNumberFormat="1"/>
    <xf numFmtId="3" fontId="2" fillId="5" borderId="0" xfId="2" applyNumberFormat="1"/>
    <xf numFmtId="0" fontId="10" fillId="0" borderId="0" xfId="0" applyFont="1"/>
    <xf numFmtId="170" fontId="2" fillId="5" borderId="0" xfId="2" applyNumberFormat="1"/>
    <xf numFmtId="1" fontId="2" fillId="6" borderId="0" xfId="3" applyNumberFormat="1"/>
    <xf numFmtId="169" fontId="2" fillId="8" borderId="0" xfId="5" applyNumberFormat="1"/>
    <xf numFmtId="3" fontId="2" fillId="8" borderId="0" xfId="5" applyNumberFormat="1"/>
    <xf numFmtId="170" fontId="2" fillId="10" borderId="0" xfId="8" applyNumberFormat="1"/>
    <xf numFmtId="14" fontId="0" fillId="2" borderId="0" xfId="0" applyNumberFormat="1" applyFill="1" applyAlignment="1">
      <alignment horizontal="right"/>
    </xf>
    <xf numFmtId="168" fontId="2" fillId="10" borderId="0" xfId="8" applyNumberFormat="1"/>
    <xf numFmtId="0" fontId="2" fillId="11" borderId="0" xfId="9"/>
    <xf numFmtId="168" fontId="2" fillId="11" borderId="0" xfId="9" applyNumberFormat="1"/>
    <xf numFmtId="0" fontId="0" fillId="0" borderId="1" xfId="0" applyBorder="1"/>
    <xf numFmtId="0" fontId="11" fillId="0" borderId="1" xfId="0" applyFont="1" applyBorder="1"/>
    <xf numFmtId="3" fontId="2" fillId="0" borderId="0" xfId="10" applyNumberFormat="1" applyFill="1"/>
    <xf numFmtId="169" fontId="2" fillId="7" borderId="0" xfId="4" applyNumberFormat="1"/>
    <xf numFmtId="171" fontId="2" fillId="7" borderId="0" xfId="4" applyNumberFormat="1"/>
    <xf numFmtId="0" fontId="0" fillId="0" borderId="0" xfId="0" applyAlignment="1">
      <alignment horizontal="center"/>
    </xf>
    <xf numFmtId="44" fontId="0" fillId="0" borderId="0" xfId="0" applyNumberFormat="1"/>
    <xf numFmtId="168" fontId="2" fillId="11" borderId="0" xfId="9" applyNumberFormat="1" applyAlignment="1">
      <alignment horizontal="right"/>
    </xf>
    <xf numFmtId="3" fontId="0" fillId="0" borderId="0" xfId="0" applyNumberFormat="1" applyAlignment="1">
      <alignment horizontal="left" indent="6"/>
    </xf>
    <xf numFmtId="0" fontId="2" fillId="13" borderId="0" xfId="11"/>
    <xf numFmtId="168" fontId="9" fillId="0" borderId="0" xfId="0" applyNumberFormat="1" applyFont="1"/>
    <xf numFmtId="44" fontId="8" fillId="0" borderId="0" xfId="0" applyNumberFormat="1" applyFont="1"/>
    <xf numFmtId="168" fontId="8" fillId="0" borderId="0" xfId="0" applyNumberFormat="1" applyFont="1"/>
    <xf numFmtId="0" fontId="2" fillId="0" borderId="0" xfId="11" applyFill="1"/>
    <xf numFmtId="172" fontId="0" fillId="0" borderId="0" xfId="6" applyNumberFormat="1" applyFont="1"/>
    <xf numFmtId="2" fontId="0" fillId="0" borderId="0" xfId="0" applyNumberFormat="1"/>
    <xf numFmtId="0" fontId="2" fillId="0" borderId="0" xfId="3" applyFill="1"/>
    <xf numFmtId="0" fontId="2" fillId="0" borderId="0" xfId="2" applyFill="1"/>
    <xf numFmtId="0" fontId="2" fillId="0" borderId="0" xfId="4" applyFill="1"/>
    <xf numFmtId="0" fontId="12" fillId="11" borderId="0" xfId="9" applyFont="1"/>
    <xf numFmtId="0" fontId="2" fillId="12" borderId="0" xfId="10"/>
    <xf numFmtId="0" fontId="12" fillId="12" borderId="0" xfId="10" applyFont="1"/>
    <xf numFmtId="0" fontId="12" fillId="10" borderId="0" xfId="8" applyFont="1"/>
    <xf numFmtId="10" fontId="0" fillId="0" borderId="0" xfId="0" applyNumberFormat="1"/>
    <xf numFmtId="170" fontId="2" fillId="0" borderId="0" xfId="4" applyNumberFormat="1" applyFill="1"/>
    <xf numFmtId="171" fontId="2" fillId="0" borderId="0" xfId="4" applyNumberFormat="1" applyFill="1"/>
    <xf numFmtId="0" fontId="2" fillId="12" borderId="0" xfId="10" applyAlignment="1">
      <alignment horizontal="center"/>
    </xf>
    <xf numFmtId="3" fontId="2" fillId="0" borderId="0" xfId="2" applyNumberFormat="1" applyFill="1"/>
    <xf numFmtId="0" fontId="0" fillId="14" borderId="0" xfId="0" applyFill="1"/>
    <xf numFmtId="0" fontId="12" fillId="6" borderId="0" xfId="3" applyFont="1"/>
    <xf numFmtId="0" fontId="13" fillId="14" borderId="0" xfId="0" applyFont="1" applyFill="1"/>
    <xf numFmtId="169" fontId="0" fillId="0" borderId="0" xfId="0" applyNumberFormat="1"/>
    <xf numFmtId="0" fontId="13" fillId="0" borderId="0" xfId="0" applyFont="1"/>
    <xf numFmtId="2" fontId="2" fillId="0" borderId="0" xfId="11" applyNumberFormat="1" applyFill="1"/>
    <xf numFmtId="0" fontId="2" fillId="12" borderId="0" xfId="10" applyBorder="1"/>
    <xf numFmtId="0" fontId="2" fillId="12" borderId="0" xfId="10" applyBorder="1" applyAlignment="1">
      <alignment horizontal="center"/>
    </xf>
    <xf numFmtId="0" fontId="2" fillId="12" borderId="0" xfId="10" applyBorder="1" applyAlignment="1">
      <alignment horizontal="center" wrapText="1"/>
    </xf>
    <xf numFmtId="0" fontId="12" fillId="0" borderId="2" xfId="0" applyFont="1" applyBorder="1"/>
    <xf numFmtId="2" fontId="2" fillId="0" borderId="0" xfId="3" applyNumberFormat="1" applyFill="1"/>
    <xf numFmtId="170" fontId="0" fillId="0" borderId="0" xfId="0" applyNumberFormat="1"/>
    <xf numFmtId="170" fontId="1" fillId="0" borderId="0" xfId="1" applyNumberFormat="1" applyAlignment="1">
      <alignment horizontal="center"/>
    </xf>
    <xf numFmtId="0" fontId="1" fillId="0" borderId="0" xfId="1" applyAlignment="1">
      <alignment horizontal="center"/>
    </xf>
    <xf numFmtId="0" fontId="2" fillId="6" borderId="0" xfId="3" applyAlignment="1"/>
    <xf numFmtId="0" fontId="2" fillId="12" borderId="0" xfId="10" applyAlignment="1">
      <alignment horizontal="center" wrapText="1"/>
    </xf>
    <xf numFmtId="170" fontId="2" fillId="6" borderId="0" xfId="3" applyNumberFormat="1"/>
    <xf numFmtId="0" fontId="2" fillId="0" borderId="0" xfId="3" applyFill="1" applyAlignment="1"/>
    <xf numFmtId="0" fontId="12" fillId="0" borderId="0" xfId="10" applyFont="1" applyFill="1"/>
    <xf numFmtId="0" fontId="2" fillId="0" borderId="0" xfId="10" applyFill="1" applyAlignment="1">
      <alignment horizontal="center"/>
    </xf>
    <xf numFmtId="172" fontId="0" fillId="0" borderId="0" xfId="6" applyNumberFormat="1" applyFont="1" applyFill="1"/>
    <xf numFmtId="170" fontId="0" fillId="0" borderId="0" xfId="0" applyNumberFormat="1" applyAlignment="1">
      <alignment horizontal="right"/>
    </xf>
    <xf numFmtId="0" fontId="0" fillId="0" borderId="0" xfId="0" applyAlignment="1">
      <alignment horizontal="right"/>
    </xf>
    <xf numFmtId="3" fontId="0" fillId="0" borderId="0" xfId="0" applyNumberFormat="1" applyAlignment="1">
      <alignment horizontal="right"/>
    </xf>
    <xf numFmtId="0" fontId="14" fillId="15" borderId="0" xfId="0" applyFont="1" applyFill="1"/>
    <xf numFmtId="17" fontId="0" fillId="0" borderId="0" xfId="0" applyNumberFormat="1"/>
    <xf numFmtId="173" fontId="0" fillId="0" borderId="0" xfId="0" applyNumberFormat="1"/>
    <xf numFmtId="9" fontId="0" fillId="0" borderId="0" xfId="0" applyNumberFormat="1"/>
    <xf numFmtId="171" fontId="0" fillId="0" borderId="0" xfId="0" applyNumberFormat="1"/>
    <xf numFmtId="0" fontId="0" fillId="0" borderId="0" xfId="0" applyAlignment="1">
      <alignment wrapText="1"/>
    </xf>
    <xf numFmtId="174" fontId="0" fillId="0" borderId="0" xfId="0" applyNumberFormat="1"/>
    <xf numFmtId="0" fontId="2" fillId="12" borderId="0" xfId="10" applyAlignment="1">
      <alignment wrapText="1"/>
    </xf>
    <xf numFmtId="0" fontId="15" fillId="14" borderId="0" xfId="0" applyFont="1" applyFill="1"/>
    <xf numFmtId="0" fontId="0" fillId="17" borderId="0" xfId="0" applyFill="1"/>
    <xf numFmtId="2" fontId="2" fillId="16" borderId="0" xfId="12" applyNumberFormat="1" applyFont="1"/>
    <xf numFmtId="170" fontId="18" fillId="0" borderId="0" xfId="0" applyNumberFormat="1" applyFont="1"/>
    <xf numFmtId="0" fontId="2" fillId="12" borderId="2" xfId="10" applyBorder="1"/>
    <xf numFmtId="165" fontId="19" fillId="18" borderId="0" xfId="13" applyNumberFormat="1"/>
    <xf numFmtId="2" fontId="2" fillId="18" borderId="0" xfId="13" applyNumberFormat="1" applyFont="1"/>
    <xf numFmtId="170" fontId="0" fillId="14" borderId="0" xfId="0" applyNumberFormat="1" applyFill="1"/>
    <xf numFmtId="1" fontId="0" fillId="0" borderId="0" xfId="0" applyNumberFormat="1"/>
    <xf numFmtId="0" fontId="20" fillId="0" borderId="0" xfId="0" applyFont="1"/>
    <xf numFmtId="0" fontId="11" fillId="14" borderId="0" xfId="0" applyFont="1" applyFill="1"/>
    <xf numFmtId="0" fontId="0" fillId="14" borderId="0" xfId="0" applyFill="1" applyAlignment="1">
      <alignment horizontal="center"/>
    </xf>
    <xf numFmtId="0" fontId="0" fillId="0" borderId="0" xfId="0"/>
    <xf numFmtId="0" fontId="12" fillId="9" borderId="0" xfId="7" applyFont="1"/>
  </cellXfs>
  <cellStyles count="14">
    <cellStyle name="20% - Accent2" xfId="9" builtinId="34"/>
    <cellStyle name="20% - Accent4" xfId="2" builtinId="42"/>
    <cellStyle name="20% - Accent5" xfId="10" builtinId="46"/>
    <cellStyle name="20% - Accent6" xfId="8" builtinId="50"/>
    <cellStyle name="40% - Accent1" xfId="7" builtinId="31"/>
    <cellStyle name="40% - Accent4" xfId="3" builtinId="43"/>
    <cellStyle name="40% - Accent5" xfId="11" builtinId="47"/>
    <cellStyle name="40% - Accent6" xfId="4" builtinId="51"/>
    <cellStyle name="60% - Accent6" xfId="5" builtinId="52"/>
    <cellStyle name="Currency" xfId="6" builtinId="4"/>
    <cellStyle name="Good" xfId="12" builtinId="26"/>
    <cellStyle name="Hyperlink" xfId="1" builtinId="8"/>
    <cellStyle name="Neutral" xfId="1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data'!$A$13</c:f>
              <c:strCache>
                <c:ptCount val="1"/>
                <c:pt idx="0">
                  <c:v>Energized hashrate EH/S</c:v>
                </c:pt>
              </c:strCache>
            </c:strRef>
          </c:tx>
          <c:spPr>
            <a:ln w="28575" cap="rnd">
              <a:solidFill>
                <a:schemeClr val="accent2"/>
              </a:solidFill>
              <a:round/>
            </a:ln>
            <a:effectLst/>
          </c:spPr>
          <c:marker>
            <c:symbol val="none"/>
          </c:marker>
          <c:dLbls>
            <c:dLbl>
              <c:idx val="3"/>
              <c:layout>
                <c:manualLayout>
                  <c:x val="-6.240567561470016E-2"/>
                  <c:y val="-6.471698728554164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BTC</a:t>
                    </a:r>
                    <a:r>
                      <a:rPr lang="en-US" baseline="0"/>
                      <a:t> halving</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447089467801093"/>
                      <c:h val="4.7394701278512058E-2"/>
                    </c:manualLayout>
                  </c15:layout>
                  <c15:showDataLabelsRange val="0"/>
                </c:ext>
                <c:ext xmlns:c16="http://schemas.microsoft.com/office/drawing/2014/chart" uri="{C3380CC4-5D6E-409C-BE32-E72D297353CC}">
                  <c16:uniqueId val="{00000000-BC35-C044-B4FD-38C9880F1B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'monthly data'!$A$3:$G$3</c:f>
              <c:numCache>
                <c:formatCode>mmm\-yy</c:formatCode>
                <c:ptCount val="7"/>
                <c:pt idx="0">
                  <c:v>45292</c:v>
                </c:pt>
                <c:pt idx="1">
                  <c:v>45323</c:v>
                </c:pt>
                <c:pt idx="2">
                  <c:v>45352</c:v>
                </c:pt>
                <c:pt idx="3">
                  <c:v>45383</c:v>
                </c:pt>
                <c:pt idx="4">
                  <c:v>45413</c:v>
                </c:pt>
                <c:pt idx="5">
                  <c:v>45444</c:v>
                </c:pt>
                <c:pt idx="6">
                  <c:v>45474</c:v>
                </c:pt>
              </c:numCache>
            </c:numRef>
          </c:cat>
          <c:val>
            <c:numRef>
              <c:f>'monthly data'!$A$4:$G$4</c:f>
              <c:numCache>
                <c:formatCode>General</c:formatCode>
                <c:ptCount val="7"/>
                <c:pt idx="0">
                  <c:v>4.0999999999999996</c:v>
                </c:pt>
                <c:pt idx="1">
                  <c:v>4.2</c:v>
                </c:pt>
                <c:pt idx="2">
                  <c:v>4.7</c:v>
                </c:pt>
                <c:pt idx="3">
                  <c:v>5</c:v>
                </c:pt>
                <c:pt idx="4">
                  <c:v>5</c:v>
                </c:pt>
                <c:pt idx="5">
                  <c:v>4.9000000000000004</c:v>
                </c:pt>
                <c:pt idx="6">
                  <c:v>4.7</c:v>
                </c:pt>
              </c:numCache>
            </c:numRef>
          </c:val>
          <c:smooth val="0"/>
          <c:extLst>
            <c:ext xmlns:c16="http://schemas.microsoft.com/office/drawing/2014/chart" uri="{C3380CC4-5D6E-409C-BE32-E72D297353CC}">
              <c16:uniqueId val="{00000000-928E-E941-814A-40ED92279083}"/>
            </c:ext>
          </c:extLst>
        </c:ser>
        <c:dLbls>
          <c:showLegendKey val="0"/>
          <c:showVal val="0"/>
          <c:showCatName val="0"/>
          <c:showSerName val="0"/>
          <c:showPercent val="0"/>
          <c:showBubbleSize val="0"/>
        </c:dLbls>
        <c:smooth val="0"/>
        <c:axId val="825877503"/>
        <c:axId val="781459743"/>
      </c:lineChart>
      <c:dateAx>
        <c:axId val="82587750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459743"/>
        <c:crosses val="autoZero"/>
        <c:auto val="1"/>
        <c:lblOffset val="100"/>
        <c:baseTimeUnit val="months"/>
      </c:dateAx>
      <c:valAx>
        <c:axId val="781459743"/>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87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Revenue per TH/s</c:v>
          </c:tx>
          <c:spPr>
            <a:solidFill>
              <a:schemeClr val="accent2"/>
            </a:solidFill>
            <a:ln>
              <a:solidFill>
                <a:schemeClr val="tx1"/>
              </a:solidFill>
            </a:ln>
            <a:effectLst/>
          </c:spPr>
          <c:invertIfNegative val="0"/>
          <c:dLbls>
            <c:dLbl>
              <c:idx val="3"/>
              <c:tx>
                <c:rich>
                  <a:bodyPr/>
                  <a:lstStyle/>
                  <a:p>
                    <a:fld id="{85F7D1E8-333E-2A4A-AC57-5A9DE0A67599}" type="VALUE">
                      <a:rPr lang="en-US"/>
                      <a:pPr/>
                      <a:t>[VALUE]</a:t>
                    </a:fld>
                    <a:r>
                      <a:rPr lang="en-US"/>
                      <a:t> (BTC halving)</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432-8D49-BB96-346B34F487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'monthly data'!$A$6:$G$6</c:f>
              <c:numCache>
                <c:formatCode>mmm\-yy</c:formatCode>
                <c:ptCount val="7"/>
                <c:pt idx="0">
                  <c:v>45292</c:v>
                </c:pt>
                <c:pt idx="1">
                  <c:v>45323</c:v>
                </c:pt>
                <c:pt idx="2">
                  <c:v>45352</c:v>
                </c:pt>
                <c:pt idx="3">
                  <c:v>45383</c:v>
                </c:pt>
                <c:pt idx="4">
                  <c:v>45413</c:v>
                </c:pt>
                <c:pt idx="5">
                  <c:v>45444</c:v>
                </c:pt>
                <c:pt idx="6">
                  <c:v>45474</c:v>
                </c:pt>
              </c:numCache>
            </c:numRef>
          </c:cat>
          <c:val>
            <c:numRef>
              <c:f>'monthly data'!$A$7:$G$7</c:f>
              <c:numCache>
                <c:formatCode>"$"#,##0.00</c:formatCode>
                <c:ptCount val="7"/>
                <c:pt idx="0">
                  <c:v>2.5</c:v>
                </c:pt>
                <c:pt idx="1">
                  <c:v>2.9</c:v>
                </c:pt>
                <c:pt idx="2">
                  <c:v>3.4</c:v>
                </c:pt>
                <c:pt idx="3">
                  <c:v>2.65</c:v>
                </c:pt>
                <c:pt idx="4">
                  <c:v>1.65</c:v>
                </c:pt>
                <c:pt idx="5">
                  <c:v>1.59</c:v>
                </c:pt>
                <c:pt idx="6">
                  <c:v>1.59</c:v>
                </c:pt>
              </c:numCache>
            </c:numRef>
          </c:val>
          <c:extLst>
            <c:ext xmlns:c16="http://schemas.microsoft.com/office/drawing/2014/chart" uri="{C3380CC4-5D6E-409C-BE32-E72D297353CC}">
              <c16:uniqueId val="{00000000-2432-8D49-BB96-346B34F48776}"/>
            </c:ext>
          </c:extLst>
        </c:ser>
        <c:dLbls>
          <c:showLegendKey val="0"/>
          <c:showVal val="0"/>
          <c:showCatName val="0"/>
          <c:showSerName val="0"/>
          <c:showPercent val="0"/>
          <c:showBubbleSize val="0"/>
        </c:dLbls>
        <c:gapWidth val="150"/>
        <c:axId val="848610495"/>
        <c:axId val="848661247"/>
      </c:barChart>
      <c:dateAx>
        <c:axId val="84861049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61247"/>
        <c:crosses val="autoZero"/>
        <c:auto val="1"/>
        <c:lblOffset val="100"/>
        <c:baseTimeUnit val="months"/>
      </c:dateAx>
      <c:valAx>
        <c:axId val="848661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1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BTC HODL</c:v>
          </c:tx>
          <c:spPr>
            <a:ln w="28575" cap="rnd">
              <a:solidFill>
                <a:schemeClr val="accent2"/>
              </a:solidFill>
              <a:round/>
            </a:ln>
            <a:effectLst/>
          </c:spPr>
          <c:marker>
            <c:symbol val="none"/>
          </c:marker>
          <c:cat>
            <c:numRef>
              <c:f>'monthly data'!$A$9:$G$9</c:f>
              <c:numCache>
                <c:formatCode>mmm\-yy</c:formatCode>
                <c:ptCount val="7"/>
                <c:pt idx="0">
                  <c:v>45292</c:v>
                </c:pt>
                <c:pt idx="1">
                  <c:v>45323</c:v>
                </c:pt>
                <c:pt idx="2">
                  <c:v>45352</c:v>
                </c:pt>
                <c:pt idx="3">
                  <c:v>45383</c:v>
                </c:pt>
                <c:pt idx="4">
                  <c:v>45413</c:v>
                </c:pt>
                <c:pt idx="5">
                  <c:v>45444</c:v>
                </c:pt>
                <c:pt idx="6">
                  <c:v>45474</c:v>
                </c:pt>
              </c:numCache>
            </c:numRef>
          </c:cat>
          <c:val>
            <c:numRef>
              <c:f>'monthly data'!$A$10:$G$10</c:f>
              <c:numCache>
                <c:formatCode>General</c:formatCode>
                <c:ptCount val="7"/>
                <c:pt idx="0">
                  <c:v>1939</c:v>
                </c:pt>
                <c:pt idx="1">
                  <c:v>2131</c:v>
                </c:pt>
                <c:pt idx="2">
                  <c:v>2287</c:v>
                </c:pt>
                <c:pt idx="3">
                  <c:v>2377</c:v>
                </c:pt>
                <c:pt idx="4">
                  <c:v>2451</c:v>
                </c:pt>
                <c:pt idx="5">
                  <c:v>2496</c:v>
                </c:pt>
                <c:pt idx="6">
                  <c:v>2533</c:v>
                </c:pt>
              </c:numCache>
            </c:numRef>
          </c:val>
          <c:smooth val="0"/>
          <c:extLst>
            <c:ext xmlns:c16="http://schemas.microsoft.com/office/drawing/2014/chart" uri="{C3380CC4-5D6E-409C-BE32-E72D297353CC}">
              <c16:uniqueId val="{00000000-92D3-E344-ACF8-9341D62C1557}"/>
            </c:ext>
          </c:extLst>
        </c:ser>
        <c:dLbls>
          <c:showLegendKey val="0"/>
          <c:showVal val="0"/>
          <c:showCatName val="0"/>
          <c:showSerName val="0"/>
          <c:showPercent val="0"/>
          <c:showBubbleSize val="0"/>
        </c:dLbls>
        <c:smooth val="0"/>
        <c:axId val="848610495"/>
        <c:axId val="848661247"/>
      </c:lineChart>
      <c:dateAx>
        <c:axId val="84861049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61247"/>
        <c:crosses val="autoZero"/>
        <c:auto val="1"/>
        <c:lblOffset val="100"/>
        <c:baseTimeUnit val="months"/>
      </c:dateAx>
      <c:valAx>
        <c:axId val="848661247"/>
        <c:scaling>
          <c:orientation val="minMax"/>
          <c:min val="1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1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data'!$A$13</c:f>
              <c:strCache>
                <c:ptCount val="1"/>
                <c:pt idx="0">
                  <c:v>Energized hashrate EH/S</c:v>
                </c:pt>
              </c:strCache>
            </c:strRef>
          </c:tx>
          <c:spPr>
            <a:ln w="28575" cap="rnd">
              <a:solidFill>
                <a:schemeClr val="accent2"/>
              </a:solidFill>
              <a:round/>
            </a:ln>
            <a:effectLst/>
          </c:spPr>
          <c:marker>
            <c:symbol val="none"/>
          </c:marker>
          <c:dLbls>
            <c:dLbl>
              <c:idx val="3"/>
              <c:layout>
                <c:manualLayout>
                  <c:x val="-6.0167141476479544E-2"/>
                  <c:y val="-9.975336483328126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r>
                      <a:rPr lang="en-US"/>
                      <a:t>BTC</a:t>
                    </a:r>
                    <a:r>
                      <a:rPr lang="en-US" baseline="0"/>
                      <a:t> halving</a:t>
                    </a:r>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131199900195187"/>
                      <c:h val="8.4170141610127924E-2"/>
                    </c:manualLayout>
                  </c15:layout>
                  <c15:showDataLabelsRange val="0"/>
                </c:ext>
                <c:ext xmlns:c16="http://schemas.microsoft.com/office/drawing/2014/chart" uri="{C3380CC4-5D6E-409C-BE32-E72D297353CC}">
                  <c16:uniqueId val="{00000001-815A-C841-BD30-DAD0F8656A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'monthly data'!$A$14:$G$14</c:f>
              <c:numCache>
                <c:formatCode>mmm\-yy</c:formatCode>
                <c:ptCount val="7"/>
                <c:pt idx="0">
                  <c:v>45292</c:v>
                </c:pt>
                <c:pt idx="1">
                  <c:v>45323</c:v>
                </c:pt>
                <c:pt idx="2">
                  <c:v>45352</c:v>
                </c:pt>
                <c:pt idx="3">
                  <c:v>45383</c:v>
                </c:pt>
                <c:pt idx="4">
                  <c:v>45413</c:v>
                </c:pt>
                <c:pt idx="5">
                  <c:v>45444</c:v>
                </c:pt>
                <c:pt idx="6">
                  <c:v>45474</c:v>
                </c:pt>
              </c:numCache>
            </c:numRef>
          </c:cat>
          <c:val>
            <c:numRef>
              <c:f>'monthly data'!$A$15:$G$15</c:f>
              <c:numCache>
                <c:formatCode>General</c:formatCode>
                <c:ptCount val="7"/>
                <c:pt idx="0">
                  <c:v>7.2</c:v>
                </c:pt>
                <c:pt idx="1">
                  <c:v>7.2</c:v>
                </c:pt>
                <c:pt idx="2">
                  <c:v>7.2</c:v>
                </c:pt>
                <c:pt idx="3">
                  <c:v>7.2</c:v>
                </c:pt>
                <c:pt idx="4">
                  <c:v>5.5</c:v>
                </c:pt>
                <c:pt idx="5">
                  <c:v>5.7</c:v>
                </c:pt>
                <c:pt idx="6">
                  <c:v>4.7</c:v>
                </c:pt>
              </c:numCache>
            </c:numRef>
          </c:val>
          <c:smooth val="0"/>
          <c:extLst>
            <c:ext xmlns:c16="http://schemas.microsoft.com/office/drawing/2014/chart" uri="{C3380CC4-5D6E-409C-BE32-E72D297353CC}">
              <c16:uniqueId val="{00000000-815A-C841-BD30-DAD0F8656AB2}"/>
            </c:ext>
          </c:extLst>
        </c:ser>
        <c:dLbls>
          <c:showLegendKey val="0"/>
          <c:showVal val="0"/>
          <c:showCatName val="0"/>
          <c:showSerName val="0"/>
          <c:showPercent val="0"/>
          <c:showBubbleSize val="0"/>
        </c:dLbls>
        <c:smooth val="0"/>
        <c:axId val="868612767"/>
        <c:axId val="868614495"/>
      </c:lineChart>
      <c:dateAx>
        <c:axId val="86861276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614495"/>
        <c:crosses val="autoZero"/>
        <c:auto val="1"/>
        <c:lblOffset val="100"/>
        <c:baseTimeUnit val="months"/>
      </c:dateAx>
      <c:valAx>
        <c:axId val="868614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612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 data'!$A$16</c:f>
              <c:strCache>
                <c:ptCount val="1"/>
                <c:pt idx="0">
                  <c:v>revenue per TH/s</c:v>
                </c:pt>
              </c:strCache>
            </c:strRef>
          </c:tx>
          <c:spPr>
            <a:solidFill>
              <a:schemeClr val="accent2"/>
            </a:solidFill>
            <a:ln>
              <a:solidFill>
                <a:schemeClr val="tx1"/>
              </a:solidFill>
            </a:ln>
            <a:effectLst/>
          </c:spPr>
          <c:invertIfNegative val="0"/>
          <c:cat>
            <c:numRef>
              <c:f>'monthly data'!$A$17:$G$17</c:f>
              <c:numCache>
                <c:formatCode>mmm\-yy</c:formatCode>
                <c:ptCount val="7"/>
                <c:pt idx="0">
                  <c:v>45292</c:v>
                </c:pt>
                <c:pt idx="1">
                  <c:v>45323</c:v>
                </c:pt>
                <c:pt idx="2">
                  <c:v>45352</c:v>
                </c:pt>
                <c:pt idx="3">
                  <c:v>45383</c:v>
                </c:pt>
                <c:pt idx="4">
                  <c:v>45413</c:v>
                </c:pt>
                <c:pt idx="5">
                  <c:v>45444</c:v>
                </c:pt>
                <c:pt idx="6">
                  <c:v>45474</c:v>
                </c:pt>
              </c:numCache>
            </c:numRef>
          </c:cat>
          <c:val>
            <c:numRef>
              <c:f>'monthly data'!$A$18:$G$18</c:f>
              <c:numCache>
                <c:formatCode>"$"#,##0.00</c:formatCode>
                <c:ptCount val="7"/>
                <c:pt idx="0">
                  <c:v>2</c:v>
                </c:pt>
                <c:pt idx="1">
                  <c:v>2.5</c:v>
                </c:pt>
                <c:pt idx="2">
                  <c:v>3.1</c:v>
                </c:pt>
                <c:pt idx="3">
                  <c:v>1.25</c:v>
                </c:pt>
                <c:pt idx="4">
                  <c:v>1</c:v>
                </c:pt>
                <c:pt idx="5">
                  <c:v>1.2</c:v>
                </c:pt>
                <c:pt idx="6">
                  <c:v>1.2</c:v>
                </c:pt>
              </c:numCache>
            </c:numRef>
          </c:val>
          <c:extLst>
            <c:ext xmlns:c16="http://schemas.microsoft.com/office/drawing/2014/chart" uri="{C3380CC4-5D6E-409C-BE32-E72D297353CC}">
              <c16:uniqueId val="{00000000-D5AF-E444-9470-94674610B9A1}"/>
            </c:ext>
          </c:extLst>
        </c:ser>
        <c:dLbls>
          <c:showLegendKey val="0"/>
          <c:showVal val="0"/>
          <c:showCatName val="0"/>
          <c:showSerName val="0"/>
          <c:showPercent val="0"/>
          <c:showBubbleSize val="0"/>
        </c:dLbls>
        <c:gapWidth val="219"/>
        <c:overlap val="-27"/>
        <c:axId val="928836623"/>
        <c:axId val="932094031"/>
      </c:barChart>
      <c:dateAx>
        <c:axId val="92883662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094031"/>
        <c:crosses val="autoZero"/>
        <c:auto val="1"/>
        <c:lblOffset val="100"/>
        <c:baseTimeUnit val="months"/>
      </c:dateAx>
      <c:valAx>
        <c:axId val="932094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836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data'!$A$19</c:f>
              <c:strCache>
                <c:ptCount val="1"/>
                <c:pt idx="0">
                  <c:v>BTC HODL</c:v>
                </c:pt>
              </c:strCache>
            </c:strRef>
          </c:tx>
          <c:spPr>
            <a:ln w="28575" cap="rnd">
              <a:solidFill>
                <a:schemeClr val="accent2"/>
              </a:solidFill>
              <a:round/>
            </a:ln>
            <a:effectLst/>
          </c:spPr>
          <c:marker>
            <c:symbol val="none"/>
          </c:marker>
          <c:cat>
            <c:numRef>
              <c:f>'monthly data'!$A$20:$G$20</c:f>
              <c:numCache>
                <c:formatCode>mmm\-yy</c:formatCode>
                <c:ptCount val="7"/>
                <c:pt idx="0">
                  <c:v>45292</c:v>
                </c:pt>
                <c:pt idx="1">
                  <c:v>45323</c:v>
                </c:pt>
                <c:pt idx="2">
                  <c:v>45352</c:v>
                </c:pt>
                <c:pt idx="3">
                  <c:v>45383</c:v>
                </c:pt>
                <c:pt idx="4">
                  <c:v>45413</c:v>
                </c:pt>
                <c:pt idx="5">
                  <c:v>45444</c:v>
                </c:pt>
                <c:pt idx="6">
                  <c:v>45474</c:v>
                </c:pt>
              </c:numCache>
            </c:numRef>
          </c:cat>
          <c:val>
            <c:numRef>
              <c:f>'monthly data'!$A$21:$G$21</c:f>
              <c:numCache>
                <c:formatCode>General</c:formatCode>
                <c:ptCount val="7"/>
                <c:pt idx="0">
                  <c:v>9195</c:v>
                </c:pt>
                <c:pt idx="1">
                  <c:v>9110</c:v>
                </c:pt>
                <c:pt idx="2">
                  <c:v>9102</c:v>
                </c:pt>
                <c:pt idx="3">
                  <c:v>9109</c:v>
                </c:pt>
                <c:pt idx="4">
                  <c:v>9103</c:v>
                </c:pt>
                <c:pt idx="5">
                  <c:v>9105</c:v>
                </c:pt>
                <c:pt idx="6">
                  <c:v>9102</c:v>
                </c:pt>
              </c:numCache>
            </c:numRef>
          </c:val>
          <c:smooth val="0"/>
          <c:extLst>
            <c:ext xmlns:c16="http://schemas.microsoft.com/office/drawing/2014/chart" uri="{C3380CC4-5D6E-409C-BE32-E72D297353CC}">
              <c16:uniqueId val="{00000000-E933-D34F-BC31-6E8299DFAF92}"/>
            </c:ext>
          </c:extLst>
        </c:ser>
        <c:dLbls>
          <c:showLegendKey val="0"/>
          <c:showVal val="0"/>
          <c:showCatName val="0"/>
          <c:showSerName val="0"/>
          <c:showPercent val="0"/>
          <c:showBubbleSize val="0"/>
        </c:dLbls>
        <c:smooth val="0"/>
        <c:axId val="896800271"/>
        <c:axId val="932761983"/>
      </c:lineChart>
      <c:dateAx>
        <c:axId val="896800271"/>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761983"/>
        <c:crosses val="autoZero"/>
        <c:auto val="1"/>
        <c:lblOffset val="100"/>
        <c:baseTimeUnit val="months"/>
      </c:dateAx>
      <c:valAx>
        <c:axId val="93276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800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data'!$A$24</c:f>
              <c:strCache>
                <c:ptCount val="1"/>
                <c:pt idx="0">
                  <c:v>Energized hashrate EH/S</c:v>
                </c:pt>
              </c:strCache>
            </c:strRef>
          </c:tx>
          <c:spPr>
            <a:ln w="28575" cap="rnd">
              <a:solidFill>
                <a:schemeClr val="accent2"/>
              </a:solidFill>
              <a:round/>
            </a:ln>
            <a:effectLst/>
          </c:spPr>
          <c:marker>
            <c:symbol val="none"/>
          </c:marker>
          <c:cat>
            <c:numRef>
              <c:f>'monthly data'!$A$25:$G$25</c:f>
              <c:numCache>
                <c:formatCode>mmm\-yy</c:formatCode>
                <c:ptCount val="7"/>
                <c:pt idx="0">
                  <c:v>45292</c:v>
                </c:pt>
                <c:pt idx="1">
                  <c:v>45323</c:v>
                </c:pt>
                <c:pt idx="2">
                  <c:v>45352</c:v>
                </c:pt>
                <c:pt idx="3">
                  <c:v>45383</c:v>
                </c:pt>
                <c:pt idx="4">
                  <c:v>45413</c:v>
                </c:pt>
                <c:pt idx="5">
                  <c:v>45444</c:v>
                </c:pt>
                <c:pt idx="6">
                  <c:v>45474</c:v>
                </c:pt>
              </c:numCache>
            </c:numRef>
          </c:cat>
          <c:val>
            <c:numRef>
              <c:f>'monthly data'!$A$26:$G$26</c:f>
              <c:numCache>
                <c:formatCode>General</c:formatCode>
                <c:ptCount val="7"/>
                <c:pt idx="0">
                  <c:v>7.1</c:v>
                </c:pt>
                <c:pt idx="1">
                  <c:v>7.9</c:v>
                </c:pt>
                <c:pt idx="2">
                  <c:v>8</c:v>
                </c:pt>
                <c:pt idx="3">
                  <c:v>8</c:v>
                </c:pt>
                <c:pt idx="4">
                  <c:v>8</c:v>
                </c:pt>
                <c:pt idx="5">
                  <c:v>8.8000000000000007</c:v>
                </c:pt>
                <c:pt idx="6">
                  <c:v>10</c:v>
                </c:pt>
              </c:numCache>
            </c:numRef>
          </c:val>
          <c:smooth val="0"/>
          <c:extLst>
            <c:ext xmlns:c16="http://schemas.microsoft.com/office/drawing/2014/chart" uri="{C3380CC4-5D6E-409C-BE32-E72D297353CC}">
              <c16:uniqueId val="{00000000-C8C2-5F4C-97C6-F7C3B56DD5B9}"/>
            </c:ext>
          </c:extLst>
        </c:ser>
        <c:dLbls>
          <c:showLegendKey val="0"/>
          <c:showVal val="0"/>
          <c:showCatName val="0"/>
          <c:showSerName val="0"/>
          <c:showPercent val="0"/>
          <c:showBubbleSize val="0"/>
        </c:dLbls>
        <c:smooth val="0"/>
        <c:axId val="1325647712"/>
        <c:axId val="1325649264"/>
      </c:lineChart>
      <c:dateAx>
        <c:axId val="132564771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49264"/>
        <c:crosses val="autoZero"/>
        <c:auto val="1"/>
        <c:lblOffset val="100"/>
        <c:baseTimeUnit val="months"/>
      </c:dateAx>
      <c:valAx>
        <c:axId val="132564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4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 data'!$A$27</c:f>
              <c:strCache>
                <c:ptCount val="1"/>
                <c:pt idx="0">
                  <c:v>revenue per TH/s</c:v>
                </c:pt>
              </c:strCache>
            </c:strRef>
          </c:tx>
          <c:spPr>
            <a:solidFill>
              <a:schemeClr val="accent2"/>
            </a:solidFill>
            <a:ln>
              <a:solidFill>
                <a:schemeClr val="tx1"/>
              </a:solidFill>
            </a:ln>
            <a:effectLst/>
          </c:spPr>
          <c:invertIfNegative val="0"/>
          <c:cat>
            <c:numRef>
              <c:f>'monthly data'!$A$28:$G$28</c:f>
              <c:numCache>
                <c:formatCode>mmm\-yy</c:formatCode>
                <c:ptCount val="7"/>
                <c:pt idx="0">
                  <c:v>45292</c:v>
                </c:pt>
                <c:pt idx="1">
                  <c:v>45323</c:v>
                </c:pt>
                <c:pt idx="2">
                  <c:v>45352</c:v>
                </c:pt>
                <c:pt idx="3">
                  <c:v>45383</c:v>
                </c:pt>
                <c:pt idx="4">
                  <c:v>45413</c:v>
                </c:pt>
                <c:pt idx="5">
                  <c:v>45444</c:v>
                </c:pt>
                <c:pt idx="6">
                  <c:v>45474</c:v>
                </c:pt>
              </c:numCache>
            </c:numRef>
          </c:cat>
          <c:val>
            <c:numRef>
              <c:f>'monthly data'!$A$29:$G$29</c:f>
              <c:numCache>
                <c:formatCode>"$"#,##0.00</c:formatCode>
                <c:ptCount val="7"/>
                <c:pt idx="0">
                  <c:v>2.2000000000000002</c:v>
                </c:pt>
                <c:pt idx="1">
                  <c:v>2.4</c:v>
                </c:pt>
                <c:pt idx="2">
                  <c:v>3.4</c:v>
                </c:pt>
                <c:pt idx="3">
                  <c:v>2.88</c:v>
                </c:pt>
                <c:pt idx="4">
                  <c:v>1.51</c:v>
                </c:pt>
                <c:pt idx="5">
                  <c:v>1.31</c:v>
                </c:pt>
                <c:pt idx="6">
                  <c:v>1.26</c:v>
                </c:pt>
              </c:numCache>
            </c:numRef>
          </c:val>
          <c:extLst>
            <c:ext xmlns:c16="http://schemas.microsoft.com/office/drawing/2014/chart" uri="{C3380CC4-5D6E-409C-BE32-E72D297353CC}">
              <c16:uniqueId val="{00000000-7F61-8542-B3B6-5CAF4DAA426D}"/>
            </c:ext>
          </c:extLst>
        </c:ser>
        <c:dLbls>
          <c:showLegendKey val="0"/>
          <c:showVal val="0"/>
          <c:showCatName val="0"/>
          <c:showSerName val="0"/>
          <c:showPercent val="0"/>
          <c:showBubbleSize val="0"/>
        </c:dLbls>
        <c:gapWidth val="219"/>
        <c:overlap val="-27"/>
        <c:axId val="1378492336"/>
        <c:axId val="1378671952"/>
      </c:barChart>
      <c:dateAx>
        <c:axId val="137849233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671952"/>
        <c:crosses val="autoZero"/>
        <c:auto val="1"/>
        <c:lblOffset val="100"/>
        <c:baseTimeUnit val="months"/>
      </c:dateAx>
      <c:valAx>
        <c:axId val="1378671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92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data'!$A$32</c:f>
              <c:strCache>
                <c:ptCount val="1"/>
                <c:pt idx="0">
                  <c:v>Energized hashrate EH/S</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2"/>
                </a:solidFill>
                <a:round/>
              </a:ln>
              <a:effectLst/>
            </c:spPr>
            <c:extLst>
              <c:ext xmlns:c16="http://schemas.microsoft.com/office/drawing/2014/chart" uri="{C3380CC4-5D6E-409C-BE32-E72D297353CC}">
                <c16:uniqueId val="{00000001-CA76-EE4F-922C-6477E44DB767}"/>
              </c:ext>
            </c:extLst>
          </c:dPt>
          <c:dPt>
            <c:idx val="2"/>
            <c:marker>
              <c:symbol val="circle"/>
              <c:size val="5"/>
              <c:spPr>
                <a:solidFill>
                  <a:schemeClr val="accent1"/>
                </a:solidFill>
                <a:ln w="9525">
                  <a:solidFill>
                    <a:schemeClr val="accent1"/>
                  </a:solidFill>
                </a:ln>
                <a:effectLst/>
              </c:spPr>
            </c:marker>
            <c:bubble3D val="0"/>
            <c:spPr>
              <a:ln w="28575" cap="rnd">
                <a:solidFill>
                  <a:schemeClr val="accent2"/>
                </a:solidFill>
                <a:round/>
              </a:ln>
              <a:effectLst/>
            </c:spPr>
            <c:extLst>
              <c:ext xmlns:c16="http://schemas.microsoft.com/office/drawing/2014/chart" uri="{C3380CC4-5D6E-409C-BE32-E72D297353CC}">
                <c16:uniqueId val="{00000003-CA76-EE4F-922C-6477E44DB767}"/>
              </c:ext>
            </c:extLst>
          </c:dPt>
          <c:dPt>
            <c:idx val="3"/>
            <c:marker>
              <c:symbol val="circle"/>
              <c:size val="5"/>
              <c:spPr>
                <a:solidFill>
                  <a:schemeClr val="accent1"/>
                </a:solidFill>
                <a:ln w="9525">
                  <a:solidFill>
                    <a:schemeClr val="accent1"/>
                  </a:solidFill>
                </a:ln>
                <a:effectLst/>
              </c:spPr>
            </c:marker>
            <c:bubble3D val="0"/>
            <c:spPr>
              <a:ln w="28575" cap="rnd">
                <a:solidFill>
                  <a:schemeClr val="accent2"/>
                </a:solidFill>
                <a:round/>
              </a:ln>
              <a:effectLst/>
            </c:spPr>
            <c:extLst>
              <c:ext xmlns:c16="http://schemas.microsoft.com/office/drawing/2014/chart" uri="{C3380CC4-5D6E-409C-BE32-E72D297353CC}">
                <c16:uniqueId val="{00000005-CA76-EE4F-922C-6477E44DB767}"/>
              </c:ext>
            </c:extLst>
          </c:dPt>
          <c:dPt>
            <c:idx val="4"/>
            <c:marker>
              <c:symbol val="circle"/>
              <c:size val="5"/>
              <c:spPr>
                <a:solidFill>
                  <a:schemeClr val="accent1"/>
                </a:solidFill>
                <a:ln w="9525">
                  <a:solidFill>
                    <a:schemeClr val="accent1"/>
                  </a:solidFill>
                </a:ln>
                <a:effectLst/>
              </c:spPr>
            </c:marker>
            <c:bubble3D val="0"/>
            <c:spPr>
              <a:ln w="28575" cap="rnd">
                <a:solidFill>
                  <a:schemeClr val="accent2"/>
                </a:solidFill>
                <a:round/>
              </a:ln>
              <a:effectLst/>
            </c:spPr>
            <c:extLst>
              <c:ext xmlns:c16="http://schemas.microsoft.com/office/drawing/2014/chart" uri="{C3380CC4-5D6E-409C-BE32-E72D297353CC}">
                <c16:uniqueId val="{00000007-CA76-EE4F-922C-6477E44DB767}"/>
              </c:ext>
            </c:extLst>
          </c:dPt>
          <c:dPt>
            <c:idx val="5"/>
            <c:marker>
              <c:symbol val="circle"/>
              <c:size val="5"/>
              <c:spPr>
                <a:solidFill>
                  <a:schemeClr val="accent1"/>
                </a:solidFill>
                <a:ln w="9525">
                  <a:solidFill>
                    <a:schemeClr val="accent1"/>
                  </a:solidFill>
                </a:ln>
                <a:effectLst/>
              </c:spPr>
            </c:marker>
            <c:bubble3D val="0"/>
            <c:spPr>
              <a:ln w="28575" cap="rnd">
                <a:solidFill>
                  <a:schemeClr val="accent2"/>
                </a:solidFill>
                <a:round/>
              </a:ln>
              <a:effectLst/>
            </c:spPr>
            <c:extLst>
              <c:ext xmlns:c16="http://schemas.microsoft.com/office/drawing/2014/chart" uri="{C3380CC4-5D6E-409C-BE32-E72D297353CC}">
                <c16:uniqueId val="{00000009-CA76-EE4F-922C-6477E44DB767}"/>
              </c:ext>
            </c:extLst>
          </c:dPt>
          <c:dPt>
            <c:idx val="6"/>
            <c:marker>
              <c:symbol val="circle"/>
              <c:size val="5"/>
              <c:spPr>
                <a:solidFill>
                  <a:schemeClr val="accent1"/>
                </a:solidFill>
                <a:ln w="9525">
                  <a:solidFill>
                    <a:schemeClr val="accent1"/>
                  </a:solidFill>
                </a:ln>
                <a:effectLst/>
              </c:spPr>
            </c:marker>
            <c:bubble3D val="0"/>
            <c:spPr>
              <a:ln w="28575" cap="rnd">
                <a:solidFill>
                  <a:schemeClr val="accent2"/>
                </a:solidFill>
                <a:round/>
              </a:ln>
              <a:effectLst/>
            </c:spPr>
            <c:extLst>
              <c:ext xmlns:c16="http://schemas.microsoft.com/office/drawing/2014/chart" uri="{C3380CC4-5D6E-409C-BE32-E72D297353CC}">
                <c16:uniqueId val="{0000000B-CA76-EE4F-922C-6477E44DB767}"/>
              </c:ext>
            </c:extLst>
          </c:dPt>
          <c:cat>
            <c:numRef>
              <c:f>'monthly data'!$A$33:$L$33</c:f>
              <c:numCache>
                <c:formatCode>mmm\-yy</c:formatCode>
                <c:ptCount val="1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numCache>
            </c:numRef>
          </c:cat>
          <c:val>
            <c:numRef>
              <c:f>'monthly data'!$A$34:$L$34</c:f>
              <c:numCache>
                <c:formatCode>General</c:formatCode>
                <c:ptCount val="12"/>
                <c:pt idx="0">
                  <c:v>12.4</c:v>
                </c:pt>
                <c:pt idx="1">
                  <c:v>12.4</c:v>
                </c:pt>
                <c:pt idx="2">
                  <c:v>12.4</c:v>
                </c:pt>
                <c:pt idx="3">
                  <c:v>12.4</c:v>
                </c:pt>
                <c:pt idx="4">
                  <c:v>14.7</c:v>
                </c:pt>
                <c:pt idx="5">
                  <c:v>22</c:v>
                </c:pt>
                <c:pt idx="6">
                  <c:v>15.5</c:v>
                </c:pt>
                <c:pt idx="7">
                  <c:v>14.5</c:v>
                </c:pt>
                <c:pt idx="8">
                  <c:v>28.2</c:v>
                </c:pt>
                <c:pt idx="9">
                  <c:v>29.4</c:v>
                </c:pt>
                <c:pt idx="10">
                  <c:v>29.4</c:v>
                </c:pt>
                <c:pt idx="11">
                  <c:v>31.5</c:v>
                </c:pt>
              </c:numCache>
            </c:numRef>
          </c:val>
          <c:smooth val="0"/>
          <c:extLst>
            <c:ext xmlns:c16="http://schemas.microsoft.com/office/drawing/2014/chart" uri="{C3380CC4-5D6E-409C-BE32-E72D297353CC}">
              <c16:uniqueId val="{0000000C-CA76-EE4F-922C-6477E44DB767}"/>
            </c:ext>
          </c:extLst>
        </c:ser>
        <c:dLbls>
          <c:showLegendKey val="0"/>
          <c:showVal val="0"/>
          <c:showCatName val="0"/>
          <c:showSerName val="0"/>
          <c:showPercent val="0"/>
          <c:showBubbleSize val="0"/>
        </c:dLbls>
        <c:marker val="1"/>
        <c:smooth val="0"/>
        <c:axId val="1079343968"/>
        <c:axId val="1065626096"/>
      </c:lineChart>
      <c:dateAx>
        <c:axId val="107934396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626096"/>
        <c:crosses val="autoZero"/>
        <c:auto val="1"/>
        <c:lblOffset val="100"/>
        <c:baseTimeUnit val="months"/>
      </c:dateAx>
      <c:valAx>
        <c:axId val="106562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4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 data'!$A$35</c:f>
              <c:strCache>
                <c:ptCount val="1"/>
                <c:pt idx="0">
                  <c:v>revenue per TH/s</c:v>
                </c:pt>
              </c:strCache>
            </c:strRef>
          </c:tx>
          <c:spPr>
            <a:solidFill>
              <a:schemeClr val="accent2"/>
            </a:solidFill>
            <a:ln>
              <a:solidFill>
                <a:schemeClr val="tx1"/>
              </a:solidFill>
            </a:ln>
            <a:effectLst/>
          </c:spPr>
          <c:invertIfNegative val="0"/>
          <c:cat>
            <c:numRef>
              <c:f>'monthly data'!$A$36:$L$36</c:f>
              <c:numCache>
                <c:formatCode>mmm\-yy</c:formatCode>
                <c:ptCount val="1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numCache>
            </c:numRef>
          </c:cat>
          <c:val>
            <c:numRef>
              <c:f>'monthly data'!$A$37:$L$37</c:f>
              <c:numCache>
                <c:formatCode>"$"#,##0.00</c:formatCode>
                <c:ptCount val="12"/>
                <c:pt idx="0">
                  <c:v>2.1</c:v>
                </c:pt>
                <c:pt idx="1">
                  <c:v>2.2000000000000002</c:v>
                </c:pt>
                <c:pt idx="2">
                  <c:v>2.6</c:v>
                </c:pt>
                <c:pt idx="3">
                  <c:v>1.97</c:v>
                </c:pt>
                <c:pt idx="4">
                  <c:v>1.48</c:v>
                </c:pt>
                <c:pt idx="5">
                  <c:v>1.06</c:v>
                </c:pt>
                <c:pt idx="6">
                  <c:v>1.17</c:v>
                </c:pt>
                <c:pt idx="7" formatCode="General">
                  <c:v>1.08</c:v>
                </c:pt>
                <c:pt idx="8">
                  <c:v>1.08</c:v>
                </c:pt>
                <c:pt idx="9">
                  <c:v>1.24</c:v>
                </c:pt>
                <c:pt idx="10">
                  <c:v>1.6</c:v>
                </c:pt>
                <c:pt idx="11">
                  <c:v>1.56</c:v>
                </c:pt>
              </c:numCache>
            </c:numRef>
          </c:val>
          <c:extLst>
            <c:ext xmlns:c16="http://schemas.microsoft.com/office/drawing/2014/chart" uri="{C3380CC4-5D6E-409C-BE32-E72D297353CC}">
              <c16:uniqueId val="{00000000-D5B4-4147-B148-1F93DF090EA1}"/>
            </c:ext>
          </c:extLst>
        </c:ser>
        <c:dLbls>
          <c:showLegendKey val="0"/>
          <c:showVal val="0"/>
          <c:showCatName val="0"/>
          <c:showSerName val="0"/>
          <c:showPercent val="0"/>
          <c:showBubbleSize val="0"/>
        </c:dLbls>
        <c:gapWidth val="219"/>
        <c:overlap val="-27"/>
        <c:axId val="1080204144"/>
        <c:axId val="1081076208"/>
      </c:barChart>
      <c:dateAx>
        <c:axId val="108020414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076208"/>
        <c:crosses val="autoZero"/>
        <c:auto val="1"/>
        <c:lblOffset val="100"/>
        <c:baseTimeUnit val="months"/>
      </c:dateAx>
      <c:valAx>
        <c:axId val="1081076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0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data'!$A$38</c:f>
              <c:strCache>
                <c:ptCount val="1"/>
                <c:pt idx="0">
                  <c:v>BTC HODL</c:v>
                </c:pt>
              </c:strCache>
            </c:strRef>
          </c:tx>
          <c:spPr>
            <a:ln w="28575" cap="rnd">
              <a:solidFill>
                <a:schemeClr val="accent2"/>
              </a:solidFill>
              <a:round/>
            </a:ln>
            <a:effectLst/>
          </c:spPr>
          <c:marker>
            <c:symbol val="none"/>
          </c:marker>
          <c:cat>
            <c:numRef>
              <c:f>'monthly data'!$A$39:$L$39</c:f>
              <c:numCache>
                <c:formatCode>mmm\-yy</c:formatCode>
                <c:ptCount val="1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numCache>
            </c:numRef>
          </c:cat>
          <c:val>
            <c:numRef>
              <c:f>'monthly data'!$A$40:$L$40</c:f>
              <c:numCache>
                <c:formatCode>General</c:formatCode>
                <c:ptCount val="12"/>
                <c:pt idx="0">
                  <c:v>7648</c:v>
                </c:pt>
                <c:pt idx="1">
                  <c:v>8067</c:v>
                </c:pt>
                <c:pt idx="2">
                  <c:v>8490</c:v>
                </c:pt>
                <c:pt idx="3">
                  <c:v>8872</c:v>
                </c:pt>
                <c:pt idx="4">
                  <c:v>9084</c:v>
                </c:pt>
                <c:pt idx="5">
                  <c:v>9334</c:v>
                </c:pt>
                <c:pt idx="6">
                  <c:v>9704</c:v>
                </c:pt>
                <c:pt idx="7">
                  <c:v>10019</c:v>
                </c:pt>
                <c:pt idx="8">
                  <c:v>10427</c:v>
                </c:pt>
                <c:pt idx="9">
                  <c:v>10928</c:v>
                </c:pt>
                <c:pt idx="10">
                  <c:v>11425</c:v>
                </c:pt>
                <c:pt idx="11">
                  <c:v>17722</c:v>
                </c:pt>
              </c:numCache>
            </c:numRef>
          </c:val>
          <c:smooth val="0"/>
          <c:extLst>
            <c:ext xmlns:c16="http://schemas.microsoft.com/office/drawing/2014/chart" uri="{C3380CC4-5D6E-409C-BE32-E72D297353CC}">
              <c16:uniqueId val="{00000000-9089-984D-B661-55E62CD5EF87}"/>
            </c:ext>
          </c:extLst>
        </c:ser>
        <c:dLbls>
          <c:showLegendKey val="0"/>
          <c:showVal val="0"/>
          <c:showCatName val="0"/>
          <c:showSerName val="0"/>
          <c:showPercent val="0"/>
          <c:showBubbleSize val="0"/>
        </c:dLbls>
        <c:smooth val="0"/>
        <c:axId val="1028607520"/>
        <c:axId val="1088461200"/>
      </c:lineChart>
      <c:dateAx>
        <c:axId val="102860752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461200"/>
        <c:crosses val="autoZero"/>
        <c:auto val="1"/>
        <c:lblOffset val="100"/>
        <c:baseTimeUnit val="months"/>
      </c:dateAx>
      <c:valAx>
        <c:axId val="1088461200"/>
        <c:scaling>
          <c:orientation val="minMax"/>
          <c:max val="20000"/>
          <c:min val="4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07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data'!$A$41</c:f>
              <c:strCache>
                <c:ptCount val="1"/>
                <c:pt idx="0">
                  <c:v>BTC per EH/s</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cat>
            <c:numRef>
              <c:f>'monthly data'!$A$42:$G$42</c:f>
              <c:numCache>
                <c:formatCode>mmm\-yy</c:formatCode>
                <c:ptCount val="7"/>
                <c:pt idx="0">
                  <c:v>45292</c:v>
                </c:pt>
                <c:pt idx="1">
                  <c:v>45323</c:v>
                </c:pt>
                <c:pt idx="2">
                  <c:v>45352</c:v>
                </c:pt>
                <c:pt idx="3">
                  <c:v>45383</c:v>
                </c:pt>
                <c:pt idx="4">
                  <c:v>45413</c:v>
                </c:pt>
                <c:pt idx="5">
                  <c:v>45444</c:v>
                </c:pt>
                <c:pt idx="6">
                  <c:v>45474</c:v>
                </c:pt>
              </c:numCache>
            </c:numRef>
          </c:cat>
          <c:val>
            <c:numRef>
              <c:f>'monthly data'!$A$43:$G$43</c:f>
              <c:numCache>
                <c:formatCode>General</c:formatCode>
                <c:ptCount val="7"/>
                <c:pt idx="0">
                  <c:v>41.9</c:v>
                </c:pt>
                <c:pt idx="1">
                  <c:v>33.700000000000003</c:v>
                </c:pt>
                <c:pt idx="2">
                  <c:v>49.4</c:v>
                </c:pt>
                <c:pt idx="3">
                  <c:v>42.6</c:v>
                </c:pt>
                <c:pt idx="4">
                  <c:v>24.4</c:v>
                </c:pt>
                <c:pt idx="5">
                  <c:v>22.4</c:v>
                </c:pt>
                <c:pt idx="6">
                  <c:v>23.9</c:v>
                </c:pt>
              </c:numCache>
            </c:numRef>
          </c:val>
          <c:smooth val="0"/>
          <c:extLst>
            <c:ext xmlns:c16="http://schemas.microsoft.com/office/drawing/2014/chart" uri="{C3380CC4-5D6E-409C-BE32-E72D297353CC}">
              <c16:uniqueId val="{00000000-04FC-9E41-9FE1-47126C574AB6}"/>
            </c:ext>
          </c:extLst>
        </c:ser>
        <c:dLbls>
          <c:showLegendKey val="0"/>
          <c:showVal val="0"/>
          <c:showCatName val="0"/>
          <c:showSerName val="0"/>
          <c:showPercent val="0"/>
          <c:showBubbleSize val="0"/>
        </c:dLbls>
        <c:marker val="1"/>
        <c:smooth val="0"/>
        <c:axId val="1101740112"/>
        <c:axId val="1031792432"/>
      </c:lineChart>
      <c:dateAx>
        <c:axId val="110174011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792432"/>
        <c:crosses val="autoZero"/>
        <c:auto val="1"/>
        <c:lblOffset val="100"/>
        <c:baseTimeUnit val="months"/>
      </c:dateAx>
      <c:valAx>
        <c:axId val="103179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74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data'!$A$41</c:f>
              <c:strCache>
                <c:ptCount val="1"/>
                <c:pt idx="0">
                  <c:v>BTC per EH/s</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cat>
            <c:numRef>
              <c:f>'monthly data'!$A$42:$L$42</c:f>
              <c:numCache>
                <c:formatCode>mmm\-yy</c:formatCode>
                <c:ptCount val="1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numCache>
            </c:numRef>
          </c:cat>
          <c:val>
            <c:numRef>
              <c:f>'monthly data'!$A$43:$L$43</c:f>
              <c:numCache>
                <c:formatCode>General</c:formatCode>
                <c:ptCount val="12"/>
                <c:pt idx="0">
                  <c:v>41.9</c:v>
                </c:pt>
                <c:pt idx="1">
                  <c:v>33.700000000000003</c:v>
                </c:pt>
                <c:pt idx="2">
                  <c:v>49.4</c:v>
                </c:pt>
                <c:pt idx="3">
                  <c:v>42.6</c:v>
                </c:pt>
                <c:pt idx="4">
                  <c:v>24.4</c:v>
                </c:pt>
                <c:pt idx="5">
                  <c:v>22.4</c:v>
                </c:pt>
                <c:pt idx="6">
                  <c:v>23.9</c:v>
                </c:pt>
                <c:pt idx="7">
                  <c:v>22.2</c:v>
                </c:pt>
                <c:pt idx="8">
                  <c:v>21.1</c:v>
                </c:pt>
                <c:pt idx="9">
                  <c:v>22.2</c:v>
                </c:pt>
                <c:pt idx="10">
                  <c:v>19.2</c:v>
                </c:pt>
                <c:pt idx="11">
                  <c:v>18.8</c:v>
                </c:pt>
              </c:numCache>
            </c:numRef>
          </c:val>
          <c:smooth val="0"/>
          <c:extLst>
            <c:ext xmlns:c16="http://schemas.microsoft.com/office/drawing/2014/chart" uri="{C3380CC4-5D6E-409C-BE32-E72D297353CC}">
              <c16:uniqueId val="{00000000-04FC-9E41-9FE1-47126C574AB6}"/>
            </c:ext>
          </c:extLst>
        </c:ser>
        <c:dLbls>
          <c:showLegendKey val="0"/>
          <c:showVal val="0"/>
          <c:showCatName val="0"/>
          <c:showSerName val="0"/>
          <c:showPercent val="0"/>
          <c:showBubbleSize val="0"/>
        </c:dLbls>
        <c:marker val="1"/>
        <c:smooth val="0"/>
        <c:axId val="1101740112"/>
        <c:axId val="1031792432"/>
      </c:lineChart>
      <c:dateAx>
        <c:axId val="110174011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792432"/>
        <c:crosses val="autoZero"/>
        <c:auto val="1"/>
        <c:lblOffset val="100"/>
        <c:baseTimeUnit val="months"/>
      </c:dateAx>
      <c:valAx>
        <c:axId val="103179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74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r>
              <a:rPr lang="en-US" sz="1800"/>
              <a:t>Energized hashrate EH/S</a:t>
            </a:r>
          </a:p>
        </c:rich>
      </c:tx>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'monthly data'!$A$46</c:f>
              <c:strCache>
                <c:ptCount val="1"/>
                <c:pt idx="0">
                  <c:v>Energized hashrate EH/S</c:v>
                </c:pt>
              </c:strCache>
            </c:strRef>
          </c:tx>
          <c:spPr>
            <a:ln w="34925" cap="rnd">
              <a:solidFill>
                <a:schemeClr val="lt1"/>
              </a:solidFill>
              <a:round/>
            </a:ln>
            <a:effectLst>
              <a:outerShdw dist="25400" dir="2700000" algn="tl" rotWithShape="0">
                <a:schemeClr val="accent1"/>
              </a:outerShdw>
            </a:effectLst>
          </c:spPr>
          <c:marker>
            <c:symbol val="none"/>
          </c:marker>
          <c:cat>
            <c:numRef>
              <c:f>'monthly data'!$A$47:$Q$47</c:f>
              <c:numCache>
                <c:formatCode>mmm\-yy</c:formatCode>
                <c:ptCount val="17"/>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numCache>
            </c:numRef>
          </c:cat>
          <c:val>
            <c:numRef>
              <c:f>'monthly data'!$A$48:$Q$48</c:f>
              <c:numCache>
                <c:formatCode>General</c:formatCode>
                <c:ptCount val="17"/>
                <c:pt idx="0">
                  <c:v>6.2</c:v>
                </c:pt>
                <c:pt idx="1">
                  <c:v>7</c:v>
                </c:pt>
                <c:pt idx="2">
                  <c:v>8</c:v>
                </c:pt>
                <c:pt idx="3">
                  <c:v>9.4</c:v>
                </c:pt>
                <c:pt idx="4">
                  <c:v>10</c:v>
                </c:pt>
                <c:pt idx="5">
                  <c:v>10</c:v>
                </c:pt>
                <c:pt idx="6">
                  <c:v>9</c:v>
                </c:pt>
                <c:pt idx="7">
                  <c:v>16</c:v>
                </c:pt>
                <c:pt idx="8">
                  <c:v>21</c:v>
                </c:pt>
                <c:pt idx="9">
                  <c:v>21</c:v>
                </c:pt>
                <c:pt idx="10">
                  <c:v>21</c:v>
                </c:pt>
                <c:pt idx="11">
                  <c:v>31</c:v>
                </c:pt>
                <c:pt idx="12">
                  <c:v>31</c:v>
                </c:pt>
                <c:pt idx="13">
                  <c:v>31</c:v>
                </c:pt>
                <c:pt idx="14">
                  <c:v>37</c:v>
                </c:pt>
                <c:pt idx="15">
                  <c:v>40</c:v>
                </c:pt>
                <c:pt idx="16">
                  <c:v>41</c:v>
                </c:pt>
              </c:numCache>
            </c:numRef>
          </c:val>
          <c:smooth val="0"/>
          <c:extLst>
            <c:ext xmlns:c16="http://schemas.microsoft.com/office/drawing/2014/chart" uri="{C3380CC4-5D6E-409C-BE32-E72D297353CC}">
              <c16:uniqueId val="{00000000-D6AA-BB4F-B234-00EF82D32F9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2143520176"/>
        <c:axId val="2142480720"/>
      </c:lineChart>
      <c:dateAx>
        <c:axId val="2143520176"/>
        <c:scaling>
          <c:orientation val="minMax"/>
        </c:scaling>
        <c:delete val="0"/>
        <c:axPos val="b"/>
        <c:numFmt formatCode="mmm\-yy"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600" b="0" i="0" u="none" strike="noStrike" kern="1200" spc="100" baseline="0">
                <a:solidFill>
                  <a:schemeClr val="lt1"/>
                </a:solidFill>
                <a:latin typeface="+mn-lt"/>
                <a:ea typeface="+mn-ea"/>
                <a:cs typeface="+mn-cs"/>
              </a:defRPr>
            </a:pPr>
            <a:endParaRPr lang="en-US"/>
          </a:p>
        </c:txPr>
        <c:crossAx val="2142480720"/>
        <c:crosses val="autoZero"/>
        <c:auto val="1"/>
        <c:lblOffset val="100"/>
        <c:baseTimeUnit val="months"/>
      </c:dateAx>
      <c:valAx>
        <c:axId val="2142480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crossAx val="214352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'monthly data'!$A$49</c:f>
              <c:strCache>
                <c:ptCount val="1"/>
                <c:pt idx="0">
                  <c:v>revenue per TH/s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'monthly data'!$A$50:$Q$50</c:f>
              <c:numCache>
                <c:formatCode>mmm\-yy</c:formatCode>
                <c:ptCount val="17"/>
                <c:pt idx="0">
                  <c:v>45292</c:v>
                </c:pt>
                <c:pt idx="1">
                  <c:v>45323</c:v>
                </c:pt>
                <c:pt idx="2">
                  <c:v>45352</c:v>
                </c:pt>
                <c:pt idx="3">
                  <c:v>45383</c:v>
                </c:pt>
                <c:pt idx="4">
                  <c:v>45413</c:v>
                </c:pt>
                <c:pt idx="5">
                  <c:v>45444</c:v>
                </c:pt>
                <c:pt idx="6">
                  <c:v>45474</c:v>
                </c:pt>
                <c:pt idx="7">
                  <c:v>45528</c:v>
                </c:pt>
                <c:pt idx="8">
                  <c:v>45559</c:v>
                </c:pt>
                <c:pt idx="9">
                  <c:v>45589</c:v>
                </c:pt>
                <c:pt idx="10">
                  <c:v>45620</c:v>
                </c:pt>
                <c:pt idx="11">
                  <c:v>45650</c:v>
                </c:pt>
                <c:pt idx="12">
                  <c:v>45681</c:v>
                </c:pt>
                <c:pt idx="13">
                  <c:v>45712</c:v>
                </c:pt>
                <c:pt idx="14">
                  <c:v>45740</c:v>
                </c:pt>
                <c:pt idx="15">
                  <c:v>45771</c:v>
                </c:pt>
                <c:pt idx="16">
                  <c:v>45801</c:v>
                </c:pt>
              </c:numCache>
            </c:numRef>
          </c:cat>
          <c:val>
            <c:numRef>
              <c:f>'monthly data'!$A$51:$Q$51</c:f>
              <c:numCache>
                <c:formatCode>"$"#,##0.00</c:formatCode>
                <c:ptCount val="17"/>
                <c:pt idx="0">
                  <c:v>2.5</c:v>
                </c:pt>
                <c:pt idx="1">
                  <c:v>2.4</c:v>
                </c:pt>
                <c:pt idx="2">
                  <c:v>3.3</c:v>
                </c:pt>
                <c:pt idx="3">
                  <c:v>2.68</c:v>
                </c:pt>
                <c:pt idx="4">
                  <c:v>1.55</c:v>
                </c:pt>
                <c:pt idx="5">
                  <c:v>1.57</c:v>
                </c:pt>
                <c:pt idx="6">
                  <c:v>1.37</c:v>
                </c:pt>
                <c:pt idx="7">
                  <c:v>1.37</c:v>
                </c:pt>
                <c:pt idx="8">
                  <c:v>1.37</c:v>
                </c:pt>
                <c:pt idx="9">
                  <c:v>1.52</c:v>
                </c:pt>
                <c:pt idx="10">
                  <c:v>1.5</c:v>
                </c:pt>
                <c:pt idx="11">
                  <c:v>1.6</c:v>
                </c:pt>
                <c:pt idx="12">
                  <c:v>1.7</c:v>
                </c:pt>
                <c:pt idx="13">
                  <c:v>1.3</c:v>
                </c:pt>
                <c:pt idx="14">
                  <c:v>1.4</c:v>
                </c:pt>
                <c:pt idx="15">
                  <c:v>1.6</c:v>
                </c:pt>
                <c:pt idx="16">
                  <c:v>1.6</c:v>
                </c:pt>
              </c:numCache>
            </c:numRef>
          </c:val>
          <c:extLst>
            <c:ext xmlns:c16="http://schemas.microsoft.com/office/drawing/2014/chart" uri="{C3380CC4-5D6E-409C-BE32-E72D297353CC}">
              <c16:uniqueId val="{00000000-3CB2-964D-A7F4-427D3E5D42FB}"/>
            </c:ext>
          </c:extLst>
        </c:ser>
        <c:dLbls>
          <c:showLegendKey val="0"/>
          <c:showVal val="1"/>
          <c:showCatName val="0"/>
          <c:showSerName val="0"/>
          <c:showPercent val="0"/>
          <c:showBubbleSize val="0"/>
        </c:dLbls>
        <c:gapWidth val="150"/>
        <c:shape val="box"/>
        <c:axId val="8236031"/>
        <c:axId val="7546159"/>
        <c:axId val="0"/>
      </c:bar3DChart>
      <c:dateAx>
        <c:axId val="8236031"/>
        <c:scaling>
          <c:orientation val="minMax"/>
        </c:scaling>
        <c:delete val="0"/>
        <c:axPos val="b"/>
        <c:numFmt formatCode="mmm\-yy"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7546159"/>
        <c:crosses val="autoZero"/>
        <c:auto val="1"/>
        <c:lblOffset val="100"/>
        <c:baseTimeUnit val="months"/>
      </c:dateAx>
      <c:valAx>
        <c:axId val="7546159"/>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8236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'monthly data'!$A$52</c:f>
              <c:strCache>
                <c:ptCount val="1"/>
                <c:pt idx="0">
                  <c:v>BTC per EH/s</c:v>
                </c:pt>
              </c:strCache>
            </c:strRef>
          </c:tx>
          <c:spPr>
            <a:ln w="34925" cap="rnd">
              <a:solidFill>
                <a:schemeClr val="lt1"/>
              </a:solidFill>
              <a:round/>
            </a:ln>
            <a:effectLst>
              <a:outerShdw dist="25400" dir="2700000" algn="tl" rotWithShape="0">
                <a:schemeClr val="accent1"/>
              </a:outerShdw>
            </a:effectLst>
          </c:spPr>
          <c:marker>
            <c:symbol val="none"/>
          </c:marker>
          <c:cat>
            <c:numRef>
              <c:f>'monthly data'!$A$53:$Q$53</c:f>
              <c:numCache>
                <c:formatCode>mmm\-yy</c:formatCode>
                <c:ptCount val="17"/>
                <c:pt idx="0">
                  <c:v>45292</c:v>
                </c:pt>
                <c:pt idx="1">
                  <c:v>45323</c:v>
                </c:pt>
                <c:pt idx="2">
                  <c:v>45352</c:v>
                </c:pt>
                <c:pt idx="3">
                  <c:v>45383</c:v>
                </c:pt>
                <c:pt idx="4">
                  <c:v>45413</c:v>
                </c:pt>
                <c:pt idx="5">
                  <c:v>45444</c:v>
                </c:pt>
                <c:pt idx="6">
                  <c:v>45474</c:v>
                </c:pt>
                <c:pt idx="7">
                  <c:v>45528</c:v>
                </c:pt>
                <c:pt idx="8">
                  <c:v>45559</c:v>
                </c:pt>
                <c:pt idx="9">
                  <c:v>45589</c:v>
                </c:pt>
                <c:pt idx="10">
                  <c:v>45620</c:v>
                </c:pt>
                <c:pt idx="11">
                  <c:v>45650</c:v>
                </c:pt>
                <c:pt idx="12">
                  <c:v>45681</c:v>
                </c:pt>
                <c:pt idx="13">
                  <c:v>45712</c:v>
                </c:pt>
                <c:pt idx="14">
                  <c:v>45740</c:v>
                </c:pt>
                <c:pt idx="15">
                  <c:v>45771</c:v>
                </c:pt>
                <c:pt idx="16">
                  <c:v>45801</c:v>
                </c:pt>
              </c:numCache>
            </c:numRef>
          </c:cat>
          <c:val>
            <c:numRef>
              <c:f>'monthly data'!$A$54:$Q$54</c:f>
              <c:numCache>
                <c:formatCode>General</c:formatCode>
                <c:ptCount val="17"/>
                <c:pt idx="0">
                  <c:v>60.4</c:v>
                </c:pt>
                <c:pt idx="1">
                  <c:v>49.2</c:v>
                </c:pt>
                <c:pt idx="2">
                  <c:v>49.7</c:v>
                </c:pt>
                <c:pt idx="3">
                  <c:v>43.5</c:v>
                </c:pt>
                <c:pt idx="4">
                  <c:v>24.4</c:v>
                </c:pt>
                <c:pt idx="5">
                  <c:v>25</c:v>
                </c:pt>
                <c:pt idx="6">
                  <c:v>24.6</c:v>
                </c:pt>
                <c:pt idx="7">
                  <c:v>22.4</c:v>
                </c:pt>
                <c:pt idx="8">
                  <c:v>21</c:v>
                </c:pt>
                <c:pt idx="9">
                  <c:v>22.1</c:v>
                </c:pt>
                <c:pt idx="10">
                  <c:v>19.2</c:v>
                </c:pt>
                <c:pt idx="11">
                  <c:v>18.8</c:v>
                </c:pt>
                <c:pt idx="12">
                  <c:v>18</c:v>
                </c:pt>
                <c:pt idx="13">
                  <c:v>16</c:v>
                </c:pt>
                <c:pt idx="14">
                  <c:v>17.600000000000001</c:v>
                </c:pt>
                <c:pt idx="15">
                  <c:v>15.8</c:v>
                </c:pt>
                <c:pt idx="16">
                  <c:v>16.3</c:v>
                </c:pt>
              </c:numCache>
            </c:numRef>
          </c:val>
          <c:smooth val="0"/>
          <c:extLst>
            <c:ext xmlns:c16="http://schemas.microsoft.com/office/drawing/2014/chart" uri="{C3380CC4-5D6E-409C-BE32-E72D297353CC}">
              <c16:uniqueId val="{00000000-B906-834E-9D3D-1044CC8409B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8236031"/>
        <c:axId val="7546159"/>
      </c:lineChart>
      <c:dateAx>
        <c:axId val="8236031"/>
        <c:scaling>
          <c:orientation val="minMax"/>
        </c:scaling>
        <c:delete val="0"/>
        <c:axPos val="b"/>
        <c:numFmt formatCode="mmm\-yy"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600" b="0" i="0" u="none" strike="noStrike" kern="1200" spc="100" baseline="0">
                <a:solidFill>
                  <a:schemeClr val="lt1"/>
                </a:solidFill>
                <a:latin typeface="+mn-lt"/>
                <a:ea typeface="+mn-ea"/>
                <a:cs typeface="+mn-cs"/>
              </a:defRPr>
            </a:pPr>
            <a:endParaRPr lang="en-US"/>
          </a:p>
        </c:txPr>
        <c:crossAx val="7546159"/>
        <c:crosses val="autoZero"/>
        <c:auto val="1"/>
        <c:lblOffset val="100"/>
        <c:baseTimeUnit val="months"/>
      </c:dateAx>
      <c:valAx>
        <c:axId val="7546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solidFill>
                <a:latin typeface="+mn-lt"/>
                <a:ea typeface="+mn-ea"/>
                <a:cs typeface="+mn-cs"/>
              </a:defRPr>
            </a:pPr>
            <a:endParaRPr lang="en-US"/>
          </a:p>
        </c:txPr>
        <c:crossAx val="8236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Operational hashrate</c:v>
          </c:tx>
          <c:spPr>
            <a:ln w="28575" cap="rnd">
              <a:solidFill>
                <a:schemeClr val="accent2"/>
              </a:solidFill>
              <a:round/>
            </a:ln>
            <a:effectLst/>
          </c:spPr>
          <c:marker>
            <c:symbol val="none"/>
          </c:marker>
          <c:cat>
            <c:numRef>
              <c:f>'monthly data'!$A$3:$G$3</c:f>
              <c:numCache>
                <c:formatCode>mmm\-yy</c:formatCode>
                <c:ptCount val="7"/>
                <c:pt idx="0">
                  <c:v>45292</c:v>
                </c:pt>
                <c:pt idx="1">
                  <c:v>45323</c:v>
                </c:pt>
                <c:pt idx="2">
                  <c:v>45352</c:v>
                </c:pt>
                <c:pt idx="3">
                  <c:v>45383</c:v>
                </c:pt>
                <c:pt idx="4">
                  <c:v>45413</c:v>
                </c:pt>
                <c:pt idx="5">
                  <c:v>45444</c:v>
                </c:pt>
                <c:pt idx="6">
                  <c:v>45474</c:v>
                </c:pt>
              </c:numCache>
            </c:numRef>
          </c:cat>
          <c:val>
            <c:numRef>
              <c:f>'monthly data'!$A$4:$G$4</c:f>
              <c:numCache>
                <c:formatCode>General</c:formatCode>
                <c:ptCount val="7"/>
                <c:pt idx="0">
                  <c:v>4.0999999999999996</c:v>
                </c:pt>
                <c:pt idx="1">
                  <c:v>4.2</c:v>
                </c:pt>
                <c:pt idx="2">
                  <c:v>4.7</c:v>
                </c:pt>
                <c:pt idx="3">
                  <c:v>5</c:v>
                </c:pt>
                <c:pt idx="4">
                  <c:v>5</c:v>
                </c:pt>
                <c:pt idx="5">
                  <c:v>4.9000000000000004</c:v>
                </c:pt>
                <c:pt idx="6">
                  <c:v>4.7</c:v>
                </c:pt>
              </c:numCache>
            </c:numRef>
          </c:val>
          <c:smooth val="0"/>
          <c:extLst>
            <c:ext xmlns:c16="http://schemas.microsoft.com/office/drawing/2014/chart" uri="{C3380CC4-5D6E-409C-BE32-E72D297353CC}">
              <c16:uniqueId val="{00000000-F47E-4345-B50B-A84701FC21DB}"/>
            </c:ext>
          </c:extLst>
        </c:ser>
        <c:dLbls>
          <c:showLegendKey val="0"/>
          <c:showVal val="0"/>
          <c:showCatName val="0"/>
          <c:showSerName val="0"/>
          <c:showPercent val="0"/>
          <c:showBubbleSize val="0"/>
        </c:dLbls>
        <c:smooth val="0"/>
        <c:axId val="825877503"/>
        <c:axId val="781459743"/>
      </c:lineChart>
      <c:dateAx>
        <c:axId val="82587750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459743"/>
        <c:crosses val="autoZero"/>
        <c:auto val="1"/>
        <c:lblOffset val="100"/>
        <c:baseTimeUnit val="months"/>
      </c:dateAx>
      <c:valAx>
        <c:axId val="781459743"/>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87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BTC HODL</c:v>
          </c:tx>
          <c:spPr>
            <a:ln w="28575" cap="rnd">
              <a:solidFill>
                <a:schemeClr val="accent1"/>
              </a:solidFill>
              <a:round/>
            </a:ln>
            <a:effectLst/>
          </c:spPr>
          <c:marker>
            <c:symbol val="none"/>
          </c:marker>
          <c:cat>
            <c:numRef>
              <c:f>'monthly data'!$A$9:$G$9</c:f>
              <c:numCache>
                <c:formatCode>mmm\-yy</c:formatCode>
                <c:ptCount val="7"/>
                <c:pt idx="0">
                  <c:v>45292</c:v>
                </c:pt>
                <c:pt idx="1">
                  <c:v>45323</c:v>
                </c:pt>
                <c:pt idx="2">
                  <c:v>45352</c:v>
                </c:pt>
                <c:pt idx="3">
                  <c:v>45383</c:v>
                </c:pt>
                <c:pt idx="4">
                  <c:v>45413</c:v>
                </c:pt>
                <c:pt idx="5">
                  <c:v>45444</c:v>
                </c:pt>
                <c:pt idx="6">
                  <c:v>45474</c:v>
                </c:pt>
              </c:numCache>
            </c:numRef>
          </c:cat>
          <c:val>
            <c:numRef>
              <c:f>'monthly data'!$A$10:$G$10</c:f>
              <c:numCache>
                <c:formatCode>General</c:formatCode>
                <c:ptCount val="7"/>
                <c:pt idx="0">
                  <c:v>1939</c:v>
                </c:pt>
                <c:pt idx="1">
                  <c:v>2131</c:v>
                </c:pt>
                <c:pt idx="2">
                  <c:v>2287</c:v>
                </c:pt>
                <c:pt idx="3">
                  <c:v>2377</c:v>
                </c:pt>
                <c:pt idx="4">
                  <c:v>2451</c:v>
                </c:pt>
                <c:pt idx="5">
                  <c:v>2496</c:v>
                </c:pt>
                <c:pt idx="6">
                  <c:v>2533</c:v>
                </c:pt>
              </c:numCache>
            </c:numRef>
          </c:val>
          <c:smooth val="0"/>
          <c:extLst>
            <c:ext xmlns:c16="http://schemas.microsoft.com/office/drawing/2014/chart" uri="{C3380CC4-5D6E-409C-BE32-E72D297353CC}">
              <c16:uniqueId val="{00000000-450A-F345-8758-35B145DDDC73}"/>
            </c:ext>
          </c:extLst>
        </c:ser>
        <c:dLbls>
          <c:showLegendKey val="0"/>
          <c:showVal val="0"/>
          <c:showCatName val="0"/>
          <c:showSerName val="0"/>
          <c:showPercent val="0"/>
          <c:showBubbleSize val="0"/>
        </c:dLbls>
        <c:smooth val="0"/>
        <c:axId val="848610495"/>
        <c:axId val="848661247"/>
      </c:lineChart>
      <c:dateAx>
        <c:axId val="84861049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61247"/>
        <c:crosses val="autoZero"/>
        <c:auto val="1"/>
        <c:lblOffset val="100"/>
        <c:baseTimeUnit val="months"/>
      </c:dateAx>
      <c:valAx>
        <c:axId val="848661247"/>
        <c:scaling>
          <c:orientation val="minMax"/>
          <c:min val="1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610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data'!$A$13</c:f>
              <c:strCache>
                <c:ptCount val="1"/>
                <c:pt idx="0">
                  <c:v>Energized hashrate EH/S</c:v>
                </c:pt>
              </c:strCache>
            </c:strRef>
          </c:tx>
          <c:spPr>
            <a:ln w="28575" cap="rnd">
              <a:solidFill>
                <a:schemeClr val="accent2"/>
              </a:solidFill>
              <a:round/>
            </a:ln>
            <a:effectLst/>
          </c:spPr>
          <c:marker>
            <c:symbol val="none"/>
          </c:marker>
          <c:cat>
            <c:numRef>
              <c:f>'monthly data'!$A$14:$G$14</c:f>
              <c:numCache>
                <c:formatCode>mmm\-yy</c:formatCode>
                <c:ptCount val="7"/>
                <c:pt idx="0">
                  <c:v>45292</c:v>
                </c:pt>
                <c:pt idx="1">
                  <c:v>45323</c:v>
                </c:pt>
                <c:pt idx="2">
                  <c:v>45352</c:v>
                </c:pt>
                <c:pt idx="3">
                  <c:v>45383</c:v>
                </c:pt>
                <c:pt idx="4">
                  <c:v>45413</c:v>
                </c:pt>
                <c:pt idx="5">
                  <c:v>45444</c:v>
                </c:pt>
                <c:pt idx="6">
                  <c:v>45474</c:v>
                </c:pt>
              </c:numCache>
            </c:numRef>
          </c:cat>
          <c:val>
            <c:numRef>
              <c:f>'monthly data'!$A$15:$G$15</c:f>
              <c:numCache>
                <c:formatCode>General</c:formatCode>
                <c:ptCount val="7"/>
                <c:pt idx="0">
                  <c:v>7.2</c:v>
                </c:pt>
                <c:pt idx="1">
                  <c:v>7.2</c:v>
                </c:pt>
                <c:pt idx="2">
                  <c:v>7.2</c:v>
                </c:pt>
                <c:pt idx="3">
                  <c:v>7.2</c:v>
                </c:pt>
                <c:pt idx="4">
                  <c:v>5.5</c:v>
                </c:pt>
                <c:pt idx="5">
                  <c:v>5.7</c:v>
                </c:pt>
                <c:pt idx="6">
                  <c:v>4.7</c:v>
                </c:pt>
              </c:numCache>
            </c:numRef>
          </c:val>
          <c:smooth val="0"/>
          <c:extLst>
            <c:ext xmlns:c16="http://schemas.microsoft.com/office/drawing/2014/chart" uri="{C3380CC4-5D6E-409C-BE32-E72D297353CC}">
              <c16:uniqueId val="{00000000-6362-7747-B263-8E9A7341E40C}"/>
            </c:ext>
          </c:extLst>
        </c:ser>
        <c:dLbls>
          <c:showLegendKey val="0"/>
          <c:showVal val="0"/>
          <c:showCatName val="0"/>
          <c:showSerName val="0"/>
          <c:showPercent val="0"/>
          <c:showBubbleSize val="0"/>
        </c:dLbls>
        <c:smooth val="0"/>
        <c:axId val="868612767"/>
        <c:axId val="868614495"/>
      </c:lineChart>
      <c:dateAx>
        <c:axId val="868612767"/>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614495"/>
        <c:crosses val="autoZero"/>
        <c:auto val="1"/>
        <c:lblOffset val="100"/>
        <c:baseTimeUnit val="months"/>
      </c:dateAx>
      <c:valAx>
        <c:axId val="868614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612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 data'!$A$16</c:f>
              <c:strCache>
                <c:ptCount val="1"/>
                <c:pt idx="0">
                  <c:v>revenue per TH/s</c:v>
                </c:pt>
              </c:strCache>
            </c:strRef>
          </c:tx>
          <c:spPr>
            <a:solidFill>
              <a:schemeClr val="accent2"/>
            </a:solidFill>
            <a:ln>
              <a:solidFill>
                <a:schemeClr val="tx1"/>
              </a:solidFill>
            </a:ln>
            <a:effectLst/>
          </c:spPr>
          <c:invertIfNegative val="0"/>
          <c:cat>
            <c:numRef>
              <c:f>'monthly data'!$A$17:$G$17</c:f>
              <c:numCache>
                <c:formatCode>mmm\-yy</c:formatCode>
                <c:ptCount val="7"/>
                <c:pt idx="0">
                  <c:v>45292</c:v>
                </c:pt>
                <c:pt idx="1">
                  <c:v>45323</c:v>
                </c:pt>
                <c:pt idx="2">
                  <c:v>45352</c:v>
                </c:pt>
                <c:pt idx="3">
                  <c:v>45383</c:v>
                </c:pt>
                <c:pt idx="4">
                  <c:v>45413</c:v>
                </c:pt>
                <c:pt idx="5">
                  <c:v>45444</c:v>
                </c:pt>
                <c:pt idx="6">
                  <c:v>45474</c:v>
                </c:pt>
              </c:numCache>
            </c:numRef>
          </c:cat>
          <c:val>
            <c:numRef>
              <c:f>'monthly data'!$A$18:$G$18</c:f>
              <c:numCache>
                <c:formatCode>"$"#,##0.00</c:formatCode>
                <c:ptCount val="7"/>
                <c:pt idx="0">
                  <c:v>2</c:v>
                </c:pt>
                <c:pt idx="1">
                  <c:v>2.5</c:v>
                </c:pt>
                <c:pt idx="2">
                  <c:v>3.1</c:v>
                </c:pt>
                <c:pt idx="3">
                  <c:v>1.25</c:v>
                </c:pt>
                <c:pt idx="4">
                  <c:v>1</c:v>
                </c:pt>
                <c:pt idx="5">
                  <c:v>1.2</c:v>
                </c:pt>
                <c:pt idx="6">
                  <c:v>1.2</c:v>
                </c:pt>
              </c:numCache>
            </c:numRef>
          </c:val>
          <c:extLst>
            <c:ext xmlns:c16="http://schemas.microsoft.com/office/drawing/2014/chart" uri="{C3380CC4-5D6E-409C-BE32-E72D297353CC}">
              <c16:uniqueId val="{00000001-E202-ED4F-977B-6CEBF1B52763}"/>
            </c:ext>
          </c:extLst>
        </c:ser>
        <c:dLbls>
          <c:showLegendKey val="0"/>
          <c:showVal val="0"/>
          <c:showCatName val="0"/>
          <c:showSerName val="0"/>
          <c:showPercent val="0"/>
          <c:showBubbleSize val="0"/>
        </c:dLbls>
        <c:gapWidth val="219"/>
        <c:overlap val="-27"/>
        <c:axId val="928836623"/>
        <c:axId val="932094031"/>
      </c:barChart>
      <c:dateAx>
        <c:axId val="928836623"/>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094031"/>
        <c:crosses val="autoZero"/>
        <c:auto val="1"/>
        <c:lblOffset val="100"/>
        <c:baseTimeUnit val="months"/>
      </c:dateAx>
      <c:valAx>
        <c:axId val="932094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8366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data'!$A$19</c:f>
              <c:strCache>
                <c:ptCount val="1"/>
                <c:pt idx="0">
                  <c:v>BTC HODL</c:v>
                </c:pt>
              </c:strCache>
            </c:strRef>
          </c:tx>
          <c:spPr>
            <a:ln w="28575" cap="rnd">
              <a:solidFill>
                <a:schemeClr val="accent1"/>
              </a:solidFill>
              <a:round/>
            </a:ln>
            <a:effectLst/>
          </c:spPr>
          <c:marker>
            <c:symbol val="none"/>
          </c:marker>
          <c:cat>
            <c:numRef>
              <c:f>'monthly data'!$A$20:$G$20</c:f>
              <c:numCache>
                <c:formatCode>mmm\-yy</c:formatCode>
                <c:ptCount val="7"/>
                <c:pt idx="0">
                  <c:v>45292</c:v>
                </c:pt>
                <c:pt idx="1">
                  <c:v>45323</c:v>
                </c:pt>
                <c:pt idx="2">
                  <c:v>45352</c:v>
                </c:pt>
                <c:pt idx="3">
                  <c:v>45383</c:v>
                </c:pt>
                <c:pt idx="4">
                  <c:v>45413</c:v>
                </c:pt>
                <c:pt idx="5">
                  <c:v>45444</c:v>
                </c:pt>
                <c:pt idx="6">
                  <c:v>45474</c:v>
                </c:pt>
              </c:numCache>
            </c:numRef>
          </c:cat>
          <c:val>
            <c:numRef>
              <c:f>'monthly data'!$A$21:$G$21</c:f>
              <c:numCache>
                <c:formatCode>General</c:formatCode>
                <c:ptCount val="7"/>
                <c:pt idx="0">
                  <c:v>9195</c:v>
                </c:pt>
                <c:pt idx="1">
                  <c:v>9110</c:v>
                </c:pt>
                <c:pt idx="2">
                  <c:v>9102</c:v>
                </c:pt>
                <c:pt idx="3">
                  <c:v>9109</c:v>
                </c:pt>
                <c:pt idx="4">
                  <c:v>9103</c:v>
                </c:pt>
                <c:pt idx="5">
                  <c:v>9105</c:v>
                </c:pt>
                <c:pt idx="6">
                  <c:v>9102</c:v>
                </c:pt>
              </c:numCache>
            </c:numRef>
          </c:val>
          <c:smooth val="0"/>
          <c:extLst>
            <c:ext xmlns:c16="http://schemas.microsoft.com/office/drawing/2014/chart" uri="{C3380CC4-5D6E-409C-BE32-E72D297353CC}">
              <c16:uniqueId val="{00000000-C27C-BB4D-80D8-6565277E60D9}"/>
            </c:ext>
          </c:extLst>
        </c:ser>
        <c:dLbls>
          <c:showLegendKey val="0"/>
          <c:showVal val="0"/>
          <c:showCatName val="0"/>
          <c:showSerName val="0"/>
          <c:showPercent val="0"/>
          <c:showBubbleSize val="0"/>
        </c:dLbls>
        <c:smooth val="0"/>
        <c:axId val="896800271"/>
        <c:axId val="932761983"/>
      </c:lineChart>
      <c:dateAx>
        <c:axId val="896800271"/>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761983"/>
        <c:crosses val="autoZero"/>
        <c:auto val="1"/>
        <c:lblOffset val="100"/>
        <c:baseTimeUnit val="months"/>
      </c:dateAx>
      <c:valAx>
        <c:axId val="93276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800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data'!$A$24</c:f>
              <c:strCache>
                <c:ptCount val="1"/>
                <c:pt idx="0">
                  <c:v>Energized hashrate EH/S</c:v>
                </c:pt>
              </c:strCache>
            </c:strRef>
          </c:tx>
          <c:spPr>
            <a:ln w="28575" cap="rnd">
              <a:solidFill>
                <a:schemeClr val="accent1"/>
              </a:solidFill>
              <a:round/>
            </a:ln>
            <a:effectLst/>
          </c:spPr>
          <c:marker>
            <c:symbol val="none"/>
          </c:marker>
          <c:cat>
            <c:numRef>
              <c:f>'monthly data'!$A$25:$G$25</c:f>
              <c:numCache>
                <c:formatCode>mmm\-yy</c:formatCode>
                <c:ptCount val="7"/>
                <c:pt idx="0">
                  <c:v>45292</c:v>
                </c:pt>
                <c:pt idx="1">
                  <c:v>45323</c:v>
                </c:pt>
                <c:pt idx="2">
                  <c:v>45352</c:v>
                </c:pt>
                <c:pt idx="3">
                  <c:v>45383</c:v>
                </c:pt>
                <c:pt idx="4">
                  <c:v>45413</c:v>
                </c:pt>
                <c:pt idx="5">
                  <c:v>45444</c:v>
                </c:pt>
                <c:pt idx="6">
                  <c:v>45474</c:v>
                </c:pt>
              </c:numCache>
            </c:numRef>
          </c:cat>
          <c:val>
            <c:numRef>
              <c:f>'monthly data'!$A$26:$G$26</c:f>
              <c:numCache>
                <c:formatCode>General</c:formatCode>
                <c:ptCount val="7"/>
                <c:pt idx="0">
                  <c:v>7.1</c:v>
                </c:pt>
                <c:pt idx="1">
                  <c:v>7.9</c:v>
                </c:pt>
                <c:pt idx="2">
                  <c:v>8</c:v>
                </c:pt>
                <c:pt idx="3">
                  <c:v>8</c:v>
                </c:pt>
                <c:pt idx="4">
                  <c:v>8</c:v>
                </c:pt>
                <c:pt idx="5">
                  <c:v>8.8000000000000007</c:v>
                </c:pt>
                <c:pt idx="6">
                  <c:v>10</c:v>
                </c:pt>
              </c:numCache>
            </c:numRef>
          </c:val>
          <c:smooth val="0"/>
          <c:extLst>
            <c:ext xmlns:c16="http://schemas.microsoft.com/office/drawing/2014/chart" uri="{C3380CC4-5D6E-409C-BE32-E72D297353CC}">
              <c16:uniqueId val="{00000000-4BD8-004B-A2F5-C9E10817D754}"/>
            </c:ext>
          </c:extLst>
        </c:ser>
        <c:dLbls>
          <c:showLegendKey val="0"/>
          <c:showVal val="0"/>
          <c:showCatName val="0"/>
          <c:showSerName val="0"/>
          <c:showPercent val="0"/>
          <c:showBubbleSize val="0"/>
        </c:dLbls>
        <c:smooth val="0"/>
        <c:axId val="1325647712"/>
        <c:axId val="1325649264"/>
      </c:lineChart>
      <c:dateAx>
        <c:axId val="132564771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49264"/>
        <c:crosses val="autoZero"/>
        <c:auto val="1"/>
        <c:lblOffset val="100"/>
        <c:baseTimeUnit val="months"/>
      </c:dateAx>
      <c:valAx>
        <c:axId val="132564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4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data'!$A$24</c:f>
              <c:strCache>
                <c:ptCount val="1"/>
                <c:pt idx="0">
                  <c:v>Energized hashrate EH/S</c:v>
                </c:pt>
              </c:strCache>
            </c:strRef>
          </c:tx>
          <c:spPr>
            <a:ln w="28575" cap="rnd">
              <a:solidFill>
                <a:schemeClr val="accent1"/>
              </a:solidFill>
              <a:round/>
            </a:ln>
            <a:effectLst/>
          </c:spPr>
          <c:marker>
            <c:symbol val="none"/>
          </c:marker>
          <c:cat>
            <c:numRef>
              <c:f>'monthly data'!$A$25:$G$25</c:f>
              <c:numCache>
                <c:formatCode>mmm\-yy</c:formatCode>
                <c:ptCount val="7"/>
                <c:pt idx="0">
                  <c:v>45292</c:v>
                </c:pt>
                <c:pt idx="1">
                  <c:v>45323</c:v>
                </c:pt>
                <c:pt idx="2">
                  <c:v>45352</c:v>
                </c:pt>
                <c:pt idx="3">
                  <c:v>45383</c:v>
                </c:pt>
                <c:pt idx="4">
                  <c:v>45413</c:v>
                </c:pt>
                <c:pt idx="5">
                  <c:v>45444</c:v>
                </c:pt>
                <c:pt idx="6">
                  <c:v>45474</c:v>
                </c:pt>
              </c:numCache>
            </c:numRef>
          </c:cat>
          <c:val>
            <c:numRef>
              <c:f>'monthly data'!$A$26:$G$26</c:f>
              <c:numCache>
                <c:formatCode>General</c:formatCode>
                <c:ptCount val="7"/>
                <c:pt idx="0">
                  <c:v>7.1</c:v>
                </c:pt>
                <c:pt idx="1">
                  <c:v>7.9</c:v>
                </c:pt>
                <c:pt idx="2">
                  <c:v>8</c:v>
                </c:pt>
                <c:pt idx="3">
                  <c:v>8</c:v>
                </c:pt>
                <c:pt idx="4">
                  <c:v>8</c:v>
                </c:pt>
                <c:pt idx="5">
                  <c:v>8.8000000000000007</c:v>
                </c:pt>
                <c:pt idx="6">
                  <c:v>10</c:v>
                </c:pt>
              </c:numCache>
            </c:numRef>
          </c:val>
          <c:smooth val="0"/>
          <c:extLst>
            <c:ext xmlns:c16="http://schemas.microsoft.com/office/drawing/2014/chart" uri="{C3380CC4-5D6E-409C-BE32-E72D297353CC}">
              <c16:uniqueId val="{00000000-4BD8-004B-A2F5-C9E10817D754}"/>
            </c:ext>
          </c:extLst>
        </c:ser>
        <c:dLbls>
          <c:showLegendKey val="0"/>
          <c:showVal val="0"/>
          <c:showCatName val="0"/>
          <c:showSerName val="0"/>
          <c:showPercent val="0"/>
          <c:showBubbleSize val="0"/>
        </c:dLbls>
        <c:smooth val="0"/>
        <c:axId val="1325647712"/>
        <c:axId val="1325649264"/>
      </c:lineChart>
      <c:dateAx>
        <c:axId val="132564771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49264"/>
        <c:crosses val="autoZero"/>
        <c:auto val="1"/>
        <c:lblOffset val="100"/>
        <c:baseTimeUnit val="months"/>
      </c:dateAx>
      <c:valAx>
        <c:axId val="132564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64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 data'!$A$27</c:f>
              <c:strCache>
                <c:ptCount val="1"/>
                <c:pt idx="0">
                  <c:v>revenue per TH/s</c:v>
                </c:pt>
              </c:strCache>
            </c:strRef>
          </c:tx>
          <c:spPr>
            <a:solidFill>
              <a:schemeClr val="accent1"/>
            </a:solidFill>
            <a:ln>
              <a:noFill/>
            </a:ln>
            <a:effectLst/>
          </c:spPr>
          <c:invertIfNegative val="0"/>
          <c:cat>
            <c:numRef>
              <c:f>'monthly data'!$A$28:$G$28</c:f>
              <c:numCache>
                <c:formatCode>mmm\-yy</c:formatCode>
                <c:ptCount val="7"/>
                <c:pt idx="0">
                  <c:v>45292</c:v>
                </c:pt>
                <c:pt idx="1">
                  <c:v>45323</c:v>
                </c:pt>
                <c:pt idx="2">
                  <c:v>45352</c:v>
                </c:pt>
                <c:pt idx="3">
                  <c:v>45383</c:v>
                </c:pt>
                <c:pt idx="4">
                  <c:v>45413</c:v>
                </c:pt>
                <c:pt idx="5">
                  <c:v>45444</c:v>
                </c:pt>
                <c:pt idx="6">
                  <c:v>45474</c:v>
                </c:pt>
              </c:numCache>
            </c:numRef>
          </c:cat>
          <c:val>
            <c:numRef>
              <c:f>'monthly data'!$A$29:$G$29</c:f>
              <c:numCache>
                <c:formatCode>"$"#,##0.00</c:formatCode>
                <c:ptCount val="7"/>
                <c:pt idx="0">
                  <c:v>2.2000000000000002</c:v>
                </c:pt>
                <c:pt idx="1">
                  <c:v>2.4</c:v>
                </c:pt>
                <c:pt idx="2">
                  <c:v>3.4</c:v>
                </c:pt>
                <c:pt idx="3">
                  <c:v>2.88</c:v>
                </c:pt>
                <c:pt idx="4">
                  <c:v>1.51</c:v>
                </c:pt>
                <c:pt idx="5">
                  <c:v>1.31</c:v>
                </c:pt>
                <c:pt idx="6">
                  <c:v>1.26</c:v>
                </c:pt>
              </c:numCache>
            </c:numRef>
          </c:val>
          <c:extLst>
            <c:ext xmlns:c16="http://schemas.microsoft.com/office/drawing/2014/chart" uri="{C3380CC4-5D6E-409C-BE32-E72D297353CC}">
              <c16:uniqueId val="{00000000-2BF3-C445-A147-A5342C76BD2E}"/>
            </c:ext>
          </c:extLst>
        </c:ser>
        <c:dLbls>
          <c:showLegendKey val="0"/>
          <c:showVal val="0"/>
          <c:showCatName val="0"/>
          <c:showSerName val="0"/>
          <c:showPercent val="0"/>
          <c:showBubbleSize val="0"/>
        </c:dLbls>
        <c:gapWidth val="219"/>
        <c:overlap val="-27"/>
        <c:axId val="1378492336"/>
        <c:axId val="1378671952"/>
      </c:barChart>
      <c:dateAx>
        <c:axId val="137849233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671952"/>
        <c:crosses val="autoZero"/>
        <c:auto val="1"/>
        <c:lblOffset val="100"/>
        <c:baseTimeUnit val="months"/>
      </c:dateAx>
      <c:valAx>
        <c:axId val="1378671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92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1079343968"/>
        <c:axId val="1065626096"/>
      </c:lineChart>
      <c:catAx>
        <c:axId val="10793439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626096"/>
        <c:crosses val="autoZero"/>
        <c:auto val="1"/>
        <c:lblAlgn val="ctr"/>
        <c:lblOffset val="100"/>
        <c:noMultiLvlLbl val="0"/>
      </c:catAx>
      <c:valAx>
        <c:axId val="1065626096"/>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4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data'!$A$32</c:f>
              <c:strCache>
                <c:ptCount val="1"/>
                <c:pt idx="0">
                  <c:v>Energized hashrate EH/S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C20A-C54C-BB83-A9212237A80E}"/>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C20A-C54C-BB83-A9212237A80E}"/>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C20A-C54C-BB83-A9212237A80E}"/>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C20A-C54C-BB83-A9212237A80E}"/>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C20A-C54C-BB83-A9212237A80E}"/>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C20A-C54C-BB83-A9212237A80E}"/>
              </c:ext>
            </c:extLst>
          </c:dPt>
          <c:cat>
            <c:numRef>
              <c:f>'monthly data'!$A$33:$G$33</c:f>
              <c:numCache>
                <c:formatCode>mmm\-yy</c:formatCode>
                <c:ptCount val="7"/>
                <c:pt idx="0">
                  <c:v>45292</c:v>
                </c:pt>
                <c:pt idx="1">
                  <c:v>45323</c:v>
                </c:pt>
                <c:pt idx="2">
                  <c:v>45352</c:v>
                </c:pt>
                <c:pt idx="3">
                  <c:v>45383</c:v>
                </c:pt>
                <c:pt idx="4">
                  <c:v>45413</c:v>
                </c:pt>
                <c:pt idx="5">
                  <c:v>45444</c:v>
                </c:pt>
                <c:pt idx="6">
                  <c:v>45474</c:v>
                </c:pt>
              </c:numCache>
            </c:numRef>
          </c:cat>
          <c:val>
            <c:numRef>
              <c:f>'monthly data'!$A$34:$G$34</c:f>
              <c:numCache>
                <c:formatCode>General</c:formatCode>
                <c:ptCount val="7"/>
                <c:pt idx="0">
                  <c:v>12.4</c:v>
                </c:pt>
                <c:pt idx="1">
                  <c:v>12.4</c:v>
                </c:pt>
                <c:pt idx="2">
                  <c:v>12.4</c:v>
                </c:pt>
                <c:pt idx="3">
                  <c:v>12.4</c:v>
                </c:pt>
                <c:pt idx="4">
                  <c:v>14.7</c:v>
                </c:pt>
                <c:pt idx="5">
                  <c:v>22</c:v>
                </c:pt>
                <c:pt idx="6">
                  <c:v>15.5</c:v>
                </c:pt>
              </c:numCache>
            </c:numRef>
          </c:val>
          <c:smooth val="0"/>
          <c:extLst>
            <c:ext xmlns:c16="http://schemas.microsoft.com/office/drawing/2014/chart" uri="{C3380CC4-5D6E-409C-BE32-E72D297353CC}">
              <c16:uniqueId val="{00000000-1936-0942-A48C-7DD0393B8270}"/>
            </c:ext>
          </c:extLst>
        </c:ser>
        <c:dLbls>
          <c:showLegendKey val="0"/>
          <c:showVal val="0"/>
          <c:showCatName val="0"/>
          <c:showSerName val="0"/>
          <c:showPercent val="0"/>
          <c:showBubbleSize val="0"/>
        </c:dLbls>
        <c:marker val="1"/>
        <c:smooth val="0"/>
        <c:axId val="1079343968"/>
        <c:axId val="1065626096"/>
      </c:lineChart>
      <c:dateAx>
        <c:axId val="107934396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626096"/>
        <c:crosses val="autoZero"/>
        <c:auto val="1"/>
        <c:lblOffset val="100"/>
        <c:baseTimeUnit val="months"/>
      </c:dateAx>
      <c:valAx>
        <c:axId val="106562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4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77537182852145"/>
          <c:y val="0.19486111111111112"/>
          <c:w val="0.87122462817147861"/>
          <c:h val="0.72088764946048411"/>
        </c:manualLayout>
      </c:layout>
      <c:lineChart>
        <c:grouping val="standard"/>
        <c:varyColors val="0"/>
        <c:ser>
          <c:idx val="0"/>
          <c:order val="0"/>
          <c:tx>
            <c:strRef>
              <c:f>'monthly data'!$A$35</c:f>
              <c:strCache>
                <c:ptCount val="1"/>
                <c:pt idx="0">
                  <c:v>revenue per TH/s</c:v>
                </c:pt>
              </c:strCache>
            </c:strRef>
          </c:tx>
          <c:spPr>
            <a:ln w="28575" cap="rnd">
              <a:solidFill>
                <a:schemeClr val="accent1"/>
              </a:solidFill>
              <a:round/>
            </a:ln>
            <a:effectLst/>
          </c:spPr>
          <c:marker>
            <c:symbol val="none"/>
          </c:marker>
          <c:cat>
            <c:numRef>
              <c:f>'monthly data'!$A$36:$G$36</c:f>
              <c:numCache>
                <c:formatCode>mmm\-yy</c:formatCode>
                <c:ptCount val="7"/>
                <c:pt idx="0">
                  <c:v>45292</c:v>
                </c:pt>
                <c:pt idx="1">
                  <c:v>45323</c:v>
                </c:pt>
                <c:pt idx="2">
                  <c:v>45352</c:v>
                </c:pt>
                <c:pt idx="3">
                  <c:v>45383</c:v>
                </c:pt>
                <c:pt idx="4">
                  <c:v>45413</c:v>
                </c:pt>
                <c:pt idx="5">
                  <c:v>45444</c:v>
                </c:pt>
                <c:pt idx="6">
                  <c:v>45474</c:v>
                </c:pt>
              </c:numCache>
            </c:numRef>
          </c:cat>
          <c:val>
            <c:numRef>
              <c:f>'monthly data'!$A$37:$G$37</c:f>
              <c:numCache>
                <c:formatCode>"$"#,##0.00</c:formatCode>
                <c:ptCount val="7"/>
                <c:pt idx="0">
                  <c:v>2.1</c:v>
                </c:pt>
                <c:pt idx="1">
                  <c:v>2.2000000000000002</c:v>
                </c:pt>
                <c:pt idx="2">
                  <c:v>2.6</c:v>
                </c:pt>
                <c:pt idx="3">
                  <c:v>1.97</c:v>
                </c:pt>
                <c:pt idx="4">
                  <c:v>1.48</c:v>
                </c:pt>
                <c:pt idx="5">
                  <c:v>1.06</c:v>
                </c:pt>
                <c:pt idx="6">
                  <c:v>1.17</c:v>
                </c:pt>
              </c:numCache>
            </c:numRef>
          </c:val>
          <c:smooth val="0"/>
          <c:extLst>
            <c:ext xmlns:c16="http://schemas.microsoft.com/office/drawing/2014/chart" uri="{C3380CC4-5D6E-409C-BE32-E72D297353CC}">
              <c16:uniqueId val="{00000000-5514-B948-919F-4BAA4D9DDC25}"/>
            </c:ext>
          </c:extLst>
        </c:ser>
        <c:dLbls>
          <c:showLegendKey val="0"/>
          <c:showVal val="0"/>
          <c:showCatName val="0"/>
          <c:showSerName val="0"/>
          <c:showPercent val="0"/>
          <c:showBubbleSize val="0"/>
        </c:dLbls>
        <c:smooth val="0"/>
        <c:axId val="1080204144"/>
        <c:axId val="1081076208"/>
      </c:lineChart>
      <c:dateAx>
        <c:axId val="108020414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076208"/>
        <c:crosses val="autoZero"/>
        <c:auto val="1"/>
        <c:lblOffset val="100"/>
        <c:baseTimeUnit val="months"/>
      </c:dateAx>
      <c:valAx>
        <c:axId val="1081076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20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data'!$A$38</c:f>
              <c:strCache>
                <c:ptCount val="1"/>
                <c:pt idx="0">
                  <c:v>BTC HODL</c:v>
                </c:pt>
              </c:strCache>
            </c:strRef>
          </c:tx>
          <c:spPr>
            <a:ln w="28575" cap="rnd">
              <a:solidFill>
                <a:schemeClr val="accent2"/>
              </a:solidFill>
              <a:round/>
            </a:ln>
            <a:effectLst/>
          </c:spPr>
          <c:marker>
            <c:symbol val="none"/>
          </c:marker>
          <c:cat>
            <c:numRef>
              <c:f>'monthly data'!$A$39:$G$39</c:f>
              <c:numCache>
                <c:formatCode>mmm\-yy</c:formatCode>
                <c:ptCount val="7"/>
                <c:pt idx="0">
                  <c:v>45292</c:v>
                </c:pt>
                <c:pt idx="1">
                  <c:v>45323</c:v>
                </c:pt>
                <c:pt idx="2">
                  <c:v>45352</c:v>
                </c:pt>
                <c:pt idx="3">
                  <c:v>45383</c:v>
                </c:pt>
                <c:pt idx="4">
                  <c:v>45413</c:v>
                </c:pt>
                <c:pt idx="5">
                  <c:v>45444</c:v>
                </c:pt>
                <c:pt idx="6">
                  <c:v>45474</c:v>
                </c:pt>
              </c:numCache>
            </c:numRef>
          </c:cat>
          <c:val>
            <c:numRef>
              <c:f>'monthly data'!$A$40:$G$40</c:f>
              <c:numCache>
                <c:formatCode>General</c:formatCode>
                <c:ptCount val="7"/>
                <c:pt idx="0">
                  <c:v>7648</c:v>
                </c:pt>
                <c:pt idx="1">
                  <c:v>8067</c:v>
                </c:pt>
                <c:pt idx="2">
                  <c:v>8490</c:v>
                </c:pt>
                <c:pt idx="3">
                  <c:v>8872</c:v>
                </c:pt>
                <c:pt idx="4">
                  <c:v>9084</c:v>
                </c:pt>
                <c:pt idx="5">
                  <c:v>9334</c:v>
                </c:pt>
                <c:pt idx="6">
                  <c:v>9704</c:v>
                </c:pt>
              </c:numCache>
            </c:numRef>
          </c:val>
          <c:smooth val="0"/>
          <c:extLst>
            <c:ext xmlns:c16="http://schemas.microsoft.com/office/drawing/2014/chart" uri="{C3380CC4-5D6E-409C-BE32-E72D297353CC}">
              <c16:uniqueId val="{00000000-6D98-C44C-BFB6-DCC35B8EE1B1}"/>
            </c:ext>
          </c:extLst>
        </c:ser>
        <c:dLbls>
          <c:showLegendKey val="0"/>
          <c:showVal val="0"/>
          <c:showCatName val="0"/>
          <c:showSerName val="0"/>
          <c:showPercent val="0"/>
          <c:showBubbleSize val="0"/>
        </c:dLbls>
        <c:smooth val="0"/>
        <c:axId val="1028607520"/>
        <c:axId val="1088461200"/>
      </c:lineChart>
      <c:dateAx>
        <c:axId val="1028607520"/>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461200"/>
        <c:crosses val="autoZero"/>
        <c:auto val="1"/>
        <c:lblOffset val="100"/>
        <c:baseTimeUnit val="months"/>
      </c:dateAx>
      <c:valAx>
        <c:axId val="10884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07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1101740112"/>
        <c:axId val="1031792432"/>
      </c:lineChart>
      <c:catAx>
        <c:axId val="11017401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792432"/>
        <c:crosses val="autoZero"/>
        <c:auto val="1"/>
        <c:lblAlgn val="ctr"/>
        <c:lblOffset val="100"/>
        <c:noMultiLvlLbl val="0"/>
      </c:catAx>
      <c:valAx>
        <c:axId val="1031792432"/>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74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7136482939632549E-2"/>
          <c:y val="6.5231481481481501E-2"/>
          <c:w val="0.90286351706036749"/>
          <c:h val="0.72088764946048411"/>
        </c:manualLayout>
      </c:layout>
      <c:lineChart>
        <c:grouping val="standard"/>
        <c:varyColors val="0"/>
        <c:ser>
          <c:idx val="0"/>
          <c:order val="0"/>
          <c:tx>
            <c:strRef>
              <c:f>'monthly data'!$A$41</c:f>
              <c:strCache>
                <c:ptCount val="1"/>
                <c:pt idx="0">
                  <c:v>BTC per EH/s</c:v>
                </c:pt>
              </c:strCache>
            </c:strRef>
          </c:tx>
          <c:spPr>
            <a:ln w="28575" cap="rnd">
              <a:solidFill>
                <a:schemeClr val="accent2"/>
              </a:solidFill>
              <a:round/>
            </a:ln>
            <a:effectLst/>
          </c:spPr>
          <c:marker>
            <c:symbol val="circle"/>
            <c:size val="5"/>
            <c:spPr>
              <a:solidFill>
                <a:schemeClr val="accent1"/>
              </a:solidFill>
              <a:ln w="9525">
                <a:solidFill>
                  <a:schemeClr val="accent1"/>
                </a:solidFill>
              </a:ln>
              <a:effectLst/>
            </c:spPr>
          </c:marker>
          <c:cat>
            <c:numRef>
              <c:f>'monthly data'!$A$42:$G$42</c:f>
              <c:numCache>
                <c:formatCode>mmm\-yy</c:formatCode>
                <c:ptCount val="7"/>
                <c:pt idx="0">
                  <c:v>45292</c:v>
                </c:pt>
                <c:pt idx="1">
                  <c:v>45323</c:v>
                </c:pt>
                <c:pt idx="2">
                  <c:v>45352</c:v>
                </c:pt>
                <c:pt idx="3">
                  <c:v>45383</c:v>
                </c:pt>
                <c:pt idx="4">
                  <c:v>45413</c:v>
                </c:pt>
                <c:pt idx="5">
                  <c:v>45444</c:v>
                </c:pt>
                <c:pt idx="6">
                  <c:v>45474</c:v>
                </c:pt>
              </c:numCache>
            </c:numRef>
          </c:cat>
          <c:val>
            <c:numRef>
              <c:f>'monthly data'!$A$43:$G$43</c:f>
              <c:numCache>
                <c:formatCode>General</c:formatCode>
                <c:ptCount val="7"/>
                <c:pt idx="0">
                  <c:v>41.9</c:v>
                </c:pt>
                <c:pt idx="1">
                  <c:v>33.700000000000003</c:v>
                </c:pt>
                <c:pt idx="2">
                  <c:v>49.4</c:v>
                </c:pt>
                <c:pt idx="3">
                  <c:v>42.6</c:v>
                </c:pt>
                <c:pt idx="4">
                  <c:v>24.4</c:v>
                </c:pt>
                <c:pt idx="5">
                  <c:v>22.4</c:v>
                </c:pt>
                <c:pt idx="6">
                  <c:v>23.9</c:v>
                </c:pt>
              </c:numCache>
            </c:numRef>
          </c:val>
          <c:smooth val="0"/>
          <c:extLst>
            <c:ext xmlns:c16="http://schemas.microsoft.com/office/drawing/2014/chart" uri="{C3380CC4-5D6E-409C-BE32-E72D297353CC}">
              <c16:uniqueId val="{00000000-E576-514C-93D7-CA940CBE7E46}"/>
            </c:ext>
          </c:extLst>
        </c:ser>
        <c:dLbls>
          <c:showLegendKey val="0"/>
          <c:showVal val="0"/>
          <c:showCatName val="0"/>
          <c:showSerName val="0"/>
          <c:showPercent val="0"/>
          <c:showBubbleSize val="0"/>
        </c:dLbls>
        <c:marker val="1"/>
        <c:smooth val="0"/>
        <c:axId val="1101740112"/>
        <c:axId val="1031792432"/>
      </c:lineChart>
      <c:dateAx>
        <c:axId val="110174011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792432"/>
        <c:crosses val="autoZero"/>
        <c:auto val="1"/>
        <c:lblOffset val="100"/>
        <c:baseTimeUnit val="months"/>
      </c:dateAx>
      <c:valAx>
        <c:axId val="103179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74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5965555555555555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data'!$A$46</c:f>
              <c:strCache>
                <c:ptCount val="1"/>
                <c:pt idx="0">
                  <c:v>Energized hashrate EH/S</c:v>
                </c:pt>
              </c:strCache>
            </c:strRef>
          </c:tx>
          <c:spPr>
            <a:ln w="28575" cap="rnd">
              <a:solidFill>
                <a:schemeClr val="accent2"/>
              </a:solidFill>
              <a:round/>
            </a:ln>
            <a:effectLst/>
          </c:spPr>
          <c:marker>
            <c:symbol val="none"/>
          </c:marker>
          <c:cat>
            <c:numRef>
              <c:f>'monthly data'!$A$47:$H$47</c:f>
              <c:numCache>
                <c:formatCode>mmm\-yy</c:formatCode>
                <c:ptCount val="8"/>
                <c:pt idx="0">
                  <c:v>45292</c:v>
                </c:pt>
                <c:pt idx="1">
                  <c:v>45323</c:v>
                </c:pt>
                <c:pt idx="2">
                  <c:v>45352</c:v>
                </c:pt>
                <c:pt idx="3">
                  <c:v>45383</c:v>
                </c:pt>
                <c:pt idx="4">
                  <c:v>45413</c:v>
                </c:pt>
                <c:pt idx="5">
                  <c:v>45444</c:v>
                </c:pt>
                <c:pt idx="6">
                  <c:v>45474</c:v>
                </c:pt>
                <c:pt idx="7">
                  <c:v>45505</c:v>
                </c:pt>
              </c:numCache>
            </c:numRef>
          </c:cat>
          <c:val>
            <c:numRef>
              <c:f>'monthly data'!$A$48:$H$48</c:f>
              <c:numCache>
                <c:formatCode>General</c:formatCode>
                <c:ptCount val="8"/>
                <c:pt idx="0">
                  <c:v>6.2</c:v>
                </c:pt>
                <c:pt idx="1">
                  <c:v>7</c:v>
                </c:pt>
                <c:pt idx="2">
                  <c:v>8</c:v>
                </c:pt>
                <c:pt idx="3">
                  <c:v>9.4</c:v>
                </c:pt>
                <c:pt idx="4">
                  <c:v>10</c:v>
                </c:pt>
                <c:pt idx="5">
                  <c:v>10</c:v>
                </c:pt>
                <c:pt idx="6">
                  <c:v>9</c:v>
                </c:pt>
                <c:pt idx="7">
                  <c:v>16</c:v>
                </c:pt>
              </c:numCache>
            </c:numRef>
          </c:val>
          <c:smooth val="0"/>
          <c:extLst>
            <c:ext xmlns:c16="http://schemas.microsoft.com/office/drawing/2014/chart" uri="{C3380CC4-5D6E-409C-BE32-E72D297353CC}">
              <c16:uniqueId val="{00000000-64F6-B241-A468-28576ED3334C}"/>
            </c:ext>
          </c:extLst>
        </c:ser>
        <c:dLbls>
          <c:showLegendKey val="0"/>
          <c:showVal val="0"/>
          <c:showCatName val="0"/>
          <c:showSerName val="0"/>
          <c:showPercent val="0"/>
          <c:showBubbleSize val="0"/>
        </c:dLbls>
        <c:smooth val="0"/>
        <c:axId val="2143520176"/>
        <c:axId val="2142480720"/>
      </c:lineChart>
      <c:dateAx>
        <c:axId val="214352017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480720"/>
        <c:crosses val="autoZero"/>
        <c:auto val="1"/>
        <c:lblOffset val="100"/>
        <c:baseTimeUnit val="months"/>
      </c:dateAx>
      <c:valAx>
        <c:axId val="214248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2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data'!$A$52</c:f>
              <c:strCache>
                <c:ptCount val="1"/>
                <c:pt idx="0">
                  <c:v>BTC per EH/s</c:v>
                </c:pt>
              </c:strCache>
            </c:strRef>
          </c:tx>
          <c:spPr>
            <a:ln w="28575" cap="rnd">
              <a:solidFill>
                <a:schemeClr val="accent2"/>
              </a:solidFill>
              <a:round/>
            </a:ln>
            <a:effectLst/>
          </c:spPr>
          <c:marker>
            <c:symbol val="none"/>
          </c:marker>
          <c:cat>
            <c:numRef>
              <c:f>'monthly data'!$A$53:$H$53</c:f>
              <c:numCache>
                <c:formatCode>mmm\-yy</c:formatCode>
                <c:ptCount val="8"/>
                <c:pt idx="0">
                  <c:v>45292</c:v>
                </c:pt>
                <c:pt idx="1">
                  <c:v>45323</c:v>
                </c:pt>
                <c:pt idx="2">
                  <c:v>45352</c:v>
                </c:pt>
                <c:pt idx="3">
                  <c:v>45383</c:v>
                </c:pt>
                <c:pt idx="4">
                  <c:v>45413</c:v>
                </c:pt>
                <c:pt idx="5">
                  <c:v>45444</c:v>
                </c:pt>
                <c:pt idx="6">
                  <c:v>45474</c:v>
                </c:pt>
                <c:pt idx="7">
                  <c:v>45528</c:v>
                </c:pt>
              </c:numCache>
            </c:numRef>
          </c:cat>
          <c:val>
            <c:numRef>
              <c:f>'monthly data'!$A$54:$H$54</c:f>
              <c:numCache>
                <c:formatCode>General</c:formatCode>
                <c:ptCount val="8"/>
                <c:pt idx="0">
                  <c:v>60.4</c:v>
                </c:pt>
                <c:pt idx="1">
                  <c:v>49.2</c:v>
                </c:pt>
                <c:pt idx="2">
                  <c:v>49.7</c:v>
                </c:pt>
                <c:pt idx="3">
                  <c:v>43.5</c:v>
                </c:pt>
                <c:pt idx="4">
                  <c:v>24.4</c:v>
                </c:pt>
                <c:pt idx="5">
                  <c:v>25</c:v>
                </c:pt>
                <c:pt idx="6">
                  <c:v>24.6</c:v>
                </c:pt>
                <c:pt idx="7">
                  <c:v>22.4</c:v>
                </c:pt>
              </c:numCache>
            </c:numRef>
          </c:val>
          <c:smooth val="0"/>
          <c:extLst>
            <c:ext xmlns:c16="http://schemas.microsoft.com/office/drawing/2014/chart" uri="{C3380CC4-5D6E-409C-BE32-E72D297353CC}">
              <c16:uniqueId val="{00000000-BA94-8441-A4D3-CAB90CEFAE3C}"/>
            </c:ext>
          </c:extLst>
        </c:ser>
        <c:dLbls>
          <c:showLegendKey val="0"/>
          <c:showVal val="0"/>
          <c:showCatName val="0"/>
          <c:showSerName val="0"/>
          <c:showPercent val="0"/>
          <c:showBubbleSize val="0"/>
        </c:dLbls>
        <c:smooth val="0"/>
        <c:axId val="8236031"/>
        <c:axId val="7546159"/>
      </c:lineChart>
      <c:dateAx>
        <c:axId val="8236031"/>
        <c:scaling>
          <c:orientation val="minMax"/>
        </c:scaling>
        <c:delete val="0"/>
        <c:axPos val="b"/>
        <c:numFmt formatCode="mmm\-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159"/>
        <c:crosses val="autoZero"/>
        <c:auto val="1"/>
        <c:lblOffset val="100"/>
        <c:baseTimeUnit val="months"/>
      </c:dateAx>
      <c:valAx>
        <c:axId val="754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_rels/data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iagram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1">
  <dgm:title val=""/>
  <dgm:desc val=""/>
  <dgm:catLst>
    <dgm:cat type="colorful" pri="10100"/>
  </dgm:catLst>
  <dgm:styleLbl name="node0">
    <dgm:fillClrLst meth="repeat">
      <a:schemeClr val="accent1"/>
    </dgm:fillClrLst>
    <dgm:linClrLst meth="repeat">
      <a:schemeClr val="lt1"/>
    </dgm:linClrLst>
    <dgm:effectClrLst/>
    <dgm:txLinClrLst/>
    <dgm:txFillClrLst/>
    <dgm:txEffectClrLst/>
  </dgm:styleLbl>
  <dgm:styleLbl name="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alignNode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dgm:txEffectClrLst/>
  </dgm:styleLbl>
  <dgm:styleLbl name="lnNode1">
    <dgm:fillClrLst meth="repeat">
      <a:schemeClr val="accent2"/>
      <a:schemeClr val="accent3"/>
      <a:schemeClr val="accent4"/>
      <a:schemeClr val="accent5"/>
      <a:schemeClr val="accent6"/>
    </dgm:fillClrLst>
    <dgm:linClrLst meth="repeat">
      <a:schemeClr val="lt1"/>
    </dgm:linClrLst>
    <dgm:effectClrLst/>
    <dgm:txLinClrLst/>
    <dgm:txFillClrLst/>
    <dgm:txEffectClrLst/>
  </dgm:styleLbl>
  <dgm:styleLbl name="vennNode1">
    <dgm:fillClrLst meth="repeat">
      <a:schemeClr val="accent2">
        <a:alpha val="50000"/>
      </a:schemeClr>
      <a:schemeClr val="accent3">
        <a:alpha val="50000"/>
      </a:schemeClr>
      <a:schemeClr val="accent4">
        <a:alpha val="50000"/>
      </a:schemeClr>
      <a:schemeClr val="accent5">
        <a:alpha val="50000"/>
      </a:schemeClr>
      <a:schemeClr val="accent6">
        <a:alpha val="50000"/>
      </a:schemeClr>
    </dgm:fillClrLst>
    <dgm:linClrLst meth="repeat">
      <a:schemeClr val="lt1"/>
    </dgm:linClrLst>
    <dgm:effectClrLst/>
    <dgm:txLinClrLst/>
    <dgm:txFillClrLst/>
    <dgm:txEffectClrLst/>
  </dgm:styleLbl>
  <dgm:styleLbl name="node2">
    <dgm:fillClrLst>
      <a:schemeClr val="accent2"/>
    </dgm:fillClrLst>
    <dgm:linClrLst meth="repeat">
      <a:schemeClr val="lt1"/>
    </dgm:linClrLst>
    <dgm:effectClrLst/>
    <dgm:txLinClrLst/>
    <dgm:txFillClrLst/>
    <dgm:txEffectClrLst/>
  </dgm:styleLbl>
  <dgm:styleLbl name="node3">
    <dgm:fillClrLst>
      <a:schemeClr val="accent3"/>
    </dgm:fillClrLst>
    <dgm:linClrLst meth="repeat">
      <a:schemeClr val="lt1"/>
    </dgm:linClrLst>
    <dgm:effectClrLst/>
    <dgm:txLinClrLst/>
    <dgm:txFillClrLst/>
    <dgm:txEffectClrLst/>
  </dgm:styleLbl>
  <dgm:styleLbl name="node4">
    <dgm:fillClrLst>
      <a:schemeClr val="accent4"/>
    </dgm:fillClrLst>
    <dgm:linClrLst meth="repeat">
      <a:schemeClr val="lt1"/>
    </dgm:linClrLst>
    <dgm:effectClrLst/>
    <dgm:txLinClrLst/>
    <dgm:txFillClrLst/>
    <dgm:txEffectClrLst/>
  </dgm:styleLbl>
  <dgm:styleLbl name="fgImgPlace1">
    <dgm:fillClrLst meth="repeat">
      <a:schemeClr val="accent2">
        <a:tint val="50000"/>
      </a:schemeClr>
      <a:schemeClr val="accent3">
        <a:tint val="50000"/>
      </a:schemeClr>
      <a:schemeClr val="accent4">
        <a:tint val="50000"/>
      </a:schemeClr>
      <a:schemeClr val="accent5">
        <a:tint val="50000"/>
      </a:schemeClr>
      <a:schemeClr val="accent6">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2">
        <a:tint val="2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2"/>
      <a:schemeClr val="accent3"/>
      <a:schemeClr val="accent4"/>
      <a:schemeClr val="accent5"/>
      <a:schemeClr val="accent6"/>
    </dgm:fillClrLst>
    <dgm:linClrLst meth="cycle">
      <a:schemeClr val="lt1"/>
    </dgm:linClrLst>
    <dgm:effectClrLst/>
    <dgm:txLinClrLst/>
    <dgm:txFillClrLst/>
    <dgm:txEffectClrLst/>
  </dgm:styleLbl>
  <dgm:styleLbl name="f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bgSibTrans2D1">
    <dgm:fillClrLst meth="repeat">
      <a:schemeClr val="accent2"/>
      <a:schemeClr val="accent3"/>
      <a:schemeClr val="accent4"/>
      <a:schemeClr val="accent5"/>
      <a:schemeClr val="accent6"/>
    </dgm:fillClrLst>
    <dgm:linClrLst meth="cycle">
      <a:schemeClr val="lt1"/>
    </dgm:linClrLst>
    <dgm:effectClrLst/>
    <dgm:txLinClrLst/>
    <dgm:txFillClrLst meth="repeat">
      <a:schemeClr val="lt1"/>
    </dgm:txFillClrLst>
    <dgm:txEffectClrLst/>
  </dgm:styleLbl>
  <dgm:styleLbl name="sibTrans1D1">
    <dgm:fillClrLst meth="repeat">
      <a:schemeClr val="accent2"/>
      <a:schemeClr val="accent3"/>
      <a:schemeClr val="accent4"/>
      <a:schemeClr val="accent5"/>
      <a:schemeClr val="accent6"/>
    </dgm:fillClrLst>
    <dgm:linClrLst meth="repeat">
      <a:schemeClr val="accent2"/>
      <a:schemeClr val="accent3"/>
      <a:schemeClr val="accent4"/>
      <a:schemeClr val="accent5"/>
      <a:schemeClr val="accent6"/>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2"/>
    </dgm:fillClrLst>
    <dgm:linClrLst meth="repeat">
      <a:schemeClr val="lt1"/>
    </dgm:linClrLst>
    <dgm:effectClrLst/>
    <dgm:txLinClrLst/>
    <dgm:txFillClrLst/>
    <dgm:txEffectClrLst/>
  </dgm:styleLbl>
  <dgm:styleLbl name="asst2">
    <dgm:fillClrLst>
      <a:schemeClr val="accent3"/>
    </dgm:fillClrLst>
    <dgm:linClrLst meth="repeat">
      <a:schemeClr val="lt1"/>
    </dgm:linClrLst>
    <dgm:effectClrLst/>
    <dgm:txLinClrLst/>
    <dgm:txFillClrLst/>
    <dgm:txEffectClrLst/>
  </dgm:styleLbl>
  <dgm:styleLbl name="asst3">
    <dgm:fillClrLst>
      <a:schemeClr val="accent4"/>
    </dgm:fillClrLst>
    <dgm:linClrLst meth="repeat">
      <a:schemeClr val="lt1"/>
    </dgm:linClrLst>
    <dgm:effectClrLst/>
    <dgm:txLinClrLst/>
    <dgm:txFillClrLst/>
    <dgm:txEffectClrLst/>
  </dgm:styleLbl>
  <dgm:styleLbl name="asst4">
    <dgm:fillClrLst>
      <a:schemeClr val="accent5"/>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1"/>
    </dgm:linClrLst>
    <dgm:effectClrLst/>
    <dgm:txLinClrLst/>
    <dgm:txFillClrLst meth="repeat">
      <a:schemeClr val="tx1"/>
    </dgm:txFillClrLst>
    <dgm:txEffectClrLst/>
  </dgm:styleLbl>
  <dgm:styleLbl name="parChTrans1D2">
    <dgm:fillClrLst meth="repeat">
      <a:schemeClr val="accent3">
        <a:tint val="90000"/>
      </a:schemeClr>
    </dgm:fillClrLst>
    <dgm:linClrLst meth="repeat">
      <a:schemeClr val="accent2"/>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3"/>
    </dgm:linClrLst>
    <dgm:effectClrLst/>
    <dgm:txLinClrLst/>
    <dgm:txFillClrLst meth="repeat">
      <a:schemeClr val="tx1"/>
    </dgm:txFillClrLst>
    <dgm:txEffectClrLst/>
  </dgm:styleLbl>
  <dgm:styleLbl name="parChTrans1D4">
    <dgm:fillClrLst meth="repeat">
      <a:schemeClr val="accent5">
        <a:tint val="50000"/>
      </a:schemeClr>
    </dgm:fillClrLst>
    <dgm:linClrLst meth="repeat">
      <a:schemeClr val="accent4"/>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2"/>
      <a:schemeClr val="accent3"/>
      <a:schemeClr val="accent4"/>
      <a:schemeClr val="accent5"/>
      <a:schemeClr val="accent6"/>
    </dgm:linClrLst>
    <dgm:effectClrLst/>
    <dgm:txLinClrLst/>
    <dgm:txFillClrLst meth="repeat">
      <a:schemeClr val="dk1"/>
    </dgm:txFillClrLst>
    <dgm:txEffectClrLst/>
  </dgm:styleLbl>
  <dgm:styleLbl name="f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align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bgAccFollowNode1">
    <dgm:fill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fillClrLst>
    <dgm:linClrLst meth="repeat">
      <a:schemeClr val="accent2">
        <a:tint val="40000"/>
        <a:alpha val="90000"/>
      </a:schemeClr>
      <a:schemeClr val="accent3">
        <a:tint val="40000"/>
        <a:alpha val="90000"/>
      </a:schemeClr>
      <a:schemeClr val="accent4">
        <a:tint val="40000"/>
        <a:alpha val="90000"/>
      </a:schemeClr>
      <a:schemeClr val="accent5">
        <a:tint val="40000"/>
        <a:alpha val="90000"/>
      </a:schemeClr>
      <a:schemeClr val="accent6">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2"/>
    </dgm:linClrLst>
    <dgm:effectClrLst/>
    <dgm:txLinClrLst/>
    <dgm:txFillClrLst meth="repeat">
      <a:schemeClr val="dk1"/>
    </dgm:txFillClrLst>
    <dgm:txEffectClrLst/>
  </dgm:styleLbl>
  <dgm:styleLbl name="fgAcc3">
    <dgm:fillClrLst meth="repeat">
      <a:schemeClr val="lt1">
        <a:alpha val="90000"/>
      </a:schemeClr>
    </dgm:fillClrLst>
    <dgm:linClrLst>
      <a:schemeClr val="accent3"/>
    </dgm:linClrLst>
    <dgm:effectClrLst/>
    <dgm:txLinClrLst/>
    <dgm:txFillClrLst meth="repeat">
      <a:schemeClr val="dk1"/>
    </dgm:txFillClrLst>
    <dgm:txEffectClrLst/>
  </dgm:styleLbl>
  <dgm:styleLbl name="fgAcc4">
    <dgm:fillClrLst meth="repeat">
      <a:schemeClr val="lt1">
        <a:alpha val="90000"/>
      </a:schemeClr>
    </dgm:fillClrLst>
    <dgm:linClrLst>
      <a:schemeClr val="accent4"/>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5.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6.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7.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64094CA8-4C2A-8D49-9D26-156AD3202FE4}" type="doc">
      <dgm:prSet loTypeId="urn:microsoft.com/office/officeart/2005/8/layout/hierarchy3" loCatId="" qsTypeId="urn:microsoft.com/office/officeart/2005/8/quickstyle/simple1" qsCatId="simple" csTypeId="urn:microsoft.com/office/officeart/2005/8/colors/accent1_2" csCatId="accent1" phldr="1"/>
      <dgm:spPr/>
      <dgm:t>
        <a:bodyPr/>
        <a:lstStyle/>
        <a:p>
          <a:endParaRPr lang="en-US"/>
        </a:p>
      </dgm:t>
    </dgm:pt>
    <dgm:pt modelId="{E7268597-9177-EC40-A3CF-C94FAA22C91B}">
      <dgm:prSet phldrT="[Text]"/>
      <dgm:spPr/>
      <dgm:t>
        <a:bodyPr/>
        <a:lstStyle/>
        <a:p>
          <a:r>
            <a:rPr lang="en-US"/>
            <a:t>Lake Mariner Data</a:t>
          </a:r>
        </a:p>
      </dgm:t>
    </dgm:pt>
    <dgm:pt modelId="{00B02EC2-8A07-614F-A10D-881E5EA4AE65}" type="parTrans" cxnId="{BBE298E2-6922-3E4C-943C-E6B0FFC3394C}">
      <dgm:prSet/>
      <dgm:spPr/>
      <dgm:t>
        <a:bodyPr/>
        <a:lstStyle/>
        <a:p>
          <a:endParaRPr lang="en-US"/>
        </a:p>
      </dgm:t>
    </dgm:pt>
    <dgm:pt modelId="{F8AF00D9-866B-9448-90E5-5873F5FA4490}" type="sibTrans" cxnId="{BBE298E2-6922-3E4C-943C-E6B0FFC3394C}">
      <dgm:prSet/>
      <dgm:spPr/>
      <dgm:t>
        <a:bodyPr/>
        <a:lstStyle/>
        <a:p>
          <a:endParaRPr lang="en-US"/>
        </a:p>
      </dgm:t>
    </dgm:pt>
    <dgm:pt modelId="{01F31D66-AD98-964F-9456-C469823ADA57}">
      <dgm:prSet phldrT="[Text]"/>
      <dgm:spPr/>
      <dgm:t>
        <a:bodyPr/>
        <a:lstStyle/>
        <a:p>
          <a:r>
            <a:rPr lang="en-US"/>
            <a:t>4 cent power on avg. year-round</a:t>
          </a:r>
        </a:p>
      </dgm:t>
    </dgm:pt>
    <dgm:pt modelId="{45928A7F-1469-F04B-852D-093FB735F2D9}" type="parTrans" cxnId="{A3BF8042-06BC-8548-81FC-DCF814FC2B1D}">
      <dgm:prSet/>
      <dgm:spPr/>
      <dgm:t>
        <a:bodyPr/>
        <a:lstStyle/>
        <a:p>
          <a:endParaRPr lang="en-US"/>
        </a:p>
      </dgm:t>
    </dgm:pt>
    <dgm:pt modelId="{331D7E42-7045-864D-8EC0-C95355A11DE5}" type="sibTrans" cxnId="{A3BF8042-06BC-8548-81FC-DCF814FC2B1D}">
      <dgm:prSet/>
      <dgm:spPr/>
      <dgm:t>
        <a:bodyPr/>
        <a:lstStyle/>
        <a:p>
          <a:endParaRPr lang="en-US"/>
        </a:p>
      </dgm:t>
    </dgm:pt>
    <dgm:pt modelId="{F20A7878-B500-8341-A683-CEC44AA85127}">
      <dgm:prSet phldrT="[Text]"/>
      <dgm:spPr/>
      <dgm:t>
        <a:bodyPr/>
        <a:lstStyle/>
        <a:p>
          <a:r>
            <a:rPr lang="en-US"/>
            <a:t>195 MW online (500 MW capacity)</a:t>
          </a:r>
        </a:p>
      </dgm:t>
    </dgm:pt>
    <dgm:pt modelId="{4E957A3C-DA6C-BD42-8498-813A992E773F}" type="parTrans" cxnId="{12E9C3BB-ED7E-BA43-A8D5-C714A8066563}">
      <dgm:prSet/>
      <dgm:spPr/>
      <dgm:t>
        <a:bodyPr/>
        <a:lstStyle/>
        <a:p>
          <a:endParaRPr lang="en-US"/>
        </a:p>
      </dgm:t>
    </dgm:pt>
    <dgm:pt modelId="{13438AC4-2FE7-9247-AE6E-A589E8603080}" type="sibTrans" cxnId="{12E9C3BB-ED7E-BA43-A8D5-C714A8066563}">
      <dgm:prSet/>
      <dgm:spPr/>
      <dgm:t>
        <a:bodyPr/>
        <a:lstStyle/>
        <a:p>
          <a:endParaRPr lang="en-US"/>
        </a:p>
      </dgm:t>
    </dgm:pt>
    <dgm:pt modelId="{E8C2A6B6-E153-594C-9526-77CD2D59D6B4}">
      <dgm:prSet phldrT="[Text]"/>
      <dgm:spPr/>
      <dgm:t>
        <a:bodyPr/>
        <a:lstStyle/>
        <a:p>
          <a:r>
            <a:rPr lang="en-US"/>
            <a:t>Nautilus Cryptomine</a:t>
          </a:r>
        </a:p>
      </dgm:t>
    </dgm:pt>
    <dgm:pt modelId="{1833540D-6E50-C348-9650-6E357A87AFC3}" type="parTrans" cxnId="{0C452AC8-BA7F-8041-B289-A43BA6916BC4}">
      <dgm:prSet/>
      <dgm:spPr/>
      <dgm:t>
        <a:bodyPr/>
        <a:lstStyle/>
        <a:p>
          <a:endParaRPr lang="en-US"/>
        </a:p>
      </dgm:t>
    </dgm:pt>
    <dgm:pt modelId="{431E8B80-5783-844B-9977-5DC8894CEB27}" type="sibTrans" cxnId="{0C452AC8-BA7F-8041-B289-A43BA6916BC4}">
      <dgm:prSet/>
      <dgm:spPr/>
      <dgm:t>
        <a:bodyPr/>
        <a:lstStyle/>
        <a:p>
          <a:endParaRPr lang="en-US"/>
        </a:p>
      </dgm:t>
    </dgm:pt>
    <dgm:pt modelId="{95B689F2-2A3D-524D-9009-9D76D63713AF}">
      <dgm:prSet phldrT="[Text]"/>
      <dgm:spPr/>
      <dgm:t>
        <a:bodyPr/>
        <a:lstStyle/>
        <a:p>
          <a:r>
            <a:rPr lang="en-US"/>
            <a:t>2 cent fixed price for 5 years (started early 2023)</a:t>
          </a:r>
        </a:p>
      </dgm:t>
    </dgm:pt>
    <dgm:pt modelId="{CC71D272-ABC7-5443-862C-395F5B6AB83A}" type="parTrans" cxnId="{640177DE-2B1B-1F4A-93F1-891F216FAD9D}">
      <dgm:prSet/>
      <dgm:spPr/>
      <dgm:t>
        <a:bodyPr/>
        <a:lstStyle/>
        <a:p>
          <a:endParaRPr lang="en-US"/>
        </a:p>
      </dgm:t>
    </dgm:pt>
    <dgm:pt modelId="{DBC7F747-68F9-2E43-BF36-11FC999E04AF}" type="sibTrans" cxnId="{640177DE-2B1B-1F4A-93F1-891F216FAD9D}">
      <dgm:prSet/>
      <dgm:spPr/>
      <dgm:t>
        <a:bodyPr/>
        <a:lstStyle/>
        <a:p>
          <a:endParaRPr lang="en-US"/>
        </a:p>
      </dgm:t>
    </dgm:pt>
    <dgm:pt modelId="{7D98C750-12B5-2B42-A68C-222721A387C4}">
      <dgm:prSet phldrT="[Text]"/>
      <dgm:spPr/>
      <dgm:t>
        <a:bodyPr/>
        <a:lstStyle/>
        <a:p>
          <a:r>
            <a:rPr lang="en-US"/>
            <a:t>50 MW online (100 MW capacity)</a:t>
          </a:r>
        </a:p>
      </dgm:t>
    </dgm:pt>
    <dgm:pt modelId="{777A4B6E-B627-8A49-B8D7-872E838E3023}" type="parTrans" cxnId="{28D63765-E3CF-6941-B926-A13FD477F5FF}">
      <dgm:prSet/>
      <dgm:spPr/>
      <dgm:t>
        <a:bodyPr/>
        <a:lstStyle/>
        <a:p>
          <a:endParaRPr lang="en-US"/>
        </a:p>
      </dgm:t>
    </dgm:pt>
    <dgm:pt modelId="{4577DD7E-7414-C644-BD37-12D2DD38CBBA}" type="sibTrans" cxnId="{28D63765-E3CF-6941-B926-A13FD477F5FF}">
      <dgm:prSet/>
      <dgm:spPr/>
      <dgm:t>
        <a:bodyPr/>
        <a:lstStyle/>
        <a:p>
          <a:endParaRPr lang="en-US"/>
        </a:p>
      </dgm:t>
    </dgm:pt>
    <dgm:pt modelId="{0EAE9282-F970-0C4D-95C9-E11571672795}">
      <dgm:prSet/>
      <dgm:spPr/>
      <dgm:t>
        <a:bodyPr/>
        <a:lstStyle/>
        <a:p>
          <a:r>
            <a:rPr lang="en-US"/>
            <a:t>Planning to have 2.5 MW of ai compute by September 24</a:t>
          </a:r>
        </a:p>
      </dgm:t>
    </dgm:pt>
    <dgm:pt modelId="{4AB59F2D-1778-094E-BA20-9A8BBB6A2F1C}" type="parTrans" cxnId="{2B90B1AE-8E72-F744-92B1-80C84ED90BC4}">
      <dgm:prSet/>
      <dgm:spPr/>
      <dgm:t>
        <a:bodyPr/>
        <a:lstStyle/>
        <a:p>
          <a:endParaRPr lang="en-US"/>
        </a:p>
      </dgm:t>
    </dgm:pt>
    <dgm:pt modelId="{CEDE68F2-A1C1-614F-A429-32A3717979FA}" type="sibTrans" cxnId="{2B90B1AE-8E72-F744-92B1-80C84ED90BC4}">
      <dgm:prSet/>
      <dgm:spPr/>
      <dgm:t>
        <a:bodyPr/>
        <a:lstStyle/>
        <a:p>
          <a:endParaRPr lang="en-US"/>
        </a:p>
      </dgm:t>
    </dgm:pt>
    <dgm:pt modelId="{97190DB8-1BF3-C444-827E-1A7BB39C2D06}">
      <dgm:prSet/>
      <dgm:spPr/>
      <dgm:t>
        <a:bodyPr/>
        <a:lstStyle/>
        <a:p>
          <a:r>
            <a:rPr lang="en-US"/>
            <a:t>+20 MW by YE24, +50  MW by 1H25. </a:t>
          </a:r>
          <a:r>
            <a:rPr lang="en-US">
              <a:solidFill>
                <a:schemeClr val="accent1"/>
              </a:solidFill>
            </a:rPr>
            <a:t>( Fully redundant electrical, high-speed fiber, and direct liquid cooling capabilities to support 90+kW/rack and capable of 145/kW/rack with PDU modifications.)</a:t>
          </a:r>
        </a:p>
      </dgm:t>
    </dgm:pt>
    <dgm:pt modelId="{DAAF45CC-DF0E-E14A-A869-22B3CC0A44D8}" type="parTrans" cxnId="{C9EBF0A3-258B-544E-AF0E-ABAC91FE4E60}">
      <dgm:prSet/>
      <dgm:spPr/>
      <dgm:t>
        <a:bodyPr/>
        <a:lstStyle/>
        <a:p>
          <a:endParaRPr lang="en-US"/>
        </a:p>
      </dgm:t>
    </dgm:pt>
    <dgm:pt modelId="{4B7DC207-6FAE-FF43-B1F1-39DCCFDF47BB}" type="sibTrans" cxnId="{C9EBF0A3-258B-544E-AF0E-ABAC91FE4E60}">
      <dgm:prSet/>
      <dgm:spPr/>
      <dgm:t>
        <a:bodyPr/>
        <a:lstStyle/>
        <a:p>
          <a:endParaRPr lang="en-US"/>
        </a:p>
      </dgm:t>
    </dgm:pt>
    <dgm:pt modelId="{1EFC55F4-453E-964C-B6F1-73D09AFAB88B}">
      <dgm:prSet/>
      <dgm:spPr/>
      <dgm:t>
        <a:bodyPr/>
        <a:lstStyle/>
        <a:p>
          <a:r>
            <a:rPr lang="en-US"/>
            <a:t>Option to extend the fixed price contract twice, 3-year period for each extension. </a:t>
          </a:r>
        </a:p>
      </dgm:t>
    </dgm:pt>
    <dgm:pt modelId="{50C1DE0E-8149-2A40-8742-CDCE4EAFBB71}" type="parTrans" cxnId="{43DF592E-4713-EF41-8BBD-576F86EDA328}">
      <dgm:prSet/>
      <dgm:spPr/>
      <dgm:t>
        <a:bodyPr/>
        <a:lstStyle/>
        <a:p>
          <a:endParaRPr lang="en-US"/>
        </a:p>
      </dgm:t>
    </dgm:pt>
    <dgm:pt modelId="{C8CD4B7A-0CEA-B843-B89B-F7A946034581}" type="sibTrans" cxnId="{43DF592E-4713-EF41-8BBD-576F86EDA328}">
      <dgm:prSet/>
      <dgm:spPr/>
      <dgm:t>
        <a:bodyPr/>
        <a:lstStyle/>
        <a:p>
          <a:endParaRPr lang="en-US"/>
        </a:p>
      </dgm:t>
    </dgm:pt>
    <dgm:pt modelId="{4AF73575-15B9-994A-960A-F5387E15C57D}">
      <dgm:prSet/>
      <dgm:spPr/>
      <dgm:t>
        <a:bodyPr/>
        <a:lstStyle/>
        <a:p>
          <a:r>
            <a:rPr lang="en-US"/>
            <a:t>Doesn't directly state that the 2 cent fixed price will be guaranteed if they extend the contract</a:t>
          </a:r>
        </a:p>
      </dgm:t>
    </dgm:pt>
    <dgm:pt modelId="{975EDE38-B2D5-A94A-AFBF-854C2E0D0761}" type="parTrans" cxnId="{FE25A149-4E6B-9546-99DC-8DEADA416D45}">
      <dgm:prSet/>
      <dgm:spPr/>
      <dgm:t>
        <a:bodyPr/>
        <a:lstStyle/>
        <a:p>
          <a:endParaRPr lang="en-US"/>
        </a:p>
      </dgm:t>
    </dgm:pt>
    <dgm:pt modelId="{ECCAE0E5-474C-4C4B-8FD0-E708A6829B03}" type="sibTrans" cxnId="{FE25A149-4E6B-9546-99DC-8DEADA416D45}">
      <dgm:prSet/>
      <dgm:spPr/>
      <dgm:t>
        <a:bodyPr/>
        <a:lstStyle/>
        <a:p>
          <a:endParaRPr lang="en-US"/>
        </a:p>
      </dgm:t>
    </dgm:pt>
    <dgm:pt modelId="{2572AB5D-CFF3-5646-BFB5-2FE8D9F69F87}">
      <dgm:prSet/>
      <dgm:spPr/>
      <dgm:t>
        <a:bodyPr/>
        <a:lstStyle/>
        <a:p>
          <a:r>
            <a:rPr lang="en-US"/>
            <a:t>25% JV with Talen Energy who owns the remaining 75% of facilities</a:t>
          </a:r>
        </a:p>
      </dgm:t>
    </dgm:pt>
    <dgm:pt modelId="{C3AF5CB7-4408-5743-989E-78DE35FBF2E4}" type="parTrans" cxnId="{671767C5-2560-A24A-BBA1-D24C9AF786F6}">
      <dgm:prSet/>
      <dgm:spPr/>
      <dgm:t>
        <a:bodyPr/>
        <a:lstStyle/>
        <a:p>
          <a:endParaRPr lang="en-US"/>
        </a:p>
      </dgm:t>
    </dgm:pt>
    <dgm:pt modelId="{75DDBEE8-8602-E342-97CF-8F15E15510E2}" type="sibTrans" cxnId="{671767C5-2560-A24A-BBA1-D24C9AF786F6}">
      <dgm:prSet/>
      <dgm:spPr/>
      <dgm:t>
        <a:bodyPr/>
        <a:lstStyle/>
        <a:p>
          <a:endParaRPr lang="en-US"/>
        </a:p>
      </dgm:t>
    </dgm:pt>
    <dgm:pt modelId="{E3B1198C-4FD2-0E41-B7C1-E8B3AA419344}">
      <dgm:prSet/>
      <dgm:spPr/>
      <dgm:t>
        <a:bodyPr/>
        <a:lstStyle/>
        <a:p>
          <a:r>
            <a:rPr lang="en-US"/>
            <a:t>railroad access</a:t>
          </a:r>
        </a:p>
      </dgm:t>
    </dgm:pt>
    <dgm:pt modelId="{8F440E78-DF37-7541-ABD0-2A12B6E4DD86}" type="parTrans" cxnId="{DBB97F3D-7D40-D44A-8067-96F483561E5E}">
      <dgm:prSet/>
      <dgm:spPr/>
      <dgm:t>
        <a:bodyPr/>
        <a:lstStyle/>
        <a:p>
          <a:endParaRPr lang="en-US"/>
        </a:p>
      </dgm:t>
    </dgm:pt>
    <dgm:pt modelId="{769A4375-0C21-6740-9731-0E8CC239961E}" type="sibTrans" cxnId="{DBB97F3D-7D40-D44A-8067-96F483561E5E}">
      <dgm:prSet/>
      <dgm:spPr/>
      <dgm:t>
        <a:bodyPr/>
        <a:lstStyle/>
        <a:p>
          <a:endParaRPr lang="en-US"/>
        </a:p>
      </dgm:t>
    </dgm:pt>
    <dgm:pt modelId="{05901BB2-8096-FD44-8B47-23E9A345D114}" type="pres">
      <dgm:prSet presAssocID="{64094CA8-4C2A-8D49-9D26-156AD3202FE4}" presName="diagram" presStyleCnt="0">
        <dgm:presLayoutVars>
          <dgm:chPref val="1"/>
          <dgm:dir/>
          <dgm:animOne val="branch"/>
          <dgm:animLvl val="lvl"/>
          <dgm:resizeHandles/>
        </dgm:presLayoutVars>
      </dgm:prSet>
      <dgm:spPr/>
    </dgm:pt>
    <dgm:pt modelId="{C80B7E05-87FC-BB4B-9153-93A1F40F5842}" type="pres">
      <dgm:prSet presAssocID="{E7268597-9177-EC40-A3CF-C94FAA22C91B}" presName="root" presStyleCnt="0"/>
      <dgm:spPr/>
    </dgm:pt>
    <dgm:pt modelId="{4B0E23BF-FC75-3F49-91C0-5F89F5185830}" type="pres">
      <dgm:prSet presAssocID="{E7268597-9177-EC40-A3CF-C94FAA22C91B}" presName="rootComposite" presStyleCnt="0"/>
      <dgm:spPr/>
    </dgm:pt>
    <dgm:pt modelId="{9181DB18-31B8-D445-85EE-570CDDBD725F}" type="pres">
      <dgm:prSet presAssocID="{E7268597-9177-EC40-A3CF-C94FAA22C91B}" presName="rootText" presStyleLbl="node1" presStyleIdx="0" presStyleCnt="2"/>
      <dgm:spPr/>
    </dgm:pt>
    <dgm:pt modelId="{6A66E622-AD12-9240-8431-32FE309D7D90}" type="pres">
      <dgm:prSet presAssocID="{E7268597-9177-EC40-A3CF-C94FAA22C91B}" presName="rootConnector" presStyleLbl="node1" presStyleIdx="0" presStyleCnt="2"/>
      <dgm:spPr/>
    </dgm:pt>
    <dgm:pt modelId="{1EB2FB1E-E70C-2A47-9ED4-6A836D25393E}" type="pres">
      <dgm:prSet presAssocID="{E7268597-9177-EC40-A3CF-C94FAA22C91B}" presName="childShape" presStyleCnt="0"/>
      <dgm:spPr/>
    </dgm:pt>
    <dgm:pt modelId="{F6F98C0C-F7B3-0B4D-9C03-4B04BF9B502D}" type="pres">
      <dgm:prSet presAssocID="{45928A7F-1469-F04B-852D-093FB735F2D9}" presName="Name13" presStyleLbl="parChTrans1D2" presStyleIdx="0" presStyleCnt="10"/>
      <dgm:spPr/>
    </dgm:pt>
    <dgm:pt modelId="{48D02552-C26A-874E-AD79-704D1904F46D}" type="pres">
      <dgm:prSet presAssocID="{01F31D66-AD98-964F-9456-C469823ADA57}" presName="childText" presStyleLbl="bgAcc1" presStyleIdx="0" presStyleCnt="10">
        <dgm:presLayoutVars>
          <dgm:bulletEnabled val="1"/>
        </dgm:presLayoutVars>
      </dgm:prSet>
      <dgm:spPr/>
    </dgm:pt>
    <dgm:pt modelId="{7945B23B-AB16-0043-8F09-33C18CEC9CDD}" type="pres">
      <dgm:prSet presAssocID="{4E957A3C-DA6C-BD42-8498-813A992E773F}" presName="Name13" presStyleLbl="parChTrans1D2" presStyleIdx="1" presStyleCnt="10"/>
      <dgm:spPr/>
    </dgm:pt>
    <dgm:pt modelId="{C60E267D-42F8-A540-BF89-4CBC0A4245C5}" type="pres">
      <dgm:prSet presAssocID="{F20A7878-B500-8341-A683-CEC44AA85127}" presName="childText" presStyleLbl="bgAcc1" presStyleIdx="1" presStyleCnt="10" custLinFactNeighborX="2548" custLinFactNeighborY="5437">
        <dgm:presLayoutVars>
          <dgm:bulletEnabled val="1"/>
        </dgm:presLayoutVars>
      </dgm:prSet>
      <dgm:spPr/>
    </dgm:pt>
    <dgm:pt modelId="{961685D4-B400-0940-A426-C55ED2527B14}" type="pres">
      <dgm:prSet presAssocID="{8F440E78-DF37-7541-ABD0-2A12B6E4DD86}" presName="Name13" presStyleLbl="parChTrans1D2" presStyleIdx="2" presStyleCnt="10"/>
      <dgm:spPr/>
    </dgm:pt>
    <dgm:pt modelId="{60594869-CE55-FE4C-9377-A58979C70DBF}" type="pres">
      <dgm:prSet presAssocID="{E3B1198C-4FD2-0E41-B7C1-E8B3AA419344}" presName="childText" presStyleLbl="bgAcc1" presStyleIdx="2" presStyleCnt="10">
        <dgm:presLayoutVars>
          <dgm:bulletEnabled val="1"/>
        </dgm:presLayoutVars>
      </dgm:prSet>
      <dgm:spPr/>
    </dgm:pt>
    <dgm:pt modelId="{3A5CEB2F-B57A-2B4B-B15E-8638E09154C7}" type="pres">
      <dgm:prSet presAssocID="{4AB59F2D-1778-094E-BA20-9A8BBB6A2F1C}" presName="Name13" presStyleLbl="parChTrans1D2" presStyleIdx="3" presStyleCnt="10"/>
      <dgm:spPr/>
    </dgm:pt>
    <dgm:pt modelId="{5838C77D-42B0-A748-8A2E-E130C7152812}" type="pres">
      <dgm:prSet presAssocID="{0EAE9282-F970-0C4D-95C9-E11571672795}" presName="childText" presStyleLbl="bgAcc1" presStyleIdx="3" presStyleCnt="10">
        <dgm:presLayoutVars>
          <dgm:bulletEnabled val="1"/>
        </dgm:presLayoutVars>
      </dgm:prSet>
      <dgm:spPr/>
    </dgm:pt>
    <dgm:pt modelId="{978A0FED-B670-A242-BA7C-5214B0542318}" type="pres">
      <dgm:prSet presAssocID="{DAAF45CC-DF0E-E14A-A869-22B3CC0A44D8}" presName="Name13" presStyleLbl="parChTrans1D2" presStyleIdx="4" presStyleCnt="10"/>
      <dgm:spPr/>
    </dgm:pt>
    <dgm:pt modelId="{9CA7D978-AEA2-254D-857B-969EA0978405}" type="pres">
      <dgm:prSet presAssocID="{97190DB8-1BF3-C444-827E-1A7BB39C2D06}" presName="childText" presStyleLbl="bgAcc1" presStyleIdx="4" presStyleCnt="10" custScaleX="267171" custScaleY="138151">
        <dgm:presLayoutVars>
          <dgm:bulletEnabled val="1"/>
        </dgm:presLayoutVars>
      </dgm:prSet>
      <dgm:spPr/>
    </dgm:pt>
    <dgm:pt modelId="{873B129D-3627-0742-B55A-A507EDA2BBE0}" type="pres">
      <dgm:prSet presAssocID="{E8C2A6B6-E153-594C-9526-77CD2D59D6B4}" presName="root" presStyleCnt="0"/>
      <dgm:spPr/>
    </dgm:pt>
    <dgm:pt modelId="{3BA19A68-4481-3349-B0F8-51D074E9763A}" type="pres">
      <dgm:prSet presAssocID="{E8C2A6B6-E153-594C-9526-77CD2D59D6B4}" presName="rootComposite" presStyleCnt="0"/>
      <dgm:spPr/>
    </dgm:pt>
    <dgm:pt modelId="{E2E0A908-5D7E-DC4E-BC78-26065AD4A3B1}" type="pres">
      <dgm:prSet presAssocID="{E8C2A6B6-E153-594C-9526-77CD2D59D6B4}" presName="rootText" presStyleLbl="node1" presStyleIdx="1" presStyleCnt="2" custLinFactNeighborY="-12"/>
      <dgm:spPr/>
    </dgm:pt>
    <dgm:pt modelId="{F935D375-C43B-8744-A824-F9A260EC4290}" type="pres">
      <dgm:prSet presAssocID="{E8C2A6B6-E153-594C-9526-77CD2D59D6B4}" presName="rootConnector" presStyleLbl="node1" presStyleIdx="1" presStyleCnt="2"/>
      <dgm:spPr/>
    </dgm:pt>
    <dgm:pt modelId="{7110758F-38F3-B140-9D09-4364D7115180}" type="pres">
      <dgm:prSet presAssocID="{E8C2A6B6-E153-594C-9526-77CD2D59D6B4}" presName="childShape" presStyleCnt="0"/>
      <dgm:spPr/>
    </dgm:pt>
    <dgm:pt modelId="{5FF5D5B8-1F07-1147-8228-B0A89BCC2C81}" type="pres">
      <dgm:prSet presAssocID="{C3AF5CB7-4408-5743-989E-78DE35FBF2E4}" presName="Name13" presStyleLbl="parChTrans1D2" presStyleIdx="5" presStyleCnt="10"/>
      <dgm:spPr/>
    </dgm:pt>
    <dgm:pt modelId="{B7B74731-57CB-A34D-8286-1725B282CE32}" type="pres">
      <dgm:prSet presAssocID="{2572AB5D-CFF3-5646-BFB5-2FE8D9F69F87}" presName="childText" presStyleLbl="bgAcc1" presStyleIdx="5" presStyleCnt="10">
        <dgm:presLayoutVars>
          <dgm:bulletEnabled val="1"/>
        </dgm:presLayoutVars>
      </dgm:prSet>
      <dgm:spPr/>
    </dgm:pt>
    <dgm:pt modelId="{0654EE8E-BB98-FA43-9C8B-6A07FB9B0F78}" type="pres">
      <dgm:prSet presAssocID="{CC71D272-ABC7-5443-862C-395F5B6AB83A}" presName="Name13" presStyleLbl="parChTrans1D2" presStyleIdx="6" presStyleCnt="10"/>
      <dgm:spPr/>
    </dgm:pt>
    <dgm:pt modelId="{869EF5B1-574A-3C4B-9DCF-7FDA5335A41E}" type="pres">
      <dgm:prSet presAssocID="{95B689F2-2A3D-524D-9009-9D76D63713AF}" presName="childText" presStyleLbl="bgAcc1" presStyleIdx="6" presStyleCnt="10">
        <dgm:presLayoutVars>
          <dgm:bulletEnabled val="1"/>
        </dgm:presLayoutVars>
      </dgm:prSet>
      <dgm:spPr/>
    </dgm:pt>
    <dgm:pt modelId="{6B7F4078-9D0C-524E-A8A3-E83C63A9B797}" type="pres">
      <dgm:prSet presAssocID="{777A4B6E-B627-8A49-B8D7-872E838E3023}" presName="Name13" presStyleLbl="parChTrans1D2" presStyleIdx="7" presStyleCnt="10"/>
      <dgm:spPr/>
    </dgm:pt>
    <dgm:pt modelId="{E270BC5B-F356-944E-BF99-0A6912397757}" type="pres">
      <dgm:prSet presAssocID="{7D98C750-12B5-2B42-A68C-222721A387C4}" presName="childText" presStyleLbl="bgAcc1" presStyleIdx="7" presStyleCnt="10">
        <dgm:presLayoutVars>
          <dgm:bulletEnabled val="1"/>
        </dgm:presLayoutVars>
      </dgm:prSet>
      <dgm:spPr/>
    </dgm:pt>
    <dgm:pt modelId="{04B1E273-94C9-5742-86C2-098EA52C7339}" type="pres">
      <dgm:prSet presAssocID="{50C1DE0E-8149-2A40-8742-CDCE4EAFBB71}" presName="Name13" presStyleLbl="parChTrans1D2" presStyleIdx="8" presStyleCnt="10"/>
      <dgm:spPr/>
    </dgm:pt>
    <dgm:pt modelId="{0458C557-94F0-3A4D-9EA6-EE5A48622BD1}" type="pres">
      <dgm:prSet presAssocID="{1EFC55F4-453E-964C-B6F1-73D09AFAB88B}" presName="childText" presStyleLbl="bgAcc1" presStyleIdx="8" presStyleCnt="10">
        <dgm:presLayoutVars>
          <dgm:bulletEnabled val="1"/>
        </dgm:presLayoutVars>
      </dgm:prSet>
      <dgm:spPr/>
    </dgm:pt>
    <dgm:pt modelId="{6276D79E-F214-CC47-BC89-FFFF9EEBD13C}" type="pres">
      <dgm:prSet presAssocID="{975EDE38-B2D5-A94A-AFBF-854C2E0D0761}" presName="Name13" presStyleLbl="parChTrans1D2" presStyleIdx="9" presStyleCnt="10"/>
      <dgm:spPr/>
    </dgm:pt>
    <dgm:pt modelId="{C52F3103-E685-1846-8711-EA796C6205DA}" type="pres">
      <dgm:prSet presAssocID="{4AF73575-15B9-994A-960A-F5387E15C57D}" presName="childText" presStyleLbl="bgAcc1" presStyleIdx="9" presStyleCnt="10">
        <dgm:presLayoutVars>
          <dgm:bulletEnabled val="1"/>
        </dgm:presLayoutVars>
      </dgm:prSet>
      <dgm:spPr/>
    </dgm:pt>
  </dgm:ptLst>
  <dgm:cxnLst>
    <dgm:cxn modelId="{DCC9A10E-B195-5A43-A291-2332935EE96B}" type="presOf" srcId="{8F440E78-DF37-7541-ABD0-2A12B6E4DD86}" destId="{961685D4-B400-0940-A426-C55ED2527B14}" srcOrd="0" destOrd="0" presId="urn:microsoft.com/office/officeart/2005/8/layout/hierarchy3"/>
    <dgm:cxn modelId="{57592011-42E1-1648-9225-C967EFBE9C07}" type="presOf" srcId="{1EFC55F4-453E-964C-B6F1-73D09AFAB88B}" destId="{0458C557-94F0-3A4D-9EA6-EE5A48622BD1}" srcOrd="0" destOrd="0" presId="urn:microsoft.com/office/officeart/2005/8/layout/hierarchy3"/>
    <dgm:cxn modelId="{6077031D-C5CA-6D40-930B-0AC7F0B895BC}" type="presOf" srcId="{2572AB5D-CFF3-5646-BFB5-2FE8D9F69F87}" destId="{B7B74731-57CB-A34D-8286-1725B282CE32}" srcOrd="0" destOrd="0" presId="urn:microsoft.com/office/officeart/2005/8/layout/hierarchy3"/>
    <dgm:cxn modelId="{935AF128-E66A-1A4D-8D3C-6FEE8ED152D9}" type="presOf" srcId="{E7268597-9177-EC40-A3CF-C94FAA22C91B}" destId="{9181DB18-31B8-D445-85EE-570CDDBD725F}" srcOrd="0" destOrd="0" presId="urn:microsoft.com/office/officeart/2005/8/layout/hierarchy3"/>
    <dgm:cxn modelId="{43DF592E-4713-EF41-8BBD-576F86EDA328}" srcId="{E8C2A6B6-E153-594C-9526-77CD2D59D6B4}" destId="{1EFC55F4-453E-964C-B6F1-73D09AFAB88B}" srcOrd="3" destOrd="0" parTransId="{50C1DE0E-8149-2A40-8742-CDCE4EAFBB71}" sibTransId="{C8CD4B7A-0CEA-B843-B89B-F7A946034581}"/>
    <dgm:cxn modelId="{DBB97F3D-7D40-D44A-8067-96F483561E5E}" srcId="{E7268597-9177-EC40-A3CF-C94FAA22C91B}" destId="{E3B1198C-4FD2-0E41-B7C1-E8B3AA419344}" srcOrd="2" destOrd="0" parTransId="{8F440E78-DF37-7541-ABD0-2A12B6E4DD86}" sibTransId="{769A4375-0C21-6740-9731-0E8CC239961E}"/>
    <dgm:cxn modelId="{A3BF8042-06BC-8548-81FC-DCF814FC2B1D}" srcId="{E7268597-9177-EC40-A3CF-C94FAA22C91B}" destId="{01F31D66-AD98-964F-9456-C469823ADA57}" srcOrd="0" destOrd="0" parTransId="{45928A7F-1469-F04B-852D-093FB735F2D9}" sibTransId="{331D7E42-7045-864D-8EC0-C95355A11DE5}"/>
    <dgm:cxn modelId="{0B3CF143-0633-7C45-B78A-2D0A6E09680F}" type="presOf" srcId="{E8C2A6B6-E153-594C-9526-77CD2D59D6B4}" destId="{E2E0A908-5D7E-DC4E-BC78-26065AD4A3B1}" srcOrd="0" destOrd="0" presId="urn:microsoft.com/office/officeart/2005/8/layout/hierarchy3"/>
    <dgm:cxn modelId="{5C2C7044-D832-EE43-8BF4-063661BBEC13}" type="presOf" srcId="{CC71D272-ABC7-5443-862C-395F5B6AB83A}" destId="{0654EE8E-BB98-FA43-9C8B-6A07FB9B0F78}" srcOrd="0" destOrd="0" presId="urn:microsoft.com/office/officeart/2005/8/layout/hierarchy3"/>
    <dgm:cxn modelId="{FE25A149-4E6B-9546-99DC-8DEADA416D45}" srcId="{E8C2A6B6-E153-594C-9526-77CD2D59D6B4}" destId="{4AF73575-15B9-994A-960A-F5387E15C57D}" srcOrd="4" destOrd="0" parTransId="{975EDE38-B2D5-A94A-AFBF-854C2E0D0761}" sibTransId="{ECCAE0E5-474C-4C4B-8FD0-E708A6829B03}"/>
    <dgm:cxn modelId="{28D63765-E3CF-6941-B926-A13FD477F5FF}" srcId="{E8C2A6B6-E153-594C-9526-77CD2D59D6B4}" destId="{7D98C750-12B5-2B42-A68C-222721A387C4}" srcOrd="2" destOrd="0" parTransId="{777A4B6E-B627-8A49-B8D7-872E838E3023}" sibTransId="{4577DD7E-7414-C644-BD37-12D2DD38CBBA}"/>
    <dgm:cxn modelId="{EBCFC76A-4908-7E43-9022-4EFB689CFBB5}" type="presOf" srcId="{F20A7878-B500-8341-A683-CEC44AA85127}" destId="{C60E267D-42F8-A540-BF89-4CBC0A4245C5}" srcOrd="0" destOrd="0" presId="urn:microsoft.com/office/officeart/2005/8/layout/hierarchy3"/>
    <dgm:cxn modelId="{F886C76C-FD3A-FF40-95F7-66CB7C189D6D}" type="presOf" srcId="{E8C2A6B6-E153-594C-9526-77CD2D59D6B4}" destId="{F935D375-C43B-8744-A824-F9A260EC4290}" srcOrd="1" destOrd="0" presId="urn:microsoft.com/office/officeart/2005/8/layout/hierarchy3"/>
    <dgm:cxn modelId="{E5FDEA84-C8CD-5A41-A69C-29BAB54522AE}" type="presOf" srcId="{64094CA8-4C2A-8D49-9D26-156AD3202FE4}" destId="{05901BB2-8096-FD44-8B47-23E9A345D114}" srcOrd="0" destOrd="0" presId="urn:microsoft.com/office/officeart/2005/8/layout/hierarchy3"/>
    <dgm:cxn modelId="{41780D87-83B3-064B-9975-2CD997863329}" type="presOf" srcId="{E7268597-9177-EC40-A3CF-C94FAA22C91B}" destId="{6A66E622-AD12-9240-8431-32FE309D7D90}" srcOrd="1" destOrd="0" presId="urn:microsoft.com/office/officeart/2005/8/layout/hierarchy3"/>
    <dgm:cxn modelId="{0F761389-3D9C-1240-8A65-A3BC5E8BB7C1}" type="presOf" srcId="{0EAE9282-F970-0C4D-95C9-E11571672795}" destId="{5838C77D-42B0-A748-8A2E-E130C7152812}" srcOrd="0" destOrd="0" presId="urn:microsoft.com/office/officeart/2005/8/layout/hierarchy3"/>
    <dgm:cxn modelId="{2EA4678E-60F5-524D-BBE8-E927A0705866}" type="presOf" srcId="{DAAF45CC-DF0E-E14A-A869-22B3CC0A44D8}" destId="{978A0FED-B670-A242-BA7C-5214B0542318}" srcOrd="0" destOrd="0" presId="urn:microsoft.com/office/officeart/2005/8/layout/hierarchy3"/>
    <dgm:cxn modelId="{285327A1-4300-8C46-A18F-07F62B694913}" type="presOf" srcId="{4E957A3C-DA6C-BD42-8498-813A992E773F}" destId="{7945B23B-AB16-0043-8F09-33C18CEC9CDD}" srcOrd="0" destOrd="0" presId="urn:microsoft.com/office/officeart/2005/8/layout/hierarchy3"/>
    <dgm:cxn modelId="{C9EBF0A3-258B-544E-AF0E-ABAC91FE4E60}" srcId="{E7268597-9177-EC40-A3CF-C94FAA22C91B}" destId="{97190DB8-1BF3-C444-827E-1A7BB39C2D06}" srcOrd="4" destOrd="0" parTransId="{DAAF45CC-DF0E-E14A-A869-22B3CC0A44D8}" sibTransId="{4B7DC207-6FAE-FF43-B1F1-39DCCFDF47BB}"/>
    <dgm:cxn modelId="{9EA706AB-F6D0-8F41-A88C-D77419E20C81}" type="presOf" srcId="{E3B1198C-4FD2-0E41-B7C1-E8B3AA419344}" destId="{60594869-CE55-FE4C-9377-A58979C70DBF}" srcOrd="0" destOrd="0" presId="urn:microsoft.com/office/officeart/2005/8/layout/hierarchy3"/>
    <dgm:cxn modelId="{2B90B1AE-8E72-F744-92B1-80C84ED90BC4}" srcId="{E7268597-9177-EC40-A3CF-C94FAA22C91B}" destId="{0EAE9282-F970-0C4D-95C9-E11571672795}" srcOrd="3" destOrd="0" parTransId="{4AB59F2D-1778-094E-BA20-9A8BBB6A2F1C}" sibTransId="{CEDE68F2-A1C1-614F-A429-32A3717979FA}"/>
    <dgm:cxn modelId="{6A0F63B2-0969-4041-8DE1-B57D94ADB6A8}" type="presOf" srcId="{45928A7F-1469-F04B-852D-093FB735F2D9}" destId="{F6F98C0C-F7B3-0B4D-9C03-4B04BF9B502D}" srcOrd="0" destOrd="0" presId="urn:microsoft.com/office/officeart/2005/8/layout/hierarchy3"/>
    <dgm:cxn modelId="{5B196AB2-7A84-E249-ADF4-7B90769C29FA}" type="presOf" srcId="{777A4B6E-B627-8A49-B8D7-872E838E3023}" destId="{6B7F4078-9D0C-524E-A8A3-E83C63A9B797}" srcOrd="0" destOrd="0" presId="urn:microsoft.com/office/officeart/2005/8/layout/hierarchy3"/>
    <dgm:cxn modelId="{12E9C3BB-ED7E-BA43-A8D5-C714A8066563}" srcId="{E7268597-9177-EC40-A3CF-C94FAA22C91B}" destId="{F20A7878-B500-8341-A683-CEC44AA85127}" srcOrd="1" destOrd="0" parTransId="{4E957A3C-DA6C-BD42-8498-813A992E773F}" sibTransId="{13438AC4-2FE7-9247-AE6E-A589E8603080}"/>
    <dgm:cxn modelId="{671767C5-2560-A24A-BBA1-D24C9AF786F6}" srcId="{E8C2A6B6-E153-594C-9526-77CD2D59D6B4}" destId="{2572AB5D-CFF3-5646-BFB5-2FE8D9F69F87}" srcOrd="0" destOrd="0" parTransId="{C3AF5CB7-4408-5743-989E-78DE35FBF2E4}" sibTransId="{75DDBEE8-8602-E342-97CF-8F15E15510E2}"/>
    <dgm:cxn modelId="{8B7B2BC6-B575-FA4B-9FF8-C2B476D5C0CB}" type="presOf" srcId="{975EDE38-B2D5-A94A-AFBF-854C2E0D0761}" destId="{6276D79E-F214-CC47-BC89-FFFF9EEBD13C}" srcOrd="0" destOrd="0" presId="urn:microsoft.com/office/officeart/2005/8/layout/hierarchy3"/>
    <dgm:cxn modelId="{0C452AC8-BA7F-8041-B289-A43BA6916BC4}" srcId="{64094CA8-4C2A-8D49-9D26-156AD3202FE4}" destId="{E8C2A6B6-E153-594C-9526-77CD2D59D6B4}" srcOrd="1" destOrd="0" parTransId="{1833540D-6E50-C348-9650-6E357A87AFC3}" sibTransId="{431E8B80-5783-844B-9977-5DC8894CEB27}"/>
    <dgm:cxn modelId="{2E6A5ECB-FEE5-EF4E-A0B9-AB3FB6A6EB07}" type="presOf" srcId="{01F31D66-AD98-964F-9456-C469823ADA57}" destId="{48D02552-C26A-874E-AD79-704D1904F46D}" srcOrd="0" destOrd="0" presId="urn:microsoft.com/office/officeart/2005/8/layout/hierarchy3"/>
    <dgm:cxn modelId="{640177DE-2B1B-1F4A-93F1-891F216FAD9D}" srcId="{E8C2A6B6-E153-594C-9526-77CD2D59D6B4}" destId="{95B689F2-2A3D-524D-9009-9D76D63713AF}" srcOrd="1" destOrd="0" parTransId="{CC71D272-ABC7-5443-862C-395F5B6AB83A}" sibTransId="{DBC7F747-68F9-2E43-BF36-11FC999E04AF}"/>
    <dgm:cxn modelId="{DD1480DE-F0F9-F249-A9D2-D11B188799ED}" type="presOf" srcId="{95B689F2-2A3D-524D-9009-9D76D63713AF}" destId="{869EF5B1-574A-3C4B-9DCF-7FDA5335A41E}" srcOrd="0" destOrd="0" presId="urn:microsoft.com/office/officeart/2005/8/layout/hierarchy3"/>
    <dgm:cxn modelId="{BBE298E2-6922-3E4C-943C-E6B0FFC3394C}" srcId="{64094CA8-4C2A-8D49-9D26-156AD3202FE4}" destId="{E7268597-9177-EC40-A3CF-C94FAA22C91B}" srcOrd="0" destOrd="0" parTransId="{00B02EC2-8A07-614F-A10D-881E5EA4AE65}" sibTransId="{F8AF00D9-866B-9448-90E5-5873F5FA4490}"/>
    <dgm:cxn modelId="{F09742E5-03E9-6542-811C-436B403DEBC5}" type="presOf" srcId="{97190DB8-1BF3-C444-827E-1A7BB39C2D06}" destId="{9CA7D978-AEA2-254D-857B-969EA0978405}" srcOrd="0" destOrd="0" presId="urn:microsoft.com/office/officeart/2005/8/layout/hierarchy3"/>
    <dgm:cxn modelId="{BAD8F1EA-41FB-B148-B2FC-4BF9FAF5F08F}" type="presOf" srcId="{50C1DE0E-8149-2A40-8742-CDCE4EAFBB71}" destId="{04B1E273-94C9-5742-86C2-098EA52C7339}" srcOrd="0" destOrd="0" presId="urn:microsoft.com/office/officeart/2005/8/layout/hierarchy3"/>
    <dgm:cxn modelId="{ABF275EF-F350-054F-93E6-C404A3DAE0AE}" type="presOf" srcId="{C3AF5CB7-4408-5743-989E-78DE35FBF2E4}" destId="{5FF5D5B8-1F07-1147-8228-B0A89BCC2C81}" srcOrd="0" destOrd="0" presId="urn:microsoft.com/office/officeart/2005/8/layout/hierarchy3"/>
    <dgm:cxn modelId="{0BBE18F2-B1DE-7744-9824-F8A203C6B85B}" type="presOf" srcId="{7D98C750-12B5-2B42-A68C-222721A387C4}" destId="{E270BC5B-F356-944E-BF99-0A6912397757}" srcOrd="0" destOrd="0" presId="urn:microsoft.com/office/officeart/2005/8/layout/hierarchy3"/>
    <dgm:cxn modelId="{119956F6-09B9-3A4F-8A89-9DCA68303722}" type="presOf" srcId="{4AF73575-15B9-994A-960A-F5387E15C57D}" destId="{C52F3103-E685-1846-8711-EA796C6205DA}" srcOrd="0" destOrd="0" presId="urn:microsoft.com/office/officeart/2005/8/layout/hierarchy3"/>
    <dgm:cxn modelId="{B4A87FF7-D1CC-204D-852A-08275AD638CC}" type="presOf" srcId="{4AB59F2D-1778-094E-BA20-9A8BBB6A2F1C}" destId="{3A5CEB2F-B57A-2B4B-B15E-8638E09154C7}" srcOrd="0" destOrd="0" presId="urn:microsoft.com/office/officeart/2005/8/layout/hierarchy3"/>
    <dgm:cxn modelId="{2DF4BC3A-FF5C-FB41-8A7D-6C8265386F42}" type="presParOf" srcId="{05901BB2-8096-FD44-8B47-23E9A345D114}" destId="{C80B7E05-87FC-BB4B-9153-93A1F40F5842}" srcOrd="0" destOrd="0" presId="urn:microsoft.com/office/officeart/2005/8/layout/hierarchy3"/>
    <dgm:cxn modelId="{EECC8C62-D0B2-6646-9367-4AE5DD01C3A3}" type="presParOf" srcId="{C80B7E05-87FC-BB4B-9153-93A1F40F5842}" destId="{4B0E23BF-FC75-3F49-91C0-5F89F5185830}" srcOrd="0" destOrd="0" presId="urn:microsoft.com/office/officeart/2005/8/layout/hierarchy3"/>
    <dgm:cxn modelId="{3C62CA53-EAD1-884A-94F7-4812DA0C5AD7}" type="presParOf" srcId="{4B0E23BF-FC75-3F49-91C0-5F89F5185830}" destId="{9181DB18-31B8-D445-85EE-570CDDBD725F}" srcOrd="0" destOrd="0" presId="urn:microsoft.com/office/officeart/2005/8/layout/hierarchy3"/>
    <dgm:cxn modelId="{A3B10C31-390A-2F4E-B212-FE8F21909520}" type="presParOf" srcId="{4B0E23BF-FC75-3F49-91C0-5F89F5185830}" destId="{6A66E622-AD12-9240-8431-32FE309D7D90}" srcOrd="1" destOrd="0" presId="urn:microsoft.com/office/officeart/2005/8/layout/hierarchy3"/>
    <dgm:cxn modelId="{1934949F-E7DA-3145-9FFD-FA958E338490}" type="presParOf" srcId="{C80B7E05-87FC-BB4B-9153-93A1F40F5842}" destId="{1EB2FB1E-E70C-2A47-9ED4-6A836D25393E}" srcOrd="1" destOrd="0" presId="urn:microsoft.com/office/officeart/2005/8/layout/hierarchy3"/>
    <dgm:cxn modelId="{22E74F45-DA0A-C443-9989-401364415158}" type="presParOf" srcId="{1EB2FB1E-E70C-2A47-9ED4-6A836D25393E}" destId="{F6F98C0C-F7B3-0B4D-9C03-4B04BF9B502D}" srcOrd="0" destOrd="0" presId="urn:microsoft.com/office/officeart/2005/8/layout/hierarchy3"/>
    <dgm:cxn modelId="{79BEA570-4683-584E-AADD-D481D482002B}" type="presParOf" srcId="{1EB2FB1E-E70C-2A47-9ED4-6A836D25393E}" destId="{48D02552-C26A-874E-AD79-704D1904F46D}" srcOrd="1" destOrd="0" presId="urn:microsoft.com/office/officeart/2005/8/layout/hierarchy3"/>
    <dgm:cxn modelId="{A8ADF5F0-B61B-FD4E-AA69-FBDA61CBED29}" type="presParOf" srcId="{1EB2FB1E-E70C-2A47-9ED4-6A836D25393E}" destId="{7945B23B-AB16-0043-8F09-33C18CEC9CDD}" srcOrd="2" destOrd="0" presId="urn:microsoft.com/office/officeart/2005/8/layout/hierarchy3"/>
    <dgm:cxn modelId="{8BE85DF0-7312-1941-B6B1-3A22095BE7DA}" type="presParOf" srcId="{1EB2FB1E-E70C-2A47-9ED4-6A836D25393E}" destId="{C60E267D-42F8-A540-BF89-4CBC0A4245C5}" srcOrd="3" destOrd="0" presId="urn:microsoft.com/office/officeart/2005/8/layout/hierarchy3"/>
    <dgm:cxn modelId="{24B98134-F254-2849-8B2E-5072ADEAFB39}" type="presParOf" srcId="{1EB2FB1E-E70C-2A47-9ED4-6A836D25393E}" destId="{961685D4-B400-0940-A426-C55ED2527B14}" srcOrd="4" destOrd="0" presId="urn:microsoft.com/office/officeart/2005/8/layout/hierarchy3"/>
    <dgm:cxn modelId="{9A512FA3-0D10-9E48-839A-08CE7B9E1AF0}" type="presParOf" srcId="{1EB2FB1E-E70C-2A47-9ED4-6A836D25393E}" destId="{60594869-CE55-FE4C-9377-A58979C70DBF}" srcOrd="5" destOrd="0" presId="urn:microsoft.com/office/officeart/2005/8/layout/hierarchy3"/>
    <dgm:cxn modelId="{6339388C-63B3-AE45-8854-2DEA9BE28F8A}" type="presParOf" srcId="{1EB2FB1E-E70C-2A47-9ED4-6A836D25393E}" destId="{3A5CEB2F-B57A-2B4B-B15E-8638E09154C7}" srcOrd="6" destOrd="0" presId="urn:microsoft.com/office/officeart/2005/8/layout/hierarchy3"/>
    <dgm:cxn modelId="{BA6FF3A6-3B80-E645-90A2-AE84AB858A54}" type="presParOf" srcId="{1EB2FB1E-E70C-2A47-9ED4-6A836D25393E}" destId="{5838C77D-42B0-A748-8A2E-E130C7152812}" srcOrd="7" destOrd="0" presId="urn:microsoft.com/office/officeart/2005/8/layout/hierarchy3"/>
    <dgm:cxn modelId="{8AA779C8-5EB8-F04B-BE1B-04D8E9FF40BC}" type="presParOf" srcId="{1EB2FB1E-E70C-2A47-9ED4-6A836D25393E}" destId="{978A0FED-B670-A242-BA7C-5214B0542318}" srcOrd="8" destOrd="0" presId="urn:microsoft.com/office/officeart/2005/8/layout/hierarchy3"/>
    <dgm:cxn modelId="{317FABEC-6FED-6D4D-BE15-F8DAD6DBD269}" type="presParOf" srcId="{1EB2FB1E-E70C-2A47-9ED4-6A836D25393E}" destId="{9CA7D978-AEA2-254D-857B-969EA0978405}" srcOrd="9" destOrd="0" presId="urn:microsoft.com/office/officeart/2005/8/layout/hierarchy3"/>
    <dgm:cxn modelId="{F9514BC1-FEE0-F440-9A5D-69A117283A47}" type="presParOf" srcId="{05901BB2-8096-FD44-8B47-23E9A345D114}" destId="{873B129D-3627-0742-B55A-A507EDA2BBE0}" srcOrd="1" destOrd="0" presId="urn:microsoft.com/office/officeart/2005/8/layout/hierarchy3"/>
    <dgm:cxn modelId="{B4C4F179-A1E0-7045-A625-2291139BB9F2}" type="presParOf" srcId="{873B129D-3627-0742-B55A-A507EDA2BBE0}" destId="{3BA19A68-4481-3349-B0F8-51D074E9763A}" srcOrd="0" destOrd="0" presId="urn:microsoft.com/office/officeart/2005/8/layout/hierarchy3"/>
    <dgm:cxn modelId="{3FD8DCC7-CD87-8C4A-BC66-C3E34E7FBF1A}" type="presParOf" srcId="{3BA19A68-4481-3349-B0F8-51D074E9763A}" destId="{E2E0A908-5D7E-DC4E-BC78-26065AD4A3B1}" srcOrd="0" destOrd="0" presId="urn:microsoft.com/office/officeart/2005/8/layout/hierarchy3"/>
    <dgm:cxn modelId="{0474BD86-D89D-DF4C-90F9-329A480C4F93}" type="presParOf" srcId="{3BA19A68-4481-3349-B0F8-51D074E9763A}" destId="{F935D375-C43B-8744-A824-F9A260EC4290}" srcOrd="1" destOrd="0" presId="urn:microsoft.com/office/officeart/2005/8/layout/hierarchy3"/>
    <dgm:cxn modelId="{75E5B4DE-34B0-A347-AF43-0A569C95CDCD}" type="presParOf" srcId="{873B129D-3627-0742-B55A-A507EDA2BBE0}" destId="{7110758F-38F3-B140-9D09-4364D7115180}" srcOrd="1" destOrd="0" presId="urn:microsoft.com/office/officeart/2005/8/layout/hierarchy3"/>
    <dgm:cxn modelId="{910DFF80-3060-FD47-8474-3715654CCA13}" type="presParOf" srcId="{7110758F-38F3-B140-9D09-4364D7115180}" destId="{5FF5D5B8-1F07-1147-8228-B0A89BCC2C81}" srcOrd="0" destOrd="0" presId="urn:microsoft.com/office/officeart/2005/8/layout/hierarchy3"/>
    <dgm:cxn modelId="{14A6ADA9-C9CF-C047-8C90-555738C562B6}" type="presParOf" srcId="{7110758F-38F3-B140-9D09-4364D7115180}" destId="{B7B74731-57CB-A34D-8286-1725B282CE32}" srcOrd="1" destOrd="0" presId="urn:microsoft.com/office/officeart/2005/8/layout/hierarchy3"/>
    <dgm:cxn modelId="{7E89AF4F-ADE6-3D48-9B7B-6EECDF284155}" type="presParOf" srcId="{7110758F-38F3-B140-9D09-4364D7115180}" destId="{0654EE8E-BB98-FA43-9C8B-6A07FB9B0F78}" srcOrd="2" destOrd="0" presId="urn:microsoft.com/office/officeart/2005/8/layout/hierarchy3"/>
    <dgm:cxn modelId="{CA686ECF-BEBE-5840-B954-C3DAA321F175}" type="presParOf" srcId="{7110758F-38F3-B140-9D09-4364D7115180}" destId="{869EF5B1-574A-3C4B-9DCF-7FDA5335A41E}" srcOrd="3" destOrd="0" presId="urn:microsoft.com/office/officeart/2005/8/layout/hierarchy3"/>
    <dgm:cxn modelId="{9C7B67FE-111A-B34B-AB24-16B83FA8F8DD}" type="presParOf" srcId="{7110758F-38F3-B140-9D09-4364D7115180}" destId="{6B7F4078-9D0C-524E-A8A3-E83C63A9B797}" srcOrd="4" destOrd="0" presId="urn:microsoft.com/office/officeart/2005/8/layout/hierarchy3"/>
    <dgm:cxn modelId="{1256685C-7240-114E-A820-2F8B99E2AAAD}" type="presParOf" srcId="{7110758F-38F3-B140-9D09-4364D7115180}" destId="{E270BC5B-F356-944E-BF99-0A6912397757}" srcOrd="5" destOrd="0" presId="urn:microsoft.com/office/officeart/2005/8/layout/hierarchy3"/>
    <dgm:cxn modelId="{B54DF9E3-CF54-3840-A219-F6BE99BAA17C}" type="presParOf" srcId="{7110758F-38F3-B140-9D09-4364D7115180}" destId="{04B1E273-94C9-5742-86C2-098EA52C7339}" srcOrd="6" destOrd="0" presId="urn:microsoft.com/office/officeart/2005/8/layout/hierarchy3"/>
    <dgm:cxn modelId="{65D01C30-2DE0-B944-AC97-2B9079477D83}" type="presParOf" srcId="{7110758F-38F3-B140-9D09-4364D7115180}" destId="{0458C557-94F0-3A4D-9EA6-EE5A48622BD1}" srcOrd="7" destOrd="0" presId="urn:microsoft.com/office/officeart/2005/8/layout/hierarchy3"/>
    <dgm:cxn modelId="{1B45F16C-7803-AF47-BBAA-56472A64A923}" type="presParOf" srcId="{7110758F-38F3-B140-9D09-4364D7115180}" destId="{6276D79E-F214-CC47-BC89-FFFF9EEBD13C}" srcOrd="8" destOrd="0" presId="urn:microsoft.com/office/officeart/2005/8/layout/hierarchy3"/>
    <dgm:cxn modelId="{9CCCFCB9-424E-B249-AFC2-781E16CA9B7C}" type="presParOf" srcId="{7110758F-38F3-B140-9D09-4364D7115180}" destId="{C52F3103-E685-1846-8711-EA796C6205DA}" srcOrd="9" destOrd="0" presId="urn:microsoft.com/office/officeart/2005/8/layout/hierarchy3"/>
  </dgm:cxnLst>
  <dgm:bg/>
  <dgm:whole/>
  <dgm:extLst>
    <a:ext uri="http://schemas.microsoft.com/office/drawing/2008/diagram">
      <dsp:dataModelExt xmlns:dsp="http://schemas.microsoft.com/office/drawing/2008/diagram" relId="rId7"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E95CF86A-08B2-9743-9D2B-FE8585B4489C}" type="doc">
      <dgm:prSet loTypeId="urn:microsoft.com/office/officeart/2005/8/layout/default" loCatId="" qsTypeId="urn:microsoft.com/office/officeart/2005/8/quickstyle/simple4" qsCatId="simple" csTypeId="urn:microsoft.com/office/officeart/2005/8/colors/colorful1" csCatId="colorful" phldr="1"/>
      <dgm:spPr/>
      <dgm:t>
        <a:bodyPr/>
        <a:lstStyle/>
        <a:p>
          <a:endParaRPr lang="en-US"/>
        </a:p>
      </dgm:t>
    </dgm:pt>
    <dgm:pt modelId="{B7A50D5D-5110-1649-89A1-0CFD9E302A93}">
      <dgm:prSet phldrT="[Text]"/>
      <dgm:spPr/>
      <dgm:t>
        <a:bodyPr/>
        <a:lstStyle/>
        <a:p>
          <a:r>
            <a:rPr lang="en-US"/>
            <a:t>SOLD share in facility for $92m 10/3/24</a:t>
          </a:r>
        </a:p>
      </dgm:t>
    </dgm:pt>
    <dgm:pt modelId="{15227763-61F6-474D-BCCF-89171128B964}" type="parTrans" cxnId="{9E9ECD74-1CBD-D745-BF8F-6C255031D6ED}">
      <dgm:prSet/>
      <dgm:spPr/>
      <dgm:t>
        <a:bodyPr/>
        <a:lstStyle/>
        <a:p>
          <a:endParaRPr lang="en-US"/>
        </a:p>
      </dgm:t>
    </dgm:pt>
    <dgm:pt modelId="{8A4B00C8-2604-8848-811D-ABCDEA2623C6}" type="sibTrans" cxnId="{9E9ECD74-1CBD-D745-BF8F-6C255031D6ED}">
      <dgm:prSet/>
      <dgm:spPr/>
      <dgm:t>
        <a:bodyPr/>
        <a:lstStyle/>
        <a:p>
          <a:endParaRPr lang="en-US"/>
        </a:p>
      </dgm:t>
    </dgm:pt>
    <dgm:pt modelId="{966BE787-4FB6-994D-9E13-BD2EE8F945B5}" type="pres">
      <dgm:prSet presAssocID="{E95CF86A-08B2-9743-9D2B-FE8585B4489C}" presName="diagram" presStyleCnt="0">
        <dgm:presLayoutVars>
          <dgm:dir/>
          <dgm:resizeHandles val="exact"/>
        </dgm:presLayoutVars>
      </dgm:prSet>
      <dgm:spPr/>
    </dgm:pt>
    <dgm:pt modelId="{1AE1C978-8784-AD44-8694-736FEC62CE42}" type="pres">
      <dgm:prSet presAssocID="{B7A50D5D-5110-1649-89A1-0CFD9E302A93}" presName="node" presStyleLbl="node1" presStyleIdx="0" presStyleCnt="1">
        <dgm:presLayoutVars>
          <dgm:bulletEnabled val="1"/>
        </dgm:presLayoutVars>
      </dgm:prSet>
      <dgm:spPr/>
    </dgm:pt>
  </dgm:ptLst>
  <dgm:cxnLst>
    <dgm:cxn modelId="{5E2CF354-58B4-FD4E-9F6D-C055DF4E4283}" type="presOf" srcId="{E95CF86A-08B2-9743-9D2B-FE8585B4489C}" destId="{966BE787-4FB6-994D-9E13-BD2EE8F945B5}" srcOrd="0" destOrd="0" presId="urn:microsoft.com/office/officeart/2005/8/layout/default"/>
    <dgm:cxn modelId="{9E9ECD74-1CBD-D745-BF8F-6C255031D6ED}" srcId="{E95CF86A-08B2-9743-9D2B-FE8585B4489C}" destId="{B7A50D5D-5110-1649-89A1-0CFD9E302A93}" srcOrd="0" destOrd="0" parTransId="{15227763-61F6-474D-BCCF-89171128B964}" sibTransId="{8A4B00C8-2604-8848-811D-ABCDEA2623C6}"/>
    <dgm:cxn modelId="{37425084-2D35-DF47-B127-704B6E41238E}" type="presOf" srcId="{B7A50D5D-5110-1649-89A1-0CFD9E302A93}" destId="{1AE1C978-8784-AD44-8694-736FEC62CE42}" srcOrd="0" destOrd="0" presId="urn:microsoft.com/office/officeart/2005/8/layout/default"/>
    <dgm:cxn modelId="{F269A27E-DDD2-2B45-99B2-61873C0E5113}" type="presParOf" srcId="{966BE787-4FB6-994D-9E13-BD2EE8F945B5}" destId="{1AE1C978-8784-AD44-8694-736FEC62CE42}" srcOrd="0" destOrd="0" presId="urn:microsoft.com/office/officeart/2005/8/layout/default"/>
  </dgm:cxnLst>
  <dgm:bg/>
  <dgm:whole/>
  <dgm:extLst>
    <a:ext uri="http://schemas.microsoft.com/office/drawing/2008/diagram">
      <dsp:dataModelExt xmlns:dsp="http://schemas.microsoft.com/office/drawing/2008/diagram" relId="rId12"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A2895BDC-08D8-E847-A754-AAC6284BA229}" type="doc">
      <dgm:prSet loTypeId="urn:microsoft.com/office/officeart/2005/8/layout/hierarchy3" loCatId="" qsTypeId="urn:microsoft.com/office/officeart/2005/8/quickstyle/simple1" qsCatId="simple" csTypeId="urn:microsoft.com/office/officeart/2005/8/colors/accent1_2" csCatId="accent1" phldr="1"/>
      <dgm:spPr/>
      <dgm:t>
        <a:bodyPr/>
        <a:lstStyle/>
        <a:p>
          <a:endParaRPr lang="en-US"/>
        </a:p>
      </dgm:t>
    </dgm:pt>
    <dgm:pt modelId="{9B0B0467-B3E0-C746-AD93-B7B57C1E73C4}">
      <dgm:prSet phldrT="[Text]"/>
      <dgm:spPr/>
      <dgm:t>
        <a:bodyPr/>
        <a:lstStyle/>
        <a:p>
          <a:r>
            <a:rPr lang="en-US"/>
            <a:t>Odessa</a:t>
          </a:r>
        </a:p>
      </dgm:t>
    </dgm:pt>
    <dgm:pt modelId="{BEE9C7C4-C0B6-D74F-A49C-793379577832}" type="parTrans" cxnId="{16426840-7711-D24C-B862-846C8BBB6D73}">
      <dgm:prSet/>
      <dgm:spPr/>
      <dgm:t>
        <a:bodyPr/>
        <a:lstStyle/>
        <a:p>
          <a:endParaRPr lang="en-US"/>
        </a:p>
      </dgm:t>
    </dgm:pt>
    <dgm:pt modelId="{E52E38F0-CE52-5149-99B6-1BAB76DF2EAD}" type="sibTrans" cxnId="{16426840-7711-D24C-B862-846C8BBB6D73}">
      <dgm:prSet/>
      <dgm:spPr/>
      <dgm:t>
        <a:bodyPr/>
        <a:lstStyle/>
        <a:p>
          <a:endParaRPr lang="en-US"/>
        </a:p>
      </dgm:t>
    </dgm:pt>
    <dgm:pt modelId="{A162FA9D-04F9-424E-B9FF-38CBEF50F720}">
      <dgm:prSet/>
      <dgm:spPr/>
      <dgm:t>
        <a:bodyPr/>
        <a:lstStyle/>
        <a:p>
          <a:r>
            <a:rPr lang="en-US"/>
            <a:t>207 MW capasity (6.9 EH/s) $0.02/kwh avg</a:t>
          </a:r>
        </a:p>
      </dgm:t>
    </dgm:pt>
    <dgm:pt modelId="{6EE12680-F8EC-4547-A4FB-5237406928C0}" type="parTrans" cxnId="{19FC6440-CE43-BC49-B93B-D5DB4CDC9FFA}">
      <dgm:prSet/>
      <dgm:spPr/>
      <dgm:t>
        <a:bodyPr/>
        <a:lstStyle/>
        <a:p>
          <a:endParaRPr lang="en-US"/>
        </a:p>
      </dgm:t>
    </dgm:pt>
    <dgm:pt modelId="{197A7186-186D-6347-9338-87329EAC0DF3}" type="sibTrans" cxnId="{19FC6440-CE43-BC49-B93B-D5DB4CDC9FFA}">
      <dgm:prSet/>
      <dgm:spPr/>
      <dgm:t>
        <a:bodyPr/>
        <a:lstStyle/>
        <a:p>
          <a:endParaRPr lang="en-US"/>
        </a:p>
      </dgm:t>
    </dgm:pt>
    <dgm:pt modelId="{198B9FB9-15DB-F24B-A922-198E43B81FA5}">
      <dgm:prSet/>
      <dgm:spPr/>
      <dgm:t>
        <a:bodyPr/>
        <a:lstStyle/>
        <a:p>
          <a:r>
            <a:rPr lang="en-US"/>
            <a:t>The combined Luminant Lease agreement commenced 11/22/22 and has an intial term of 5 years. At the end of the lease term for the interconnection, the substation will be sold back to Luminate's affiliate, Vistra Operations Company</a:t>
          </a:r>
        </a:p>
      </dgm:t>
    </dgm:pt>
    <dgm:pt modelId="{8AC931C2-4E01-B048-AA7D-4554F293BE69}" type="parTrans" cxnId="{3B204E4F-F73B-CD49-854C-1DFD427C327D}">
      <dgm:prSet/>
      <dgm:spPr/>
      <dgm:t>
        <a:bodyPr/>
        <a:lstStyle/>
        <a:p>
          <a:endParaRPr lang="en-US"/>
        </a:p>
      </dgm:t>
    </dgm:pt>
    <dgm:pt modelId="{E0C4118B-8FD3-E544-9C44-8AB09D19607E}" type="sibTrans" cxnId="{3B204E4F-F73B-CD49-854C-1DFD427C327D}">
      <dgm:prSet/>
      <dgm:spPr/>
      <dgm:t>
        <a:bodyPr/>
        <a:lstStyle/>
        <a:p>
          <a:endParaRPr lang="en-US"/>
        </a:p>
      </dgm:t>
    </dgm:pt>
    <dgm:pt modelId="{460E8528-257B-1F48-88EF-FC068C52BBC8}">
      <dgm:prSet/>
      <dgm:spPr/>
      <dgm:t>
        <a:bodyPr/>
        <a:lstStyle/>
        <a:p>
          <a:r>
            <a:rPr lang="en-US"/>
            <a:t>Alborz, Bear, Cheif</a:t>
          </a:r>
        </a:p>
      </dgm:t>
    </dgm:pt>
    <dgm:pt modelId="{BC3AA156-B331-8B4C-B017-A9B4EAB3DF6C}" type="parTrans" cxnId="{273F39E7-98F9-9240-9EF6-8E6206EC5F43}">
      <dgm:prSet/>
      <dgm:spPr/>
      <dgm:t>
        <a:bodyPr/>
        <a:lstStyle/>
        <a:p>
          <a:endParaRPr lang="en-US"/>
        </a:p>
      </dgm:t>
    </dgm:pt>
    <dgm:pt modelId="{BED5D7CB-FEE6-C049-AA21-E4A31841E0A8}" type="sibTrans" cxnId="{273F39E7-98F9-9240-9EF6-8E6206EC5F43}">
      <dgm:prSet/>
      <dgm:spPr/>
      <dgm:t>
        <a:bodyPr/>
        <a:lstStyle/>
        <a:p>
          <a:endParaRPr lang="en-US"/>
        </a:p>
      </dgm:t>
    </dgm:pt>
    <dgm:pt modelId="{09E234C4-8F32-C149-A9FF-E093190DD558}">
      <dgm:prSet/>
      <dgm:spPr/>
      <dgm:t>
        <a:bodyPr/>
        <a:lstStyle/>
        <a:p>
          <a:r>
            <a:rPr lang="en-US"/>
            <a:t>120 MW capasity (14% of production)</a:t>
          </a:r>
        </a:p>
      </dgm:t>
    </dgm:pt>
    <dgm:pt modelId="{0B16AA56-9FEF-8747-8D66-E7017763FF50}" type="parTrans" cxnId="{63E8F987-926D-1F45-A46D-17925EA7DC27}">
      <dgm:prSet/>
      <dgm:spPr/>
      <dgm:t>
        <a:bodyPr/>
        <a:lstStyle/>
        <a:p>
          <a:endParaRPr lang="en-US"/>
        </a:p>
      </dgm:t>
    </dgm:pt>
    <dgm:pt modelId="{6AEFA6B3-9C08-1343-A61B-0CC7AD39B9D8}" type="sibTrans" cxnId="{63E8F987-926D-1F45-A46D-17925EA7DC27}">
      <dgm:prSet/>
      <dgm:spPr/>
      <dgm:t>
        <a:bodyPr/>
        <a:lstStyle/>
        <a:p>
          <a:endParaRPr lang="en-US"/>
        </a:p>
      </dgm:t>
    </dgm:pt>
    <dgm:pt modelId="{E619D575-A4E3-CC43-A0E9-9514FCC2E0E7}">
      <dgm:prSet/>
      <dgm:spPr/>
      <dgm:t>
        <a:bodyPr/>
        <a:lstStyle/>
        <a:p>
          <a:r>
            <a:rPr lang="en-US"/>
            <a:t>$0.03 kwh avg</a:t>
          </a:r>
        </a:p>
      </dgm:t>
    </dgm:pt>
    <dgm:pt modelId="{7DAF6A2D-9F86-ED44-BCF8-789C7A34145E}" type="parTrans" cxnId="{B3192463-D235-C645-AD58-47CB4D8C4091}">
      <dgm:prSet/>
      <dgm:spPr/>
      <dgm:t>
        <a:bodyPr/>
        <a:lstStyle/>
        <a:p>
          <a:endParaRPr lang="en-US"/>
        </a:p>
      </dgm:t>
    </dgm:pt>
    <dgm:pt modelId="{4B655013-6426-AC45-918B-E4A85C0CA2C2}" type="sibTrans" cxnId="{B3192463-D235-C645-AD58-47CB4D8C4091}">
      <dgm:prSet/>
      <dgm:spPr/>
      <dgm:t>
        <a:bodyPr/>
        <a:lstStyle/>
        <a:p>
          <a:endParaRPr lang="en-US"/>
        </a:p>
      </dgm:t>
    </dgm:pt>
    <dgm:pt modelId="{464006F7-1E3E-7A4C-AA78-9422A81E926A}">
      <dgm:prSet/>
      <dgm:spPr/>
      <dgm:t>
        <a:bodyPr/>
        <a:lstStyle/>
        <a:p>
          <a:r>
            <a:rPr lang="en-US"/>
            <a:t>11.3 EH/s by YE Al24</a:t>
          </a:r>
        </a:p>
      </dgm:t>
    </dgm:pt>
    <dgm:pt modelId="{2B552569-BB6E-754B-946E-9ECE8E34E591}" type="parTrans" cxnId="{7C324549-D49D-954F-A6A3-67E67C5B1D14}">
      <dgm:prSet/>
      <dgm:spPr/>
      <dgm:t>
        <a:bodyPr/>
        <a:lstStyle/>
        <a:p>
          <a:endParaRPr lang="en-US"/>
        </a:p>
      </dgm:t>
    </dgm:pt>
    <dgm:pt modelId="{7F0259F1-F203-F840-8F0B-E3CCFD306BD3}" type="sibTrans" cxnId="{7C324549-D49D-954F-A6A3-67E67C5B1D14}">
      <dgm:prSet/>
      <dgm:spPr/>
      <dgm:t>
        <a:bodyPr/>
        <a:lstStyle/>
        <a:p>
          <a:endParaRPr lang="en-US"/>
        </a:p>
      </dgm:t>
    </dgm:pt>
    <dgm:pt modelId="{0E0A2079-C102-9041-ADEC-35B27A6BC716}">
      <dgm:prSet/>
      <dgm:spPr/>
      <dgm:t>
        <a:bodyPr/>
        <a:lstStyle/>
        <a:p>
          <a:r>
            <a:rPr lang="en-US"/>
            <a:t>Joint-Venture with WindHQ LLC which Cipher owns 1.8EH/s</a:t>
          </a:r>
        </a:p>
      </dgm:t>
    </dgm:pt>
    <dgm:pt modelId="{935B6039-0E5E-FA47-8652-2B9FB8872D78}" type="parTrans" cxnId="{5EB6191F-5ACF-A540-B3D2-1E0CF32EA0F8}">
      <dgm:prSet/>
      <dgm:spPr/>
      <dgm:t>
        <a:bodyPr/>
        <a:lstStyle/>
        <a:p>
          <a:endParaRPr lang="en-US"/>
        </a:p>
      </dgm:t>
    </dgm:pt>
    <dgm:pt modelId="{E62411C9-1D71-7F44-8406-90C621198493}" type="sibTrans" cxnId="{5EB6191F-5ACF-A540-B3D2-1E0CF32EA0F8}">
      <dgm:prSet/>
      <dgm:spPr/>
      <dgm:t>
        <a:bodyPr/>
        <a:lstStyle/>
        <a:p>
          <a:endParaRPr lang="en-US"/>
        </a:p>
      </dgm:t>
    </dgm:pt>
    <dgm:pt modelId="{8A7E5D57-0E3C-C546-BC4A-32ECF900F5B3}" type="pres">
      <dgm:prSet presAssocID="{A2895BDC-08D8-E847-A754-AAC6284BA229}" presName="diagram" presStyleCnt="0">
        <dgm:presLayoutVars>
          <dgm:chPref val="1"/>
          <dgm:dir/>
          <dgm:animOne val="branch"/>
          <dgm:animLvl val="lvl"/>
          <dgm:resizeHandles/>
        </dgm:presLayoutVars>
      </dgm:prSet>
      <dgm:spPr/>
    </dgm:pt>
    <dgm:pt modelId="{C7A00960-DA02-C547-923C-D125E89B3967}" type="pres">
      <dgm:prSet presAssocID="{9B0B0467-B3E0-C746-AD93-B7B57C1E73C4}" presName="root" presStyleCnt="0"/>
      <dgm:spPr/>
    </dgm:pt>
    <dgm:pt modelId="{D26AA038-CC58-0144-8A25-61D98A353991}" type="pres">
      <dgm:prSet presAssocID="{9B0B0467-B3E0-C746-AD93-B7B57C1E73C4}" presName="rootComposite" presStyleCnt="0"/>
      <dgm:spPr/>
    </dgm:pt>
    <dgm:pt modelId="{B8B78368-2CC1-F647-AA77-D64080C3BFAB}" type="pres">
      <dgm:prSet presAssocID="{9B0B0467-B3E0-C746-AD93-B7B57C1E73C4}" presName="rootText" presStyleLbl="node1" presStyleIdx="0" presStyleCnt="2"/>
      <dgm:spPr/>
    </dgm:pt>
    <dgm:pt modelId="{E02D42E5-BA99-BC41-B743-ED315F55A7DB}" type="pres">
      <dgm:prSet presAssocID="{9B0B0467-B3E0-C746-AD93-B7B57C1E73C4}" presName="rootConnector" presStyleLbl="node1" presStyleIdx="0" presStyleCnt="2"/>
      <dgm:spPr/>
    </dgm:pt>
    <dgm:pt modelId="{C379ECE6-49F3-A241-96AA-4B9EA5216F1F}" type="pres">
      <dgm:prSet presAssocID="{9B0B0467-B3E0-C746-AD93-B7B57C1E73C4}" presName="childShape" presStyleCnt="0"/>
      <dgm:spPr/>
    </dgm:pt>
    <dgm:pt modelId="{59B1DF48-4EE5-064B-BBA3-60356A7FF845}" type="pres">
      <dgm:prSet presAssocID="{6EE12680-F8EC-4547-A4FB-5237406928C0}" presName="Name13" presStyleLbl="parChTrans1D2" presStyleIdx="0" presStyleCnt="6"/>
      <dgm:spPr/>
    </dgm:pt>
    <dgm:pt modelId="{6BE8EB90-D8DA-0241-A1E8-240EC12D7CAC}" type="pres">
      <dgm:prSet presAssocID="{A162FA9D-04F9-424E-B9FF-38CBEF50F720}" presName="childText" presStyleLbl="bgAcc1" presStyleIdx="0" presStyleCnt="6">
        <dgm:presLayoutVars>
          <dgm:bulletEnabled val="1"/>
        </dgm:presLayoutVars>
      </dgm:prSet>
      <dgm:spPr/>
    </dgm:pt>
    <dgm:pt modelId="{82671E73-F724-324E-AC0F-D961D52DFFDC}" type="pres">
      <dgm:prSet presAssocID="{8AC931C2-4E01-B048-AA7D-4554F293BE69}" presName="Name13" presStyleLbl="parChTrans1D2" presStyleIdx="1" presStyleCnt="6"/>
      <dgm:spPr/>
    </dgm:pt>
    <dgm:pt modelId="{40857EBE-D418-144E-A46E-A206436374D8}" type="pres">
      <dgm:prSet presAssocID="{198B9FB9-15DB-F24B-A922-198E43B81FA5}" presName="childText" presStyleLbl="bgAcc1" presStyleIdx="1" presStyleCnt="6" custScaleX="180206" custScaleY="153397" custLinFactNeighborX="8160" custLinFactNeighborY="-3263">
        <dgm:presLayoutVars>
          <dgm:bulletEnabled val="1"/>
        </dgm:presLayoutVars>
      </dgm:prSet>
      <dgm:spPr/>
    </dgm:pt>
    <dgm:pt modelId="{0DBA4063-74C4-F644-A1C8-2CBA8CC4364B}" type="pres">
      <dgm:prSet presAssocID="{2B552569-BB6E-754B-946E-9ECE8E34E591}" presName="Name13" presStyleLbl="parChTrans1D2" presStyleIdx="2" presStyleCnt="6"/>
      <dgm:spPr/>
    </dgm:pt>
    <dgm:pt modelId="{F024591D-6E18-EA4A-88CB-D654BA272514}" type="pres">
      <dgm:prSet presAssocID="{464006F7-1E3E-7A4C-AA78-9422A81E926A}" presName="childText" presStyleLbl="bgAcc1" presStyleIdx="2" presStyleCnt="6">
        <dgm:presLayoutVars>
          <dgm:bulletEnabled val="1"/>
        </dgm:presLayoutVars>
      </dgm:prSet>
      <dgm:spPr/>
    </dgm:pt>
    <dgm:pt modelId="{E643B9F5-E637-ED45-8DB5-D9F9AEAF0B16}" type="pres">
      <dgm:prSet presAssocID="{460E8528-257B-1F48-88EF-FC068C52BBC8}" presName="root" presStyleCnt="0"/>
      <dgm:spPr/>
    </dgm:pt>
    <dgm:pt modelId="{E4B8496E-341F-EB40-87C7-6E662BF8C9D1}" type="pres">
      <dgm:prSet presAssocID="{460E8528-257B-1F48-88EF-FC068C52BBC8}" presName="rootComposite" presStyleCnt="0"/>
      <dgm:spPr/>
    </dgm:pt>
    <dgm:pt modelId="{2D161B54-A798-3B42-8F10-79D72FFCBFD7}" type="pres">
      <dgm:prSet presAssocID="{460E8528-257B-1F48-88EF-FC068C52BBC8}" presName="rootText" presStyleLbl="node1" presStyleIdx="1" presStyleCnt="2"/>
      <dgm:spPr/>
    </dgm:pt>
    <dgm:pt modelId="{9F04417E-F087-2240-8829-FE65AB922AAD}" type="pres">
      <dgm:prSet presAssocID="{460E8528-257B-1F48-88EF-FC068C52BBC8}" presName="rootConnector" presStyleLbl="node1" presStyleIdx="1" presStyleCnt="2"/>
      <dgm:spPr/>
    </dgm:pt>
    <dgm:pt modelId="{D0D15BDF-B53D-FE45-8D61-8820A739CD16}" type="pres">
      <dgm:prSet presAssocID="{460E8528-257B-1F48-88EF-FC068C52BBC8}" presName="childShape" presStyleCnt="0"/>
      <dgm:spPr/>
    </dgm:pt>
    <dgm:pt modelId="{063F12BE-C8DB-9F48-B380-1BCACF51EEC4}" type="pres">
      <dgm:prSet presAssocID="{0B16AA56-9FEF-8747-8D66-E7017763FF50}" presName="Name13" presStyleLbl="parChTrans1D2" presStyleIdx="3" presStyleCnt="6"/>
      <dgm:spPr/>
    </dgm:pt>
    <dgm:pt modelId="{D074C401-A0DC-6C47-8B66-89A594D81242}" type="pres">
      <dgm:prSet presAssocID="{09E234C4-8F32-C149-A9FF-E093190DD558}" presName="childText" presStyleLbl="bgAcc1" presStyleIdx="3" presStyleCnt="6">
        <dgm:presLayoutVars>
          <dgm:bulletEnabled val="1"/>
        </dgm:presLayoutVars>
      </dgm:prSet>
      <dgm:spPr/>
    </dgm:pt>
    <dgm:pt modelId="{C788BB38-28D1-3748-9870-EC72D350C519}" type="pres">
      <dgm:prSet presAssocID="{935B6039-0E5E-FA47-8652-2B9FB8872D78}" presName="Name13" presStyleLbl="parChTrans1D2" presStyleIdx="4" presStyleCnt="6"/>
      <dgm:spPr/>
    </dgm:pt>
    <dgm:pt modelId="{BAB9B3AE-6E7A-424E-9F9B-F40E176F9A26}" type="pres">
      <dgm:prSet presAssocID="{0E0A2079-C102-9041-ADEC-35B27A6BC716}" presName="childText" presStyleLbl="bgAcc1" presStyleIdx="4" presStyleCnt="6">
        <dgm:presLayoutVars>
          <dgm:bulletEnabled val="1"/>
        </dgm:presLayoutVars>
      </dgm:prSet>
      <dgm:spPr/>
    </dgm:pt>
    <dgm:pt modelId="{2D4ADFC2-D689-6046-8E25-D93C1678D51C}" type="pres">
      <dgm:prSet presAssocID="{7DAF6A2D-9F86-ED44-BCF8-789C7A34145E}" presName="Name13" presStyleLbl="parChTrans1D2" presStyleIdx="5" presStyleCnt="6"/>
      <dgm:spPr/>
    </dgm:pt>
    <dgm:pt modelId="{75328AA1-7D26-0348-A791-6328E57322E1}" type="pres">
      <dgm:prSet presAssocID="{E619D575-A4E3-CC43-A0E9-9514FCC2E0E7}" presName="childText" presStyleLbl="bgAcc1" presStyleIdx="5" presStyleCnt="6">
        <dgm:presLayoutVars>
          <dgm:bulletEnabled val="1"/>
        </dgm:presLayoutVars>
      </dgm:prSet>
      <dgm:spPr/>
    </dgm:pt>
  </dgm:ptLst>
  <dgm:cxnLst>
    <dgm:cxn modelId="{E3861010-78CA-D048-B6FA-5E59E4C10329}" type="presOf" srcId="{9B0B0467-B3E0-C746-AD93-B7B57C1E73C4}" destId="{B8B78368-2CC1-F647-AA77-D64080C3BFAB}" srcOrd="0" destOrd="0" presId="urn:microsoft.com/office/officeart/2005/8/layout/hierarchy3"/>
    <dgm:cxn modelId="{9194E014-991D-DA4D-ABBB-344521B37264}" type="presOf" srcId="{460E8528-257B-1F48-88EF-FC068C52BBC8}" destId="{2D161B54-A798-3B42-8F10-79D72FFCBFD7}" srcOrd="0" destOrd="0" presId="urn:microsoft.com/office/officeart/2005/8/layout/hierarchy3"/>
    <dgm:cxn modelId="{5EB6191F-5ACF-A540-B3D2-1E0CF32EA0F8}" srcId="{460E8528-257B-1F48-88EF-FC068C52BBC8}" destId="{0E0A2079-C102-9041-ADEC-35B27A6BC716}" srcOrd="1" destOrd="0" parTransId="{935B6039-0E5E-FA47-8652-2B9FB8872D78}" sibTransId="{E62411C9-1D71-7F44-8406-90C621198493}"/>
    <dgm:cxn modelId="{AF22B72C-E13C-5A49-98C2-E7A92C4DFA99}" type="presOf" srcId="{9B0B0467-B3E0-C746-AD93-B7B57C1E73C4}" destId="{E02D42E5-BA99-BC41-B743-ED315F55A7DB}" srcOrd="1" destOrd="0" presId="urn:microsoft.com/office/officeart/2005/8/layout/hierarchy3"/>
    <dgm:cxn modelId="{19FC6440-CE43-BC49-B93B-D5DB4CDC9FFA}" srcId="{9B0B0467-B3E0-C746-AD93-B7B57C1E73C4}" destId="{A162FA9D-04F9-424E-B9FF-38CBEF50F720}" srcOrd="0" destOrd="0" parTransId="{6EE12680-F8EC-4547-A4FB-5237406928C0}" sibTransId="{197A7186-186D-6347-9338-87329EAC0DF3}"/>
    <dgm:cxn modelId="{16426840-7711-D24C-B862-846C8BBB6D73}" srcId="{A2895BDC-08D8-E847-A754-AAC6284BA229}" destId="{9B0B0467-B3E0-C746-AD93-B7B57C1E73C4}" srcOrd="0" destOrd="0" parTransId="{BEE9C7C4-C0B6-D74F-A49C-793379577832}" sibTransId="{E52E38F0-CE52-5149-99B6-1BAB76DF2EAD}"/>
    <dgm:cxn modelId="{62FF7F43-C20F-0F47-AC71-536AEE25C7BF}" type="presOf" srcId="{7DAF6A2D-9F86-ED44-BCF8-789C7A34145E}" destId="{2D4ADFC2-D689-6046-8E25-D93C1678D51C}" srcOrd="0" destOrd="0" presId="urn:microsoft.com/office/officeart/2005/8/layout/hierarchy3"/>
    <dgm:cxn modelId="{7C324549-D49D-954F-A6A3-67E67C5B1D14}" srcId="{9B0B0467-B3E0-C746-AD93-B7B57C1E73C4}" destId="{464006F7-1E3E-7A4C-AA78-9422A81E926A}" srcOrd="2" destOrd="0" parTransId="{2B552569-BB6E-754B-946E-9ECE8E34E591}" sibTransId="{7F0259F1-F203-F840-8F0B-E3CCFD306BD3}"/>
    <dgm:cxn modelId="{3B204E4F-F73B-CD49-854C-1DFD427C327D}" srcId="{9B0B0467-B3E0-C746-AD93-B7B57C1E73C4}" destId="{198B9FB9-15DB-F24B-A922-198E43B81FA5}" srcOrd="1" destOrd="0" parTransId="{8AC931C2-4E01-B048-AA7D-4554F293BE69}" sibTransId="{E0C4118B-8FD3-E544-9C44-8AB09D19607E}"/>
    <dgm:cxn modelId="{DEB10F50-06C3-5A47-B5E8-4BA1A4604852}" type="presOf" srcId="{A2895BDC-08D8-E847-A754-AAC6284BA229}" destId="{8A7E5D57-0E3C-C546-BC4A-32ECF900F5B3}" srcOrd="0" destOrd="0" presId="urn:microsoft.com/office/officeart/2005/8/layout/hierarchy3"/>
    <dgm:cxn modelId="{E43D8A52-2D98-524C-86BF-92564C6603DF}" type="presOf" srcId="{198B9FB9-15DB-F24B-A922-198E43B81FA5}" destId="{40857EBE-D418-144E-A46E-A206436374D8}" srcOrd="0" destOrd="0" presId="urn:microsoft.com/office/officeart/2005/8/layout/hierarchy3"/>
    <dgm:cxn modelId="{C15DC85B-0FCE-9B40-8293-E68F0A2B42A1}" type="presOf" srcId="{0E0A2079-C102-9041-ADEC-35B27A6BC716}" destId="{BAB9B3AE-6E7A-424E-9F9B-F40E176F9A26}" srcOrd="0" destOrd="0" presId="urn:microsoft.com/office/officeart/2005/8/layout/hierarchy3"/>
    <dgm:cxn modelId="{B3192463-D235-C645-AD58-47CB4D8C4091}" srcId="{460E8528-257B-1F48-88EF-FC068C52BBC8}" destId="{E619D575-A4E3-CC43-A0E9-9514FCC2E0E7}" srcOrd="2" destOrd="0" parTransId="{7DAF6A2D-9F86-ED44-BCF8-789C7A34145E}" sibTransId="{4B655013-6426-AC45-918B-E4A85C0CA2C2}"/>
    <dgm:cxn modelId="{63E8F987-926D-1F45-A46D-17925EA7DC27}" srcId="{460E8528-257B-1F48-88EF-FC068C52BBC8}" destId="{09E234C4-8F32-C149-A9FF-E093190DD558}" srcOrd="0" destOrd="0" parTransId="{0B16AA56-9FEF-8747-8D66-E7017763FF50}" sibTransId="{6AEFA6B3-9C08-1343-A61B-0CC7AD39B9D8}"/>
    <dgm:cxn modelId="{6D501B98-4E85-184E-902B-6627DA3646E8}" type="presOf" srcId="{2B552569-BB6E-754B-946E-9ECE8E34E591}" destId="{0DBA4063-74C4-F644-A1C8-2CBA8CC4364B}" srcOrd="0" destOrd="0" presId="urn:microsoft.com/office/officeart/2005/8/layout/hierarchy3"/>
    <dgm:cxn modelId="{EFE0A5A2-7563-6E48-A669-3D917D1951E2}" type="presOf" srcId="{E619D575-A4E3-CC43-A0E9-9514FCC2E0E7}" destId="{75328AA1-7D26-0348-A791-6328E57322E1}" srcOrd="0" destOrd="0" presId="urn:microsoft.com/office/officeart/2005/8/layout/hierarchy3"/>
    <dgm:cxn modelId="{71CBF1C0-DBFE-4E4B-8078-79733CD24031}" type="presOf" srcId="{8AC931C2-4E01-B048-AA7D-4554F293BE69}" destId="{82671E73-F724-324E-AC0F-D961D52DFFDC}" srcOrd="0" destOrd="0" presId="urn:microsoft.com/office/officeart/2005/8/layout/hierarchy3"/>
    <dgm:cxn modelId="{BE049EC2-E0F4-2B49-BBDC-338F4D0957EE}" type="presOf" srcId="{09E234C4-8F32-C149-A9FF-E093190DD558}" destId="{D074C401-A0DC-6C47-8B66-89A594D81242}" srcOrd="0" destOrd="0" presId="urn:microsoft.com/office/officeart/2005/8/layout/hierarchy3"/>
    <dgm:cxn modelId="{CB5E65D1-E7CD-644B-8B62-605B94F66638}" type="presOf" srcId="{A162FA9D-04F9-424E-B9FF-38CBEF50F720}" destId="{6BE8EB90-D8DA-0241-A1E8-240EC12D7CAC}" srcOrd="0" destOrd="0" presId="urn:microsoft.com/office/officeart/2005/8/layout/hierarchy3"/>
    <dgm:cxn modelId="{6F88A7D1-CAA2-1A4A-8BD6-A65FF3495B9D}" type="presOf" srcId="{464006F7-1E3E-7A4C-AA78-9422A81E926A}" destId="{F024591D-6E18-EA4A-88CB-D654BA272514}" srcOrd="0" destOrd="0" presId="urn:microsoft.com/office/officeart/2005/8/layout/hierarchy3"/>
    <dgm:cxn modelId="{548AF0DB-A466-C041-800B-76526108D1CF}" type="presOf" srcId="{460E8528-257B-1F48-88EF-FC068C52BBC8}" destId="{9F04417E-F087-2240-8829-FE65AB922AAD}" srcOrd="1" destOrd="0" presId="urn:microsoft.com/office/officeart/2005/8/layout/hierarchy3"/>
    <dgm:cxn modelId="{F0B4E5E3-E5F6-B943-9CD0-8CFF20DAB95A}" type="presOf" srcId="{935B6039-0E5E-FA47-8652-2B9FB8872D78}" destId="{C788BB38-28D1-3748-9870-EC72D350C519}" srcOrd="0" destOrd="0" presId="urn:microsoft.com/office/officeart/2005/8/layout/hierarchy3"/>
    <dgm:cxn modelId="{273F39E7-98F9-9240-9EF6-8E6206EC5F43}" srcId="{A2895BDC-08D8-E847-A754-AAC6284BA229}" destId="{460E8528-257B-1F48-88EF-FC068C52BBC8}" srcOrd="1" destOrd="0" parTransId="{BC3AA156-B331-8B4C-B017-A9B4EAB3DF6C}" sibTransId="{BED5D7CB-FEE6-C049-AA21-E4A31841E0A8}"/>
    <dgm:cxn modelId="{DF4D16F0-52C1-4446-9B45-CAE96581990D}" type="presOf" srcId="{6EE12680-F8EC-4547-A4FB-5237406928C0}" destId="{59B1DF48-4EE5-064B-BBA3-60356A7FF845}" srcOrd="0" destOrd="0" presId="urn:microsoft.com/office/officeart/2005/8/layout/hierarchy3"/>
    <dgm:cxn modelId="{2C7798F1-3842-4641-A773-37A245FF0636}" type="presOf" srcId="{0B16AA56-9FEF-8747-8D66-E7017763FF50}" destId="{063F12BE-C8DB-9F48-B380-1BCACF51EEC4}" srcOrd="0" destOrd="0" presId="urn:microsoft.com/office/officeart/2005/8/layout/hierarchy3"/>
    <dgm:cxn modelId="{DBC458E5-1CF6-C640-A94C-71B31A73AFBC}" type="presParOf" srcId="{8A7E5D57-0E3C-C546-BC4A-32ECF900F5B3}" destId="{C7A00960-DA02-C547-923C-D125E89B3967}" srcOrd="0" destOrd="0" presId="urn:microsoft.com/office/officeart/2005/8/layout/hierarchy3"/>
    <dgm:cxn modelId="{5C22CF72-593F-9447-A9C8-E495F7CB1CAF}" type="presParOf" srcId="{C7A00960-DA02-C547-923C-D125E89B3967}" destId="{D26AA038-CC58-0144-8A25-61D98A353991}" srcOrd="0" destOrd="0" presId="urn:microsoft.com/office/officeart/2005/8/layout/hierarchy3"/>
    <dgm:cxn modelId="{374F52D7-022C-6F4B-BD86-D5EA174C7468}" type="presParOf" srcId="{D26AA038-CC58-0144-8A25-61D98A353991}" destId="{B8B78368-2CC1-F647-AA77-D64080C3BFAB}" srcOrd="0" destOrd="0" presId="urn:microsoft.com/office/officeart/2005/8/layout/hierarchy3"/>
    <dgm:cxn modelId="{D510E7B4-312E-A143-921D-BA4F894085DB}" type="presParOf" srcId="{D26AA038-CC58-0144-8A25-61D98A353991}" destId="{E02D42E5-BA99-BC41-B743-ED315F55A7DB}" srcOrd="1" destOrd="0" presId="urn:microsoft.com/office/officeart/2005/8/layout/hierarchy3"/>
    <dgm:cxn modelId="{C18085BB-A3BA-F846-A591-E59954FA30AD}" type="presParOf" srcId="{C7A00960-DA02-C547-923C-D125E89B3967}" destId="{C379ECE6-49F3-A241-96AA-4B9EA5216F1F}" srcOrd="1" destOrd="0" presId="urn:microsoft.com/office/officeart/2005/8/layout/hierarchy3"/>
    <dgm:cxn modelId="{F7473E52-ABAC-8C46-8844-C1B3B29C6DE7}" type="presParOf" srcId="{C379ECE6-49F3-A241-96AA-4B9EA5216F1F}" destId="{59B1DF48-4EE5-064B-BBA3-60356A7FF845}" srcOrd="0" destOrd="0" presId="urn:microsoft.com/office/officeart/2005/8/layout/hierarchy3"/>
    <dgm:cxn modelId="{DE8176E3-5E1D-BF45-80F6-80AB2DD289BA}" type="presParOf" srcId="{C379ECE6-49F3-A241-96AA-4B9EA5216F1F}" destId="{6BE8EB90-D8DA-0241-A1E8-240EC12D7CAC}" srcOrd="1" destOrd="0" presId="urn:microsoft.com/office/officeart/2005/8/layout/hierarchy3"/>
    <dgm:cxn modelId="{40753D74-91EF-BD4C-AF52-9A48CA98F3A0}" type="presParOf" srcId="{C379ECE6-49F3-A241-96AA-4B9EA5216F1F}" destId="{82671E73-F724-324E-AC0F-D961D52DFFDC}" srcOrd="2" destOrd="0" presId="urn:microsoft.com/office/officeart/2005/8/layout/hierarchy3"/>
    <dgm:cxn modelId="{D87CD6F7-8A85-9249-ABE4-4A715E4F0BD7}" type="presParOf" srcId="{C379ECE6-49F3-A241-96AA-4B9EA5216F1F}" destId="{40857EBE-D418-144E-A46E-A206436374D8}" srcOrd="3" destOrd="0" presId="urn:microsoft.com/office/officeart/2005/8/layout/hierarchy3"/>
    <dgm:cxn modelId="{1D79C3E3-E3CF-7F4A-88E3-FCC63EF4E16F}" type="presParOf" srcId="{C379ECE6-49F3-A241-96AA-4B9EA5216F1F}" destId="{0DBA4063-74C4-F644-A1C8-2CBA8CC4364B}" srcOrd="4" destOrd="0" presId="urn:microsoft.com/office/officeart/2005/8/layout/hierarchy3"/>
    <dgm:cxn modelId="{FABB82F9-AD7F-C447-BE6F-489B2667FD63}" type="presParOf" srcId="{C379ECE6-49F3-A241-96AA-4B9EA5216F1F}" destId="{F024591D-6E18-EA4A-88CB-D654BA272514}" srcOrd="5" destOrd="0" presId="urn:microsoft.com/office/officeart/2005/8/layout/hierarchy3"/>
    <dgm:cxn modelId="{53268E88-15B7-C740-9E87-CC182A41FDE4}" type="presParOf" srcId="{8A7E5D57-0E3C-C546-BC4A-32ECF900F5B3}" destId="{E643B9F5-E637-ED45-8DB5-D9F9AEAF0B16}" srcOrd="1" destOrd="0" presId="urn:microsoft.com/office/officeart/2005/8/layout/hierarchy3"/>
    <dgm:cxn modelId="{AABBF756-502B-0D47-B22D-1817D4F843F1}" type="presParOf" srcId="{E643B9F5-E637-ED45-8DB5-D9F9AEAF0B16}" destId="{E4B8496E-341F-EB40-87C7-6E662BF8C9D1}" srcOrd="0" destOrd="0" presId="urn:microsoft.com/office/officeart/2005/8/layout/hierarchy3"/>
    <dgm:cxn modelId="{0B5A15E1-2B21-3C46-B99D-833B22D075C3}" type="presParOf" srcId="{E4B8496E-341F-EB40-87C7-6E662BF8C9D1}" destId="{2D161B54-A798-3B42-8F10-79D72FFCBFD7}" srcOrd="0" destOrd="0" presId="urn:microsoft.com/office/officeart/2005/8/layout/hierarchy3"/>
    <dgm:cxn modelId="{FB65D718-E5F0-6C4E-B862-EA6A0A39D278}" type="presParOf" srcId="{E4B8496E-341F-EB40-87C7-6E662BF8C9D1}" destId="{9F04417E-F087-2240-8829-FE65AB922AAD}" srcOrd="1" destOrd="0" presId="urn:microsoft.com/office/officeart/2005/8/layout/hierarchy3"/>
    <dgm:cxn modelId="{52A0170F-CF83-964A-8966-A30AED4E3601}" type="presParOf" srcId="{E643B9F5-E637-ED45-8DB5-D9F9AEAF0B16}" destId="{D0D15BDF-B53D-FE45-8D61-8820A739CD16}" srcOrd="1" destOrd="0" presId="urn:microsoft.com/office/officeart/2005/8/layout/hierarchy3"/>
    <dgm:cxn modelId="{48F76C9C-F57A-DB40-9AA4-603BA7D788AD}" type="presParOf" srcId="{D0D15BDF-B53D-FE45-8D61-8820A739CD16}" destId="{063F12BE-C8DB-9F48-B380-1BCACF51EEC4}" srcOrd="0" destOrd="0" presId="urn:microsoft.com/office/officeart/2005/8/layout/hierarchy3"/>
    <dgm:cxn modelId="{485105A7-9872-E040-8CD8-B7739A439D9C}" type="presParOf" srcId="{D0D15BDF-B53D-FE45-8D61-8820A739CD16}" destId="{D074C401-A0DC-6C47-8B66-89A594D81242}" srcOrd="1" destOrd="0" presId="urn:microsoft.com/office/officeart/2005/8/layout/hierarchy3"/>
    <dgm:cxn modelId="{FC372D15-25D3-324F-A671-2FF91A5FD9C5}" type="presParOf" srcId="{D0D15BDF-B53D-FE45-8D61-8820A739CD16}" destId="{C788BB38-28D1-3748-9870-EC72D350C519}" srcOrd="2" destOrd="0" presId="urn:microsoft.com/office/officeart/2005/8/layout/hierarchy3"/>
    <dgm:cxn modelId="{FF085961-A6FE-EA42-BAE9-F9536DA68443}" type="presParOf" srcId="{D0D15BDF-B53D-FE45-8D61-8820A739CD16}" destId="{BAB9B3AE-6E7A-424E-9F9B-F40E176F9A26}" srcOrd="3" destOrd="0" presId="urn:microsoft.com/office/officeart/2005/8/layout/hierarchy3"/>
    <dgm:cxn modelId="{ADF830AF-29AA-4747-8ADA-2C57D6F79B99}" type="presParOf" srcId="{D0D15BDF-B53D-FE45-8D61-8820A739CD16}" destId="{2D4ADFC2-D689-6046-8E25-D93C1678D51C}" srcOrd="4" destOrd="0" presId="urn:microsoft.com/office/officeart/2005/8/layout/hierarchy3"/>
    <dgm:cxn modelId="{28705896-BE81-D144-9669-DCCB7925D6A2}" type="presParOf" srcId="{D0D15BDF-B53D-FE45-8D61-8820A739CD16}" destId="{75328AA1-7D26-0348-A791-6328E57322E1}" srcOrd="5" destOrd="0" presId="urn:microsoft.com/office/officeart/2005/8/layout/hierarchy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188FF835-9403-D94A-8A4A-25279E13893B}" type="doc">
      <dgm:prSet loTypeId="urn:microsoft.com/office/officeart/2005/8/layout/hierarchy3" loCatId="" qsTypeId="urn:microsoft.com/office/officeart/2005/8/quickstyle/simple1" qsCatId="simple" csTypeId="urn:microsoft.com/office/officeart/2005/8/colors/accent1_2" csCatId="accent1" phldr="1"/>
      <dgm:spPr/>
      <dgm:t>
        <a:bodyPr/>
        <a:lstStyle/>
        <a:p>
          <a:endParaRPr lang="en-US"/>
        </a:p>
      </dgm:t>
    </dgm:pt>
    <dgm:pt modelId="{16548FC3-8D6D-5E40-AA96-7C984337220F}">
      <dgm:prSet phldrT="[Text]"/>
      <dgm:spPr/>
      <dgm:t>
        <a:bodyPr/>
        <a:lstStyle/>
        <a:p>
          <a:r>
            <a:rPr lang="en-US"/>
            <a:t>Pipeline</a:t>
          </a:r>
        </a:p>
      </dgm:t>
    </dgm:pt>
    <dgm:pt modelId="{09591D21-8CED-2C4F-9C3E-1708E4948E2E}" type="parTrans" cxnId="{3630D92D-E2A2-2148-91FA-330D146F11F3}">
      <dgm:prSet/>
      <dgm:spPr/>
      <dgm:t>
        <a:bodyPr/>
        <a:lstStyle/>
        <a:p>
          <a:endParaRPr lang="en-US"/>
        </a:p>
      </dgm:t>
    </dgm:pt>
    <dgm:pt modelId="{F0CD7145-5D59-1242-B25B-2195D4CD5E45}" type="sibTrans" cxnId="{3630D92D-E2A2-2148-91FA-330D146F11F3}">
      <dgm:prSet/>
      <dgm:spPr/>
      <dgm:t>
        <a:bodyPr/>
        <a:lstStyle/>
        <a:p>
          <a:endParaRPr lang="en-US"/>
        </a:p>
      </dgm:t>
    </dgm:pt>
    <dgm:pt modelId="{AA0B01CD-914E-9F44-B4A6-884A8770EC36}">
      <dgm:prSet phldrT="[Text]"/>
      <dgm:spPr/>
      <dgm:t>
        <a:bodyPr/>
        <a:lstStyle/>
        <a:p>
          <a:r>
            <a:rPr lang="en-US"/>
            <a:t>2.2 GW, 10 sites total (300MW are currently being built out at Black Pearl)</a:t>
          </a:r>
        </a:p>
      </dgm:t>
    </dgm:pt>
    <dgm:pt modelId="{EC5F9697-A3FD-584E-866F-30551ADE249D}" type="parTrans" cxnId="{5EA435F3-D32E-5242-94BE-3E123620DA2F}">
      <dgm:prSet/>
      <dgm:spPr/>
      <dgm:t>
        <a:bodyPr/>
        <a:lstStyle/>
        <a:p>
          <a:endParaRPr lang="en-US"/>
        </a:p>
      </dgm:t>
    </dgm:pt>
    <dgm:pt modelId="{B9552FB0-6603-A343-9FC9-53778DCF4202}" type="sibTrans" cxnId="{5EA435F3-D32E-5242-94BE-3E123620DA2F}">
      <dgm:prSet/>
      <dgm:spPr/>
      <dgm:t>
        <a:bodyPr/>
        <a:lstStyle/>
        <a:p>
          <a:endParaRPr lang="en-US"/>
        </a:p>
      </dgm:t>
    </dgm:pt>
    <dgm:pt modelId="{4D78268F-58F2-4F46-A819-E2013432043F}">
      <dgm:prSet/>
      <dgm:spPr/>
      <dgm:t>
        <a:bodyPr/>
        <a:lstStyle/>
        <a:p>
          <a:r>
            <a:rPr lang="en-US"/>
            <a:t>1.7 GW can have 100% uptime</a:t>
          </a:r>
        </a:p>
      </dgm:t>
    </dgm:pt>
    <dgm:pt modelId="{19EA640D-B1FC-264C-A04C-DAAE12D86FFC}" type="parTrans" cxnId="{A03336B5-C13E-EF44-86E4-CBC9930BFEB8}">
      <dgm:prSet/>
      <dgm:spPr/>
      <dgm:t>
        <a:bodyPr/>
        <a:lstStyle/>
        <a:p>
          <a:endParaRPr lang="en-US"/>
        </a:p>
      </dgm:t>
    </dgm:pt>
    <dgm:pt modelId="{699EF5A4-21E8-E14F-A79A-73C5EDF31D27}" type="sibTrans" cxnId="{A03336B5-C13E-EF44-86E4-CBC9930BFEB8}">
      <dgm:prSet/>
      <dgm:spPr/>
      <dgm:t>
        <a:bodyPr/>
        <a:lstStyle/>
        <a:p>
          <a:endParaRPr lang="en-US"/>
        </a:p>
      </dgm:t>
    </dgm:pt>
    <dgm:pt modelId="{C0E77368-ECAA-124E-AE39-A76FFDAE25F0}">
      <dgm:prSet/>
      <dgm:spPr/>
      <dgm:t>
        <a:bodyPr/>
        <a:lstStyle/>
        <a:p>
          <a:r>
            <a:rPr lang="en-US"/>
            <a:t>70</a:t>
          </a:r>
          <a:r>
            <a:rPr lang="en-US" baseline="0"/>
            <a:t> MW of approved power w/ 200 MW of capsity at Reveille DC site (Planning for poweshell buildoutof data center while marketing the site to potential HPC clients. Expected to close in September</a:t>
          </a:r>
          <a:endParaRPr lang="en-US"/>
        </a:p>
      </dgm:t>
    </dgm:pt>
    <dgm:pt modelId="{D325F1AF-4FA3-6140-B5D5-C0309125747D}" type="parTrans" cxnId="{0412D45A-ED71-FD47-B903-072D415514BC}">
      <dgm:prSet/>
      <dgm:spPr/>
      <dgm:t>
        <a:bodyPr/>
        <a:lstStyle/>
        <a:p>
          <a:endParaRPr lang="en-US"/>
        </a:p>
      </dgm:t>
    </dgm:pt>
    <dgm:pt modelId="{322BBE6F-E63D-B943-99F6-BD219D625F89}" type="sibTrans" cxnId="{0412D45A-ED71-FD47-B903-072D415514BC}">
      <dgm:prSet/>
      <dgm:spPr/>
      <dgm:t>
        <a:bodyPr/>
        <a:lstStyle/>
        <a:p>
          <a:endParaRPr lang="en-US"/>
        </a:p>
      </dgm:t>
    </dgm:pt>
    <dgm:pt modelId="{5D774501-63D0-6E43-B2BF-7E232F0E724E}">
      <dgm:prSet/>
      <dgm:spPr/>
      <dgm:t>
        <a:bodyPr/>
        <a:lstStyle/>
        <a:p>
          <a:r>
            <a:rPr lang="en-US"/>
            <a:t>Recently acquired a 300MW site in West TX on 250 acres and 300 MW. Have agreements necessary to participate in the ERCOT market. Newly constructed fully energized, high-to-mid voltage substation. All necessary approvals and contracts. $0.03 power for the first 5 years after energization.</a:t>
          </a:r>
        </a:p>
      </dgm:t>
    </dgm:pt>
    <dgm:pt modelId="{C3B65B09-E3F9-AF46-9887-36A887A65589}" type="parTrans" cxnId="{9A4D7CDE-30EC-584B-9D1F-C09162B731A0}">
      <dgm:prSet/>
      <dgm:spPr/>
      <dgm:t>
        <a:bodyPr/>
        <a:lstStyle/>
        <a:p>
          <a:endParaRPr lang="en-US"/>
        </a:p>
      </dgm:t>
    </dgm:pt>
    <dgm:pt modelId="{9B8CC17C-D09F-184B-B53C-9AF0492B30AB}" type="sibTrans" cxnId="{9A4D7CDE-30EC-584B-9D1F-C09162B731A0}">
      <dgm:prSet/>
      <dgm:spPr/>
      <dgm:t>
        <a:bodyPr/>
        <a:lstStyle/>
        <a:p>
          <a:endParaRPr lang="en-US"/>
        </a:p>
      </dgm:t>
    </dgm:pt>
    <dgm:pt modelId="{494FEE06-C667-564F-92A3-69F239057516}" type="pres">
      <dgm:prSet presAssocID="{188FF835-9403-D94A-8A4A-25279E13893B}" presName="diagram" presStyleCnt="0">
        <dgm:presLayoutVars>
          <dgm:chPref val="1"/>
          <dgm:dir/>
          <dgm:animOne val="branch"/>
          <dgm:animLvl val="lvl"/>
          <dgm:resizeHandles/>
        </dgm:presLayoutVars>
      </dgm:prSet>
      <dgm:spPr/>
    </dgm:pt>
    <dgm:pt modelId="{AC959AC7-8992-A74E-BD41-85F7C5FE9A54}" type="pres">
      <dgm:prSet presAssocID="{16548FC3-8D6D-5E40-AA96-7C984337220F}" presName="root" presStyleCnt="0"/>
      <dgm:spPr/>
    </dgm:pt>
    <dgm:pt modelId="{FFD25A7C-22E4-BF4C-B5FC-2B8AE28DE849}" type="pres">
      <dgm:prSet presAssocID="{16548FC3-8D6D-5E40-AA96-7C984337220F}" presName="rootComposite" presStyleCnt="0"/>
      <dgm:spPr/>
    </dgm:pt>
    <dgm:pt modelId="{CE0F45CA-047B-5E46-AE8E-D597B9BD0EEA}" type="pres">
      <dgm:prSet presAssocID="{16548FC3-8D6D-5E40-AA96-7C984337220F}" presName="rootText" presStyleLbl="node1" presStyleIdx="0" presStyleCnt="1"/>
      <dgm:spPr/>
    </dgm:pt>
    <dgm:pt modelId="{B8CC0C8A-F293-874C-B688-AF0EA7B2C3BE}" type="pres">
      <dgm:prSet presAssocID="{16548FC3-8D6D-5E40-AA96-7C984337220F}" presName="rootConnector" presStyleLbl="node1" presStyleIdx="0" presStyleCnt="1"/>
      <dgm:spPr/>
    </dgm:pt>
    <dgm:pt modelId="{68578640-3650-3E48-A0D5-BF5829C1FB8A}" type="pres">
      <dgm:prSet presAssocID="{16548FC3-8D6D-5E40-AA96-7C984337220F}" presName="childShape" presStyleCnt="0"/>
      <dgm:spPr/>
    </dgm:pt>
    <dgm:pt modelId="{6E8F0CEF-06B5-AB4E-83BF-A08F2AE0E5F3}" type="pres">
      <dgm:prSet presAssocID="{EC5F9697-A3FD-584E-866F-30551ADE249D}" presName="Name13" presStyleLbl="parChTrans1D2" presStyleIdx="0" presStyleCnt="4"/>
      <dgm:spPr/>
    </dgm:pt>
    <dgm:pt modelId="{898F7282-8EDB-CB4C-9F90-5670C648E491}" type="pres">
      <dgm:prSet presAssocID="{AA0B01CD-914E-9F44-B4A6-884A8770EC36}" presName="childText" presStyleLbl="bgAcc1" presStyleIdx="0" presStyleCnt="4">
        <dgm:presLayoutVars>
          <dgm:bulletEnabled val="1"/>
        </dgm:presLayoutVars>
      </dgm:prSet>
      <dgm:spPr/>
    </dgm:pt>
    <dgm:pt modelId="{A763F3D7-DACF-2542-A17A-9D92625196F0}" type="pres">
      <dgm:prSet presAssocID="{19EA640D-B1FC-264C-A04C-DAAE12D86FFC}" presName="Name13" presStyleLbl="parChTrans1D2" presStyleIdx="1" presStyleCnt="4"/>
      <dgm:spPr/>
    </dgm:pt>
    <dgm:pt modelId="{9C97289B-3EDA-9141-8F4A-C9A944192159}" type="pres">
      <dgm:prSet presAssocID="{4D78268F-58F2-4F46-A819-E2013432043F}" presName="childText" presStyleLbl="bgAcc1" presStyleIdx="1" presStyleCnt="4">
        <dgm:presLayoutVars>
          <dgm:bulletEnabled val="1"/>
        </dgm:presLayoutVars>
      </dgm:prSet>
      <dgm:spPr/>
    </dgm:pt>
    <dgm:pt modelId="{0282545E-4F0F-804A-896A-998E42C8ADCE}" type="pres">
      <dgm:prSet presAssocID="{D325F1AF-4FA3-6140-B5D5-C0309125747D}" presName="Name13" presStyleLbl="parChTrans1D2" presStyleIdx="2" presStyleCnt="4"/>
      <dgm:spPr/>
    </dgm:pt>
    <dgm:pt modelId="{0716D361-6ABA-EE44-AD44-994D123DFA1A}" type="pres">
      <dgm:prSet presAssocID="{C0E77368-ECAA-124E-AE39-A76FFDAE25F0}" presName="childText" presStyleLbl="bgAcc1" presStyleIdx="2" presStyleCnt="4" custScaleX="238058" custScaleY="94284">
        <dgm:presLayoutVars>
          <dgm:bulletEnabled val="1"/>
        </dgm:presLayoutVars>
      </dgm:prSet>
      <dgm:spPr/>
    </dgm:pt>
    <dgm:pt modelId="{773768FD-84B6-3345-95E0-8647DFD5DC0B}" type="pres">
      <dgm:prSet presAssocID="{C3B65B09-E3F9-AF46-9887-36A887A65589}" presName="Name13" presStyleLbl="parChTrans1D2" presStyleIdx="3" presStyleCnt="4"/>
      <dgm:spPr/>
    </dgm:pt>
    <dgm:pt modelId="{0296C66D-F6D9-AD46-8B85-61F3E0FF554A}" type="pres">
      <dgm:prSet presAssocID="{5D774501-63D0-6E43-B2BF-7E232F0E724E}" presName="childText" presStyleLbl="bgAcc1" presStyleIdx="3" presStyleCnt="4" custScaleX="267423" custScaleY="158543">
        <dgm:presLayoutVars>
          <dgm:bulletEnabled val="1"/>
        </dgm:presLayoutVars>
      </dgm:prSet>
      <dgm:spPr/>
    </dgm:pt>
  </dgm:ptLst>
  <dgm:cxnLst>
    <dgm:cxn modelId="{A58BEB01-D163-B14D-A2F1-100BE65D655E}" type="presOf" srcId="{16548FC3-8D6D-5E40-AA96-7C984337220F}" destId="{B8CC0C8A-F293-874C-B688-AF0EA7B2C3BE}" srcOrd="1" destOrd="0" presId="urn:microsoft.com/office/officeart/2005/8/layout/hierarchy3"/>
    <dgm:cxn modelId="{89BB1110-6544-B64F-81FE-F42312A30A80}" type="presOf" srcId="{4D78268F-58F2-4F46-A819-E2013432043F}" destId="{9C97289B-3EDA-9141-8F4A-C9A944192159}" srcOrd="0" destOrd="0" presId="urn:microsoft.com/office/officeart/2005/8/layout/hierarchy3"/>
    <dgm:cxn modelId="{3630D92D-E2A2-2148-91FA-330D146F11F3}" srcId="{188FF835-9403-D94A-8A4A-25279E13893B}" destId="{16548FC3-8D6D-5E40-AA96-7C984337220F}" srcOrd="0" destOrd="0" parTransId="{09591D21-8CED-2C4F-9C3E-1708E4948E2E}" sibTransId="{F0CD7145-5D59-1242-B25B-2195D4CD5E45}"/>
    <dgm:cxn modelId="{82529139-6A6A-7747-8B9F-FF3EFAAF8039}" type="presOf" srcId="{D325F1AF-4FA3-6140-B5D5-C0309125747D}" destId="{0282545E-4F0F-804A-896A-998E42C8ADCE}" srcOrd="0" destOrd="0" presId="urn:microsoft.com/office/officeart/2005/8/layout/hierarchy3"/>
    <dgm:cxn modelId="{48DF983D-608F-634D-BE22-7B0AAF5D0A11}" type="presOf" srcId="{19EA640D-B1FC-264C-A04C-DAAE12D86FFC}" destId="{A763F3D7-DACF-2542-A17A-9D92625196F0}" srcOrd="0" destOrd="0" presId="urn:microsoft.com/office/officeart/2005/8/layout/hierarchy3"/>
    <dgm:cxn modelId="{0412D45A-ED71-FD47-B903-072D415514BC}" srcId="{16548FC3-8D6D-5E40-AA96-7C984337220F}" destId="{C0E77368-ECAA-124E-AE39-A76FFDAE25F0}" srcOrd="2" destOrd="0" parTransId="{D325F1AF-4FA3-6140-B5D5-C0309125747D}" sibTransId="{322BBE6F-E63D-B943-99F6-BD219D625F89}"/>
    <dgm:cxn modelId="{33574A5F-CE26-E04C-8444-169BA4F394B7}" type="presOf" srcId="{5D774501-63D0-6E43-B2BF-7E232F0E724E}" destId="{0296C66D-F6D9-AD46-8B85-61F3E0FF554A}" srcOrd="0" destOrd="0" presId="urn:microsoft.com/office/officeart/2005/8/layout/hierarchy3"/>
    <dgm:cxn modelId="{E9B8257C-C197-F344-AFFE-5B779A8E0B9F}" type="presOf" srcId="{16548FC3-8D6D-5E40-AA96-7C984337220F}" destId="{CE0F45CA-047B-5E46-AE8E-D597B9BD0EEA}" srcOrd="0" destOrd="0" presId="urn:microsoft.com/office/officeart/2005/8/layout/hierarchy3"/>
    <dgm:cxn modelId="{5503F584-3ADB-3F41-863F-7185AEFAC6CF}" type="presOf" srcId="{EC5F9697-A3FD-584E-866F-30551ADE249D}" destId="{6E8F0CEF-06B5-AB4E-83BF-A08F2AE0E5F3}" srcOrd="0" destOrd="0" presId="urn:microsoft.com/office/officeart/2005/8/layout/hierarchy3"/>
    <dgm:cxn modelId="{A03336B5-C13E-EF44-86E4-CBC9930BFEB8}" srcId="{16548FC3-8D6D-5E40-AA96-7C984337220F}" destId="{4D78268F-58F2-4F46-A819-E2013432043F}" srcOrd="1" destOrd="0" parTransId="{19EA640D-B1FC-264C-A04C-DAAE12D86FFC}" sibTransId="{699EF5A4-21E8-E14F-A79A-73C5EDF31D27}"/>
    <dgm:cxn modelId="{C14BB1B6-F97B-6949-B7F9-F595816791FA}" type="presOf" srcId="{C0E77368-ECAA-124E-AE39-A76FFDAE25F0}" destId="{0716D361-6ABA-EE44-AD44-994D123DFA1A}" srcOrd="0" destOrd="0" presId="urn:microsoft.com/office/officeart/2005/8/layout/hierarchy3"/>
    <dgm:cxn modelId="{DF2B91CB-3227-7D4A-A57E-ADF60B2AC8D8}" type="presOf" srcId="{188FF835-9403-D94A-8A4A-25279E13893B}" destId="{494FEE06-C667-564F-92A3-69F239057516}" srcOrd="0" destOrd="0" presId="urn:microsoft.com/office/officeart/2005/8/layout/hierarchy3"/>
    <dgm:cxn modelId="{4F604ED0-969D-E64A-AE18-F278D28C99F9}" type="presOf" srcId="{AA0B01CD-914E-9F44-B4A6-884A8770EC36}" destId="{898F7282-8EDB-CB4C-9F90-5670C648E491}" srcOrd="0" destOrd="0" presId="urn:microsoft.com/office/officeart/2005/8/layout/hierarchy3"/>
    <dgm:cxn modelId="{9A4D7CDE-30EC-584B-9D1F-C09162B731A0}" srcId="{16548FC3-8D6D-5E40-AA96-7C984337220F}" destId="{5D774501-63D0-6E43-B2BF-7E232F0E724E}" srcOrd="3" destOrd="0" parTransId="{C3B65B09-E3F9-AF46-9887-36A887A65589}" sibTransId="{9B8CC17C-D09F-184B-B53C-9AF0492B30AB}"/>
    <dgm:cxn modelId="{CAFFDBED-0ECF-114C-8D16-76E76E365A0A}" type="presOf" srcId="{C3B65B09-E3F9-AF46-9887-36A887A65589}" destId="{773768FD-84B6-3345-95E0-8647DFD5DC0B}" srcOrd="0" destOrd="0" presId="urn:microsoft.com/office/officeart/2005/8/layout/hierarchy3"/>
    <dgm:cxn modelId="{5EA435F3-D32E-5242-94BE-3E123620DA2F}" srcId="{16548FC3-8D6D-5E40-AA96-7C984337220F}" destId="{AA0B01CD-914E-9F44-B4A6-884A8770EC36}" srcOrd="0" destOrd="0" parTransId="{EC5F9697-A3FD-584E-866F-30551ADE249D}" sibTransId="{B9552FB0-6603-A343-9FC9-53778DCF4202}"/>
    <dgm:cxn modelId="{247BECE0-E0F9-2F4A-9C50-04C5E7AF9D6F}" type="presParOf" srcId="{494FEE06-C667-564F-92A3-69F239057516}" destId="{AC959AC7-8992-A74E-BD41-85F7C5FE9A54}" srcOrd="0" destOrd="0" presId="urn:microsoft.com/office/officeart/2005/8/layout/hierarchy3"/>
    <dgm:cxn modelId="{7553AFE7-C6DD-414D-969F-80064F20A434}" type="presParOf" srcId="{AC959AC7-8992-A74E-BD41-85F7C5FE9A54}" destId="{FFD25A7C-22E4-BF4C-B5FC-2B8AE28DE849}" srcOrd="0" destOrd="0" presId="urn:microsoft.com/office/officeart/2005/8/layout/hierarchy3"/>
    <dgm:cxn modelId="{8FC8673C-E91F-2A46-A79E-73B99BA1F218}" type="presParOf" srcId="{FFD25A7C-22E4-BF4C-B5FC-2B8AE28DE849}" destId="{CE0F45CA-047B-5E46-AE8E-D597B9BD0EEA}" srcOrd="0" destOrd="0" presId="urn:microsoft.com/office/officeart/2005/8/layout/hierarchy3"/>
    <dgm:cxn modelId="{F24F1EC4-26E4-AE4B-B262-8F6333BAE573}" type="presParOf" srcId="{FFD25A7C-22E4-BF4C-B5FC-2B8AE28DE849}" destId="{B8CC0C8A-F293-874C-B688-AF0EA7B2C3BE}" srcOrd="1" destOrd="0" presId="urn:microsoft.com/office/officeart/2005/8/layout/hierarchy3"/>
    <dgm:cxn modelId="{393AF208-3BC9-3445-94DF-AE8734417E1C}" type="presParOf" srcId="{AC959AC7-8992-A74E-BD41-85F7C5FE9A54}" destId="{68578640-3650-3E48-A0D5-BF5829C1FB8A}" srcOrd="1" destOrd="0" presId="urn:microsoft.com/office/officeart/2005/8/layout/hierarchy3"/>
    <dgm:cxn modelId="{3B8F8C88-907E-5C40-84BE-6DA425E067EF}" type="presParOf" srcId="{68578640-3650-3E48-A0D5-BF5829C1FB8A}" destId="{6E8F0CEF-06B5-AB4E-83BF-A08F2AE0E5F3}" srcOrd="0" destOrd="0" presId="urn:microsoft.com/office/officeart/2005/8/layout/hierarchy3"/>
    <dgm:cxn modelId="{B260084B-E090-FD43-810F-885E78C00988}" type="presParOf" srcId="{68578640-3650-3E48-A0D5-BF5829C1FB8A}" destId="{898F7282-8EDB-CB4C-9F90-5670C648E491}" srcOrd="1" destOrd="0" presId="urn:microsoft.com/office/officeart/2005/8/layout/hierarchy3"/>
    <dgm:cxn modelId="{6D8D015D-DAE9-9A46-8ABE-8452081ED502}" type="presParOf" srcId="{68578640-3650-3E48-A0D5-BF5829C1FB8A}" destId="{A763F3D7-DACF-2542-A17A-9D92625196F0}" srcOrd="2" destOrd="0" presId="urn:microsoft.com/office/officeart/2005/8/layout/hierarchy3"/>
    <dgm:cxn modelId="{477B3677-DD07-A249-9C0F-4E2A5B8C13BC}" type="presParOf" srcId="{68578640-3650-3E48-A0D5-BF5829C1FB8A}" destId="{9C97289B-3EDA-9141-8F4A-C9A944192159}" srcOrd="3" destOrd="0" presId="urn:microsoft.com/office/officeart/2005/8/layout/hierarchy3"/>
    <dgm:cxn modelId="{04FA3EDA-E16D-1A44-80D3-0189C7512924}" type="presParOf" srcId="{68578640-3650-3E48-A0D5-BF5829C1FB8A}" destId="{0282545E-4F0F-804A-896A-998E42C8ADCE}" srcOrd="4" destOrd="0" presId="urn:microsoft.com/office/officeart/2005/8/layout/hierarchy3"/>
    <dgm:cxn modelId="{CC47CCEF-2C69-EF4C-81A6-5608E8625176}" type="presParOf" srcId="{68578640-3650-3E48-A0D5-BF5829C1FB8A}" destId="{0716D361-6ABA-EE44-AD44-994D123DFA1A}" srcOrd="5" destOrd="0" presId="urn:microsoft.com/office/officeart/2005/8/layout/hierarchy3"/>
    <dgm:cxn modelId="{AC97732F-2D72-294C-AB00-EB89265ABC4D}" type="presParOf" srcId="{68578640-3650-3E48-A0D5-BF5829C1FB8A}" destId="{773768FD-84B6-3345-95E0-8647DFD5DC0B}" srcOrd="6" destOrd="0" presId="urn:microsoft.com/office/officeart/2005/8/layout/hierarchy3"/>
    <dgm:cxn modelId="{270ABABF-CBA7-BD44-A6EA-2B2CB68FDF55}" type="presParOf" srcId="{68578640-3650-3E48-A0D5-BF5829C1FB8A}" destId="{0296C66D-F6D9-AD46-8B85-61F3E0FF554A}" srcOrd="7" destOrd="0" presId="urn:microsoft.com/office/officeart/2005/8/layout/hierarchy3"/>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5.xml><?xml version="1.0" encoding="utf-8"?>
<dgm:dataModel xmlns:dgm="http://schemas.openxmlformats.org/drawingml/2006/diagram" xmlns:a="http://schemas.openxmlformats.org/drawingml/2006/main">
  <dgm:ptLst>
    <dgm:pt modelId="{BE85E54E-38F3-6742-881B-6801B6A1E2F8}" type="doc">
      <dgm:prSet loTypeId="urn:microsoft.com/office/officeart/2005/8/layout/hList6" loCatId="" qsTypeId="urn:microsoft.com/office/officeart/2005/8/quickstyle/simple1" qsCatId="simple" csTypeId="urn:microsoft.com/office/officeart/2005/8/colors/accent1_2" csCatId="accent1" phldr="1"/>
      <dgm:spPr/>
      <dgm:t>
        <a:bodyPr/>
        <a:lstStyle/>
        <a:p>
          <a:endParaRPr lang="en-US"/>
        </a:p>
      </dgm:t>
    </dgm:pt>
    <dgm:pt modelId="{BFC9DFB8-2AD3-9B44-B684-E68E9F5CC002}">
      <dgm:prSet phldrT="[Text]"/>
      <dgm:spPr/>
      <dgm:t>
        <a:bodyPr/>
        <a:lstStyle/>
        <a:p>
          <a:r>
            <a:rPr lang="en-US"/>
            <a:t>Rockdale, TX</a:t>
          </a:r>
        </a:p>
      </dgm:t>
    </dgm:pt>
    <dgm:pt modelId="{C300DD06-0DD5-9A48-831F-BE9FD278229D}" type="parTrans" cxnId="{A2EDEEEB-1AB8-7B4A-8DE0-278951410772}">
      <dgm:prSet/>
      <dgm:spPr/>
      <dgm:t>
        <a:bodyPr/>
        <a:lstStyle/>
        <a:p>
          <a:endParaRPr lang="en-US"/>
        </a:p>
      </dgm:t>
    </dgm:pt>
    <dgm:pt modelId="{1D8AD704-0EB7-2547-BE19-E6E3A73D766A}" type="sibTrans" cxnId="{A2EDEEEB-1AB8-7B4A-8DE0-278951410772}">
      <dgm:prSet/>
      <dgm:spPr/>
      <dgm:t>
        <a:bodyPr/>
        <a:lstStyle/>
        <a:p>
          <a:endParaRPr lang="en-US"/>
        </a:p>
      </dgm:t>
    </dgm:pt>
    <dgm:pt modelId="{6BEC1ABE-675B-A84A-8D86-480F31019703}">
      <dgm:prSet phldrT="[Text]"/>
      <dgm:spPr/>
      <dgm:t>
        <a:bodyPr/>
        <a:lstStyle/>
        <a:p>
          <a:r>
            <a:rPr lang="en-US"/>
            <a:t>15 EH/s</a:t>
          </a:r>
        </a:p>
      </dgm:t>
    </dgm:pt>
    <dgm:pt modelId="{2634C173-464C-8F4B-B472-6E590690E774}" type="parTrans" cxnId="{27E8F930-6BA8-5241-939F-1360E3EB3E0D}">
      <dgm:prSet/>
      <dgm:spPr/>
      <dgm:t>
        <a:bodyPr/>
        <a:lstStyle/>
        <a:p>
          <a:endParaRPr lang="en-US"/>
        </a:p>
      </dgm:t>
    </dgm:pt>
    <dgm:pt modelId="{7464C715-4848-8A46-9F4F-30C2E2E776DE}" type="sibTrans" cxnId="{27E8F930-6BA8-5241-939F-1360E3EB3E0D}">
      <dgm:prSet/>
      <dgm:spPr/>
      <dgm:t>
        <a:bodyPr/>
        <a:lstStyle/>
        <a:p>
          <a:endParaRPr lang="en-US"/>
        </a:p>
      </dgm:t>
    </dgm:pt>
    <dgm:pt modelId="{3222E4E6-94C1-2A40-8DDF-CA768B6B08E8}">
      <dgm:prSet phldrT="[Text]"/>
      <dgm:spPr/>
      <dgm:t>
        <a:bodyPr/>
        <a:lstStyle/>
        <a:p>
          <a:r>
            <a:rPr lang="en-US"/>
            <a:t>Corsicana, TX</a:t>
          </a:r>
        </a:p>
      </dgm:t>
    </dgm:pt>
    <dgm:pt modelId="{B7CDB7D5-416F-F94B-AB14-C9EFACCD599D}" type="parTrans" cxnId="{F1D98039-A14E-AA42-9A54-62C67600DF38}">
      <dgm:prSet/>
      <dgm:spPr/>
      <dgm:t>
        <a:bodyPr/>
        <a:lstStyle/>
        <a:p>
          <a:endParaRPr lang="en-US"/>
        </a:p>
      </dgm:t>
    </dgm:pt>
    <dgm:pt modelId="{E02A67EC-5444-8A49-BEF0-A2E66E6F54B8}" type="sibTrans" cxnId="{F1D98039-A14E-AA42-9A54-62C67600DF38}">
      <dgm:prSet/>
      <dgm:spPr/>
      <dgm:t>
        <a:bodyPr/>
        <a:lstStyle/>
        <a:p>
          <a:endParaRPr lang="en-US"/>
        </a:p>
      </dgm:t>
    </dgm:pt>
    <dgm:pt modelId="{BD2E52E4-CFDF-9548-8977-A2DD2017EEFB}">
      <dgm:prSet phldrT="[Text]"/>
      <dgm:spPr/>
      <dgm:t>
        <a:bodyPr/>
        <a:lstStyle/>
        <a:p>
          <a:r>
            <a:rPr lang="en-US"/>
            <a:t>400MW of developed capacity, 1GW of total capacity </a:t>
          </a:r>
        </a:p>
      </dgm:t>
    </dgm:pt>
    <dgm:pt modelId="{BDF48CD1-DDF7-7141-99AB-614224EA0135}" type="parTrans" cxnId="{23499F24-9576-B64F-A6DC-575DD8B80B0A}">
      <dgm:prSet/>
      <dgm:spPr/>
      <dgm:t>
        <a:bodyPr/>
        <a:lstStyle/>
        <a:p>
          <a:endParaRPr lang="en-US"/>
        </a:p>
      </dgm:t>
    </dgm:pt>
    <dgm:pt modelId="{95BBA060-13D1-0543-B573-1F5DB8F8886A}" type="sibTrans" cxnId="{23499F24-9576-B64F-A6DC-575DD8B80B0A}">
      <dgm:prSet/>
      <dgm:spPr/>
      <dgm:t>
        <a:bodyPr/>
        <a:lstStyle/>
        <a:p>
          <a:endParaRPr lang="en-US"/>
        </a:p>
      </dgm:t>
    </dgm:pt>
    <dgm:pt modelId="{F54D5C5F-A467-D949-A481-523854514715}">
      <dgm:prSet phldrT="[Text]"/>
      <dgm:spPr/>
      <dgm:t>
        <a:bodyPr/>
        <a:lstStyle/>
        <a:p>
          <a:r>
            <a:rPr lang="en-US"/>
            <a:t>14.1 EH/s</a:t>
          </a:r>
        </a:p>
      </dgm:t>
    </dgm:pt>
    <dgm:pt modelId="{86D2C820-423A-5344-9B52-163714D6F8DA}" type="parTrans" cxnId="{248C7DD5-16A1-B540-B25B-7EEEECFC7373}">
      <dgm:prSet/>
      <dgm:spPr/>
      <dgm:t>
        <a:bodyPr/>
        <a:lstStyle/>
        <a:p>
          <a:endParaRPr lang="en-US"/>
        </a:p>
      </dgm:t>
    </dgm:pt>
    <dgm:pt modelId="{01DE8A75-D6B4-6F4B-A0A8-0CC882654FD8}" type="sibTrans" cxnId="{248C7DD5-16A1-B540-B25B-7EEEECFC7373}">
      <dgm:prSet/>
      <dgm:spPr/>
      <dgm:t>
        <a:bodyPr/>
        <a:lstStyle/>
        <a:p>
          <a:endParaRPr lang="en-US"/>
        </a:p>
      </dgm:t>
    </dgm:pt>
    <dgm:pt modelId="{EA3FD927-826B-C548-8614-B339A4BD8D65}">
      <dgm:prSet phldrT="[Text]"/>
      <dgm:spPr/>
      <dgm:t>
        <a:bodyPr/>
        <a:lstStyle/>
        <a:p>
          <a:r>
            <a:rPr lang="en-US"/>
            <a:t>Kentucky (Block Mining)</a:t>
          </a:r>
        </a:p>
      </dgm:t>
    </dgm:pt>
    <dgm:pt modelId="{C7FAC4DF-4C80-D143-AA47-918A6669E327}" type="parTrans" cxnId="{E81D5A3C-49B0-BD4C-A4F4-42E5253E66D2}">
      <dgm:prSet/>
      <dgm:spPr/>
      <dgm:t>
        <a:bodyPr/>
        <a:lstStyle/>
        <a:p>
          <a:endParaRPr lang="en-US"/>
        </a:p>
      </dgm:t>
    </dgm:pt>
    <dgm:pt modelId="{D723B635-C2AB-0449-B353-970419C0CB68}" type="sibTrans" cxnId="{E81D5A3C-49B0-BD4C-A4F4-42E5253E66D2}">
      <dgm:prSet/>
      <dgm:spPr/>
      <dgm:t>
        <a:bodyPr/>
        <a:lstStyle/>
        <a:p>
          <a:endParaRPr lang="en-US"/>
        </a:p>
      </dgm:t>
    </dgm:pt>
    <dgm:pt modelId="{53969D8C-B0FE-3D43-BF1D-5E163432147D}">
      <dgm:prSet phldrT="[Text]"/>
      <dgm:spPr/>
      <dgm:t>
        <a:bodyPr/>
        <a:lstStyle/>
        <a:p>
          <a:r>
            <a:rPr lang="en-US"/>
            <a:t>60MW developed capacity, 110MW of contracted capacity, 300MW potential capacity</a:t>
          </a:r>
        </a:p>
      </dgm:t>
    </dgm:pt>
    <dgm:pt modelId="{4B838ACD-6989-AA48-A77B-349984F05639}" type="parTrans" cxnId="{D0601494-1DC2-AB4E-AF2A-8F079256EFB6}">
      <dgm:prSet/>
      <dgm:spPr/>
      <dgm:t>
        <a:bodyPr/>
        <a:lstStyle/>
        <a:p>
          <a:endParaRPr lang="en-US"/>
        </a:p>
      </dgm:t>
    </dgm:pt>
    <dgm:pt modelId="{59171508-E052-F54E-A61B-3C3DD34A5F69}" type="sibTrans" cxnId="{D0601494-1DC2-AB4E-AF2A-8F079256EFB6}">
      <dgm:prSet/>
      <dgm:spPr/>
      <dgm:t>
        <a:bodyPr/>
        <a:lstStyle/>
        <a:p>
          <a:endParaRPr lang="en-US"/>
        </a:p>
      </dgm:t>
    </dgm:pt>
    <dgm:pt modelId="{F0577511-4EC5-9B41-98B9-47A223E04E86}">
      <dgm:prSet phldrT="[Text]"/>
      <dgm:spPr/>
      <dgm:t>
        <a:bodyPr/>
        <a:lstStyle/>
        <a:p>
          <a:r>
            <a:rPr lang="en-US"/>
            <a:t>all 60MW of air-cooling</a:t>
          </a:r>
        </a:p>
      </dgm:t>
    </dgm:pt>
    <dgm:pt modelId="{3FA021A4-4164-7F4F-BD31-7153E2352166}" type="parTrans" cxnId="{36741C5E-688A-2448-ADB6-06211C9C61E2}">
      <dgm:prSet/>
      <dgm:spPr/>
      <dgm:t>
        <a:bodyPr/>
        <a:lstStyle/>
        <a:p>
          <a:endParaRPr lang="en-US"/>
        </a:p>
      </dgm:t>
    </dgm:pt>
    <dgm:pt modelId="{1F43C23F-CFEC-734F-A5FB-E3BA58CEFDAA}" type="sibTrans" cxnId="{36741C5E-688A-2448-ADB6-06211C9C61E2}">
      <dgm:prSet/>
      <dgm:spPr/>
      <dgm:t>
        <a:bodyPr/>
        <a:lstStyle/>
        <a:p>
          <a:endParaRPr lang="en-US"/>
        </a:p>
      </dgm:t>
    </dgm:pt>
    <dgm:pt modelId="{F2105F78-22DD-2A4C-ADFB-0BE2AC1F9865}">
      <dgm:prSet phldrT="[Text]"/>
      <dgm:spPr/>
      <dgm:t>
        <a:bodyPr/>
        <a:lstStyle/>
        <a:p>
          <a:r>
            <a:rPr lang="en-US"/>
            <a:t>700MW of developed capacity, 700 MW total capacity.</a:t>
          </a:r>
        </a:p>
      </dgm:t>
    </dgm:pt>
    <dgm:pt modelId="{A75138FA-B799-2142-8BF3-D315A1C5820A}" type="parTrans" cxnId="{C0A941DD-8883-BC40-A3F6-37A22B8FCD46}">
      <dgm:prSet/>
      <dgm:spPr/>
      <dgm:t>
        <a:bodyPr/>
        <a:lstStyle/>
        <a:p>
          <a:endParaRPr lang="en-US"/>
        </a:p>
      </dgm:t>
    </dgm:pt>
    <dgm:pt modelId="{321C268C-F585-9648-8BA2-3709A2CF2A7E}" type="sibTrans" cxnId="{C0A941DD-8883-BC40-A3F6-37A22B8FCD46}">
      <dgm:prSet/>
      <dgm:spPr/>
      <dgm:t>
        <a:bodyPr/>
        <a:lstStyle/>
        <a:p>
          <a:endParaRPr lang="en-US"/>
        </a:p>
      </dgm:t>
    </dgm:pt>
    <dgm:pt modelId="{5ABA09E1-E512-AA4A-ABF9-60CC6C6104C9}">
      <dgm:prSet phldrT="[Text]"/>
      <dgm:spPr/>
      <dgm:t>
        <a:bodyPr/>
        <a:lstStyle/>
        <a:p>
          <a:r>
            <a:rPr lang="en-US"/>
            <a:t>7 buildings, with 2 deploying immersion-cooling (200MW), and the remaining 5 utilizing air-cooling (500MW).</a:t>
          </a:r>
        </a:p>
      </dgm:t>
    </dgm:pt>
    <dgm:pt modelId="{2E44079A-C680-7047-9C19-9FDE89285EC2}" type="parTrans" cxnId="{151B0DC1-0B8F-1542-8FDA-F7D43591AA5D}">
      <dgm:prSet/>
      <dgm:spPr/>
      <dgm:t>
        <a:bodyPr/>
        <a:lstStyle/>
        <a:p>
          <a:endParaRPr lang="en-US"/>
        </a:p>
      </dgm:t>
    </dgm:pt>
    <dgm:pt modelId="{8392A0CB-A80E-854A-BC9E-DC2ADF0AD2A2}" type="sibTrans" cxnId="{151B0DC1-0B8F-1542-8FDA-F7D43591AA5D}">
      <dgm:prSet/>
      <dgm:spPr/>
      <dgm:t>
        <a:bodyPr/>
        <a:lstStyle/>
        <a:p>
          <a:endParaRPr lang="en-US"/>
        </a:p>
      </dgm:t>
    </dgm:pt>
    <dgm:pt modelId="{6F552B95-CE7A-6D41-8182-DFE4E302AB0C}">
      <dgm:prSet phldrT="[Text]"/>
      <dgm:spPr/>
      <dgm:t>
        <a:bodyPr/>
        <a:lstStyle/>
        <a:p>
          <a:r>
            <a:rPr lang="en-US"/>
            <a:t>$0.025/kWh (fixed rate)</a:t>
          </a:r>
        </a:p>
      </dgm:t>
    </dgm:pt>
    <dgm:pt modelId="{CFBC749C-AD61-EF42-BFD4-82D5C3A14F4E}" type="parTrans" cxnId="{E4F184BE-D792-6C49-AFF8-2A103D445F1D}">
      <dgm:prSet/>
      <dgm:spPr/>
      <dgm:t>
        <a:bodyPr/>
        <a:lstStyle/>
        <a:p>
          <a:endParaRPr lang="en-US"/>
        </a:p>
      </dgm:t>
    </dgm:pt>
    <dgm:pt modelId="{3F303F2D-1EDB-D447-83A6-24BE63F02C5C}" type="sibTrans" cxnId="{E4F184BE-D792-6C49-AFF8-2A103D445F1D}">
      <dgm:prSet/>
      <dgm:spPr/>
      <dgm:t>
        <a:bodyPr/>
        <a:lstStyle/>
        <a:p>
          <a:endParaRPr lang="en-US"/>
        </a:p>
      </dgm:t>
    </dgm:pt>
    <dgm:pt modelId="{62B306D0-3104-BA48-B924-8B91A6402E21}">
      <dgm:prSet phldrT="[Text]"/>
      <dgm:spPr/>
      <dgm:t>
        <a:bodyPr/>
        <a:lstStyle/>
        <a:p>
          <a:r>
            <a:rPr lang="en-US"/>
            <a:t>Railroad running along property</a:t>
          </a:r>
        </a:p>
      </dgm:t>
    </dgm:pt>
    <dgm:pt modelId="{09D3337E-7AC6-4646-B5A0-141C79E9B9A1}" type="parTrans" cxnId="{79B383B9-CB4C-4749-BDD9-E9A8FA464A05}">
      <dgm:prSet/>
      <dgm:spPr/>
      <dgm:t>
        <a:bodyPr/>
        <a:lstStyle/>
        <a:p>
          <a:endParaRPr lang="en-US"/>
        </a:p>
      </dgm:t>
    </dgm:pt>
    <dgm:pt modelId="{9BF86C2B-EF52-D641-BEB9-2E6620B23EFA}" type="sibTrans" cxnId="{79B383B9-CB4C-4749-BDD9-E9A8FA464A05}">
      <dgm:prSet/>
      <dgm:spPr/>
      <dgm:t>
        <a:bodyPr/>
        <a:lstStyle/>
        <a:p>
          <a:endParaRPr lang="en-US"/>
        </a:p>
      </dgm:t>
    </dgm:pt>
    <dgm:pt modelId="{0A224748-C93E-2144-804D-F11915985C6A}">
      <dgm:prSet phldrT="[Text]"/>
      <dgm:spPr/>
      <dgm:t>
        <a:bodyPr/>
        <a:lstStyle/>
        <a:p>
          <a:r>
            <a:rPr lang="en-US"/>
            <a:t>Participates in ERCOT demand response</a:t>
          </a:r>
        </a:p>
      </dgm:t>
    </dgm:pt>
    <dgm:pt modelId="{61D9FF7F-2FE1-9243-B7EE-C0D2AE18954C}" type="parTrans" cxnId="{80AF9678-75B4-444C-A1C3-7E7D68CFDAB2}">
      <dgm:prSet/>
      <dgm:spPr/>
      <dgm:t>
        <a:bodyPr/>
        <a:lstStyle/>
        <a:p>
          <a:endParaRPr lang="en-US"/>
        </a:p>
      </dgm:t>
    </dgm:pt>
    <dgm:pt modelId="{7D31CDAE-968D-9641-B42F-C698026A3433}" type="sibTrans" cxnId="{80AF9678-75B4-444C-A1C3-7E7D68CFDAB2}">
      <dgm:prSet/>
      <dgm:spPr/>
      <dgm:t>
        <a:bodyPr/>
        <a:lstStyle/>
        <a:p>
          <a:endParaRPr lang="en-US"/>
        </a:p>
      </dgm:t>
    </dgm:pt>
    <dgm:pt modelId="{A0EBA7F3-BFB4-7F4D-A770-CB73D509CED8}">
      <dgm:prSet phldrT="[Text]"/>
      <dgm:spPr/>
      <dgm:t>
        <a:bodyPr/>
        <a:lstStyle/>
        <a:p>
          <a:r>
            <a:rPr lang="en-US"/>
            <a:t>400MW of immersion-cooling</a:t>
          </a:r>
        </a:p>
      </dgm:t>
    </dgm:pt>
    <dgm:pt modelId="{E75AFDBD-BA32-2342-93F1-21DAC499201B}" type="parTrans" cxnId="{570BD564-2D90-474D-935A-C49666E06E33}">
      <dgm:prSet/>
      <dgm:spPr/>
      <dgm:t>
        <a:bodyPr/>
        <a:lstStyle/>
        <a:p>
          <a:endParaRPr lang="en-US"/>
        </a:p>
      </dgm:t>
    </dgm:pt>
    <dgm:pt modelId="{3C56AF1C-DD17-804C-8747-C5549E5DD8AA}" type="sibTrans" cxnId="{570BD564-2D90-474D-935A-C49666E06E33}">
      <dgm:prSet/>
      <dgm:spPr/>
      <dgm:t>
        <a:bodyPr/>
        <a:lstStyle/>
        <a:p>
          <a:endParaRPr lang="en-US"/>
        </a:p>
      </dgm:t>
    </dgm:pt>
    <dgm:pt modelId="{79280372-0993-DF46-AECA-D85C8C30609F}">
      <dgm:prSet phldrT="[Text]"/>
      <dgm:spPr/>
      <dgm:t>
        <a:bodyPr/>
        <a:lstStyle/>
        <a:p>
          <a:r>
            <a:rPr lang="en-US"/>
            <a:t>265 acres</a:t>
          </a:r>
        </a:p>
      </dgm:t>
    </dgm:pt>
    <dgm:pt modelId="{2470364C-1A28-4840-A0E9-F7597453F67C}" type="parTrans" cxnId="{4E27C048-F9CF-4747-9F98-A2388E954E31}">
      <dgm:prSet/>
      <dgm:spPr/>
      <dgm:t>
        <a:bodyPr/>
        <a:lstStyle/>
        <a:p>
          <a:endParaRPr lang="en-US"/>
        </a:p>
      </dgm:t>
    </dgm:pt>
    <dgm:pt modelId="{1B3AEE53-3CF0-BD40-A135-8C4AE4840995}" type="sibTrans" cxnId="{4E27C048-F9CF-4747-9F98-A2388E954E31}">
      <dgm:prSet/>
      <dgm:spPr/>
      <dgm:t>
        <a:bodyPr/>
        <a:lstStyle/>
        <a:p>
          <a:endParaRPr lang="en-US"/>
        </a:p>
      </dgm:t>
    </dgm:pt>
    <dgm:pt modelId="{64FC9B52-99F2-8240-8A3F-34637914E8FE}">
      <dgm:prSet phldrT="[Text]"/>
      <dgm:spPr/>
      <dgm:t>
        <a:bodyPr/>
        <a:lstStyle/>
        <a:p>
          <a:r>
            <a:rPr lang="en-US"/>
            <a:t>57 miles from Dallas,TX</a:t>
          </a:r>
        </a:p>
      </dgm:t>
    </dgm:pt>
    <dgm:pt modelId="{0FF502E1-96B6-7043-B37C-97271F9ED415}" type="parTrans" cxnId="{2F622F6D-5353-1642-A801-FFEE614145E4}">
      <dgm:prSet/>
      <dgm:spPr/>
      <dgm:t>
        <a:bodyPr/>
        <a:lstStyle/>
        <a:p>
          <a:endParaRPr lang="en-US"/>
        </a:p>
      </dgm:t>
    </dgm:pt>
    <dgm:pt modelId="{89A2DF9B-A854-5B4B-8286-4F140788C9D5}" type="sibTrans" cxnId="{2F622F6D-5353-1642-A801-FFEE614145E4}">
      <dgm:prSet/>
      <dgm:spPr/>
      <dgm:t>
        <a:bodyPr/>
        <a:lstStyle/>
        <a:p>
          <a:endParaRPr lang="en-US"/>
        </a:p>
      </dgm:t>
    </dgm:pt>
    <dgm:pt modelId="{5544101E-27BD-4249-9804-98FC387CC08C}">
      <dgm:prSet phldrT="[Text]"/>
      <dgm:spPr/>
      <dgm:t>
        <a:bodyPr/>
        <a:lstStyle/>
        <a:p>
          <a:r>
            <a:rPr lang="en-US"/>
            <a:t>41 miles from Austin, 100 miles from Houston</a:t>
          </a:r>
        </a:p>
      </dgm:t>
    </dgm:pt>
    <dgm:pt modelId="{A9B21B44-9944-4B4E-B42A-17514A244871}" type="parTrans" cxnId="{17198137-534E-4C45-945F-33FCE758C9E4}">
      <dgm:prSet/>
      <dgm:spPr/>
      <dgm:t>
        <a:bodyPr/>
        <a:lstStyle/>
        <a:p>
          <a:endParaRPr lang="en-US"/>
        </a:p>
      </dgm:t>
    </dgm:pt>
    <dgm:pt modelId="{9F8F58DD-CAAD-BD40-BEC7-EFB2ED46C91B}" type="sibTrans" cxnId="{17198137-534E-4C45-945F-33FCE758C9E4}">
      <dgm:prSet/>
      <dgm:spPr/>
      <dgm:t>
        <a:bodyPr/>
        <a:lstStyle/>
        <a:p>
          <a:endParaRPr lang="en-US"/>
        </a:p>
      </dgm:t>
    </dgm:pt>
    <dgm:pt modelId="{D94CF1B5-5604-864A-84D5-42F5E739BBD2}">
      <dgm:prSet phldrT="[Text]"/>
      <dgm:spPr/>
      <dgm:t>
        <a:bodyPr/>
        <a:lstStyle/>
        <a:p>
          <a:r>
            <a:rPr lang="en-US"/>
            <a:t>2.4 EH/s</a:t>
          </a:r>
        </a:p>
      </dgm:t>
    </dgm:pt>
    <dgm:pt modelId="{CC4C42CE-5FC4-AE4D-ADCA-3437C0DBFF2E}" type="parTrans" cxnId="{534067F3-86D9-5D47-9767-69A217251BC9}">
      <dgm:prSet/>
      <dgm:spPr/>
      <dgm:t>
        <a:bodyPr/>
        <a:lstStyle/>
        <a:p>
          <a:endParaRPr lang="en-US"/>
        </a:p>
      </dgm:t>
    </dgm:pt>
    <dgm:pt modelId="{976C7B5B-8E4F-4E48-9A04-185586B44F00}" type="sibTrans" cxnId="{534067F3-86D9-5D47-9767-69A217251BC9}">
      <dgm:prSet/>
      <dgm:spPr/>
      <dgm:t>
        <a:bodyPr/>
        <a:lstStyle/>
        <a:p>
          <a:endParaRPr lang="en-US"/>
        </a:p>
      </dgm:t>
    </dgm:pt>
    <dgm:pt modelId="{92DFB88B-9A76-4341-BB6E-5FD1995EC422}">
      <dgm:prSet phldrT="[Text]"/>
      <dgm:spPr/>
      <dgm:t>
        <a:bodyPr/>
        <a:lstStyle/>
        <a:p>
          <a:r>
            <a:rPr lang="en-US"/>
            <a:t>participates in MISO market</a:t>
          </a:r>
        </a:p>
      </dgm:t>
    </dgm:pt>
    <dgm:pt modelId="{4CC84E28-4977-CD4B-B255-EC319D941288}" type="parTrans" cxnId="{975DAC25-E546-8A41-A2FA-9314C0DB0AF6}">
      <dgm:prSet/>
      <dgm:spPr/>
      <dgm:t>
        <a:bodyPr/>
        <a:lstStyle/>
        <a:p>
          <a:endParaRPr lang="en-US"/>
        </a:p>
      </dgm:t>
    </dgm:pt>
    <dgm:pt modelId="{C22E7656-A84A-1649-BE80-A5D0D41A0818}" type="sibTrans" cxnId="{975DAC25-E546-8A41-A2FA-9314C0DB0AF6}">
      <dgm:prSet/>
      <dgm:spPr/>
      <dgm:t>
        <a:bodyPr/>
        <a:lstStyle/>
        <a:p>
          <a:endParaRPr lang="en-US"/>
        </a:p>
      </dgm:t>
    </dgm:pt>
    <dgm:pt modelId="{674AC9D2-E498-514D-AE0B-056CC414DDBB}">
      <dgm:prSet phldrT="[Text]"/>
      <dgm:spPr/>
      <dgm:t>
        <a:bodyPr/>
        <a:lstStyle/>
        <a:p>
          <a:r>
            <a:rPr lang="en-US"/>
            <a:t>$0.039/kWh</a:t>
          </a:r>
        </a:p>
      </dgm:t>
    </dgm:pt>
    <dgm:pt modelId="{26161BDB-3AF0-384D-9FCB-E5633C9AE89D}" type="parTrans" cxnId="{DBCA0DFB-4FA3-5540-BC3A-7ECE860F49E1}">
      <dgm:prSet/>
      <dgm:spPr/>
      <dgm:t>
        <a:bodyPr/>
        <a:lstStyle/>
        <a:p>
          <a:endParaRPr lang="en-US"/>
        </a:p>
      </dgm:t>
    </dgm:pt>
    <dgm:pt modelId="{06EB0E30-715A-7E45-9409-947B3E25DF4E}" type="sibTrans" cxnId="{DBCA0DFB-4FA3-5540-BC3A-7ECE860F49E1}">
      <dgm:prSet/>
      <dgm:spPr/>
      <dgm:t>
        <a:bodyPr/>
        <a:lstStyle/>
        <a:p>
          <a:endParaRPr lang="en-US"/>
        </a:p>
      </dgm:t>
    </dgm:pt>
    <dgm:pt modelId="{CF3E3400-F991-9044-B575-1A9A009D7CD8}">
      <dgm:prSet phldrT="[Text]"/>
      <dgm:spPr/>
      <dgm:t>
        <a:bodyPr/>
        <a:lstStyle/>
        <a:p>
          <a:r>
            <a:rPr lang="en-US"/>
            <a:t>Split between 3 sites. Commerce Drive, Blue Steel, and Coleman Road. (loactions arent specific)</a:t>
          </a:r>
        </a:p>
      </dgm:t>
    </dgm:pt>
    <dgm:pt modelId="{16783AD4-D60B-D14E-A20C-187C970B349C}" type="parTrans" cxnId="{ACB6C1DD-1027-1A4B-A7AD-113C7D332299}">
      <dgm:prSet/>
      <dgm:spPr/>
      <dgm:t>
        <a:bodyPr/>
        <a:lstStyle/>
        <a:p>
          <a:endParaRPr lang="en-US"/>
        </a:p>
      </dgm:t>
    </dgm:pt>
    <dgm:pt modelId="{6B470660-E743-DE4F-881F-BD649919282F}" type="sibTrans" cxnId="{ACB6C1DD-1027-1A4B-A7AD-113C7D332299}">
      <dgm:prSet/>
      <dgm:spPr/>
      <dgm:t>
        <a:bodyPr/>
        <a:lstStyle/>
        <a:p>
          <a:endParaRPr lang="en-US"/>
        </a:p>
      </dgm:t>
    </dgm:pt>
    <dgm:pt modelId="{236D1A64-835B-B343-AA2D-E4C074D46244}">
      <dgm:prSet phldrT="[Text]"/>
      <dgm:spPr/>
      <dgm:t>
        <a:bodyPr/>
        <a:lstStyle/>
        <a:p>
          <a:r>
            <a:rPr lang="en-US"/>
            <a:t>Potentially using remaining 600MW for AI development.</a:t>
          </a:r>
        </a:p>
      </dgm:t>
    </dgm:pt>
    <dgm:pt modelId="{4327CA1E-1D11-B241-A235-24948104CED1}" type="parTrans" cxnId="{BBE4B6AC-B96E-274C-BC95-D4E62CE72F2D}">
      <dgm:prSet/>
      <dgm:spPr/>
      <dgm:t>
        <a:bodyPr/>
        <a:lstStyle/>
        <a:p>
          <a:endParaRPr lang="en-US"/>
        </a:p>
      </dgm:t>
    </dgm:pt>
    <dgm:pt modelId="{73D47E64-31C0-054A-8A56-BB3826FFD735}" type="sibTrans" cxnId="{BBE4B6AC-B96E-274C-BC95-D4E62CE72F2D}">
      <dgm:prSet/>
      <dgm:spPr/>
      <dgm:t>
        <a:bodyPr/>
        <a:lstStyle/>
        <a:p>
          <a:endParaRPr lang="en-US"/>
        </a:p>
      </dgm:t>
    </dgm:pt>
    <dgm:pt modelId="{FEC89B1B-A57D-D44D-A2BA-3803F36B7AF3}" type="pres">
      <dgm:prSet presAssocID="{BE85E54E-38F3-6742-881B-6801B6A1E2F8}" presName="Name0" presStyleCnt="0">
        <dgm:presLayoutVars>
          <dgm:dir/>
          <dgm:resizeHandles val="exact"/>
        </dgm:presLayoutVars>
      </dgm:prSet>
      <dgm:spPr/>
    </dgm:pt>
    <dgm:pt modelId="{66DCE430-9715-0F44-BBB3-1FD7E7097E12}" type="pres">
      <dgm:prSet presAssocID="{BFC9DFB8-2AD3-9B44-B684-E68E9F5CC002}" presName="node" presStyleLbl="node1" presStyleIdx="0" presStyleCnt="3">
        <dgm:presLayoutVars>
          <dgm:bulletEnabled val="1"/>
        </dgm:presLayoutVars>
      </dgm:prSet>
      <dgm:spPr/>
    </dgm:pt>
    <dgm:pt modelId="{1CCFBF3E-8A8C-0E4A-8C06-1E83E051C0C0}" type="pres">
      <dgm:prSet presAssocID="{1D8AD704-0EB7-2547-BE19-E6E3A73D766A}" presName="sibTrans" presStyleCnt="0"/>
      <dgm:spPr/>
    </dgm:pt>
    <dgm:pt modelId="{6DF283C4-6945-F344-9E7B-54F4F2ECEB9C}" type="pres">
      <dgm:prSet presAssocID="{3222E4E6-94C1-2A40-8DDF-CA768B6B08E8}" presName="node" presStyleLbl="node1" presStyleIdx="1" presStyleCnt="3">
        <dgm:presLayoutVars>
          <dgm:bulletEnabled val="1"/>
        </dgm:presLayoutVars>
      </dgm:prSet>
      <dgm:spPr/>
    </dgm:pt>
    <dgm:pt modelId="{5A7005C4-87C7-B946-9CCF-547BD42AF215}" type="pres">
      <dgm:prSet presAssocID="{E02A67EC-5444-8A49-BEF0-A2E66E6F54B8}" presName="sibTrans" presStyleCnt="0"/>
      <dgm:spPr/>
    </dgm:pt>
    <dgm:pt modelId="{0E2AF0FB-C03A-984B-8D65-F86C5D815647}" type="pres">
      <dgm:prSet presAssocID="{EA3FD927-826B-C548-8614-B339A4BD8D65}" presName="node" presStyleLbl="node1" presStyleIdx="2" presStyleCnt="3">
        <dgm:presLayoutVars>
          <dgm:bulletEnabled val="1"/>
        </dgm:presLayoutVars>
      </dgm:prSet>
      <dgm:spPr/>
    </dgm:pt>
  </dgm:ptLst>
  <dgm:cxnLst>
    <dgm:cxn modelId="{8625150F-A5BF-574B-B096-0D0167942880}" type="presOf" srcId="{6BEC1ABE-675B-A84A-8D86-480F31019703}" destId="{66DCE430-9715-0F44-BBB3-1FD7E7097E12}" srcOrd="0" destOrd="3" presId="urn:microsoft.com/office/officeart/2005/8/layout/hList6"/>
    <dgm:cxn modelId="{23499F24-9576-B64F-A6DC-575DD8B80B0A}" srcId="{3222E4E6-94C1-2A40-8DDF-CA768B6B08E8}" destId="{BD2E52E4-CFDF-9548-8977-A2DD2017EEFB}" srcOrd="0" destOrd="0" parTransId="{BDF48CD1-DDF7-7141-99AB-614224EA0135}" sibTransId="{95BBA060-13D1-0543-B573-1F5DB8F8886A}"/>
    <dgm:cxn modelId="{975DAC25-E546-8A41-A2FA-9314C0DB0AF6}" srcId="{EA3FD927-826B-C548-8614-B339A4BD8D65}" destId="{92DFB88B-9A76-4341-BB6E-5FD1995EC422}" srcOrd="4" destOrd="0" parTransId="{4CC84E28-4977-CD4B-B255-EC319D941288}" sibTransId="{C22E7656-A84A-1649-BE80-A5D0D41A0818}"/>
    <dgm:cxn modelId="{9B822029-3023-1D45-AB58-72A748D060FE}" type="presOf" srcId="{79280372-0993-DF46-AECA-D85C8C30609F}" destId="{6DF283C4-6945-F344-9E7B-54F4F2ECEB9C}" srcOrd="0" destOrd="4" presId="urn:microsoft.com/office/officeart/2005/8/layout/hList6"/>
    <dgm:cxn modelId="{8733302D-87E8-A84C-B9B4-710ADD50AC7F}" type="presOf" srcId="{BE85E54E-38F3-6742-881B-6801B6A1E2F8}" destId="{FEC89B1B-A57D-D44D-A2BA-3803F36B7AF3}" srcOrd="0" destOrd="0" presId="urn:microsoft.com/office/officeart/2005/8/layout/hList6"/>
    <dgm:cxn modelId="{27E8F930-6BA8-5241-939F-1360E3EB3E0D}" srcId="{BFC9DFB8-2AD3-9B44-B684-E68E9F5CC002}" destId="{6BEC1ABE-675B-A84A-8D86-480F31019703}" srcOrd="2" destOrd="0" parTransId="{2634C173-464C-8F4B-B472-6E590690E774}" sibTransId="{7464C715-4848-8A46-9F4F-30C2E2E776DE}"/>
    <dgm:cxn modelId="{17198137-534E-4C45-945F-33FCE758C9E4}" srcId="{BFC9DFB8-2AD3-9B44-B684-E68E9F5CC002}" destId="{5544101E-27BD-4249-9804-98FC387CC08C}" srcOrd="6" destOrd="0" parTransId="{A9B21B44-9944-4B4E-B42A-17514A244871}" sibTransId="{9F8F58DD-CAAD-BD40-BEC7-EFB2ED46C91B}"/>
    <dgm:cxn modelId="{F1D98039-A14E-AA42-9A54-62C67600DF38}" srcId="{BE85E54E-38F3-6742-881B-6801B6A1E2F8}" destId="{3222E4E6-94C1-2A40-8DDF-CA768B6B08E8}" srcOrd="1" destOrd="0" parTransId="{B7CDB7D5-416F-F94B-AB14-C9EFACCD599D}" sibTransId="{E02A67EC-5444-8A49-BEF0-A2E66E6F54B8}"/>
    <dgm:cxn modelId="{E81D5A3C-49B0-BD4C-A4F4-42E5253E66D2}" srcId="{BE85E54E-38F3-6742-881B-6801B6A1E2F8}" destId="{EA3FD927-826B-C548-8614-B339A4BD8D65}" srcOrd="2" destOrd="0" parTransId="{C7FAC4DF-4C80-D143-AA47-918A6669E327}" sibTransId="{D723B635-C2AB-0449-B353-970419C0CB68}"/>
    <dgm:cxn modelId="{4E27C048-F9CF-4747-9F98-A2388E954E31}" srcId="{3222E4E6-94C1-2A40-8DDF-CA768B6B08E8}" destId="{79280372-0993-DF46-AECA-D85C8C30609F}" srcOrd="3" destOrd="0" parTransId="{2470364C-1A28-4840-A0E9-F7597453F67C}" sibTransId="{1B3AEE53-3CF0-BD40-A135-8C4AE4840995}"/>
    <dgm:cxn modelId="{B16D504A-62D8-0F47-9B56-5A7834ECC7DC}" type="presOf" srcId="{3222E4E6-94C1-2A40-8DDF-CA768B6B08E8}" destId="{6DF283C4-6945-F344-9E7B-54F4F2ECEB9C}" srcOrd="0" destOrd="0" presId="urn:microsoft.com/office/officeart/2005/8/layout/hList6"/>
    <dgm:cxn modelId="{56BC9A4C-80E6-0143-B6C4-4A8319341F2F}" type="presOf" srcId="{92DFB88B-9A76-4341-BB6E-5FD1995EC422}" destId="{0E2AF0FB-C03A-984B-8D65-F86C5D815647}" srcOrd="0" destOrd="5" presId="urn:microsoft.com/office/officeart/2005/8/layout/hList6"/>
    <dgm:cxn modelId="{B7589956-A449-9247-BE8C-45844425C641}" type="presOf" srcId="{5ABA09E1-E512-AA4A-ABF9-60CC6C6104C9}" destId="{66DCE430-9715-0F44-BBB3-1FD7E7097E12}" srcOrd="0" destOrd="2" presId="urn:microsoft.com/office/officeart/2005/8/layout/hList6"/>
    <dgm:cxn modelId="{86AAFD59-761D-C648-AFE8-2678396BB755}" type="presOf" srcId="{62B306D0-3104-BA48-B924-8B91A6402E21}" destId="{66DCE430-9715-0F44-BBB3-1FD7E7097E12}" srcOrd="0" destOrd="5" presId="urn:microsoft.com/office/officeart/2005/8/layout/hList6"/>
    <dgm:cxn modelId="{D0EEB65A-A0B5-EB40-BFB4-4148BF305985}" type="presOf" srcId="{D94CF1B5-5604-864A-84D5-42F5E739BBD2}" destId="{0E2AF0FB-C03A-984B-8D65-F86C5D815647}" srcOrd="0" destOrd="4" presId="urn:microsoft.com/office/officeart/2005/8/layout/hList6"/>
    <dgm:cxn modelId="{AB39465B-46BD-2046-892D-F8474D95F9D9}" type="presOf" srcId="{EA3FD927-826B-C548-8614-B339A4BD8D65}" destId="{0E2AF0FB-C03A-984B-8D65-F86C5D815647}" srcOrd="0" destOrd="0" presId="urn:microsoft.com/office/officeart/2005/8/layout/hList6"/>
    <dgm:cxn modelId="{36741C5E-688A-2448-ADB6-06211C9C61E2}" srcId="{EA3FD927-826B-C548-8614-B339A4BD8D65}" destId="{F0577511-4EC5-9B41-98B9-47A223E04E86}" srcOrd="2" destOrd="0" parTransId="{3FA021A4-4164-7F4F-BD31-7153E2352166}" sibTransId="{1F43C23F-CFEC-734F-A5FB-E3BA58CEFDAA}"/>
    <dgm:cxn modelId="{570BD564-2D90-474D-935A-C49666E06E33}" srcId="{3222E4E6-94C1-2A40-8DDF-CA768B6B08E8}" destId="{A0EBA7F3-BFB4-7F4D-A770-CB73D509CED8}" srcOrd="1" destOrd="0" parTransId="{E75AFDBD-BA32-2342-93F1-21DAC499201B}" sibTransId="{3C56AF1C-DD17-804C-8747-C5549E5DD8AA}"/>
    <dgm:cxn modelId="{DF4D9465-96B1-E243-8D87-CE822BC4A192}" type="presOf" srcId="{5544101E-27BD-4249-9804-98FC387CC08C}" destId="{66DCE430-9715-0F44-BBB3-1FD7E7097E12}" srcOrd="0" destOrd="7" presId="urn:microsoft.com/office/officeart/2005/8/layout/hList6"/>
    <dgm:cxn modelId="{2F622F6D-5353-1642-A801-FFEE614145E4}" srcId="{3222E4E6-94C1-2A40-8DDF-CA768B6B08E8}" destId="{64FC9B52-99F2-8240-8A3F-34637914E8FE}" srcOrd="4" destOrd="0" parTransId="{0FF502E1-96B6-7043-B37C-97271F9ED415}" sibTransId="{89A2DF9B-A854-5B4B-8286-4F140788C9D5}"/>
    <dgm:cxn modelId="{40736872-7BE2-8040-94A5-0978977DE188}" type="presOf" srcId="{F54D5C5F-A467-D949-A481-523854514715}" destId="{6DF283C4-6945-F344-9E7B-54F4F2ECEB9C}" srcOrd="0" destOrd="3" presId="urn:microsoft.com/office/officeart/2005/8/layout/hList6"/>
    <dgm:cxn modelId="{80AF9678-75B4-444C-A1C3-7E7D68CFDAB2}" srcId="{BFC9DFB8-2AD3-9B44-B684-E68E9F5CC002}" destId="{0A224748-C93E-2144-804D-F11915985C6A}" srcOrd="5" destOrd="0" parTransId="{61D9FF7F-2FE1-9243-B7EE-C0D2AE18954C}" sibTransId="{7D31CDAE-968D-9641-B42F-C698026A3433}"/>
    <dgm:cxn modelId="{EDEAC27D-9A5E-A947-A55A-69FD45EC65DD}" type="presOf" srcId="{CF3E3400-F991-9044-B575-1A9A009D7CD8}" destId="{0E2AF0FB-C03A-984B-8D65-F86C5D815647}" srcOrd="0" destOrd="2" presId="urn:microsoft.com/office/officeart/2005/8/layout/hList6"/>
    <dgm:cxn modelId="{0F0CE682-AD96-8B47-9B01-76AD52C8BD52}" type="presOf" srcId="{0A224748-C93E-2144-804D-F11915985C6A}" destId="{66DCE430-9715-0F44-BBB3-1FD7E7097E12}" srcOrd="0" destOrd="6" presId="urn:microsoft.com/office/officeart/2005/8/layout/hList6"/>
    <dgm:cxn modelId="{58AFD685-EEC0-D648-ABDB-2D9EE8B515B1}" type="presOf" srcId="{53969D8C-B0FE-3D43-BF1D-5E163432147D}" destId="{0E2AF0FB-C03A-984B-8D65-F86C5D815647}" srcOrd="0" destOrd="1" presId="urn:microsoft.com/office/officeart/2005/8/layout/hList6"/>
    <dgm:cxn modelId="{D0601494-1DC2-AB4E-AF2A-8F079256EFB6}" srcId="{EA3FD927-826B-C548-8614-B339A4BD8D65}" destId="{53969D8C-B0FE-3D43-BF1D-5E163432147D}" srcOrd="0" destOrd="0" parTransId="{4B838ACD-6989-AA48-A77B-349984F05639}" sibTransId="{59171508-E052-F54E-A61B-3C3DD34A5F69}"/>
    <dgm:cxn modelId="{BBE4B6AC-B96E-274C-BC95-D4E62CE72F2D}" srcId="{3222E4E6-94C1-2A40-8DDF-CA768B6B08E8}" destId="{236D1A64-835B-B343-AA2D-E4C074D46244}" srcOrd="6" destOrd="0" parTransId="{4327CA1E-1D11-B241-A235-24948104CED1}" sibTransId="{73D47E64-31C0-054A-8A56-BB3826FFD735}"/>
    <dgm:cxn modelId="{79B383B9-CB4C-4749-BDD9-E9A8FA464A05}" srcId="{BFC9DFB8-2AD3-9B44-B684-E68E9F5CC002}" destId="{62B306D0-3104-BA48-B924-8B91A6402E21}" srcOrd="4" destOrd="0" parTransId="{09D3337E-7AC6-4646-B5A0-141C79E9B9A1}" sibTransId="{9BF86C2B-EF52-D641-BEB9-2E6620B23EFA}"/>
    <dgm:cxn modelId="{D0870FBE-D5E0-2540-A8BD-69AE373601CE}" type="presOf" srcId="{6F552B95-CE7A-6D41-8182-DFE4E302AB0C}" destId="{66DCE430-9715-0F44-BBB3-1FD7E7097E12}" srcOrd="0" destOrd="4" presId="urn:microsoft.com/office/officeart/2005/8/layout/hList6"/>
    <dgm:cxn modelId="{E4F184BE-D792-6C49-AFF8-2A103D445F1D}" srcId="{BFC9DFB8-2AD3-9B44-B684-E68E9F5CC002}" destId="{6F552B95-CE7A-6D41-8182-DFE4E302AB0C}" srcOrd="3" destOrd="0" parTransId="{CFBC749C-AD61-EF42-BFD4-82D5C3A14F4E}" sibTransId="{3F303F2D-1EDB-D447-83A6-24BE63F02C5C}"/>
    <dgm:cxn modelId="{9883A4BE-9FD8-004A-8E42-725C0AE9A0F8}" type="presOf" srcId="{A0EBA7F3-BFB4-7F4D-A770-CB73D509CED8}" destId="{6DF283C4-6945-F344-9E7B-54F4F2ECEB9C}" srcOrd="0" destOrd="2" presId="urn:microsoft.com/office/officeart/2005/8/layout/hList6"/>
    <dgm:cxn modelId="{151B0DC1-0B8F-1542-8FDA-F7D43591AA5D}" srcId="{BFC9DFB8-2AD3-9B44-B684-E68E9F5CC002}" destId="{5ABA09E1-E512-AA4A-ABF9-60CC6C6104C9}" srcOrd="1" destOrd="0" parTransId="{2E44079A-C680-7047-9C19-9FDE89285EC2}" sibTransId="{8392A0CB-A80E-854A-BC9E-DC2ADF0AD2A2}"/>
    <dgm:cxn modelId="{CC6A5AC8-5968-FB4D-9EED-BA6173BF87A7}" type="presOf" srcId="{64FC9B52-99F2-8240-8A3F-34637914E8FE}" destId="{6DF283C4-6945-F344-9E7B-54F4F2ECEB9C}" srcOrd="0" destOrd="5" presId="urn:microsoft.com/office/officeart/2005/8/layout/hList6"/>
    <dgm:cxn modelId="{E8E676D2-00E9-5D4D-8B2C-A80D344DACDA}" type="presOf" srcId="{BD2E52E4-CFDF-9548-8977-A2DD2017EEFB}" destId="{6DF283C4-6945-F344-9E7B-54F4F2ECEB9C}" srcOrd="0" destOrd="1" presId="urn:microsoft.com/office/officeart/2005/8/layout/hList6"/>
    <dgm:cxn modelId="{248C7DD5-16A1-B540-B25B-7EEEECFC7373}" srcId="{3222E4E6-94C1-2A40-8DDF-CA768B6B08E8}" destId="{F54D5C5F-A467-D949-A481-523854514715}" srcOrd="2" destOrd="0" parTransId="{86D2C820-423A-5344-9B52-163714D6F8DA}" sibTransId="{01DE8A75-D6B4-6F4B-A0A8-0CC882654FD8}"/>
    <dgm:cxn modelId="{C0A941DD-8883-BC40-A3F6-37A22B8FCD46}" srcId="{BFC9DFB8-2AD3-9B44-B684-E68E9F5CC002}" destId="{F2105F78-22DD-2A4C-ADFB-0BE2AC1F9865}" srcOrd="0" destOrd="0" parTransId="{A75138FA-B799-2142-8BF3-D315A1C5820A}" sibTransId="{321C268C-F585-9648-8BA2-3709A2CF2A7E}"/>
    <dgm:cxn modelId="{ACB6C1DD-1027-1A4B-A7AD-113C7D332299}" srcId="{EA3FD927-826B-C548-8614-B339A4BD8D65}" destId="{CF3E3400-F991-9044-B575-1A9A009D7CD8}" srcOrd="1" destOrd="0" parTransId="{16783AD4-D60B-D14E-A20C-187C970B349C}" sibTransId="{6B470660-E743-DE4F-881F-BD649919282F}"/>
    <dgm:cxn modelId="{4EBF09E2-2EA0-194F-AC4B-747861FACF16}" type="presOf" srcId="{F2105F78-22DD-2A4C-ADFB-0BE2AC1F9865}" destId="{66DCE430-9715-0F44-BBB3-1FD7E7097E12}" srcOrd="0" destOrd="1" presId="urn:microsoft.com/office/officeart/2005/8/layout/hList6"/>
    <dgm:cxn modelId="{BE24A8E7-8CC4-4747-9AAA-C2FB9358F5AC}" type="presOf" srcId="{F0577511-4EC5-9B41-98B9-47A223E04E86}" destId="{0E2AF0FB-C03A-984B-8D65-F86C5D815647}" srcOrd="0" destOrd="3" presId="urn:microsoft.com/office/officeart/2005/8/layout/hList6"/>
    <dgm:cxn modelId="{A2EDEEEB-1AB8-7B4A-8DE0-278951410772}" srcId="{BE85E54E-38F3-6742-881B-6801B6A1E2F8}" destId="{BFC9DFB8-2AD3-9B44-B684-E68E9F5CC002}" srcOrd="0" destOrd="0" parTransId="{C300DD06-0DD5-9A48-831F-BE9FD278229D}" sibTransId="{1D8AD704-0EB7-2547-BE19-E6E3A73D766A}"/>
    <dgm:cxn modelId="{534067F3-86D9-5D47-9767-69A217251BC9}" srcId="{EA3FD927-826B-C548-8614-B339A4BD8D65}" destId="{D94CF1B5-5604-864A-84D5-42F5E739BBD2}" srcOrd="3" destOrd="0" parTransId="{CC4C42CE-5FC4-AE4D-ADCA-3437C0DBFF2E}" sibTransId="{976C7B5B-8E4F-4E48-9A04-185586B44F00}"/>
    <dgm:cxn modelId="{E3D5E0F5-C1C0-2F46-B75A-235862C83B1B}" type="presOf" srcId="{674AC9D2-E498-514D-AE0B-056CC414DDBB}" destId="{6DF283C4-6945-F344-9E7B-54F4F2ECEB9C}" srcOrd="0" destOrd="6" presId="urn:microsoft.com/office/officeart/2005/8/layout/hList6"/>
    <dgm:cxn modelId="{3F15A1F7-20B3-D24D-B882-38EE450A938B}" type="presOf" srcId="{236D1A64-835B-B343-AA2D-E4C074D46244}" destId="{6DF283C4-6945-F344-9E7B-54F4F2ECEB9C}" srcOrd="0" destOrd="7" presId="urn:microsoft.com/office/officeart/2005/8/layout/hList6"/>
    <dgm:cxn modelId="{DBCA0DFB-4FA3-5540-BC3A-7ECE860F49E1}" srcId="{3222E4E6-94C1-2A40-8DDF-CA768B6B08E8}" destId="{674AC9D2-E498-514D-AE0B-056CC414DDBB}" srcOrd="5" destOrd="0" parTransId="{26161BDB-3AF0-384D-9FCB-E5633C9AE89D}" sibTransId="{06EB0E30-715A-7E45-9409-947B3E25DF4E}"/>
    <dgm:cxn modelId="{E686C9FD-89A1-944D-AAA8-6D1752A1190E}" type="presOf" srcId="{BFC9DFB8-2AD3-9B44-B684-E68E9F5CC002}" destId="{66DCE430-9715-0F44-BBB3-1FD7E7097E12}" srcOrd="0" destOrd="0" presId="urn:microsoft.com/office/officeart/2005/8/layout/hList6"/>
    <dgm:cxn modelId="{65A30FDC-F221-F84B-A376-616AE41E0F9C}" type="presParOf" srcId="{FEC89B1B-A57D-D44D-A2BA-3803F36B7AF3}" destId="{66DCE430-9715-0F44-BBB3-1FD7E7097E12}" srcOrd="0" destOrd="0" presId="urn:microsoft.com/office/officeart/2005/8/layout/hList6"/>
    <dgm:cxn modelId="{92ACAFE1-A78C-714E-85CF-FE584D1310B7}" type="presParOf" srcId="{FEC89B1B-A57D-D44D-A2BA-3803F36B7AF3}" destId="{1CCFBF3E-8A8C-0E4A-8C06-1E83E051C0C0}" srcOrd="1" destOrd="0" presId="urn:microsoft.com/office/officeart/2005/8/layout/hList6"/>
    <dgm:cxn modelId="{B3BBDAD6-30A1-5845-939E-114AF45F57A5}" type="presParOf" srcId="{FEC89B1B-A57D-D44D-A2BA-3803F36B7AF3}" destId="{6DF283C4-6945-F344-9E7B-54F4F2ECEB9C}" srcOrd="2" destOrd="0" presId="urn:microsoft.com/office/officeart/2005/8/layout/hList6"/>
    <dgm:cxn modelId="{EB30A37F-EB58-2C45-9190-64BEA05AF4FC}" type="presParOf" srcId="{FEC89B1B-A57D-D44D-A2BA-3803F36B7AF3}" destId="{5A7005C4-87C7-B946-9CCF-547BD42AF215}" srcOrd="3" destOrd="0" presId="urn:microsoft.com/office/officeart/2005/8/layout/hList6"/>
    <dgm:cxn modelId="{CB21BA92-D803-B342-98F1-955D44B9D639}" type="presParOf" srcId="{FEC89B1B-A57D-D44D-A2BA-3803F36B7AF3}" destId="{0E2AF0FB-C03A-984B-8D65-F86C5D815647}" srcOrd="4" destOrd="0" presId="urn:microsoft.com/office/officeart/2005/8/layout/hList6"/>
  </dgm:cxnLst>
  <dgm:bg/>
  <dgm:whole/>
  <dgm:extLst>
    <a:ext uri="http://schemas.microsoft.com/office/drawing/2008/diagram">
      <dsp:dataModelExt xmlns:dsp="http://schemas.microsoft.com/office/drawing/2008/diagram" relId="rId9" minVer="http://schemas.openxmlformats.org/drawingml/2006/diagram"/>
    </a:ext>
  </dgm:extLst>
</dgm:dataModel>
</file>

<file path=xl/diagrams/data6.xml><?xml version="1.0" encoding="utf-8"?>
<dgm:dataModel xmlns:dgm="http://schemas.openxmlformats.org/drawingml/2006/diagram" xmlns:a="http://schemas.openxmlformats.org/drawingml/2006/main">
  <dgm:ptLst>
    <dgm:pt modelId="{043D3CFA-D560-9B4B-9DD4-5722B2D00CBC}" type="doc">
      <dgm:prSet loTypeId="urn:microsoft.com/office/officeart/2005/8/layout/vList4" loCatId="" qsTypeId="urn:microsoft.com/office/officeart/2005/8/quickstyle/simple1" qsCatId="simple" csTypeId="urn:microsoft.com/office/officeart/2005/8/colors/accent1_2" csCatId="accent1" phldr="1"/>
      <dgm:spPr/>
      <dgm:t>
        <a:bodyPr/>
        <a:lstStyle/>
        <a:p>
          <a:endParaRPr lang="en-US"/>
        </a:p>
      </dgm:t>
    </dgm:pt>
    <dgm:pt modelId="{EB8CE5AD-3BF5-2A49-AEFE-B84A408CC38C}">
      <dgm:prSet phldrT="[Text]"/>
      <dgm:spPr/>
      <dgm:t>
        <a:bodyPr/>
        <a:lstStyle/>
        <a:p>
          <a:r>
            <a:rPr lang="en-US"/>
            <a:t>Childress, Texas</a:t>
          </a:r>
        </a:p>
      </dgm:t>
    </dgm:pt>
    <dgm:pt modelId="{FF74A98F-A1D5-D748-B3C0-313FE679A078}" type="parTrans" cxnId="{01840E4A-0431-984A-B0C8-659504CDFA19}">
      <dgm:prSet/>
      <dgm:spPr/>
      <dgm:t>
        <a:bodyPr/>
        <a:lstStyle/>
        <a:p>
          <a:endParaRPr lang="en-US"/>
        </a:p>
      </dgm:t>
    </dgm:pt>
    <dgm:pt modelId="{9598CAB4-F230-0E41-B707-CD710E2D2224}" type="sibTrans" cxnId="{01840E4A-0431-984A-B0C8-659504CDFA19}">
      <dgm:prSet/>
      <dgm:spPr/>
      <dgm:t>
        <a:bodyPr/>
        <a:lstStyle/>
        <a:p>
          <a:endParaRPr lang="en-US"/>
        </a:p>
      </dgm:t>
    </dgm:pt>
    <dgm:pt modelId="{8EAC0A70-5A07-7640-A757-D683AD999FBC}">
      <dgm:prSet phldrT="[Text]"/>
      <dgm:spPr/>
      <dgm:t>
        <a:bodyPr/>
        <a:lstStyle/>
        <a:p>
          <a:r>
            <a:rPr lang="en-US"/>
            <a:t>100% renewable energy</a:t>
          </a:r>
        </a:p>
      </dgm:t>
    </dgm:pt>
    <dgm:pt modelId="{48CAD792-B6D8-E446-83CC-43FF44F74155}" type="parTrans" cxnId="{B2339D05-E781-5E46-A864-A26F95F05C83}">
      <dgm:prSet/>
      <dgm:spPr/>
      <dgm:t>
        <a:bodyPr/>
        <a:lstStyle/>
        <a:p>
          <a:endParaRPr lang="en-US"/>
        </a:p>
      </dgm:t>
    </dgm:pt>
    <dgm:pt modelId="{1E770D4B-21B2-8947-A0EA-291DDAE3C8F8}" type="sibTrans" cxnId="{B2339D05-E781-5E46-A864-A26F95F05C83}">
      <dgm:prSet/>
      <dgm:spPr/>
      <dgm:t>
        <a:bodyPr/>
        <a:lstStyle/>
        <a:p>
          <a:endParaRPr lang="en-US"/>
        </a:p>
      </dgm:t>
    </dgm:pt>
    <dgm:pt modelId="{EC2F8A09-B15D-AC40-B6AD-A568714C127E}">
      <dgm:prSet phldrT="[Text]"/>
      <dgm:spPr/>
      <dgm:t>
        <a:bodyPr/>
        <a:lstStyle/>
        <a:p>
          <a:r>
            <a:rPr lang="en-US"/>
            <a:t>aprox. 200MW operating, 550MW under construction (finish by YE24), 750MW power capacity</a:t>
          </a:r>
        </a:p>
      </dgm:t>
    </dgm:pt>
    <dgm:pt modelId="{1EB87356-87BC-8643-912D-BD9DE0CD44C1}" type="parTrans" cxnId="{741CAEB0-AE55-C843-B16F-D24CBE63C833}">
      <dgm:prSet/>
      <dgm:spPr/>
      <dgm:t>
        <a:bodyPr/>
        <a:lstStyle/>
        <a:p>
          <a:endParaRPr lang="en-US"/>
        </a:p>
      </dgm:t>
    </dgm:pt>
    <dgm:pt modelId="{9E782BC7-5FC6-584C-B0A9-6A1DDEBBABDF}" type="sibTrans" cxnId="{741CAEB0-AE55-C843-B16F-D24CBE63C833}">
      <dgm:prSet/>
      <dgm:spPr/>
      <dgm:t>
        <a:bodyPr/>
        <a:lstStyle/>
        <a:p>
          <a:endParaRPr lang="en-US"/>
        </a:p>
      </dgm:t>
    </dgm:pt>
    <dgm:pt modelId="{EB5243B5-5BB6-624A-85D7-1442DDFCBFD5}">
      <dgm:prSet phldrT="[Text]"/>
      <dgm:spPr/>
      <dgm:t>
        <a:bodyPr/>
        <a:lstStyle/>
        <a:p>
          <a:r>
            <a:rPr lang="en-US"/>
            <a:t>Prince George, British Columbia</a:t>
          </a:r>
        </a:p>
      </dgm:t>
    </dgm:pt>
    <dgm:pt modelId="{6541A3A9-9C27-A245-854E-FB7B177F1C86}" type="parTrans" cxnId="{55A4301F-40DE-6D4B-892C-4A67A47F4D47}">
      <dgm:prSet/>
      <dgm:spPr/>
      <dgm:t>
        <a:bodyPr/>
        <a:lstStyle/>
        <a:p>
          <a:endParaRPr lang="en-US"/>
        </a:p>
      </dgm:t>
    </dgm:pt>
    <dgm:pt modelId="{2841C53A-43FA-0947-83E4-9438D352665F}" type="sibTrans" cxnId="{55A4301F-40DE-6D4B-892C-4A67A47F4D47}">
      <dgm:prSet/>
      <dgm:spPr/>
      <dgm:t>
        <a:bodyPr/>
        <a:lstStyle/>
        <a:p>
          <a:endParaRPr lang="en-US"/>
        </a:p>
      </dgm:t>
    </dgm:pt>
    <dgm:pt modelId="{B4C448A9-69B8-C344-98A8-0B8E9322CE47}">
      <dgm:prSet phldrT="[Text]"/>
      <dgm:spPr/>
      <dgm:t>
        <a:bodyPr/>
        <a:lstStyle/>
        <a:p>
          <a:r>
            <a:rPr lang="en-US"/>
            <a:t>50 MW, 100% renewable energy</a:t>
          </a:r>
        </a:p>
      </dgm:t>
    </dgm:pt>
    <dgm:pt modelId="{A3B6FAD4-8CAE-864B-8296-F72973B9A22C}" type="parTrans" cxnId="{950615A2-2781-BD49-A9A7-CB4774DD7940}">
      <dgm:prSet/>
      <dgm:spPr/>
      <dgm:t>
        <a:bodyPr/>
        <a:lstStyle/>
        <a:p>
          <a:endParaRPr lang="en-US"/>
        </a:p>
      </dgm:t>
    </dgm:pt>
    <dgm:pt modelId="{6E2B8B4E-D49D-E948-A50D-4E32F9316519}" type="sibTrans" cxnId="{950615A2-2781-BD49-A9A7-CB4774DD7940}">
      <dgm:prSet/>
      <dgm:spPr/>
      <dgm:t>
        <a:bodyPr/>
        <a:lstStyle/>
        <a:p>
          <a:endParaRPr lang="en-US"/>
        </a:p>
      </dgm:t>
    </dgm:pt>
    <dgm:pt modelId="{8E3CB90F-3FD5-7E42-BD33-AB5D28BD3791}">
      <dgm:prSet phldrT="[Text]"/>
      <dgm:spPr/>
      <dgm:t>
        <a:bodyPr/>
        <a:lstStyle/>
        <a:p>
          <a:r>
            <a:rPr lang="en-US"/>
            <a:t>12 acres, 50-year lease, with an option to purchace the freehold land.</a:t>
          </a:r>
        </a:p>
      </dgm:t>
    </dgm:pt>
    <dgm:pt modelId="{4F590009-09E4-F140-95DE-B0C08469D1E7}" type="parTrans" cxnId="{7F5EE246-C5CA-0D46-B9B4-B731D36D433C}">
      <dgm:prSet/>
      <dgm:spPr/>
      <dgm:t>
        <a:bodyPr/>
        <a:lstStyle/>
        <a:p>
          <a:endParaRPr lang="en-US"/>
        </a:p>
      </dgm:t>
    </dgm:pt>
    <dgm:pt modelId="{75873955-3FEC-6046-86B1-B20C7A07E7A9}" type="sibTrans" cxnId="{7F5EE246-C5CA-0D46-B9B4-B731D36D433C}">
      <dgm:prSet/>
      <dgm:spPr/>
      <dgm:t>
        <a:bodyPr/>
        <a:lstStyle/>
        <a:p>
          <a:endParaRPr lang="en-US"/>
        </a:p>
      </dgm:t>
    </dgm:pt>
    <dgm:pt modelId="{AFC8428B-B64D-0D4B-92E3-7483A860FAF1}">
      <dgm:prSet phldrT="[Text]"/>
      <dgm:spPr/>
      <dgm:t>
        <a:bodyPr/>
        <a:lstStyle/>
        <a:p>
          <a:r>
            <a:rPr lang="en-US"/>
            <a:t>Pipeline (Sweetwater, TX)</a:t>
          </a:r>
        </a:p>
      </dgm:t>
    </dgm:pt>
    <dgm:pt modelId="{2D178176-1C0B-9341-88C8-47B8782981A4}" type="parTrans" cxnId="{261F7E47-5CB4-0C4F-B34F-62876368F40B}">
      <dgm:prSet/>
      <dgm:spPr/>
      <dgm:t>
        <a:bodyPr/>
        <a:lstStyle/>
        <a:p>
          <a:endParaRPr lang="en-US"/>
        </a:p>
      </dgm:t>
    </dgm:pt>
    <dgm:pt modelId="{09106405-8A27-A646-9E13-3C0C0F34437E}" type="sibTrans" cxnId="{261F7E47-5CB4-0C4F-B34F-62876368F40B}">
      <dgm:prSet/>
      <dgm:spPr/>
      <dgm:t>
        <a:bodyPr/>
        <a:lstStyle/>
        <a:p>
          <a:endParaRPr lang="en-US"/>
        </a:p>
      </dgm:t>
    </dgm:pt>
    <dgm:pt modelId="{E6ACA3BF-EFA8-B54D-95A3-BDAC4E1AFDE9}">
      <dgm:prSet/>
      <dgm:spPr/>
      <dgm:t>
        <a:bodyPr/>
        <a:lstStyle/>
        <a:p>
          <a:r>
            <a:rPr lang="en-US"/>
            <a:t>Canal Flats, British Columbia</a:t>
          </a:r>
        </a:p>
      </dgm:t>
    </dgm:pt>
    <dgm:pt modelId="{567B21AB-016A-3243-ACF2-D093BDDF8051}" type="parTrans" cxnId="{1C7BD986-92F5-104E-AA10-FDABE1328D5A}">
      <dgm:prSet/>
      <dgm:spPr/>
      <dgm:t>
        <a:bodyPr/>
        <a:lstStyle/>
        <a:p>
          <a:endParaRPr lang="en-US"/>
        </a:p>
      </dgm:t>
    </dgm:pt>
    <dgm:pt modelId="{2981D264-133E-E14E-A77E-7783CC5158EF}" type="sibTrans" cxnId="{1C7BD986-92F5-104E-AA10-FDABE1328D5A}">
      <dgm:prSet/>
      <dgm:spPr/>
      <dgm:t>
        <a:bodyPr/>
        <a:lstStyle/>
        <a:p>
          <a:endParaRPr lang="en-US"/>
        </a:p>
      </dgm:t>
    </dgm:pt>
    <dgm:pt modelId="{D4DDBBA9-A228-5C49-B03B-EBF3833CA9FB}">
      <dgm:prSet/>
      <dgm:spPr/>
      <dgm:t>
        <a:bodyPr/>
        <a:lstStyle/>
        <a:p>
          <a:r>
            <a:rPr lang="en-US"/>
            <a:t>Mackenzie, British Columbia</a:t>
          </a:r>
        </a:p>
      </dgm:t>
    </dgm:pt>
    <dgm:pt modelId="{9556714E-BABA-884E-96E4-40014C45F9F1}" type="parTrans" cxnId="{6E48895C-C218-4047-A1DD-7A7D81BD0C14}">
      <dgm:prSet/>
      <dgm:spPr/>
      <dgm:t>
        <a:bodyPr/>
        <a:lstStyle/>
        <a:p>
          <a:endParaRPr lang="en-US"/>
        </a:p>
      </dgm:t>
    </dgm:pt>
    <dgm:pt modelId="{1087D24C-F15D-E64A-981A-DCF48C54C785}" type="sibTrans" cxnId="{6E48895C-C218-4047-A1DD-7A7D81BD0C14}">
      <dgm:prSet/>
      <dgm:spPr/>
      <dgm:t>
        <a:bodyPr/>
        <a:lstStyle/>
        <a:p>
          <a:endParaRPr lang="en-US"/>
        </a:p>
      </dgm:t>
    </dgm:pt>
    <dgm:pt modelId="{C48A5CC1-E9B3-2843-973F-720E84967FA5}">
      <dgm:prSet/>
      <dgm:spPr/>
      <dgm:t>
        <a:bodyPr/>
        <a:lstStyle/>
        <a:p>
          <a:r>
            <a:rPr lang="en-US"/>
            <a:t>30 MW, 100% renewable energy</a:t>
          </a:r>
        </a:p>
      </dgm:t>
    </dgm:pt>
    <dgm:pt modelId="{9DC6DDB3-6B4A-B544-BC54-691A604C92A6}" type="parTrans" cxnId="{74D34B66-E4AA-C749-8444-8807A60CC694}">
      <dgm:prSet/>
      <dgm:spPr/>
      <dgm:t>
        <a:bodyPr/>
        <a:lstStyle/>
        <a:p>
          <a:endParaRPr lang="en-US"/>
        </a:p>
      </dgm:t>
    </dgm:pt>
    <dgm:pt modelId="{E0104188-F417-5341-BAD2-ABF85281FD6A}" type="sibTrans" cxnId="{74D34B66-E4AA-C749-8444-8807A60CC694}">
      <dgm:prSet/>
      <dgm:spPr/>
      <dgm:t>
        <a:bodyPr/>
        <a:lstStyle/>
        <a:p>
          <a:endParaRPr lang="en-US"/>
        </a:p>
      </dgm:t>
    </dgm:pt>
    <dgm:pt modelId="{6025D4B8-93B1-684B-9523-DEE1CE78C02C}">
      <dgm:prSet/>
      <dgm:spPr/>
      <dgm:t>
        <a:bodyPr/>
        <a:lstStyle/>
        <a:p>
          <a:r>
            <a:rPr lang="en-US"/>
            <a:t>80 MW, 100% renewable energy</a:t>
          </a:r>
        </a:p>
      </dgm:t>
    </dgm:pt>
    <dgm:pt modelId="{E3425BC0-F3D0-174C-AD5E-C1D743DFB89A}" type="parTrans" cxnId="{E11D4513-7035-024A-BB28-78BCF9D0E1F8}">
      <dgm:prSet/>
      <dgm:spPr/>
      <dgm:t>
        <a:bodyPr/>
        <a:lstStyle/>
        <a:p>
          <a:endParaRPr lang="en-US"/>
        </a:p>
      </dgm:t>
    </dgm:pt>
    <dgm:pt modelId="{BA1225A1-1727-DD42-A8E3-185CD89CACD7}" type="sibTrans" cxnId="{E11D4513-7035-024A-BB28-78BCF9D0E1F8}">
      <dgm:prSet/>
      <dgm:spPr/>
      <dgm:t>
        <a:bodyPr/>
        <a:lstStyle/>
        <a:p>
          <a:endParaRPr lang="en-US"/>
        </a:p>
      </dgm:t>
    </dgm:pt>
    <dgm:pt modelId="{38E6E5A5-5D2D-CB43-B4C9-FDA29E7876E1}">
      <dgm:prSet/>
      <dgm:spPr/>
      <dgm:t>
        <a:bodyPr/>
        <a:lstStyle/>
        <a:p>
          <a:r>
            <a:rPr lang="en-US"/>
            <a:t>11 acres, 100% ownership</a:t>
          </a:r>
        </a:p>
      </dgm:t>
    </dgm:pt>
    <dgm:pt modelId="{39BA1598-A391-6F4F-AB58-00BCCC2DC1CF}" type="parTrans" cxnId="{42D78E3B-92A0-874E-B56A-909AF27188B0}">
      <dgm:prSet/>
      <dgm:spPr/>
      <dgm:t>
        <a:bodyPr/>
        <a:lstStyle/>
        <a:p>
          <a:endParaRPr lang="en-US"/>
        </a:p>
      </dgm:t>
    </dgm:pt>
    <dgm:pt modelId="{2F0A7608-3DB2-F345-AA27-E4437A4A331B}" type="sibTrans" cxnId="{42D78E3B-92A0-874E-B56A-909AF27188B0}">
      <dgm:prSet/>
      <dgm:spPr/>
      <dgm:t>
        <a:bodyPr/>
        <a:lstStyle/>
        <a:p>
          <a:endParaRPr lang="en-US"/>
        </a:p>
      </dgm:t>
    </dgm:pt>
    <dgm:pt modelId="{F211B7F1-8A32-654F-B115-381EF202CECC}">
      <dgm:prSet/>
      <dgm:spPr/>
      <dgm:t>
        <a:bodyPr/>
        <a:lstStyle/>
        <a:p>
          <a:r>
            <a:rPr lang="en-US"/>
            <a:t>5.2 EH/s</a:t>
          </a:r>
        </a:p>
      </dgm:t>
    </dgm:pt>
    <dgm:pt modelId="{4BF205E0-1E38-6943-8F45-EADF08A33216}" type="parTrans" cxnId="{1A27BDB0-464A-3841-A96D-CB038D0815B8}">
      <dgm:prSet/>
      <dgm:spPr/>
      <dgm:t>
        <a:bodyPr/>
        <a:lstStyle/>
        <a:p>
          <a:endParaRPr lang="en-US"/>
        </a:p>
      </dgm:t>
    </dgm:pt>
    <dgm:pt modelId="{40CD48D7-A446-3A47-A848-06C9C4D2FAF8}" type="sibTrans" cxnId="{1A27BDB0-464A-3841-A96D-CB038D0815B8}">
      <dgm:prSet/>
      <dgm:spPr/>
      <dgm:t>
        <a:bodyPr/>
        <a:lstStyle/>
        <a:p>
          <a:endParaRPr lang="en-US"/>
        </a:p>
      </dgm:t>
    </dgm:pt>
    <dgm:pt modelId="{B4A6D99F-8086-494C-B0C8-5FA29992C91C}">
      <dgm:prSet/>
      <dgm:spPr/>
      <dgm:t>
        <a:bodyPr/>
        <a:lstStyle/>
        <a:p>
          <a:r>
            <a:rPr lang="en-US"/>
            <a:t>Single fiber path with a second fiber path planned for 2024</a:t>
          </a:r>
        </a:p>
      </dgm:t>
    </dgm:pt>
    <dgm:pt modelId="{FE7258F5-105F-CC4E-B8F2-FEFC70767370}" type="parTrans" cxnId="{42DE0285-9EC8-4D4E-A053-03CE8A1C9639}">
      <dgm:prSet/>
      <dgm:spPr/>
      <dgm:t>
        <a:bodyPr/>
        <a:lstStyle/>
        <a:p>
          <a:endParaRPr lang="en-US"/>
        </a:p>
      </dgm:t>
    </dgm:pt>
    <dgm:pt modelId="{FDCF6C26-F903-6A46-B15A-1D875032AAF2}" type="sibTrans" cxnId="{42DE0285-9EC8-4D4E-A053-03CE8A1C9639}">
      <dgm:prSet/>
      <dgm:spPr/>
      <dgm:t>
        <a:bodyPr/>
        <a:lstStyle/>
        <a:p>
          <a:endParaRPr lang="en-US"/>
        </a:p>
      </dgm:t>
    </dgm:pt>
    <dgm:pt modelId="{900046FB-ACF8-C94D-BDE9-954DF41079C7}">
      <dgm:prSet/>
      <dgm:spPr/>
      <dgm:t>
        <a:bodyPr/>
        <a:lstStyle/>
        <a:p>
          <a:r>
            <a:rPr lang="en-US"/>
            <a:t>10 acres, 100% ownership</a:t>
          </a:r>
        </a:p>
      </dgm:t>
    </dgm:pt>
    <dgm:pt modelId="{465AC9E3-144B-734A-9384-2E1521FE7591}" type="parTrans" cxnId="{61C8E415-D271-DA47-924D-B28E36E9D4A1}">
      <dgm:prSet/>
      <dgm:spPr/>
      <dgm:t>
        <a:bodyPr/>
        <a:lstStyle/>
        <a:p>
          <a:endParaRPr lang="en-US"/>
        </a:p>
      </dgm:t>
    </dgm:pt>
    <dgm:pt modelId="{09AD2830-CEC6-A746-B642-5ACD2D8A302F}" type="sibTrans" cxnId="{61C8E415-D271-DA47-924D-B28E36E9D4A1}">
      <dgm:prSet/>
      <dgm:spPr/>
      <dgm:t>
        <a:bodyPr/>
        <a:lstStyle/>
        <a:p>
          <a:endParaRPr lang="en-US"/>
        </a:p>
      </dgm:t>
    </dgm:pt>
    <dgm:pt modelId="{BC010B60-963C-6746-9A32-B2E89644657A}">
      <dgm:prSet/>
      <dgm:spPr/>
      <dgm:t>
        <a:bodyPr/>
        <a:lstStyle/>
        <a:p>
          <a:r>
            <a:rPr lang="en-US"/>
            <a:t>1.6 EH/s</a:t>
          </a:r>
        </a:p>
      </dgm:t>
    </dgm:pt>
    <dgm:pt modelId="{9953CF1F-3E94-3A45-A6D2-FF100451C64C}" type="parTrans" cxnId="{8C57BA49-D3A5-D54A-AF6B-4C7F61E87781}">
      <dgm:prSet/>
      <dgm:spPr/>
      <dgm:t>
        <a:bodyPr/>
        <a:lstStyle/>
        <a:p>
          <a:endParaRPr lang="en-US"/>
        </a:p>
      </dgm:t>
    </dgm:pt>
    <dgm:pt modelId="{28AF656D-5360-AB42-849F-B11D0A958ECB}" type="sibTrans" cxnId="{8C57BA49-D3A5-D54A-AF6B-4C7F61E87781}">
      <dgm:prSet/>
      <dgm:spPr/>
      <dgm:t>
        <a:bodyPr/>
        <a:lstStyle/>
        <a:p>
          <a:endParaRPr lang="en-US"/>
        </a:p>
      </dgm:t>
    </dgm:pt>
    <dgm:pt modelId="{45E6A7C4-4752-8746-BADE-7A0772055DD3}">
      <dgm:prSet/>
      <dgm:spPr/>
      <dgm:t>
        <a:bodyPr/>
        <a:lstStyle/>
        <a:p>
          <a:r>
            <a:rPr lang="en-US"/>
            <a:t>Dual physical fiber paths (sub 20ms latency)</a:t>
          </a:r>
        </a:p>
      </dgm:t>
    </dgm:pt>
    <dgm:pt modelId="{EB8508AB-BAA4-D44F-ADDB-1D098E1F0B1E}" type="parTrans" cxnId="{DE2306B4-AEC3-5E4D-840F-C0C9EA8534A0}">
      <dgm:prSet/>
      <dgm:spPr/>
      <dgm:t>
        <a:bodyPr/>
        <a:lstStyle/>
        <a:p>
          <a:endParaRPr lang="en-US"/>
        </a:p>
      </dgm:t>
    </dgm:pt>
    <dgm:pt modelId="{A9D1A0D7-E70A-1641-8D6F-F7F1250B27FD}" type="sibTrans" cxnId="{DE2306B4-AEC3-5E4D-840F-C0C9EA8534A0}">
      <dgm:prSet/>
      <dgm:spPr/>
      <dgm:t>
        <a:bodyPr/>
        <a:lstStyle/>
        <a:p>
          <a:endParaRPr lang="en-US"/>
        </a:p>
      </dgm:t>
    </dgm:pt>
    <dgm:pt modelId="{79541440-C569-FF42-A879-21A29FA2B3F7}">
      <dgm:prSet phldrT="[Text]"/>
      <dgm:spPr/>
      <dgm:t>
        <a:bodyPr/>
        <a:lstStyle/>
        <a:p>
          <a:r>
            <a:rPr lang="en-US"/>
            <a:t>3 EH/s</a:t>
          </a:r>
        </a:p>
      </dgm:t>
    </dgm:pt>
    <dgm:pt modelId="{D3B3DB7F-CE29-E041-A2B5-A4F2432D130C}" type="parTrans" cxnId="{F2501579-1DD8-3C4E-BC1F-1C4E589DC30E}">
      <dgm:prSet/>
      <dgm:spPr/>
      <dgm:t>
        <a:bodyPr/>
        <a:lstStyle/>
        <a:p>
          <a:endParaRPr lang="en-US"/>
        </a:p>
      </dgm:t>
    </dgm:pt>
    <dgm:pt modelId="{64182FED-4A89-8A49-921D-BCB12CE49B81}" type="sibTrans" cxnId="{F2501579-1DD8-3C4E-BC1F-1C4E589DC30E}">
      <dgm:prSet/>
      <dgm:spPr/>
      <dgm:t>
        <a:bodyPr/>
        <a:lstStyle/>
        <a:p>
          <a:endParaRPr lang="en-US"/>
        </a:p>
      </dgm:t>
    </dgm:pt>
    <dgm:pt modelId="{DA8AB89F-8360-F74A-98AA-69FC2F8E807D}">
      <dgm:prSet phldrT="[Text]"/>
      <dgm:spPr/>
      <dgm:t>
        <a:bodyPr/>
        <a:lstStyle/>
        <a:p>
          <a:r>
            <a:rPr lang="en-US"/>
            <a:t>Dual phsical fiber paths (sub 20ms latency)</a:t>
          </a:r>
        </a:p>
      </dgm:t>
    </dgm:pt>
    <dgm:pt modelId="{4AB27D79-7410-3E4D-841F-F640A13861FA}" type="parTrans" cxnId="{E0108EB9-1DA7-F246-B3F4-3B93F105AF60}">
      <dgm:prSet/>
      <dgm:spPr/>
      <dgm:t>
        <a:bodyPr/>
        <a:lstStyle/>
        <a:p>
          <a:endParaRPr lang="en-US"/>
        </a:p>
      </dgm:t>
    </dgm:pt>
    <dgm:pt modelId="{F294E829-F096-284D-A8FC-BE0E492AEE6F}" type="sibTrans" cxnId="{E0108EB9-1DA7-F246-B3F4-3B93F105AF60}">
      <dgm:prSet/>
      <dgm:spPr/>
      <dgm:t>
        <a:bodyPr/>
        <a:lstStyle/>
        <a:p>
          <a:endParaRPr lang="en-US"/>
        </a:p>
      </dgm:t>
    </dgm:pt>
    <dgm:pt modelId="{C7D66434-252E-3946-BFD2-754C23854251}">
      <dgm:prSet phldrT="[Text]"/>
      <dgm:spPr/>
      <dgm:t>
        <a:bodyPr/>
        <a:lstStyle/>
        <a:p>
          <a:r>
            <a:rPr lang="en-US"/>
            <a:t>10 EH/s</a:t>
          </a:r>
        </a:p>
      </dgm:t>
    </dgm:pt>
    <dgm:pt modelId="{B28353B1-0C56-DC45-B243-D469851ED147}" type="parTrans" cxnId="{560E5D85-BDED-6B4D-90A5-21E6EDB1E966}">
      <dgm:prSet/>
      <dgm:spPr/>
      <dgm:t>
        <a:bodyPr/>
        <a:lstStyle/>
        <a:p>
          <a:endParaRPr lang="en-US"/>
        </a:p>
      </dgm:t>
    </dgm:pt>
    <dgm:pt modelId="{6C9B3E0A-44F5-B443-9079-FB52B786F9FA}" type="sibTrans" cxnId="{560E5D85-BDED-6B4D-90A5-21E6EDB1E966}">
      <dgm:prSet/>
      <dgm:spPr/>
      <dgm:t>
        <a:bodyPr/>
        <a:lstStyle/>
        <a:p>
          <a:endParaRPr lang="en-US"/>
        </a:p>
      </dgm:t>
    </dgm:pt>
    <dgm:pt modelId="{A971D58B-632D-AC42-A830-1F8178FCD0FB}">
      <dgm:prSet phldrT="[Text]"/>
      <dgm:spPr/>
      <dgm:t>
        <a:bodyPr/>
        <a:lstStyle/>
        <a:p>
          <a:r>
            <a:rPr lang="en-US"/>
            <a:t>Dual physical fiber paths (sub 10ms latency)</a:t>
          </a:r>
        </a:p>
      </dgm:t>
    </dgm:pt>
    <dgm:pt modelId="{6671934A-3DDE-684E-A4C3-1D65C130658B}" type="parTrans" cxnId="{CBA095F8-C734-184D-8826-3B8B35F875E5}">
      <dgm:prSet/>
      <dgm:spPr/>
      <dgm:t>
        <a:bodyPr/>
        <a:lstStyle/>
        <a:p>
          <a:endParaRPr lang="en-US"/>
        </a:p>
      </dgm:t>
    </dgm:pt>
    <dgm:pt modelId="{81B48221-3E27-5A4D-B5D9-A853551887A2}" type="sibTrans" cxnId="{CBA095F8-C734-184D-8826-3B8B35F875E5}">
      <dgm:prSet/>
      <dgm:spPr/>
      <dgm:t>
        <a:bodyPr/>
        <a:lstStyle/>
        <a:p>
          <a:endParaRPr lang="en-US"/>
        </a:p>
      </dgm:t>
    </dgm:pt>
    <dgm:pt modelId="{58BA1F62-3C2F-6D40-9F89-3BA41B81DAD6}">
      <dgm:prSet phldrT="[Text]"/>
      <dgm:spPr/>
      <dgm:t>
        <a:bodyPr/>
        <a:lstStyle/>
        <a:p>
          <a:r>
            <a:rPr lang="en-US"/>
            <a:t>Connected to ERCOT via 345kV transmission connect</a:t>
          </a:r>
        </a:p>
      </dgm:t>
    </dgm:pt>
    <dgm:pt modelId="{CA7ED30C-AFDE-4D44-A3B7-AB3765F95D0C}" type="parTrans" cxnId="{2CC1D1ED-A01E-1243-A898-DE402272E092}">
      <dgm:prSet/>
      <dgm:spPr/>
      <dgm:t>
        <a:bodyPr/>
        <a:lstStyle/>
        <a:p>
          <a:endParaRPr lang="en-US"/>
        </a:p>
      </dgm:t>
    </dgm:pt>
    <dgm:pt modelId="{78B8F2D2-59CB-254A-8F8D-0DE3D1B48E5D}" type="sibTrans" cxnId="{2CC1D1ED-A01E-1243-A898-DE402272E092}">
      <dgm:prSet/>
      <dgm:spPr/>
      <dgm:t>
        <a:bodyPr/>
        <a:lstStyle/>
        <a:p>
          <a:endParaRPr lang="en-US"/>
        </a:p>
      </dgm:t>
    </dgm:pt>
    <dgm:pt modelId="{70F0138E-80BA-EA4B-BEF0-F28AF09B8EF7}">
      <dgm:prSet phldrT="[Text]"/>
      <dgm:spPr/>
      <dgm:t>
        <a:bodyPr/>
        <a:lstStyle/>
        <a:p>
          <a:r>
            <a:rPr lang="en-US"/>
            <a:t>420 acres, 100% owned</a:t>
          </a:r>
        </a:p>
      </dgm:t>
    </dgm:pt>
    <dgm:pt modelId="{31E74516-2B40-9A42-8205-2E5D659D4885}" type="parTrans" cxnId="{CF797663-F9E1-3B46-8AD6-B26ED97E4CAA}">
      <dgm:prSet/>
      <dgm:spPr/>
      <dgm:t>
        <a:bodyPr/>
        <a:lstStyle/>
        <a:p>
          <a:endParaRPr lang="en-US"/>
        </a:p>
      </dgm:t>
    </dgm:pt>
    <dgm:pt modelId="{B2F215C6-8D38-F94E-BBAB-2C32D482993E}" type="sibTrans" cxnId="{CF797663-F9E1-3B46-8AD6-B26ED97E4CAA}">
      <dgm:prSet/>
      <dgm:spPr/>
      <dgm:t>
        <a:bodyPr/>
        <a:lstStyle/>
        <a:p>
          <a:endParaRPr lang="en-US"/>
        </a:p>
      </dgm:t>
    </dgm:pt>
    <dgm:pt modelId="{C880275F-6691-CF4C-83D1-35D78EAAA55E}">
      <dgm:prSet phldrT="[Text]"/>
      <dgm:spPr/>
      <dgm:t>
        <a:bodyPr/>
        <a:lstStyle/>
        <a:p>
          <a:r>
            <a:rPr lang="en-US"/>
            <a:t>Substation energization in - 15 months</a:t>
          </a:r>
        </a:p>
      </dgm:t>
    </dgm:pt>
    <dgm:pt modelId="{D8176D0C-3243-C542-BA57-79D51A56E178}" type="parTrans" cxnId="{87C92121-643A-6148-8FE5-C4C81735E428}">
      <dgm:prSet/>
      <dgm:spPr/>
      <dgm:t>
        <a:bodyPr/>
        <a:lstStyle/>
        <a:p>
          <a:endParaRPr lang="en-US"/>
        </a:p>
      </dgm:t>
    </dgm:pt>
    <dgm:pt modelId="{90E7BAD1-F811-4E4A-95EE-4B330C502E40}" type="sibTrans" cxnId="{87C92121-643A-6148-8FE5-C4C81735E428}">
      <dgm:prSet/>
      <dgm:spPr/>
      <dgm:t>
        <a:bodyPr/>
        <a:lstStyle/>
        <a:p>
          <a:endParaRPr lang="en-US"/>
        </a:p>
      </dgm:t>
    </dgm:pt>
    <dgm:pt modelId="{BBCA37A5-16C0-E843-9AB7-059D578B6CA4}">
      <dgm:prSet phldrT="[Text]"/>
      <dgm:spPr/>
      <dgm:t>
        <a:bodyPr/>
        <a:lstStyle/>
        <a:p>
          <a:r>
            <a:rPr lang="en-US"/>
            <a:t>Multiple fiber paths with &lt;10ms latency</a:t>
          </a:r>
        </a:p>
      </dgm:t>
    </dgm:pt>
    <dgm:pt modelId="{B7F96629-0366-414B-BFA8-AF8B7C498FA3}" type="parTrans" cxnId="{50AE5AED-219F-4741-BB94-E5452FD51832}">
      <dgm:prSet/>
      <dgm:spPr/>
      <dgm:t>
        <a:bodyPr/>
        <a:lstStyle/>
        <a:p>
          <a:endParaRPr lang="en-US"/>
        </a:p>
      </dgm:t>
    </dgm:pt>
    <dgm:pt modelId="{526B79D5-1C9F-7E4D-A596-8BEB9BD7DC00}" type="sibTrans" cxnId="{50AE5AED-219F-4741-BB94-E5452FD51832}">
      <dgm:prSet/>
      <dgm:spPr/>
      <dgm:t>
        <a:bodyPr/>
        <a:lstStyle/>
        <a:p>
          <a:endParaRPr lang="en-US"/>
        </a:p>
      </dgm:t>
    </dgm:pt>
    <dgm:pt modelId="{B9D08DB4-F1AF-DA46-9612-44513F02A8B7}">
      <dgm:prSet phldrT="[Text]"/>
      <dgm:spPr/>
      <dgm:t>
        <a:bodyPr/>
        <a:lstStyle/>
        <a:p>
          <a:r>
            <a:rPr lang="en-US"/>
            <a:t>Site supports &lt;90 EH/s or 800,000 GPU's</a:t>
          </a:r>
        </a:p>
      </dgm:t>
    </dgm:pt>
    <dgm:pt modelId="{5DD11FF3-95CC-D349-88B9-4252FE32FF12}" type="parTrans" cxnId="{65A199F1-6218-C348-A55B-6ABCB7E76297}">
      <dgm:prSet/>
      <dgm:spPr/>
      <dgm:t>
        <a:bodyPr/>
        <a:lstStyle/>
        <a:p>
          <a:endParaRPr lang="en-US"/>
        </a:p>
      </dgm:t>
    </dgm:pt>
    <dgm:pt modelId="{F10C09BB-968C-7A40-9700-EEE022DCCC42}" type="sibTrans" cxnId="{65A199F1-6218-C348-A55B-6ABCB7E76297}">
      <dgm:prSet/>
      <dgm:spPr/>
      <dgm:t>
        <a:bodyPr/>
        <a:lstStyle/>
        <a:p>
          <a:endParaRPr lang="en-US"/>
        </a:p>
      </dgm:t>
    </dgm:pt>
    <dgm:pt modelId="{9D7A21CB-ADDF-F844-A5F0-1E9EE23B7767}">
      <dgm:prSet phldrT="[Text]"/>
      <dgm:spPr/>
      <dgm:t>
        <a:bodyPr/>
        <a:lstStyle/>
        <a:p>
          <a:r>
            <a:rPr lang="en-US"/>
            <a:t>Installing liquid cooling infrastructure to support NVIDIA Blackwell GPU's</a:t>
          </a:r>
        </a:p>
      </dgm:t>
    </dgm:pt>
    <dgm:pt modelId="{936E1367-ADB1-7A4E-82E7-2473FAD55311}" type="parTrans" cxnId="{86B731A8-8744-4C4B-BB53-98BA206F988A}">
      <dgm:prSet/>
      <dgm:spPr/>
      <dgm:t>
        <a:bodyPr/>
        <a:lstStyle/>
        <a:p>
          <a:endParaRPr lang="en-US"/>
        </a:p>
      </dgm:t>
    </dgm:pt>
    <dgm:pt modelId="{4B674771-5067-6D4C-A1C6-FACD25240F9A}" type="sibTrans" cxnId="{86B731A8-8744-4C4B-BB53-98BA206F988A}">
      <dgm:prSet/>
      <dgm:spPr/>
      <dgm:t>
        <a:bodyPr/>
        <a:lstStyle/>
        <a:p>
          <a:endParaRPr lang="en-US"/>
        </a:p>
      </dgm:t>
    </dgm:pt>
    <dgm:pt modelId="{5515CC79-4614-1E4A-9E65-67F1448DC634}">
      <dgm:prSet phldrT="[Text]"/>
      <dgm:spPr/>
      <dgm:t>
        <a:bodyPr/>
        <a:lstStyle/>
        <a:p>
          <a:r>
            <a:rPr lang="en-US"/>
            <a:t>1.4GW+ in development + 1,300 aceres of land</a:t>
          </a:r>
        </a:p>
      </dgm:t>
    </dgm:pt>
    <dgm:pt modelId="{5A056039-22F8-264D-B824-F10D902DD139}" type="sibTrans" cxnId="{F9ED5879-0A0D-6646-B2E0-34580A0FF78E}">
      <dgm:prSet/>
      <dgm:spPr/>
      <dgm:t>
        <a:bodyPr/>
        <a:lstStyle/>
        <a:p>
          <a:endParaRPr lang="en-US"/>
        </a:p>
      </dgm:t>
    </dgm:pt>
    <dgm:pt modelId="{0BDCB91B-BFFB-DC41-A9B9-8DBD29E422EC}" type="parTrans" cxnId="{F9ED5879-0A0D-6646-B2E0-34580A0FF78E}">
      <dgm:prSet/>
      <dgm:spPr/>
      <dgm:t>
        <a:bodyPr/>
        <a:lstStyle/>
        <a:p>
          <a:endParaRPr lang="en-US"/>
        </a:p>
      </dgm:t>
    </dgm:pt>
    <dgm:pt modelId="{B6B5C76B-6EB4-D143-8C5B-2BBF61B1AABD}">
      <dgm:prSet phldrT="[Text]"/>
      <dgm:spPr/>
      <dgm:t>
        <a:bodyPr/>
        <a:lstStyle/>
        <a:p>
          <a:r>
            <a:rPr lang="en-US"/>
            <a:t>Completion by April 2026</a:t>
          </a:r>
        </a:p>
      </dgm:t>
    </dgm:pt>
    <dgm:pt modelId="{9924AFBF-EC44-3D47-8454-EB30554F6810}" type="parTrans" cxnId="{98FB4351-EF35-8840-B7BE-C594BFFDEBF1}">
      <dgm:prSet/>
      <dgm:spPr/>
      <dgm:t>
        <a:bodyPr/>
        <a:lstStyle/>
        <a:p>
          <a:endParaRPr lang="en-US"/>
        </a:p>
      </dgm:t>
    </dgm:pt>
    <dgm:pt modelId="{1A2BB5ED-26CF-064B-9594-334F14F15961}" type="sibTrans" cxnId="{98FB4351-EF35-8840-B7BE-C594BFFDEBF1}">
      <dgm:prSet/>
      <dgm:spPr/>
      <dgm:t>
        <a:bodyPr/>
        <a:lstStyle/>
        <a:p>
          <a:endParaRPr lang="en-US"/>
        </a:p>
      </dgm:t>
    </dgm:pt>
    <dgm:pt modelId="{AF511614-199D-9940-B65B-08928E9421CD}">
      <dgm:prSet phldrT="[Text]"/>
      <dgm:spPr/>
      <dgm:t>
        <a:bodyPr/>
        <a:lstStyle/>
        <a:p>
          <a:r>
            <a:rPr lang="en-US"/>
            <a:t>H200 cluster now installed and undergoing customer testing</a:t>
          </a:r>
        </a:p>
      </dgm:t>
    </dgm:pt>
    <dgm:pt modelId="{7657637A-CFB8-C047-99D7-478E39565BC0}" type="parTrans" cxnId="{8AF86D8F-70A7-2C46-9EC2-FC26C420ECFE}">
      <dgm:prSet/>
      <dgm:spPr/>
      <dgm:t>
        <a:bodyPr/>
        <a:lstStyle/>
        <a:p>
          <a:endParaRPr lang="en-US"/>
        </a:p>
      </dgm:t>
    </dgm:pt>
    <dgm:pt modelId="{7E85676E-1CEA-AF4D-BC91-E7997CD00B0D}" type="sibTrans" cxnId="{8AF86D8F-70A7-2C46-9EC2-FC26C420ECFE}">
      <dgm:prSet/>
      <dgm:spPr/>
      <dgm:t>
        <a:bodyPr/>
        <a:lstStyle/>
        <a:p>
          <a:endParaRPr lang="en-US"/>
        </a:p>
      </dgm:t>
    </dgm:pt>
    <dgm:pt modelId="{3E42C9C2-484C-7148-B23E-2540D9FFCCE1}" type="pres">
      <dgm:prSet presAssocID="{043D3CFA-D560-9B4B-9DD4-5722B2D00CBC}" presName="linear" presStyleCnt="0">
        <dgm:presLayoutVars>
          <dgm:dir/>
          <dgm:resizeHandles val="exact"/>
        </dgm:presLayoutVars>
      </dgm:prSet>
      <dgm:spPr/>
    </dgm:pt>
    <dgm:pt modelId="{C00A41F3-D136-7E4E-B861-71F135CF0BDA}" type="pres">
      <dgm:prSet presAssocID="{EB8CE5AD-3BF5-2A49-AEFE-B84A408CC38C}" presName="comp" presStyleCnt="0"/>
      <dgm:spPr/>
    </dgm:pt>
    <dgm:pt modelId="{C4498FB8-3B81-904F-8674-42E2E05280E2}" type="pres">
      <dgm:prSet presAssocID="{EB8CE5AD-3BF5-2A49-AEFE-B84A408CC38C}" presName="box" presStyleLbl="node1" presStyleIdx="0" presStyleCnt="5" custLinFactNeighborX="135" custLinFactNeighborY="2800"/>
      <dgm:spPr/>
    </dgm:pt>
    <dgm:pt modelId="{B7F7C2B0-8508-D245-8EE0-CF58B9404105}" type="pres">
      <dgm:prSet presAssocID="{EB8CE5AD-3BF5-2A49-AEFE-B84A408CC38C}" presName="img" presStyleLbl="fgImgPlace1" presStyleIdx="0" presStyleCnt="5" custScaleX="100539" custScaleY="103528" custLinFactNeighborX="-683" custLinFactNeighborY="239"/>
      <dgm:spPr>
        <a:blipFill>
          <a:blip xmlns:r="http://schemas.openxmlformats.org/officeDocument/2006/relationships" r:embed="rId1">
            <a:extLst>
              <a:ext uri="{28A0092B-C50C-407E-A947-70E740481C1C}">
                <a14:useLocalDpi xmlns:a14="http://schemas.microsoft.com/office/drawing/2010/main" val="0"/>
              </a:ext>
            </a:extLst>
          </a:blip>
          <a:srcRect/>
          <a:stretch>
            <a:fillRect l="-10000" r="-10000"/>
          </a:stretch>
        </a:blipFill>
      </dgm:spPr>
    </dgm:pt>
    <dgm:pt modelId="{328E4D3E-1AB9-9A44-8659-85DF6212209C}" type="pres">
      <dgm:prSet presAssocID="{EB8CE5AD-3BF5-2A49-AEFE-B84A408CC38C}" presName="text" presStyleLbl="node1" presStyleIdx="0" presStyleCnt="5">
        <dgm:presLayoutVars>
          <dgm:bulletEnabled val="1"/>
        </dgm:presLayoutVars>
      </dgm:prSet>
      <dgm:spPr/>
    </dgm:pt>
    <dgm:pt modelId="{66CC3160-A108-8443-B080-C991684D1326}" type="pres">
      <dgm:prSet presAssocID="{9598CAB4-F230-0E41-B707-CD710E2D2224}" presName="spacer" presStyleCnt="0"/>
      <dgm:spPr/>
    </dgm:pt>
    <dgm:pt modelId="{9B48D75F-8318-E142-9571-06E888F74061}" type="pres">
      <dgm:prSet presAssocID="{EB5243B5-5BB6-624A-85D7-1442DDFCBFD5}" presName="comp" presStyleCnt="0"/>
      <dgm:spPr/>
    </dgm:pt>
    <dgm:pt modelId="{F6C01A38-DB88-FF4C-8099-8D07A3FFAC70}" type="pres">
      <dgm:prSet presAssocID="{EB5243B5-5BB6-624A-85D7-1442DDFCBFD5}" presName="box" presStyleLbl="node1" presStyleIdx="1" presStyleCnt="5" custLinFactNeighborY="1867"/>
      <dgm:spPr/>
    </dgm:pt>
    <dgm:pt modelId="{F517E9F2-DE06-F44E-8FFC-E33AF7C61F6C}" type="pres">
      <dgm:prSet presAssocID="{EB5243B5-5BB6-624A-85D7-1442DDFCBFD5}" presName="img" presStyleLbl="fgImgPlace1" presStyleIdx="1" presStyleCnt="5"/>
      <dgm:spPr>
        <a:blipFill>
          <a:blip xmlns:r="http://schemas.openxmlformats.org/officeDocument/2006/relationships" r:embed="rId2" cstate="print">
            <a:extLst>
              <a:ext uri="{28A0092B-C50C-407E-A947-70E740481C1C}">
                <a14:useLocalDpi xmlns:a14="http://schemas.microsoft.com/office/drawing/2010/main" val="0"/>
              </a:ext>
            </a:extLst>
          </a:blip>
          <a:srcRect/>
          <a:stretch>
            <a:fillRect l="-2000" r="-2000"/>
          </a:stretch>
        </a:blipFill>
      </dgm:spPr>
    </dgm:pt>
    <dgm:pt modelId="{B10739AE-C41D-634D-A4F8-AEBF24308282}" type="pres">
      <dgm:prSet presAssocID="{EB5243B5-5BB6-624A-85D7-1442DDFCBFD5}" presName="text" presStyleLbl="node1" presStyleIdx="1" presStyleCnt="5">
        <dgm:presLayoutVars>
          <dgm:bulletEnabled val="1"/>
        </dgm:presLayoutVars>
      </dgm:prSet>
      <dgm:spPr/>
    </dgm:pt>
    <dgm:pt modelId="{DC369453-1A0F-7646-9852-E9706514E8BA}" type="pres">
      <dgm:prSet presAssocID="{2841C53A-43FA-0947-83E4-9438D352665F}" presName="spacer" presStyleCnt="0"/>
      <dgm:spPr/>
    </dgm:pt>
    <dgm:pt modelId="{7D09C4C3-2898-B447-AF5B-A493659EF582}" type="pres">
      <dgm:prSet presAssocID="{E6ACA3BF-EFA8-B54D-95A3-BDAC4E1AFDE9}" presName="comp" presStyleCnt="0"/>
      <dgm:spPr/>
    </dgm:pt>
    <dgm:pt modelId="{C908CC46-2EE0-664A-B720-C6E669014CAD}" type="pres">
      <dgm:prSet presAssocID="{E6ACA3BF-EFA8-B54D-95A3-BDAC4E1AFDE9}" presName="box" presStyleLbl="node1" presStyleIdx="2" presStyleCnt="5"/>
      <dgm:spPr/>
    </dgm:pt>
    <dgm:pt modelId="{1AB93289-EC83-0543-8185-0E116E2BF8EB}" type="pres">
      <dgm:prSet presAssocID="{E6ACA3BF-EFA8-B54D-95A3-BDAC4E1AFDE9}" presName="img" presStyleLbl="fgImgPlace1" presStyleIdx="2" presStyleCnt="5"/>
      <dgm:spPr>
        <a:blipFill>
          <a:blip xmlns:r="http://schemas.openxmlformats.org/officeDocument/2006/relationships" r:embed="rId3" cstate="print">
            <a:extLst>
              <a:ext uri="{28A0092B-C50C-407E-A947-70E740481C1C}">
                <a14:useLocalDpi xmlns:a14="http://schemas.microsoft.com/office/drawing/2010/main" val="0"/>
              </a:ext>
            </a:extLst>
          </a:blip>
          <a:srcRect/>
          <a:stretch>
            <a:fillRect t="-3000" b="-3000"/>
          </a:stretch>
        </a:blipFill>
      </dgm:spPr>
    </dgm:pt>
    <dgm:pt modelId="{EA3C57FC-F361-7B41-AD3E-65BB901754B1}" type="pres">
      <dgm:prSet presAssocID="{E6ACA3BF-EFA8-B54D-95A3-BDAC4E1AFDE9}" presName="text" presStyleLbl="node1" presStyleIdx="2" presStyleCnt="5">
        <dgm:presLayoutVars>
          <dgm:bulletEnabled val="1"/>
        </dgm:presLayoutVars>
      </dgm:prSet>
      <dgm:spPr/>
    </dgm:pt>
    <dgm:pt modelId="{218646D8-F07D-8640-9855-C6FDBD1795CB}" type="pres">
      <dgm:prSet presAssocID="{2981D264-133E-E14E-A77E-7783CC5158EF}" presName="spacer" presStyleCnt="0"/>
      <dgm:spPr/>
    </dgm:pt>
    <dgm:pt modelId="{0E0A7B3B-DC26-E64E-8AD6-10E9995C8776}" type="pres">
      <dgm:prSet presAssocID="{D4DDBBA9-A228-5C49-B03B-EBF3833CA9FB}" presName="comp" presStyleCnt="0"/>
      <dgm:spPr/>
    </dgm:pt>
    <dgm:pt modelId="{C1D7FF54-4E88-2C4F-B061-EF90CA6CBEED}" type="pres">
      <dgm:prSet presAssocID="{D4DDBBA9-A228-5C49-B03B-EBF3833CA9FB}" presName="box" presStyleLbl="node1" presStyleIdx="3" presStyleCnt="5"/>
      <dgm:spPr/>
    </dgm:pt>
    <dgm:pt modelId="{C0BFC06E-2B90-D945-BF40-EAF839C84716}" type="pres">
      <dgm:prSet presAssocID="{D4DDBBA9-A228-5C49-B03B-EBF3833CA9FB}" presName="img" presStyleLbl="fgImgPlace1" presStyleIdx="3" presStyleCnt="5"/>
      <dgm:spPr>
        <a:blipFill>
          <a:blip xmlns:r="http://schemas.openxmlformats.org/officeDocument/2006/relationships" r:embed="rId4" cstate="print">
            <a:extLst>
              <a:ext uri="{28A0092B-C50C-407E-A947-70E740481C1C}">
                <a14:useLocalDpi xmlns:a14="http://schemas.microsoft.com/office/drawing/2010/main" val="0"/>
              </a:ext>
            </a:extLst>
          </a:blip>
          <a:srcRect/>
          <a:stretch>
            <a:fillRect t="-3000" b="-3000"/>
          </a:stretch>
        </a:blipFill>
      </dgm:spPr>
    </dgm:pt>
    <dgm:pt modelId="{706769B0-E9D5-A14A-80C6-43C59EFD044E}" type="pres">
      <dgm:prSet presAssocID="{D4DDBBA9-A228-5C49-B03B-EBF3833CA9FB}" presName="text" presStyleLbl="node1" presStyleIdx="3" presStyleCnt="5">
        <dgm:presLayoutVars>
          <dgm:bulletEnabled val="1"/>
        </dgm:presLayoutVars>
      </dgm:prSet>
      <dgm:spPr/>
    </dgm:pt>
    <dgm:pt modelId="{E855FF82-D83D-FC4A-A8F9-A54640CC20D2}" type="pres">
      <dgm:prSet presAssocID="{1087D24C-F15D-E64A-981A-DCF48C54C785}" presName="spacer" presStyleCnt="0"/>
      <dgm:spPr/>
    </dgm:pt>
    <dgm:pt modelId="{B9ED6D72-6902-A940-8DAB-2D697BEFB2DF}" type="pres">
      <dgm:prSet presAssocID="{AFC8428B-B64D-0D4B-92E3-7483A860FAF1}" presName="comp" presStyleCnt="0"/>
      <dgm:spPr/>
    </dgm:pt>
    <dgm:pt modelId="{1CCD8B87-DC89-F643-8A23-F10FDD0EC0C3}" type="pres">
      <dgm:prSet presAssocID="{AFC8428B-B64D-0D4B-92E3-7483A860FAF1}" presName="box" presStyleLbl="node1" presStyleIdx="4" presStyleCnt="5" custScaleY="108894"/>
      <dgm:spPr/>
    </dgm:pt>
    <dgm:pt modelId="{AEBEA5FD-4A69-AA4F-8863-797028126976}" type="pres">
      <dgm:prSet presAssocID="{AFC8428B-B64D-0D4B-92E3-7483A860FAF1}" presName="img" presStyleLbl="fgImgPlace1" presStyleIdx="4" presStyleCnt="5"/>
      <dgm:spPr>
        <a:blipFill rotWithShape="1">
          <a:blip xmlns:r="http://schemas.openxmlformats.org/officeDocument/2006/relationships" r:embed="rId5" cstate="print">
            <a:extLst>
              <a:ext uri="{28A0092B-C50C-407E-A947-70E740481C1C}">
                <a14:useLocalDpi xmlns:a14="http://schemas.microsoft.com/office/drawing/2010/main" val="0"/>
              </a:ext>
            </a:extLst>
          </a:blip>
          <a:srcRect/>
          <a:stretch>
            <a:fillRect l="-3000" r="-3000"/>
          </a:stretch>
        </a:blipFill>
      </dgm:spPr>
    </dgm:pt>
    <dgm:pt modelId="{94EB58F9-BC25-2543-B27F-338620097728}" type="pres">
      <dgm:prSet presAssocID="{AFC8428B-B64D-0D4B-92E3-7483A860FAF1}" presName="text" presStyleLbl="node1" presStyleIdx="4" presStyleCnt="5">
        <dgm:presLayoutVars>
          <dgm:bulletEnabled val="1"/>
        </dgm:presLayoutVars>
      </dgm:prSet>
      <dgm:spPr/>
    </dgm:pt>
  </dgm:ptLst>
  <dgm:cxnLst>
    <dgm:cxn modelId="{EDCBEC02-1DA2-EE42-88AA-D181DE874EAD}" type="presOf" srcId="{9D7A21CB-ADDF-F844-A5F0-1E9EE23B7767}" destId="{F6C01A38-DB88-FF4C-8099-8D07A3FFAC70}" srcOrd="0" destOrd="5" presId="urn:microsoft.com/office/officeart/2005/8/layout/vList4"/>
    <dgm:cxn modelId="{B2339D05-E781-5E46-A864-A26F95F05C83}" srcId="{EB8CE5AD-3BF5-2A49-AEFE-B84A408CC38C}" destId="{8EAC0A70-5A07-7640-A757-D683AD999FBC}" srcOrd="0" destOrd="0" parTransId="{48CAD792-B6D8-E446-83CC-43FF44F74155}" sibTransId="{1E770D4B-21B2-8947-A0EA-291DDAE3C8F8}"/>
    <dgm:cxn modelId="{7B0CA206-E0E6-6F46-9C85-3C6B3D3213CD}" type="presOf" srcId="{8EAC0A70-5A07-7640-A757-D683AD999FBC}" destId="{328E4D3E-1AB9-9A44-8659-85DF6212209C}" srcOrd="1" destOrd="1" presId="urn:microsoft.com/office/officeart/2005/8/layout/vList4"/>
    <dgm:cxn modelId="{CA7FFC08-EFAA-DD46-A95E-F2918A184E2A}" type="presOf" srcId="{E6ACA3BF-EFA8-B54D-95A3-BDAC4E1AFDE9}" destId="{EA3C57FC-F361-7B41-AD3E-65BB901754B1}" srcOrd="1" destOrd="0" presId="urn:microsoft.com/office/officeart/2005/8/layout/vList4"/>
    <dgm:cxn modelId="{E11D4513-7035-024A-BB28-78BCF9D0E1F8}" srcId="{D4DDBBA9-A228-5C49-B03B-EBF3833CA9FB}" destId="{6025D4B8-93B1-684B-9523-DEE1CE78C02C}" srcOrd="0" destOrd="0" parTransId="{E3425BC0-F3D0-174C-AD5E-C1D743DFB89A}" sibTransId="{BA1225A1-1727-DD42-A8E3-185CD89CACD7}"/>
    <dgm:cxn modelId="{6C3CB114-3B5A-F64B-B396-02AEB302B85A}" type="presOf" srcId="{BBCA37A5-16C0-E843-9AB7-059D578B6CA4}" destId="{94EB58F9-BC25-2543-B27F-338620097728}" srcOrd="1" destOrd="3" presId="urn:microsoft.com/office/officeart/2005/8/layout/vList4"/>
    <dgm:cxn modelId="{61C8E415-D271-DA47-924D-B28E36E9D4A1}" srcId="{E6ACA3BF-EFA8-B54D-95A3-BDAC4E1AFDE9}" destId="{900046FB-ACF8-C94D-BDE9-954DF41079C7}" srcOrd="1" destOrd="0" parTransId="{465AC9E3-144B-734A-9384-2E1521FE7591}" sibTransId="{09AD2830-CEC6-A746-B642-5ACD2D8A302F}"/>
    <dgm:cxn modelId="{68D0F11B-8F1A-9C45-8394-B5A7BFF5F144}" type="presOf" srcId="{DA8AB89F-8360-F74A-98AA-69FC2F8E807D}" destId="{F6C01A38-DB88-FF4C-8099-8D07A3FFAC70}" srcOrd="0" destOrd="4" presId="urn:microsoft.com/office/officeart/2005/8/layout/vList4"/>
    <dgm:cxn modelId="{55A4301F-40DE-6D4B-892C-4A67A47F4D47}" srcId="{043D3CFA-D560-9B4B-9DD4-5722B2D00CBC}" destId="{EB5243B5-5BB6-624A-85D7-1442DDFCBFD5}" srcOrd="1" destOrd="0" parTransId="{6541A3A9-9C27-A245-854E-FB7B177F1C86}" sibTransId="{2841C53A-43FA-0947-83E4-9438D352665F}"/>
    <dgm:cxn modelId="{87C92121-643A-6148-8FE5-C4C81735E428}" srcId="{AFC8428B-B64D-0D4B-92E3-7483A860FAF1}" destId="{C880275F-6691-CF4C-83D1-35D78EAAA55E}" srcOrd="1" destOrd="0" parTransId="{D8176D0C-3243-C542-BA57-79D51A56E178}" sibTransId="{90E7BAD1-F811-4E4A-95EE-4B330C502E40}"/>
    <dgm:cxn modelId="{063D8B24-C1C0-2245-AC1B-FFFD5C061DCC}" type="presOf" srcId="{EB8CE5AD-3BF5-2A49-AEFE-B84A408CC38C}" destId="{328E4D3E-1AB9-9A44-8659-85DF6212209C}" srcOrd="1" destOrd="0" presId="urn:microsoft.com/office/officeart/2005/8/layout/vList4"/>
    <dgm:cxn modelId="{C8BDF224-F81C-0446-A4E1-A991F32AB54B}" type="presOf" srcId="{45E6A7C4-4752-8746-BADE-7A0772055DD3}" destId="{EA3C57FC-F361-7B41-AD3E-65BB901754B1}" srcOrd="1" destOrd="4" presId="urn:microsoft.com/office/officeart/2005/8/layout/vList4"/>
    <dgm:cxn modelId="{5B7F5A25-F01C-C042-BFAD-3978730904D6}" type="presOf" srcId="{70F0138E-80BA-EA4B-BEF0-F28AF09B8EF7}" destId="{328E4D3E-1AB9-9A44-8659-85DF6212209C}" srcOrd="1" destOrd="3" presId="urn:microsoft.com/office/officeart/2005/8/layout/vList4"/>
    <dgm:cxn modelId="{8C650C2A-E625-384E-B2E2-EB537AAB5794}" type="presOf" srcId="{EB5243B5-5BB6-624A-85D7-1442DDFCBFD5}" destId="{B10739AE-C41D-634D-A4F8-AEBF24308282}" srcOrd="1" destOrd="0" presId="urn:microsoft.com/office/officeart/2005/8/layout/vList4"/>
    <dgm:cxn modelId="{078A202A-0D1A-4848-964E-A3C1DC58114C}" type="presOf" srcId="{B6B5C76B-6EB4-D143-8C5B-2BBF61B1AABD}" destId="{94EB58F9-BC25-2543-B27F-338620097728}" srcOrd="1" destOrd="5" presId="urn:microsoft.com/office/officeart/2005/8/layout/vList4"/>
    <dgm:cxn modelId="{ECEE1F2B-2E6E-1944-B2FF-70EE0501BA25}" type="presOf" srcId="{F211B7F1-8A32-654F-B115-381EF202CECC}" destId="{706769B0-E9D5-A14A-80C6-43C59EFD044E}" srcOrd="1" destOrd="3" presId="urn:microsoft.com/office/officeart/2005/8/layout/vList4"/>
    <dgm:cxn modelId="{79742331-37F3-6842-A08E-CEEA4EDA1F92}" type="presOf" srcId="{900046FB-ACF8-C94D-BDE9-954DF41079C7}" destId="{C908CC46-2EE0-664A-B720-C6E669014CAD}" srcOrd="0" destOrd="2" presId="urn:microsoft.com/office/officeart/2005/8/layout/vList4"/>
    <dgm:cxn modelId="{E9AB5E36-ACB2-1C40-8111-EF4FD83265C8}" type="presOf" srcId="{EB5243B5-5BB6-624A-85D7-1442DDFCBFD5}" destId="{F6C01A38-DB88-FF4C-8099-8D07A3FFAC70}" srcOrd="0" destOrd="0" presId="urn:microsoft.com/office/officeart/2005/8/layout/vList4"/>
    <dgm:cxn modelId="{46401337-4269-F74E-BE38-96721002AAF3}" type="presOf" srcId="{6025D4B8-93B1-684B-9523-DEE1CE78C02C}" destId="{C1D7FF54-4E88-2C4F-B061-EF90CA6CBEED}" srcOrd="0" destOrd="1" presId="urn:microsoft.com/office/officeart/2005/8/layout/vList4"/>
    <dgm:cxn modelId="{42D78E3B-92A0-874E-B56A-909AF27188B0}" srcId="{D4DDBBA9-A228-5C49-B03B-EBF3833CA9FB}" destId="{38E6E5A5-5D2D-CB43-B4C9-FDA29E7876E1}" srcOrd="1" destOrd="0" parTransId="{39BA1598-A391-6F4F-AB58-00BCCC2DC1CF}" sibTransId="{2F0A7608-3DB2-F345-AA27-E4437A4A331B}"/>
    <dgm:cxn modelId="{5AC30746-BD43-924F-BD39-ABE1322A96D7}" type="presOf" srcId="{B4C448A9-69B8-C344-98A8-0B8E9322CE47}" destId="{B10739AE-C41D-634D-A4F8-AEBF24308282}" srcOrd="1" destOrd="1" presId="urn:microsoft.com/office/officeart/2005/8/layout/vList4"/>
    <dgm:cxn modelId="{7F5EE246-C5CA-0D46-B9B4-B731D36D433C}" srcId="{EB5243B5-5BB6-624A-85D7-1442DDFCBFD5}" destId="{8E3CB90F-3FD5-7E42-BD33-AB5D28BD3791}" srcOrd="1" destOrd="0" parTransId="{4F590009-09E4-F140-95DE-B0C08469D1E7}" sibTransId="{75873955-3FEC-6046-86B1-B20C7A07E7A9}"/>
    <dgm:cxn modelId="{261F7E47-5CB4-0C4F-B34F-62876368F40B}" srcId="{043D3CFA-D560-9B4B-9DD4-5722B2D00CBC}" destId="{AFC8428B-B64D-0D4B-92E3-7483A860FAF1}" srcOrd="4" destOrd="0" parTransId="{2D178176-1C0B-9341-88C8-47B8782981A4}" sibTransId="{09106405-8A27-A646-9E13-3C0C0F34437E}"/>
    <dgm:cxn modelId="{8C57BA49-D3A5-D54A-AF6B-4C7F61E87781}" srcId="{E6ACA3BF-EFA8-B54D-95A3-BDAC4E1AFDE9}" destId="{BC010B60-963C-6746-9A32-B2E89644657A}" srcOrd="2" destOrd="0" parTransId="{9953CF1F-3E94-3A45-A6D2-FF100451C64C}" sibTransId="{28AF656D-5360-AB42-849F-B11D0A958ECB}"/>
    <dgm:cxn modelId="{01840E4A-0431-984A-B0C8-659504CDFA19}" srcId="{043D3CFA-D560-9B4B-9DD4-5722B2D00CBC}" destId="{EB8CE5AD-3BF5-2A49-AEFE-B84A408CC38C}" srcOrd="0" destOrd="0" parTransId="{FF74A98F-A1D5-D748-B3C0-313FE679A078}" sibTransId="{9598CAB4-F230-0E41-B707-CD710E2D2224}"/>
    <dgm:cxn modelId="{BBF45C4D-12B3-5841-B087-A2BC0B912B3C}" type="presOf" srcId="{900046FB-ACF8-C94D-BDE9-954DF41079C7}" destId="{EA3C57FC-F361-7B41-AD3E-65BB901754B1}" srcOrd="1" destOrd="2" presId="urn:microsoft.com/office/officeart/2005/8/layout/vList4"/>
    <dgm:cxn modelId="{98FB4351-EF35-8840-B7BE-C594BFFDEBF1}" srcId="{AFC8428B-B64D-0D4B-92E3-7483A860FAF1}" destId="{B6B5C76B-6EB4-D143-8C5B-2BBF61B1AABD}" srcOrd="4" destOrd="0" parTransId="{9924AFBF-EC44-3D47-8454-EB30554F6810}" sibTransId="{1A2BB5ED-26CF-064B-9594-334F14F15961}"/>
    <dgm:cxn modelId="{6D5F7459-432E-D64B-88F9-DA6D26A3C45C}" type="presOf" srcId="{38E6E5A5-5D2D-CB43-B4C9-FDA29E7876E1}" destId="{706769B0-E9D5-A14A-80C6-43C59EFD044E}" srcOrd="1" destOrd="2" presId="urn:microsoft.com/office/officeart/2005/8/layout/vList4"/>
    <dgm:cxn modelId="{6E48895C-C218-4047-A1DD-7A7D81BD0C14}" srcId="{043D3CFA-D560-9B4B-9DD4-5722B2D00CBC}" destId="{D4DDBBA9-A228-5C49-B03B-EBF3833CA9FB}" srcOrd="3" destOrd="0" parTransId="{9556714E-BABA-884E-96E4-40014C45F9F1}" sibTransId="{1087D24C-F15D-E64A-981A-DCF48C54C785}"/>
    <dgm:cxn modelId="{77FD705E-4B97-A14C-8073-726A49088B82}" type="presOf" srcId="{043D3CFA-D560-9B4B-9DD4-5722B2D00CBC}" destId="{3E42C9C2-484C-7148-B23E-2540D9FFCCE1}" srcOrd="0" destOrd="0" presId="urn:microsoft.com/office/officeart/2005/8/layout/vList4"/>
    <dgm:cxn modelId="{F3293561-B3AA-C74B-8CE2-DB6A2AE99A6E}" type="presOf" srcId="{BBCA37A5-16C0-E843-9AB7-059D578B6CA4}" destId="{1CCD8B87-DC89-F643-8A23-F10FDD0EC0C3}" srcOrd="0" destOrd="3" presId="urn:microsoft.com/office/officeart/2005/8/layout/vList4"/>
    <dgm:cxn modelId="{CF797663-F9E1-3B46-8AD6-B26ED97E4CAA}" srcId="{EB8CE5AD-3BF5-2A49-AEFE-B84A408CC38C}" destId="{70F0138E-80BA-EA4B-BEF0-F28AF09B8EF7}" srcOrd="2" destOrd="0" parTransId="{31E74516-2B40-9A42-8205-2E5D659D4885}" sibTransId="{B2F215C6-8D38-F94E-BBAB-2C32D482993E}"/>
    <dgm:cxn modelId="{74D34B66-E4AA-C749-8444-8807A60CC694}" srcId="{E6ACA3BF-EFA8-B54D-95A3-BDAC4E1AFDE9}" destId="{C48A5CC1-E9B3-2843-973F-720E84967FA5}" srcOrd="0" destOrd="0" parTransId="{9DC6DDB3-6B4A-B544-BC54-691A604C92A6}" sibTransId="{E0104188-F417-5341-BAD2-ABF85281FD6A}"/>
    <dgm:cxn modelId="{88A8636B-DCCF-5944-B49C-7639628A6EF9}" type="presOf" srcId="{70F0138E-80BA-EA4B-BEF0-F28AF09B8EF7}" destId="{C4498FB8-3B81-904F-8674-42E2E05280E2}" srcOrd="0" destOrd="3" presId="urn:microsoft.com/office/officeart/2005/8/layout/vList4"/>
    <dgm:cxn modelId="{C037B06B-7C60-9C44-AF68-52ABBD2D5B91}" type="presOf" srcId="{38E6E5A5-5D2D-CB43-B4C9-FDA29E7876E1}" destId="{C1D7FF54-4E88-2C4F-B061-EF90CA6CBEED}" srcOrd="0" destOrd="2" presId="urn:microsoft.com/office/officeart/2005/8/layout/vList4"/>
    <dgm:cxn modelId="{800BC66D-289D-DE4E-B3DF-92E6F5BCD2D4}" type="presOf" srcId="{9D7A21CB-ADDF-F844-A5F0-1E9EE23B7767}" destId="{B10739AE-C41D-634D-A4F8-AEBF24308282}" srcOrd="1" destOrd="5" presId="urn:microsoft.com/office/officeart/2005/8/layout/vList4"/>
    <dgm:cxn modelId="{A5DEAA6E-0706-4347-8D3C-31C4B9F6E205}" type="presOf" srcId="{E6ACA3BF-EFA8-B54D-95A3-BDAC4E1AFDE9}" destId="{C908CC46-2EE0-664A-B720-C6E669014CAD}" srcOrd="0" destOrd="0" presId="urn:microsoft.com/office/officeart/2005/8/layout/vList4"/>
    <dgm:cxn modelId="{0A39D06E-1607-DA42-B143-36D3F60365C4}" type="presOf" srcId="{EC2F8A09-B15D-AC40-B6AD-A568714C127E}" destId="{C4498FB8-3B81-904F-8674-42E2E05280E2}" srcOrd="0" destOrd="2" presId="urn:microsoft.com/office/officeart/2005/8/layout/vList4"/>
    <dgm:cxn modelId="{462EFC78-0299-0D42-85BD-739E1D3FF55C}" type="presOf" srcId="{C48A5CC1-E9B3-2843-973F-720E84967FA5}" destId="{C908CC46-2EE0-664A-B720-C6E669014CAD}" srcOrd="0" destOrd="1" presId="urn:microsoft.com/office/officeart/2005/8/layout/vList4"/>
    <dgm:cxn modelId="{F2501579-1DD8-3C4E-BC1F-1C4E589DC30E}" srcId="{EB5243B5-5BB6-624A-85D7-1442DDFCBFD5}" destId="{79541440-C569-FF42-A879-21A29FA2B3F7}" srcOrd="2" destOrd="0" parTransId="{D3B3DB7F-CE29-E041-A2B5-A4F2432D130C}" sibTransId="{64182FED-4A89-8A49-921D-BCB12CE49B81}"/>
    <dgm:cxn modelId="{F9ED5879-0A0D-6646-B2E0-34580A0FF78E}" srcId="{AFC8428B-B64D-0D4B-92E3-7483A860FAF1}" destId="{5515CC79-4614-1E4A-9E65-67F1448DC634}" srcOrd="0" destOrd="0" parTransId="{0BDCB91B-BFFB-DC41-A9B9-8DBD29E422EC}" sibTransId="{5A056039-22F8-264D-B824-F10D902DD139}"/>
    <dgm:cxn modelId="{04F0537A-3E5A-0049-B55B-5E977CD26BD3}" type="presOf" srcId="{6025D4B8-93B1-684B-9523-DEE1CE78C02C}" destId="{706769B0-E9D5-A14A-80C6-43C59EFD044E}" srcOrd="1" destOrd="1" presId="urn:microsoft.com/office/officeart/2005/8/layout/vList4"/>
    <dgm:cxn modelId="{F4D7F87C-DBBA-0449-8FAC-9AFC8042249A}" type="presOf" srcId="{AFC8428B-B64D-0D4B-92E3-7483A860FAF1}" destId="{94EB58F9-BC25-2543-B27F-338620097728}" srcOrd="1" destOrd="0" presId="urn:microsoft.com/office/officeart/2005/8/layout/vList4"/>
    <dgm:cxn modelId="{306BC783-E314-9540-9FB1-D04C40113309}" type="presOf" srcId="{B4C448A9-69B8-C344-98A8-0B8E9322CE47}" destId="{F6C01A38-DB88-FF4C-8099-8D07A3FFAC70}" srcOrd="0" destOrd="1" presId="urn:microsoft.com/office/officeart/2005/8/layout/vList4"/>
    <dgm:cxn modelId="{87B3C484-5EDA-1D4D-BC45-4BD988F1A2E1}" type="presOf" srcId="{8EAC0A70-5A07-7640-A757-D683AD999FBC}" destId="{C4498FB8-3B81-904F-8674-42E2E05280E2}" srcOrd="0" destOrd="1" presId="urn:microsoft.com/office/officeart/2005/8/layout/vList4"/>
    <dgm:cxn modelId="{42DE0285-9EC8-4D4E-A053-03CE8A1C9639}" srcId="{D4DDBBA9-A228-5C49-B03B-EBF3833CA9FB}" destId="{B4A6D99F-8086-494C-B0C8-5FA29992C91C}" srcOrd="3" destOrd="0" parTransId="{FE7258F5-105F-CC4E-B8F2-FEFC70767370}" sibTransId="{FDCF6C26-F903-6A46-B15A-1D875032AAF2}"/>
    <dgm:cxn modelId="{560E5D85-BDED-6B4D-90A5-21E6EDB1E966}" srcId="{EB8CE5AD-3BF5-2A49-AEFE-B84A408CC38C}" destId="{C7D66434-252E-3946-BFD2-754C23854251}" srcOrd="3" destOrd="0" parTransId="{B28353B1-0C56-DC45-B243-D469851ED147}" sibTransId="{6C9B3E0A-44F5-B443-9079-FB52B786F9FA}"/>
    <dgm:cxn modelId="{C9450C86-B33D-594C-BA41-4ED533C5D880}" type="presOf" srcId="{C880275F-6691-CF4C-83D1-35D78EAAA55E}" destId="{94EB58F9-BC25-2543-B27F-338620097728}" srcOrd="1" destOrd="2" presId="urn:microsoft.com/office/officeart/2005/8/layout/vList4"/>
    <dgm:cxn modelId="{F5735F86-31F1-6341-94E5-A8E252274EF2}" type="presOf" srcId="{A971D58B-632D-AC42-A830-1F8178FCD0FB}" destId="{328E4D3E-1AB9-9A44-8659-85DF6212209C}" srcOrd="1" destOrd="5" presId="urn:microsoft.com/office/officeart/2005/8/layout/vList4"/>
    <dgm:cxn modelId="{1C7BD986-92F5-104E-AA10-FDABE1328D5A}" srcId="{043D3CFA-D560-9B4B-9DD4-5722B2D00CBC}" destId="{E6ACA3BF-EFA8-B54D-95A3-BDAC4E1AFDE9}" srcOrd="2" destOrd="0" parTransId="{567B21AB-016A-3243-ACF2-D093BDDF8051}" sibTransId="{2981D264-133E-E14E-A77E-7783CC5158EF}"/>
    <dgm:cxn modelId="{71CEF586-613A-6C4E-92FA-B5F9DD542356}" type="presOf" srcId="{B9D08DB4-F1AF-DA46-9612-44513F02A8B7}" destId="{1CCD8B87-DC89-F643-8A23-F10FDD0EC0C3}" srcOrd="0" destOrd="4" presId="urn:microsoft.com/office/officeart/2005/8/layout/vList4"/>
    <dgm:cxn modelId="{D0269C87-CCB6-934D-93B6-122111F0F2CC}" type="presOf" srcId="{B6B5C76B-6EB4-D143-8C5B-2BBF61B1AABD}" destId="{1CCD8B87-DC89-F643-8A23-F10FDD0EC0C3}" srcOrd="0" destOrd="5" presId="urn:microsoft.com/office/officeart/2005/8/layout/vList4"/>
    <dgm:cxn modelId="{C437258E-9F67-AD44-BA12-0134AEB55C0A}" type="presOf" srcId="{79541440-C569-FF42-A879-21A29FA2B3F7}" destId="{F6C01A38-DB88-FF4C-8099-8D07A3FFAC70}" srcOrd="0" destOrd="3" presId="urn:microsoft.com/office/officeart/2005/8/layout/vList4"/>
    <dgm:cxn modelId="{8AF86D8F-70A7-2C46-9EC2-FC26C420ECFE}" srcId="{EB5243B5-5BB6-624A-85D7-1442DDFCBFD5}" destId="{AF511614-199D-9940-B65B-08928E9421CD}" srcOrd="5" destOrd="0" parTransId="{7657637A-CFB8-C047-99D7-478E39565BC0}" sibTransId="{7E85676E-1CEA-AF4D-BC91-E7997CD00B0D}"/>
    <dgm:cxn modelId="{280E0892-8D7D-C744-B985-C39986536A5B}" type="presOf" srcId="{AFC8428B-B64D-0D4B-92E3-7483A860FAF1}" destId="{1CCD8B87-DC89-F643-8A23-F10FDD0EC0C3}" srcOrd="0" destOrd="0" presId="urn:microsoft.com/office/officeart/2005/8/layout/vList4"/>
    <dgm:cxn modelId="{9F707894-A4AD-D24A-B37B-77CF3CED77AC}" type="presOf" srcId="{EC2F8A09-B15D-AC40-B6AD-A568714C127E}" destId="{328E4D3E-1AB9-9A44-8659-85DF6212209C}" srcOrd="1" destOrd="2" presId="urn:microsoft.com/office/officeart/2005/8/layout/vList4"/>
    <dgm:cxn modelId="{52B34896-384A-E24A-A448-4EA9F1BB3AFB}" type="presOf" srcId="{DA8AB89F-8360-F74A-98AA-69FC2F8E807D}" destId="{B10739AE-C41D-634D-A4F8-AEBF24308282}" srcOrd="1" destOrd="4" presId="urn:microsoft.com/office/officeart/2005/8/layout/vList4"/>
    <dgm:cxn modelId="{DAFCA79E-FB52-584B-8AC5-BCA1B16A9C03}" type="presOf" srcId="{BC010B60-963C-6746-9A32-B2E89644657A}" destId="{C908CC46-2EE0-664A-B720-C6E669014CAD}" srcOrd="0" destOrd="3" presId="urn:microsoft.com/office/officeart/2005/8/layout/vList4"/>
    <dgm:cxn modelId="{950615A2-2781-BD49-A9A7-CB4774DD7940}" srcId="{EB5243B5-5BB6-624A-85D7-1442DDFCBFD5}" destId="{B4C448A9-69B8-C344-98A8-0B8E9322CE47}" srcOrd="0" destOrd="0" parTransId="{A3B6FAD4-8CAE-864B-8296-F72973B9A22C}" sibTransId="{6E2B8B4E-D49D-E948-A50D-4E32F9316519}"/>
    <dgm:cxn modelId="{86B731A8-8744-4C4B-BB53-98BA206F988A}" srcId="{EB5243B5-5BB6-624A-85D7-1442DDFCBFD5}" destId="{9D7A21CB-ADDF-F844-A5F0-1E9EE23B7767}" srcOrd="4" destOrd="0" parTransId="{936E1367-ADB1-7A4E-82E7-2473FAD55311}" sibTransId="{4B674771-5067-6D4C-A1C6-FACD25240F9A}"/>
    <dgm:cxn modelId="{2AF678AB-1C73-AA45-B61E-CBE78A16C952}" type="presOf" srcId="{D4DDBBA9-A228-5C49-B03B-EBF3833CA9FB}" destId="{706769B0-E9D5-A14A-80C6-43C59EFD044E}" srcOrd="1" destOrd="0" presId="urn:microsoft.com/office/officeart/2005/8/layout/vList4"/>
    <dgm:cxn modelId="{741CAEB0-AE55-C843-B16F-D24CBE63C833}" srcId="{EB8CE5AD-3BF5-2A49-AEFE-B84A408CC38C}" destId="{EC2F8A09-B15D-AC40-B6AD-A568714C127E}" srcOrd="1" destOrd="0" parTransId="{1EB87356-87BC-8643-912D-BD9DE0CD44C1}" sibTransId="{9E782BC7-5FC6-584C-B0A9-6A1DDEBBABDF}"/>
    <dgm:cxn modelId="{1A27BDB0-464A-3841-A96D-CB038D0815B8}" srcId="{D4DDBBA9-A228-5C49-B03B-EBF3833CA9FB}" destId="{F211B7F1-8A32-654F-B115-381EF202CECC}" srcOrd="2" destOrd="0" parTransId="{4BF205E0-1E38-6943-8F45-EADF08A33216}" sibTransId="{40CD48D7-A446-3A47-A848-06C9C4D2FAF8}"/>
    <dgm:cxn modelId="{DE2306B4-AEC3-5E4D-840F-C0C9EA8534A0}" srcId="{E6ACA3BF-EFA8-B54D-95A3-BDAC4E1AFDE9}" destId="{45E6A7C4-4752-8746-BADE-7A0772055DD3}" srcOrd="3" destOrd="0" parTransId="{EB8508AB-BAA4-D44F-ADDB-1D098E1F0B1E}" sibTransId="{A9D1A0D7-E70A-1641-8D6F-F7F1250B27FD}"/>
    <dgm:cxn modelId="{AC7F5AB7-8479-6F40-BA72-6642E98244DE}" type="presOf" srcId="{79541440-C569-FF42-A879-21A29FA2B3F7}" destId="{B10739AE-C41D-634D-A4F8-AEBF24308282}" srcOrd="1" destOrd="3" presId="urn:microsoft.com/office/officeart/2005/8/layout/vList4"/>
    <dgm:cxn modelId="{E3581FB8-ACC5-0C4E-8655-96EABE77C562}" type="presOf" srcId="{EB8CE5AD-3BF5-2A49-AEFE-B84A408CC38C}" destId="{C4498FB8-3B81-904F-8674-42E2E05280E2}" srcOrd="0" destOrd="0" presId="urn:microsoft.com/office/officeart/2005/8/layout/vList4"/>
    <dgm:cxn modelId="{E0108EB9-1DA7-F246-B3F4-3B93F105AF60}" srcId="{EB5243B5-5BB6-624A-85D7-1442DDFCBFD5}" destId="{DA8AB89F-8360-F74A-98AA-69FC2F8E807D}" srcOrd="3" destOrd="0" parTransId="{4AB27D79-7410-3E4D-841F-F640A13861FA}" sibTransId="{F294E829-F096-284D-A8FC-BE0E492AEE6F}"/>
    <dgm:cxn modelId="{B16AFCBE-A171-4E45-AF26-34B066211B36}" type="presOf" srcId="{AF511614-199D-9940-B65B-08928E9421CD}" destId="{B10739AE-C41D-634D-A4F8-AEBF24308282}" srcOrd="1" destOrd="6" presId="urn:microsoft.com/office/officeart/2005/8/layout/vList4"/>
    <dgm:cxn modelId="{0D7C81BF-6008-A746-B1D4-06B184FB3F39}" type="presOf" srcId="{8E3CB90F-3FD5-7E42-BD33-AB5D28BD3791}" destId="{F6C01A38-DB88-FF4C-8099-8D07A3FFAC70}" srcOrd="0" destOrd="2" presId="urn:microsoft.com/office/officeart/2005/8/layout/vList4"/>
    <dgm:cxn modelId="{4AA506C9-5C86-EE49-8326-81F6C3DC6213}" type="presOf" srcId="{5515CC79-4614-1E4A-9E65-67F1448DC634}" destId="{94EB58F9-BC25-2543-B27F-338620097728}" srcOrd="1" destOrd="1" presId="urn:microsoft.com/office/officeart/2005/8/layout/vList4"/>
    <dgm:cxn modelId="{E98C1ED5-B11F-EA4D-8DBD-39B094D43791}" type="presOf" srcId="{C7D66434-252E-3946-BFD2-754C23854251}" destId="{C4498FB8-3B81-904F-8674-42E2E05280E2}" srcOrd="0" destOrd="4" presId="urn:microsoft.com/office/officeart/2005/8/layout/vList4"/>
    <dgm:cxn modelId="{D60AF3D6-84D9-6D46-988D-A78195DC0E67}" type="presOf" srcId="{B4A6D99F-8086-494C-B0C8-5FA29992C91C}" destId="{C1D7FF54-4E88-2C4F-B061-EF90CA6CBEED}" srcOrd="0" destOrd="4" presId="urn:microsoft.com/office/officeart/2005/8/layout/vList4"/>
    <dgm:cxn modelId="{ADA6B2D7-5DA3-CD49-AD30-0A33D9401263}" type="presOf" srcId="{AF511614-199D-9940-B65B-08928E9421CD}" destId="{F6C01A38-DB88-FF4C-8099-8D07A3FFAC70}" srcOrd="0" destOrd="6" presId="urn:microsoft.com/office/officeart/2005/8/layout/vList4"/>
    <dgm:cxn modelId="{B3EBF8D7-72E9-D84F-B3F2-6FA0717058D2}" type="presOf" srcId="{F211B7F1-8A32-654F-B115-381EF202CECC}" destId="{C1D7FF54-4E88-2C4F-B061-EF90CA6CBEED}" srcOrd="0" destOrd="3" presId="urn:microsoft.com/office/officeart/2005/8/layout/vList4"/>
    <dgm:cxn modelId="{8CC55ED9-A0BB-7242-93DC-5592BDCF8BAE}" type="presOf" srcId="{B4A6D99F-8086-494C-B0C8-5FA29992C91C}" destId="{706769B0-E9D5-A14A-80C6-43C59EFD044E}" srcOrd="1" destOrd="4" presId="urn:microsoft.com/office/officeart/2005/8/layout/vList4"/>
    <dgm:cxn modelId="{E253C2E3-3A75-7749-ABEA-2D00F4D2A069}" type="presOf" srcId="{45E6A7C4-4752-8746-BADE-7A0772055DD3}" destId="{C908CC46-2EE0-664A-B720-C6E669014CAD}" srcOrd="0" destOrd="4" presId="urn:microsoft.com/office/officeart/2005/8/layout/vList4"/>
    <dgm:cxn modelId="{F21F29E5-1861-0047-AD4E-ECA942ACE485}" type="presOf" srcId="{D4DDBBA9-A228-5C49-B03B-EBF3833CA9FB}" destId="{C1D7FF54-4E88-2C4F-B061-EF90CA6CBEED}" srcOrd="0" destOrd="0" presId="urn:microsoft.com/office/officeart/2005/8/layout/vList4"/>
    <dgm:cxn modelId="{B7FC95E8-A46A-7744-AE70-A212792CB6B3}" type="presOf" srcId="{58BA1F62-3C2F-6D40-9F89-3BA41B81DAD6}" destId="{C4498FB8-3B81-904F-8674-42E2E05280E2}" srcOrd="0" destOrd="6" presId="urn:microsoft.com/office/officeart/2005/8/layout/vList4"/>
    <dgm:cxn modelId="{DD9E6DEA-2CB9-A040-9E3E-D3CA538B1B96}" type="presOf" srcId="{5515CC79-4614-1E4A-9E65-67F1448DC634}" destId="{1CCD8B87-DC89-F643-8A23-F10FDD0EC0C3}" srcOrd="0" destOrd="1" presId="urn:microsoft.com/office/officeart/2005/8/layout/vList4"/>
    <dgm:cxn modelId="{50AE5AED-219F-4741-BB94-E5452FD51832}" srcId="{AFC8428B-B64D-0D4B-92E3-7483A860FAF1}" destId="{BBCA37A5-16C0-E843-9AB7-059D578B6CA4}" srcOrd="2" destOrd="0" parTransId="{B7F96629-0366-414B-BFA8-AF8B7C498FA3}" sibTransId="{526B79D5-1C9F-7E4D-A596-8BEB9BD7DC00}"/>
    <dgm:cxn modelId="{2CC1D1ED-A01E-1243-A898-DE402272E092}" srcId="{EB8CE5AD-3BF5-2A49-AEFE-B84A408CC38C}" destId="{58BA1F62-3C2F-6D40-9F89-3BA41B81DAD6}" srcOrd="5" destOrd="0" parTransId="{CA7ED30C-AFDE-4D44-A3B7-AB3765F95D0C}" sibTransId="{78B8F2D2-59CB-254A-8F8D-0DE3D1B48E5D}"/>
    <dgm:cxn modelId="{65A199F1-6218-C348-A55B-6ABCB7E76297}" srcId="{AFC8428B-B64D-0D4B-92E3-7483A860FAF1}" destId="{B9D08DB4-F1AF-DA46-9612-44513F02A8B7}" srcOrd="3" destOrd="0" parTransId="{5DD11FF3-95CC-D349-88B9-4252FE32FF12}" sibTransId="{F10C09BB-968C-7A40-9700-EEE022DCCC42}"/>
    <dgm:cxn modelId="{EA2D08F5-320A-EA45-B1E9-B16215457383}" type="presOf" srcId="{C7D66434-252E-3946-BFD2-754C23854251}" destId="{328E4D3E-1AB9-9A44-8659-85DF6212209C}" srcOrd="1" destOrd="4" presId="urn:microsoft.com/office/officeart/2005/8/layout/vList4"/>
    <dgm:cxn modelId="{407844F5-AC76-DF4D-8092-4529060CECC4}" type="presOf" srcId="{C880275F-6691-CF4C-83D1-35D78EAAA55E}" destId="{1CCD8B87-DC89-F643-8A23-F10FDD0EC0C3}" srcOrd="0" destOrd="2" presId="urn:microsoft.com/office/officeart/2005/8/layout/vList4"/>
    <dgm:cxn modelId="{EEDC82F5-5211-BC49-986C-F3FAAE0E3304}" type="presOf" srcId="{A971D58B-632D-AC42-A830-1F8178FCD0FB}" destId="{C4498FB8-3B81-904F-8674-42E2E05280E2}" srcOrd="0" destOrd="5" presId="urn:microsoft.com/office/officeart/2005/8/layout/vList4"/>
    <dgm:cxn modelId="{2151CEF6-D1A4-A84C-9C8A-336D416B565E}" type="presOf" srcId="{B9D08DB4-F1AF-DA46-9612-44513F02A8B7}" destId="{94EB58F9-BC25-2543-B27F-338620097728}" srcOrd="1" destOrd="4" presId="urn:microsoft.com/office/officeart/2005/8/layout/vList4"/>
    <dgm:cxn modelId="{D1D5E6F7-048E-3546-9A5F-5CD272F65289}" type="presOf" srcId="{58BA1F62-3C2F-6D40-9F89-3BA41B81DAD6}" destId="{328E4D3E-1AB9-9A44-8659-85DF6212209C}" srcOrd="1" destOrd="6" presId="urn:microsoft.com/office/officeart/2005/8/layout/vList4"/>
    <dgm:cxn modelId="{CBA095F8-C734-184D-8826-3B8B35F875E5}" srcId="{EB8CE5AD-3BF5-2A49-AEFE-B84A408CC38C}" destId="{A971D58B-632D-AC42-A830-1F8178FCD0FB}" srcOrd="4" destOrd="0" parTransId="{6671934A-3DDE-684E-A4C3-1D65C130658B}" sibTransId="{81B48221-3E27-5A4D-B5D9-A853551887A2}"/>
    <dgm:cxn modelId="{ECF00BFC-2FE5-0E45-85F7-AC1E78E44FEF}" type="presOf" srcId="{C48A5CC1-E9B3-2843-973F-720E84967FA5}" destId="{EA3C57FC-F361-7B41-AD3E-65BB901754B1}" srcOrd="1" destOrd="1" presId="urn:microsoft.com/office/officeart/2005/8/layout/vList4"/>
    <dgm:cxn modelId="{C24C83FC-1E27-7544-8E64-BEC8F8DE0F9C}" type="presOf" srcId="{BC010B60-963C-6746-9A32-B2E89644657A}" destId="{EA3C57FC-F361-7B41-AD3E-65BB901754B1}" srcOrd="1" destOrd="3" presId="urn:microsoft.com/office/officeart/2005/8/layout/vList4"/>
    <dgm:cxn modelId="{9C8357FE-3972-CA41-9E14-18B5042E085E}" type="presOf" srcId="{8E3CB90F-3FD5-7E42-BD33-AB5D28BD3791}" destId="{B10739AE-C41D-634D-A4F8-AEBF24308282}" srcOrd="1" destOrd="2" presId="urn:microsoft.com/office/officeart/2005/8/layout/vList4"/>
    <dgm:cxn modelId="{9DCA6CA1-78EF-3C48-9B96-13DE0F8BAB11}" type="presParOf" srcId="{3E42C9C2-484C-7148-B23E-2540D9FFCCE1}" destId="{C00A41F3-D136-7E4E-B861-71F135CF0BDA}" srcOrd="0" destOrd="0" presId="urn:microsoft.com/office/officeart/2005/8/layout/vList4"/>
    <dgm:cxn modelId="{27E3F5D3-B73B-5A46-8D67-2D9BB4814834}" type="presParOf" srcId="{C00A41F3-D136-7E4E-B861-71F135CF0BDA}" destId="{C4498FB8-3B81-904F-8674-42E2E05280E2}" srcOrd="0" destOrd="0" presId="urn:microsoft.com/office/officeart/2005/8/layout/vList4"/>
    <dgm:cxn modelId="{B404E68E-A0A7-B94D-ABAB-6550C3950B70}" type="presParOf" srcId="{C00A41F3-D136-7E4E-B861-71F135CF0BDA}" destId="{B7F7C2B0-8508-D245-8EE0-CF58B9404105}" srcOrd="1" destOrd="0" presId="urn:microsoft.com/office/officeart/2005/8/layout/vList4"/>
    <dgm:cxn modelId="{7EC2C855-4F9A-D241-A777-2755D7B4A386}" type="presParOf" srcId="{C00A41F3-D136-7E4E-B861-71F135CF0BDA}" destId="{328E4D3E-1AB9-9A44-8659-85DF6212209C}" srcOrd="2" destOrd="0" presId="urn:microsoft.com/office/officeart/2005/8/layout/vList4"/>
    <dgm:cxn modelId="{54159B63-72EF-4547-9B6F-C8B6D213C0BE}" type="presParOf" srcId="{3E42C9C2-484C-7148-B23E-2540D9FFCCE1}" destId="{66CC3160-A108-8443-B080-C991684D1326}" srcOrd="1" destOrd="0" presId="urn:microsoft.com/office/officeart/2005/8/layout/vList4"/>
    <dgm:cxn modelId="{C83490E8-82A9-324E-B233-646F3E8783D1}" type="presParOf" srcId="{3E42C9C2-484C-7148-B23E-2540D9FFCCE1}" destId="{9B48D75F-8318-E142-9571-06E888F74061}" srcOrd="2" destOrd="0" presId="urn:microsoft.com/office/officeart/2005/8/layout/vList4"/>
    <dgm:cxn modelId="{DF87AD3F-88F0-4C41-8D8C-FF0B1D414527}" type="presParOf" srcId="{9B48D75F-8318-E142-9571-06E888F74061}" destId="{F6C01A38-DB88-FF4C-8099-8D07A3FFAC70}" srcOrd="0" destOrd="0" presId="urn:microsoft.com/office/officeart/2005/8/layout/vList4"/>
    <dgm:cxn modelId="{C0BFEE36-7907-FC4A-A81F-1A6B45B88323}" type="presParOf" srcId="{9B48D75F-8318-E142-9571-06E888F74061}" destId="{F517E9F2-DE06-F44E-8FFC-E33AF7C61F6C}" srcOrd="1" destOrd="0" presId="urn:microsoft.com/office/officeart/2005/8/layout/vList4"/>
    <dgm:cxn modelId="{4A93D87E-D4E5-C046-9BF4-33126650EA6A}" type="presParOf" srcId="{9B48D75F-8318-E142-9571-06E888F74061}" destId="{B10739AE-C41D-634D-A4F8-AEBF24308282}" srcOrd="2" destOrd="0" presId="urn:microsoft.com/office/officeart/2005/8/layout/vList4"/>
    <dgm:cxn modelId="{C6E65D86-5FE1-7941-938D-3814EBBA23BD}" type="presParOf" srcId="{3E42C9C2-484C-7148-B23E-2540D9FFCCE1}" destId="{DC369453-1A0F-7646-9852-E9706514E8BA}" srcOrd="3" destOrd="0" presId="urn:microsoft.com/office/officeart/2005/8/layout/vList4"/>
    <dgm:cxn modelId="{51D2022A-A757-514B-BDDA-99F50D7AC98A}" type="presParOf" srcId="{3E42C9C2-484C-7148-B23E-2540D9FFCCE1}" destId="{7D09C4C3-2898-B447-AF5B-A493659EF582}" srcOrd="4" destOrd="0" presId="urn:microsoft.com/office/officeart/2005/8/layout/vList4"/>
    <dgm:cxn modelId="{4AAA900F-BA29-004F-808E-1239B8C21B98}" type="presParOf" srcId="{7D09C4C3-2898-B447-AF5B-A493659EF582}" destId="{C908CC46-2EE0-664A-B720-C6E669014CAD}" srcOrd="0" destOrd="0" presId="urn:microsoft.com/office/officeart/2005/8/layout/vList4"/>
    <dgm:cxn modelId="{AD4B98CD-0733-B54F-B656-3A939B923F15}" type="presParOf" srcId="{7D09C4C3-2898-B447-AF5B-A493659EF582}" destId="{1AB93289-EC83-0543-8185-0E116E2BF8EB}" srcOrd="1" destOrd="0" presId="urn:microsoft.com/office/officeart/2005/8/layout/vList4"/>
    <dgm:cxn modelId="{A2B3A7B1-B588-A547-B4E3-A3CC11120A4A}" type="presParOf" srcId="{7D09C4C3-2898-B447-AF5B-A493659EF582}" destId="{EA3C57FC-F361-7B41-AD3E-65BB901754B1}" srcOrd="2" destOrd="0" presId="urn:microsoft.com/office/officeart/2005/8/layout/vList4"/>
    <dgm:cxn modelId="{86D10733-F7AA-ED4C-A866-153452B8A770}" type="presParOf" srcId="{3E42C9C2-484C-7148-B23E-2540D9FFCCE1}" destId="{218646D8-F07D-8640-9855-C6FDBD1795CB}" srcOrd="5" destOrd="0" presId="urn:microsoft.com/office/officeart/2005/8/layout/vList4"/>
    <dgm:cxn modelId="{28A604B1-2508-7F43-A882-BDEABA8AA4A6}" type="presParOf" srcId="{3E42C9C2-484C-7148-B23E-2540D9FFCCE1}" destId="{0E0A7B3B-DC26-E64E-8AD6-10E9995C8776}" srcOrd="6" destOrd="0" presId="urn:microsoft.com/office/officeart/2005/8/layout/vList4"/>
    <dgm:cxn modelId="{781991E6-5734-D745-B3A3-60D81CDB5035}" type="presParOf" srcId="{0E0A7B3B-DC26-E64E-8AD6-10E9995C8776}" destId="{C1D7FF54-4E88-2C4F-B061-EF90CA6CBEED}" srcOrd="0" destOrd="0" presId="urn:microsoft.com/office/officeart/2005/8/layout/vList4"/>
    <dgm:cxn modelId="{906B3F4F-67D2-7A4B-9856-CAEE96D820BB}" type="presParOf" srcId="{0E0A7B3B-DC26-E64E-8AD6-10E9995C8776}" destId="{C0BFC06E-2B90-D945-BF40-EAF839C84716}" srcOrd="1" destOrd="0" presId="urn:microsoft.com/office/officeart/2005/8/layout/vList4"/>
    <dgm:cxn modelId="{CE4E1EE3-5CC5-E74B-8D13-56D776A75E82}" type="presParOf" srcId="{0E0A7B3B-DC26-E64E-8AD6-10E9995C8776}" destId="{706769B0-E9D5-A14A-80C6-43C59EFD044E}" srcOrd="2" destOrd="0" presId="urn:microsoft.com/office/officeart/2005/8/layout/vList4"/>
    <dgm:cxn modelId="{53923052-09C3-CE4F-AAB6-F7A5B702E064}" type="presParOf" srcId="{3E42C9C2-484C-7148-B23E-2540D9FFCCE1}" destId="{E855FF82-D83D-FC4A-A8F9-A54640CC20D2}" srcOrd="7" destOrd="0" presId="urn:microsoft.com/office/officeart/2005/8/layout/vList4"/>
    <dgm:cxn modelId="{63A1C06C-2C4D-8847-9FC5-F82399702311}" type="presParOf" srcId="{3E42C9C2-484C-7148-B23E-2540D9FFCCE1}" destId="{B9ED6D72-6902-A940-8DAB-2D697BEFB2DF}" srcOrd="8" destOrd="0" presId="urn:microsoft.com/office/officeart/2005/8/layout/vList4"/>
    <dgm:cxn modelId="{D8B78D63-0524-4740-B214-110AD11275B6}" type="presParOf" srcId="{B9ED6D72-6902-A940-8DAB-2D697BEFB2DF}" destId="{1CCD8B87-DC89-F643-8A23-F10FDD0EC0C3}" srcOrd="0" destOrd="0" presId="urn:microsoft.com/office/officeart/2005/8/layout/vList4"/>
    <dgm:cxn modelId="{317CC11D-4947-4D46-B6F3-42A457ADFD93}" type="presParOf" srcId="{B9ED6D72-6902-A940-8DAB-2D697BEFB2DF}" destId="{AEBEA5FD-4A69-AA4F-8863-797028126976}" srcOrd="1" destOrd="0" presId="urn:microsoft.com/office/officeart/2005/8/layout/vList4"/>
    <dgm:cxn modelId="{7EB2E2F7-B4DA-8B41-932B-9C83FFD8FC45}" type="presParOf" srcId="{B9ED6D72-6902-A940-8DAB-2D697BEFB2DF}" destId="{94EB58F9-BC25-2543-B27F-338620097728}" srcOrd="2" destOrd="0" presId="urn:microsoft.com/office/officeart/2005/8/layout/vList4"/>
  </dgm:cxnLst>
  <dgm:bg/>
  <dgm:whole/>
  <dgm:extLst>
    <a:ext uri="http://schemas.microsoft.com/office/drawing/2008/diagram">
      <dsp:dataModelExt xmlns:dsp="http://schemas.microsoft.com/office/drawing/2008/diagram" relId="rId8" minVer="http://schemas.openxmlformats.org/drawingml/2006/diagram"/>
    </a:ext>
  </dgm:extLst>
</dgm:dataModel>
</file>

<file path=xl/diagrams/data7.xml><?xml version="1.0" encoding="utf-8"?>
<dgm:dataModel xmlns:dgm="http://schemas.openxmlformats.org/drawingml/2006/diagram" xmlns:a="http://schemas.openxmlformats.org/drawingml/2006/main">
  <dgm:ptLst>
    <dgm:pt modelId="{EB1E4314-06E8-5441-A70A-C6DC15F44793}" type="doc">
      <dgm:prSet loTypeId="urn:microsoft.com/office/officeart/2005/8/layout/default" loCatId="" qsTypeId="urn:microsoft.com/office/officeart/2005/8/quickstyle/simple1" qsCatId="simple" csTypeId="urn:microsoft.com/office/officeart/2005/8/colors/accent1_2" csCatId="accent1" phldr="1"/>
      <dgm:spPr/>
      <dgm:t>
        <a:bodyPr/>
        <a:lstStyle/>
        <a:p>
          <a:endParaRPr lang="en-US"/>
        </a:p>
      </dgm:t>
    </dgm:pt>
    <dgm:pt modelId="{371548A4-8AB3-1E4F-B7EE-DEADBF3015AF}">
      <dgm:prSet phldrT="[Text]"/>
      <dgm:spPr/>
      <dgm:t>
        <a:bodyPr/>
        <a:lstStyle/>
        <a:p>
          <a:r>
            <a:rPr lang="en-US"/>
            <a:t>Sites (leased)</a:t>
          </a:r>
        </a:p>
        <a:p>
          <a:r>
            <a:rPr lang="en-US"/>
            <a:t>.86%carbon-free</a:t>
          </a:r>
        </a:p>
        <a:p>
          <a:r>
            <a:rPr lang="en-US"/>
            <a:t>.3 sites in the US (Newyork, Texas, and Kentucky). Participates in voluntary energy-cutailment program</a:t>
          </a:r>
        </a:p>
        <a:p>
          <a:r>
            <a:rPr lang="en-US"/>
            <a:t>.One site in Canada</a:t>
          </a:r>
        </a:p>
        <a:p>
          <a:r>
            <a:rPr lang="en-US"/>
            <a:t>.Two locations in Iceland(10 MW could be converted to ai with small mods, tier 3)</a:t>
          </a:r>
        </a:p>
      </dgm:t>
    </dgm:pt>
    <dgm:pt modelId="{B47F6DDB-6D8D-6B46-A9D9-A9DA62FBD939}" type="parTrans" cxnId="{0AB60EB1-F4E5-9B4F-90E3-2FF1D7F85AC0}">
      <dgm:prSet/>
      <dgm:spPr/>
      <dgm:t>
        <a:bodyPr/>
        <a:lstStyle/>
        <a:p>
          <a:endParaRPr lang="en-US"/>
        </a:p>
      </dgm:t>
    </dgm:pt>
    <dgm:pt modelId="{A7D87A33-C203-9A47-BEFA-ACE74FEC56D2}" type="sibTrans" cxnId="{0AB60EB1-F4E5-9B4F-90E3-2FF1D7F85AC0}">
      <dgm:prSet/>
      <dgm:spPr/>
      <dgm:t>
        <a:bodyPr/>
        <a:lstStyle/>
        <a:p>
          <a:endParaRPr lang="en-US"/>
        </a:p>
      </dgm:t>
    </dgm:pt>
    <dgm:pt modelId="{A6B7B5C7-028B-A443-8811-AFE57D517717}" type="pres">
      <dgm:prSet presAssocID="{EB1E4314-06E8-5441-A70A-C6DC15F44793}" presName="diagram" presStyleCnt="0">
        <dgm:presLayoutVars>
          <dgm:dir/>
          <dgm:resizeHandles val="exact"/>
        </dgm:presLayoutVars>
      </dgm:prSet>
      <dgm:spPr/>
    </dgm:pt>
    <dgm:pt modelId="{CFEB5051-5230-A442-B9AD-B4E15B49F4C2}" type="pres">
      <dgm:prSet presAssocID="{371548A4-8AB3-1E4F-B7EE-DEADBF3015AF}" presName="node" presStyleLbl="node1" presStyleIdx="0" presStyleCnt="1">
        <dgm:presLayoutVars>
          <dgm:bulletEnabled val="1"/>
        </dgm:presLayoutVars>
      </dgm:prSet>
      <dgm:spPr/>
    </dgm:pt>
  </dgm:ptLst>
  <dgm:cxnLst>
    <dgm:cxn modelId="{FF2676A4-014E-BD4E-95A8-3DA427DB8523}" type="presOf" srcId="{371548A4-8AB3-1E4F-B7EE-DEADBF3015AF}" destId="{CFEB5051-5230-A442-B9AD-B4E15B49F4C2}" srcOrd="0" destOrd="0" presId="urn:microsoft.com/office/officeart/2005/8/layout/default"/>
    <dgm:cxn modelId="{0AB60EB1-F4E5-9B4F-90E3-2FF1D7F85AC0}" srcId="{EB1E4314-06E8-5441-A70A-C6DC15F44793}" destId="{371548A4-8AB3-1E4F-B7EE-DEADBF3015AF}" srcOrd="0" destOrd="0" parTransId="{B47F6DDB-6D8D-6B46-A9D9-A9DA62FBD939}" sibTransId="{A7D87A33-C203-9A47-BEFA-ACE74FEC56D2}"/>
    <dgm:cxn modelId="{7C0D4ECF-A9BA-9D41-9BF4-14BC1EA9292E}" type="presOf" srcId="{EB1E4314-06E8-5441-A70A-C6DC15F44793}" destId="{A6B7B5C7-028B-A443-8811-AFE57D517717}" srcOrd="0" destOrd="0" presId="urn:microsoft.com/office/officeart/2005/8/layout/default"/>
    <dgm:cxn modelId="{6C03DDCE-216D-8548-9985-E242729D32CA}" type="presParOf" srcId="{A6B7B5C7-028B-A443-8811-AFE57D517717}" destId="{CFEB5051-5230-A442-B9AD-B4E15B49F4C2}" srcOrd="0" destOrd="0" presId="urn:microsoft.com/office/officeart/2005/8/layout/defaul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181DB18-31B8-D445-85EE-570CDDBD725F}">
      <dsp:nvSpPr>
        <dsp:cNvPr id="0" name=""/>
        <dsp:cNvSpPr/>
      </dsp:nvSpPr>
      <dsp:spPr>
        <a:xfrm>
          <a:off x="651962" y="2151"/>
          <a:ext cx="1917086" cy="958543"/>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530" tIns="33020" rIns="49530" bIns="33020" numCol="1" spcCol="1270" anchor="ctr" anchorCtr="0">
          <a:noAutofit/>
        </a:bodyPr>
        <a:lstStyle/>
        <a:p>
          <a:pPr marL="0" lvl="0" indent="0" algn="ctr" defTabSz="1155700">
            <a:lnSpc>
              <a:spcPct val="90000"/>
            </a:lnSpc>
            <a:spcBef>
              <a:spcPct val="0"/>
            </a:spcBef>
            <a:spcAft>
              <a:spcPct val="35000"/>
            </a:spcAft>
            <a:buNone/>
          </a:pPr>
          <a:r>
            <a:rPr lang="en-US" sz="2600" kern="1200"/>
            <a:t>Lake Mariner Data</a:t>
          </a:r>
        </a:p>
      </dsp:txBody>
      <dsp:txXfrm>
        <a:off x="680037" y="30226"/>
        <a:ext cx="1860936" cy="902393"/>
      </dsp:txXfrm>
    </dsp:sp>
    <dsp:sp modelId="{F6F98C0C-F7B3-0B4D-9C03-4B04BF9B502D}">
      <dsp:nvSpPr>
        <dsp:cNvPr id="0" name=""/>
        <dsp:cNvSpPr/>
      </dsp:nvSpPr>
      <dsp:spPr>
        <a:xfrm>
          <a:off x="843670" y="960694"/>
          <a:ext cx="191708" cy="718907"/>
        </a:xfrm>
        <a:custGeom>
          <a:avLst/>
          <a:gdLst/>
          <a:ahLst/>
          <a:cxnLst/>
          <a:rect l="0" t="0" r="0" b="0"/>
          <a:pathLst>
            <a:path>
              <a:moveTo>
                <a:pt x="0" y="0"/>
              </a:moveTo>
              <a:lnTo>
                <a:pt x="0" y="718907"/>
              </a:lnTo>
              <a:lnTo>
                <a:pt x="191708" y="718907"/>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8D02552-C26A-874E-AD79-704D1904F46D}">
      <dsp:nvSpPr>
        <dsp:cNvPr id="0" name=""/>
        <dsp:cNvSpPr/>
      </dsp:nvSpPr>
      <dsp:spPr>
        <a:xfrm>
          <a:off x="1035379" y="1200330"/>
          <a:ext cx="1533669" cy="958543"/>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2860" tIns="15240" rIns="22860" bIns="15240" numCol="1" spcCol="1270" anchor="ctr" anchorCtr="0">
          <a:noAutofit/>
        </a:bodyPr>
        <a:lstStyle/>
        <a:p>
          <a:pPr marL="0" lvl="0" indent="0" algn="ctr" defTabSz="533400">
            <a:lnSpc>
              <a:spcPct val="90000"/>
            </a:lnSpc>
            <a:spcBef>
              <a:spcPct val="0"/>
            </a:spcBef>
            <a:spcAft>
              <a:spcPct val="35000"/>
            </a:spcAft>
            <a:buNone/>
          </a:pPr>
          <a:r>
            <a:rPr lang="en-US" sz="1200" kern="1200"/>
            <a:t>4 cent power on avg. year-round</a:t>
          </a:r>
        </a:p>
      </dsp:txBody>
      <dsp:txXfrm>
        <a:off x="1063454" y="1228405"/>
        <a:ext cx="1477519" cy="902393"/>
      </dsp:txXfrm>
    </dsp:sp>
    <dsp:sp modelId="{7945B23B-AB16-0043-8F09-33C18CEC9CDD}">
      <dsp:nvSpPr>
        <dsp:cNvPr id="0" name=""/>
        <dsp:cNvSpPr/>
      </dsp:nvSpPr>
      <dsp:spPr>
        <a:xfrm>
          <a:off x="843670" y="960694"/>
          <a:ext cx="230786" cy="1969202"/>
        </a:xfrm>
        <a:custGeom>
          <a:avLst/>
          <a:gdLst/>
          <a:ahLst/>
          <a:cxnLst/>
          <a:rect l="0" t="0" r="0" b="0"/>
          <a:pathLst>
            <a:path>
              <a:moveTo>
                <a:pt x="0" y="0"/>
              </a:moveTo>
              <a:lnTo>
                <a:pt x="0" y="1969202"/>
              </a:lnTo>
              <a:lnTo>
                <a:pt x="230786" y="196920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60E267D-42F8-A540-BF89-4CBC0A4245C5}">
      <dsp:nvSpPr>
        <dsp:cNvPr id="0" name=""/>
        <dsp:cNvSpPr/>
      </dsp:nvSpPr>
      <dsp:spPr>
        <a:xfrm>
          <a:off x="1074457" y="2450625"/>
          <a:ext cx="1533669" cy="958543"/>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2860" tIns="15240" rIns="22860" bIns="15240" numCol="1" spcCol="1270" anchor="ctr" anchorCtr="0">
          <a:noAutofit/>
        </a:bodyPr>
        <a:lstStyle/>
        <a:p>
          <a:pPr marL="0" lvl="0" indent="0" algn="ctr" defTabSz="533400">
            <a:lnSpc>
              <a:spcPct val="90000"/>
            </a:lnSpc>
            <a:spcBef>
              <a:spcPct val="0"/>
            </a:spcBef>
            <a:spcAft>
              <a:spcPct val="35000"/>
            </a:spcAft>
            <a:buNone/>
          </a:pPr>
          <a:r>
            <a:rPr lang="en-US" sz="1200" kern="1200"/>
            <a:t>195 MW online (500 MW capacity)</a:t>
          </a:r>
        </a:p>
      </dsp:txBody>
      <dsp:txXfrm>
        <a:off x="1102532" y="2478700"/>
        <a:ext cx="1477519" cy="902393"/>
      </dsp:txXfrm>
    </dsp:sp>
    <dsp:sp modelId="{961685D4-B400-0940-A426-C55ED2527B14}">
      <dsp:nvSpPr>
        <dsp:cNvPr id="0" name=""/>
        <dsp:cNvSpPr/>
      </dsp:nvSpPr>
      <dsp:spPr>
        <a:xfrm>
          <a:off x="843670" y="960694"/>
          <a:ext cx="191708" cy="3115265"/>
        </a:xfrm>
        <a:custGeom>
          <a:avLst/>
          <a:gdLst/>
          <a:ahLst/>
          <a:cxnLst/>
          <a:rect l="0" t="0" r="0" b="0"/>
          <a:pathLst>
            <a:path>
              <a:moveTo>
                <a:pt x="0" y="0"/>
              </a:moveTo>
              <a:lnTo>
                <a:pt x="0" y="3115265"/>
              </a:lnTo>
              <a:lnTo>
                <a:pt x="191708" y="311526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0594869-CE55-FE4C-9377-A58979C70DBF}">
      <dsp:nvSpPr>
        <dsp:cNvPr id="0" name=""/>
        <dsp:cNvSpPr/>
      </dsp:nvSpPr>
      <dsp:spPr>
        <a:xfrm>
          <a:off x="1035379" y="3596688"/>
          <a:ext cx="1533669" cy="958543"/>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2860" tIns="15240" rIns="22860" bIns="15240" numCol="1" spcCol="1270" anchor="ctr" anchorCtr="0">
          <a:noAutofit/>
        </a:bodyPr>
        <a:lstStyle/>
        <a:p>
          <a:pPr marL="0" lvl="0" indent="0" algn="ctr" defTabSz="533400">
            <a:lnSpc>
              <a:spcPct val="90000"/>
            </a:lnSpc>
            <a:spcBef>
              <a:spcPct val="0"/>
            </a:spcBef>
            <a:spcAft>
              <a:spcPct val="35000"/>
            </a:spcAft>
            <a:buNone/>
          </a:pPr>
          <a:r>
            <a:rPr lang="en-US" sz="1200" kern="1200"/>
            <a:t>railroad access</a:t>
          </a:r>
        </a:p>
      </dsp:txBody>
      <dsp:txXfrm>
        <a:off x="1063454" y="3624763"/>
        <a:ext cx="1477519" cy="902393"/>
      </dsp:txXfrm>
    </dsp:sp>
    <dsp:sp modelId="{3A5CEB2F-B57A-2B4B-B15E-8638E09154C7}">
      <dsp:nvSpPr>
        <dsp:cNvPr id="0" name=""/>
        <dsp:cNvSpPr/>
      </dsp:nvSpPr>
      <dsp:spPr>
        <a:xfrm>
          <a:off x="843670" y="960694"/>
          <a:ext cx="191708" cy="4313444"/>
        </a:xfrm>
        <a:custGeom>
          <a:avLst/>
          <a:gdLst/>
          <a:ahLst/>
          <a:cxnLst/>
          <a:rect l="0" t="0" r="0" b="0"/>
          <a:pathLst>
            <a:path>
              <a:moveTo>
                <a:pt x="0" y="0"/>
              </a:moveTo>
              <a:lnTo>
                <a:pt x="0" y="4313444"/>
              </a:lnTo>
              <a:lnTo>
                <a:pt x="191708" y="4313444"/>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838C77D-42B0-A748-8A2E-E130C7152812}">
      <dsp:nvSpPr>
        <dsp:cNvPr id="0" name=""/>
        <dsp:cNvSpPr/>
      </dsp:nvSpPr>
      <dsp:spPr>
        <a:xfrm>
          <a:off x="1035379" y="4794867"/>
          <a:ext cx="1533669" cy="958543"/>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2860" tIns="15240" rIns="22860" bIns="15240" numCol="1" spcCol="1270" anchor="ctr" anchorCtr="0">
          <a:noAutofit/>
        </a:bodyPr>
        <a:lstStyle/>
        <a:p>
          <a:pPr marL="0" lvl="0" indent="0" algn="ctr" defTabSz="533400">
            <a:lnSpc>
              <a:spcPct val="90000"/>
            </a:lnSpc>
            <a:spcBef>
              <a:spcPct val="0"/>
            </a:spcBef>
            <a:spcAft>
              <a:spcPct val="35000"/>
            </a:spcAft>
            <a:buNone/>
          </a:pPr>
          <a:r>
            <a:rPr lang="en-US" sz="1200" kern="1200"/>
            <a:t>Planning to have 2.5 MW of ai compute by September 24</a:t>
          </a:r>
        </a:p>
      </dsp:txBody>
      <dsp:txXfrm>
        <a:off x="1063454" y="4822942"/>
        <a:ext cx="1477519" cy="902393"/>
      </dsp:txXfrm>
    </dsp:sp>
    <dsp:sp modelId="{978A0FED-B670-A242-BA7C-5214B0542318}">
      <dsp:nvSpPr>
        <dsp:cNvPr id="0" name=""/>
        <dsp:cNvSpPr/>
      </dsp:nvSpPr>
      <dsp:spPr>
        <a:xfrm>
          <a:off x="843670" y="960694"/>
          <a:ext cx="191708" cy="5694470"/>
        </a:xfrm>
        <a:custGeom>
          <a:avLst/>
          <a:gdLst/>
          <a:ahLst/>
          <a:cxnLst/>
          <a:rect l="0" t="0" r="0" b="0"/>
          <a:pathLst>
            <a:path>
              <a:moveTo>
                <a:pt x="0" y="0"/>
              </a:moveTo>
              <a:lnTo>
                <a:pt x="0" y="5694470"/>
              </a:lnTo>
              <a:lnTo>
                <a:pt x="191708" y="569447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CA7D978-AEA2-254D-857B-969EA0978405}">
      <dsp:nvSpPr>
        <dsp:cNvPr id="0" name=""/>
        <dsp:cNvSpPr/>
      </dsp:nvSpPr>
      <dsp:spPr>
        <a:xfrm>
          <a:off x="1035379" y="5993046"/>
          <a:ext cx="4097518" cy="1324236"/>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2860" tIns="15240" rIns="22860" bIns="15240" numCol="1" spcCol="1270" anchor="ctr" anchorCtr="0">
          <a:noAutofit/>
        </a:bodyPr>
        <a:lstStyle/>
        <a:p>
          <a:pPr marL="0" lvl="0" indent="0" algn="ctr" defTabSz="533400">
            <a:lnSpc>
              <a:spcPct val="90000"/>
            </a:lnSpc>
            <a:spcBef>
              <a:spcPct val="0"/>
            </a:spcBef>
            <a:spcAft>
              <a:spcPct val="35000"/>
            </a:spcAft>
            <a:buNone/>
          </a:pPr>
          <a:r>
            <a:rPr lang="en-US" sz="1200" kern="1200"/>
            <a:t>+20 MW by YE24, +50  MW by 1H25. </a:t>
          </a:r>
          <a:r>
            <a:rPr lang="en-US" sz="1200" kern="1200">
              <a:solidFill>
                <a:schemeClr val="accent1"/>
              </a:solidFill>
            </a:rPr>
            <a:t>( Fully redundant electrical, high-speed fiber, and direct liquid cooling capabilities to support 90+kW/rack and capable of 145/kW/rack with PDU modifications.)</a:t>
          </a:r>
        </a:p>
      </dsp:txBody>
      <dsp:txXfrm>
        <a:off x="1074165" y="6031832"/>
        <a:ext cx="4019946" cy="1246664"/>
      </dsp:txXfrm>
    </dsp:sp>
    <dsp:sp modelId="{E2E0A908-5D7E-DC4E-BC78-26065AD4A3B1}">
      <dsp:nvSpPr>
        <dsp:cNvPr id="0" name=""/>
        <dsp:cNvSpPr/>
      </dsp:nvSpPr>
      <dsp:spPr>
        <a:xfrm>
          <a:off x="5228752" y="2036"/>
          <a:ext cx="1917086" cy="958543"/>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9530" tIns="33020" rIns="49530" bIns="33020" numCol="1" spcCol="1270" anchor="ctr" anchorCtr="0">
          <a:noAutofit/>
        </a:bodyPr>
        <a:lstStyle/>
        <a:p>
          <a:pPr marL="0" lvl="0" indent="0" algn="ctr" defTabSz="1155700">
            <a:lnSpc>
              <a:spcPct val="90000"/>
            </a:lnSpc>
            <a:spcBef>
              <a:spcPct val="0"/>
            </a:spcBef>
            <a:spcAft>
              <a:spcPct val="35000"/>
            </a:spcAft>
            <a:buNone/>
          </a:pPr>
          <a:r>
            <a:rPr lang="en-US" sz="2600" kern="1200"/>
            <a:t>Nautilus Cryptomine</a:t>
          </a:r>
        </a:p>
      </dsp:txBody>
      <dsp:txXfrm>
        <a:off x="5256827" y="30111"/>
        <a:ext cx="1860936" cy="902393"/>
      </dsp:txXfrm>
    </dsp:sp>
    <dsp:sp modelId="{5FF5D5B8-1F07-1147-8228-B0A89BCC2C81}">
      <dsp:nvSpPr>
        <dsp:cNvPr id="0" name=""/>
        <dsp:cNvSpPr/>
      </dsp:nvSpPr>
      <dsp:spPr>
        <a:xfrm>
          <a:off x="5420461" y="960579"/>
          <a:ext cx="191708" cy="719022"/>
        </a:xfrm>
        <a:custGeom>
          <a:avLst/>
          <a:gdLst/>
          <a:ahLst/>
          <a:cxnLst/>
          <a:rect l="0" t="0" r="0" b="0"/>
          <a:pathLst>
            <a:path>
              <a:moveTo>
                <a:pt x="0" y="0"/>
              </a:moveTo>
              <a:lnTo>
                <a:pt x="0" y="719022"/>
              </a:lnTo>
              <a:lnTo>
                <a:pt x="191708" y="71902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7B74731-57CB-A34D-8286-1725B282CE32}">
      <dsp:nvSpPr>
        <dsp:cNvPr id="0" name=""/>
        <dsp:cNvSpPr/>
      </dsp:nvSpPr>
      <dsp:spPr>
        <a:xfrm>
          <a:off x="5612169" y="1200330"/>
          <a:ext cx="1533669" cy="958543"/>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2860" tIns="15240" rIns="22860" bIns="15240" numCol="1" spcCol="1270" anchor="ctr" anchorCtr="0">
          <a:noAutofit/>
        </a:bodyPr>
        <a:lstStyle/>
        <a:p>
          <a:pPr marL="0" lvl="0" indent="0" algn="ctr" defTabSz="533400">
            <a:lnSpc>
              <a:spcPct val="90000"/>
            </a:lnSpc>
            <a:spcBef>
              <a:spcPct val="0"/>
            </a:spcBef>
            <a:spcAft>
              <a:spcPct val="35000"/>
            </a:spcAft>
            <a:buNone/>
          </a:pPr>
          <a:r>
            <a:rPr lang="en-US" sz="1200" kern="1200"/>
            <a:t>25% JV with Talen Energy who owns the remaining 75% of facilities</a:t>
          </a:r>
        </a:p>
      </dsp:txBody>
      <dsp:txXfrm>
        <a:off x="5640244" y="1228405"/>
        <a:ext cx="1477519" cy="902393"/>
      </dsp:txXfrm>
    </dsp:sp>
    <dsp:sp modelId="{0654EE8E-BB98-FA43-9C8B-6A07FB9B0F78}">
      <dsp:nvSpPr>
        <dsp:cNvPr id="0" name=""/>
        <dsp:cNvSpPr/>
      </dsp:nvSpPr>
      <dsp:spPr>
        <a:xfrm>
          <a:off x="5420461" y="960579"/>
          <a:ext cx="191708" cy="1917201"/>
        </a:xfrm>
        <a:custGeom>
          <a:avLst/>
          <a:gdLst/>
          <a:ahLst/>
          <a:cxnLst/>
          <a:rect l="0" t="0" r="0" b="0"/>
          <a:pathLst>
            <a:path>
              <a:moveTo>
                <a:pt x="0" y="0"/>
              </a:moveTo>
              <a:lnTo>
                <a:pt x="0" y="1917201"/>
              </a:lnTo>
              <a:lnTo>
                <a:pt x="191708" y="1917201"/>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69EF5B1-574A-3C4B-9DCF-7FDA5335A41E}">
      <dsp:nvSpPr>
        <dsp:cNvPr id="0" name=""/>
        <dsp:cNvSpPr/>
      </dsp:nvSpPr>
      <dsp:spPr>
        <a:xfrm>
          <a:off x="5612169" y="2398509"/>
          <a:ext cx="1533669" cy="958543"/>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2860" tIns="15240" rIns="22860" bIns="15240" numCol="1" spcCol="1270" anchor="ctr" anchorCtr="0">
          <a:noAutofit/>
        </a:bodyPr>
        <a:lstStyle/>
        <a:p>
          <a:pPr marL="0" lvl="0" indent="0" algn="ctr" defTabSz="533400">
            <a:lnSpc>
              <a:spcPct val="90000"/>
            </a:lnSpc>
            <a:spcBef>
              <a:spcPct val="0"/>
            </a:spcBef>
            <a:spcAft>
              <a:spcPct val="35000"/>
            </a:spcAft>
            <a:buNone/>
          </a:pPr>
          <a:r>
            <a:rPr lang="en-US" sz="1200" kern="1200"/>
            <a:t>2 cent fixed price for 5 years (started early 2023)</a:t>
          </a:r>
        </a:p>
      </dsp:txBody>
      <dsp:txXfrm>
        <a:off x="5640244" y="2426584"/>
        <a:ext cx="1477519" cy="902393"/>
      </dsp:txXfrm>
    </dsp:sp>
    <dsp:sp modelId="{6B7F4078-9D0C-524E-A8A3-E83C63A9B797}">
      <dsp:nvSpPr>
        <dsp:cNvPr id="0" name=""/>
        <dsp:cNvSpPr/>
      </dsp:nvSpPr>
      <dsp:spPr>
        <a:xfrm>
          <a:off x="5420461" y="960579"/>
          <a:ext cx="191708" cy="3115380"/>
        </a:xfrm>
        <a:custGeom>
          <a:avLst/>
          <a:gdLst/>
          <a:ahLst/>
          <a:cxnLst/>
          <a:rect l="0" t="0" r="0" b="0"/>
          <a:pathLst>
            <a:path>
              <a:moveTo>
                <a:pt x="0" y="0"/>
              </a:moveTo>
              <a:lnTo>
                <a:pt x="0" y="3115380"/>
              </a:lnTo>
              <a:lnTo>
                <a:pt x="191708" y="311538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270BC5B-F356-944E-BF99-0A6912397757}">
      <dsp:nvSpPr>
        <dsp:cNvPr id="0" name=""/>
        <dsp:cNvSpPr/>
      </dsp:nvSpPr>
      <dsp:spPr>
        <a:xfrm>
          <a:off x="5612169" y="3596688"/>
          <a:ext cx="1533669" cy="958543"/>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2860" tIns="15240" rIns="22860" bIns="15240" numCol="1" spcCol="1270" anchor="ctr" anchorCtr="0">
          <a:noAutofit/>
        </a:bodyPr>
        <a:lstStyle/>
        <a:p>
          <a:pPr marL="0" lvl="0" indent="0" algn="ctr" defTabSz="533400">
            <a:lnSpc>
              <a:spcPct val="90000"/>
            </a:lnSpc>
            <a:spcBef>
              <a:spcPct val="0"/>
            </a:spcBef>
            <a:spcAft>
              <a:spcPct val="35000"/>
            </a:spcAft>
            <a:buNone/>
          </a:pPr>
          <a:r>
            <a:rPr lang="en-US" sz="1200" kern="1200"/>
            <a:t>50 MW online (100 MW capacity)</a:t>
          </a:r>
        </a:p>
      </dsp:txBody>
      <dsp:txXfrm>
        <a:off x="5640244" y="3624763"/>
        <a:ext cx="1477519" cy="902393"/>
      </dsp:txXfrm>
    </dsp:sp>
    <dsp:sp modelId="{04B1E273-94C9-5742-86C2-098EA52C7339}">
      <dsp:nvSpPr>
        <dsp:cNvPr id="0" name=""/>
        <dsp:cNvSpPr/>
      </dsp:nvSpPr>
      <dsp:spPr>
        <a:xfrm>
          <a:off x="5420461" y="960579"/>
          <a:ext cx="191708" cy="4313559"/>
        </a:xfrm>
        <a:custGeom>
          <a:avLst/>
          <a:gdLst/>
          <a:ahLst/>
          <a:cxnLst/>
          <a:rect l="0" t="0" r="0" b="0"/>
          <a:pathLst>
            <a:path>
              <a:moveTo>
                <a:pt x="0" y="0"/>
              </a:moveTo>
              <a:lnTo>
                <a:pt x="0" y="4313559"/>
              </a:lnTo>
              <a:lnTo>
                <a:pt x="191708" y="4313559"/>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58C557-94F0-3A4D-9EA6-EE5A48622BD1}">
      <dsp:nvSpPr>
        <dsp:cNvPr id="0" name=""/>
        <dsp:cNvSpPr/>
      </dsp:nvSpPr>
      <dsp:spPr>
        <a:xfrm>
          <a:off x="5612169" y="4794867"/>
          <a:ext cx="1533669" cy="958543"/>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2860" tIns="15240" rIns="22860" bIns="15240" numCol="1" spcCol="1270" anchor="ctr" anchorCtr="0">
          <a:noAutofit/>
        </a:bodyPr>
        <a:lstStyle/>
        <a:p>
          <a:pPr marL="0" lvl="0" indent="0" algn="ctr" defTabSz="533400">
            <a:lnSpc>
              <a:spcPct val="90000"/>
            </a:lnSpc>
            <a:spcBef>
              <a:spcPct val="0"/>
            </a:spcBef>
            <a:spcAft>
              <a:spcPct val="35000"/>
            </a:spcAft>
            <a:buNone/>
          </a:pPr>
          <a:r>
            <a:rPr lang="en-US" sz="1200" kern="1200"/>
            <a:t>Option to extend the fixed price contract twice, 3-year period for each extension. </a:t>
          </a:r>
        </a:p>
      </dsp:txBody>
      <dsp:txXfrm>
        <a:off x="5640244" y="4822942"/>
        <a:ext cx="1477519" cy="902393"/>
      </dsp:txXfrm>
    </dsp:sp>
    <dsp:sp modelId="{6276D79E-F214-CC47-BC89-FFFF9EEBD13C}">
      <dsp:nvSpPr>
        <dsp:cNvPr id="0" name=""/>
        <dsp:cNvSpPr/>
      </dsp:nvSpPr>
      <dsp:spPr>
        <a:xfrm>
          <a:off x="5420461" y="960579"/>
          <a:ext cx="191708" cy="5511738"/>
        </a:xfrm>
        <a:custGeom>
          <a:avLst/>
          <a:gdLst/>
          <a:ahLst/>
          <a:cxnLst/>
          <a:rect l="0" t="0" r="0" b="0"/>
          <a:pathLst>
            <a:path>
              <a:moveTo>
                <a:pt x="0" y="0"/>
              </a:moveTo>
              <a:lnTo>
                <a:pt x="0" y="5511738"/>
              </a:lnTo>
              <a:lnTo>
                <a:pt x="191708" y="5511738"/>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52F3103-E685-1846-8711-EA796C6205DA}">
      <dsp:nvSpPr>
        <dsp:cNvPr id="0" name=""/>
        <dsp:cNvSpPr/>
      </dsp:nvSpPr>
      <dsp:spPr>
        <a:xfrm>
          <a:off x="5612169" y="5993046"/>
          <a:ext cx="1533669" cy="958543"/>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2860" tIns="15240" rIns="22860" bIns="15240" numCol="1" spcCol="1270" anchor="ctr" anchorCtr="0">
          <a:noAutofit/>
        </a:bodyPr>
        <a:lstStyle/>
        <a:p>
          <a:pPr marL="0" lvl="0" indent="0" algn="ctr" defTabSz="533400">
            <a:lnSpc>
              <a:spcPct val="90000"/>
            </a:lnSpc>
            <a:spcBef>
              <a:spcPct val="0"/>
            </a:spcBef>
            <a:spcAft>
              <a:spcPct val="35000"/>
            </a:spcAft>
            <a:buNone/>
          </a:pPr>
          <a:r>
            <a:rPr lang="en-US" sz="1200" kern="1200"/>
            <a:t>Doesn't directly state that the 2 cent fixed price will be guaranteed if they extend the contract</a:t>
          </a:r>
        </a:p>
      </dsp:txBody>
      <dsp:txXfrm>
        <a:off x="5640244" y="6021121"/>
        <a:ext cx="1477519" cy="902393"/>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AE1C978-8784-AD44-8694-736FEC62CE42}">
      <dsp:nvSpPr>
        <dsp:cNvPr id="0" name=""/>
        <dsp:cNvSpPr/>
      </dsp:nvSpPr>
      <dsp:spPr>
        <a:xfrm>
          <a:off x="660011" y="190"/>
          <a:ext cx="1586865" cy="952119"/>
        </a:xfrm>
        <a:prstGeom prst="rect">
          <a:avLst/>
        </a:prstGeom>
        <a:gradFill rotWithShape="0">
          <a:gsLst>
            <a:gs pos="0">
              <a:schemeClr val="accent2">
                <a:hueOff val="0"/>
                <a:satOff val="0"/>
                <a:lumOff val="0"/>
                <a:alphaOff val="0"/>
                <a:satMod val="103000"/>
                <a:lumMod val="102000"/>
                <a:tint val="94000"/>
              </a:schemeClr>
            </a:gs>
            <a:gs pos="50000">
              <a:schemeClr val="accent2">
                <a:hueOff val="0"/>
                <a:satOff val="0"/>
                <a:lumOff val="0"/>
                <a:alphaOff val="0"/>
                <a:satMod val="110000"/>
                <a:lumMod val="100000"/>
                <a:shade val="100000"/>
              </a:schemeClr>
            </a:gs>
            <a:gs pos="100000">
              <a:schemeClr val="accent2">
                <a:hueOff val="0"/>
                <a:satOff val="0"/>
                <a:lumOff val="0"/>
                <a:alphaOff val="0"/>
                <a:lumMod val="99000"/>
                <a:satMod val="120000"/>
                <a:shade val="78000"/>
              </a:schemeClr>
            </a:gs>
          </a:gsLst>
          <a:lin ang="5400000" scaled="0"/>
        </a:gradFill>
        <a:ln>
          <a:noFill/>
        </a:ln>
        <a:effectLst/>
      </dsp:spPr>
      <dsp:style>
        <a:lnRef idx="0">
          <a:scrgbClr r="0" g="0" b="0"/>
        </a:lnRef>
        <a:fillRef idx="3">
          <a:scrgbClr r="0" g="0" b="0"/>
        </a:fillRef>
        <a:effectRef idx="2">
          <a:scrgbClr r="0" g="0" b="0"/>
        </a:effectRef>
        <a:fontRef idx="minor">
          <a:schemeClr val="lt1"/>
        </a:fontRef>
      </dsp:style>
      <dsp:txBody>
        <a:bodyPr spcFirstLastPara="0" vert="horz" wrap="square" lIns="72390" tIns="72390" rIns="72390" bIns="72390" numCol="1" spcCol="1270" anchor="ctr" anchorCtr="0">
          <a:noAutofit/>
        </a:bodyPr>
        <a:lstStyle/>
        <a:p>
          <a:pPr marL="0" lvl="0" indent="0" algn="ctr" defTabSz="844550">
            <a:lnSpc>
              <a:spcPct val="90000"/>
            </a:lnSpc>
            <a:spcBef>
              <a:spcPct val="0"/>
            </a:spcBef>
            <a:spcAft>
              <a:spcPct val="35000"/>
            </a:spcAft>
            <a:buNone/>
          </a:pPr>
          <a:r>
            <a:rPr lang="en-US" sz="1900" kern="1200"/>
            <a:t>SOLD share in facility for $92m 10/3/24</a:t>
          </a:r>
        </a:p>
      </dsp:txBody>
      <dsp:txXfrm>
        <a:off x="660011" y="190"/>
        <a:ext cx="1586865" cy="952119"/>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B8B78368-2CC1-F647-AA77-D64080C3BFAB}">
      <dsp:nvSpPr>
        <dsp:cNvPr id="0" name=""/>
        <dsp:cNvSpPr/>
      </dsp:nvSpPr>
      <dsp:spPr>
        <a:xfrm>
          <a:off x="1200115" y="3318"/>
          <a:ext cx="1925091" cy="962545"/>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5245" tIns="36830" rIns="55245" bIns="36830" numCol="1" spcCol="1270" anchor="ctr" anchorCtr="0">
          <a:noAutofit/>
        </a:bodyPr>
        <a:lstStyle/>
        <a:p>
          <a:pPr marL="0" lvl="0" indent="0" algn="ctr" defTabSz="1289050">
            <a:lnSpc>
              <a:spcPct val="90000"/>
            </a:lnSpc>
            <a:spcBef>
              <a:spcPct val="0"/>
            </a:spcBef>
            <a:spcAft>
              <a:spcPct val="35000"/>
            </a:spcAft>
            <a:buNone/>
          </a:pPr>
          <a:r>
            <a:rPr lang="en-US" sz="2900" kern="1200"/>
            <a:t>Odessa</a:t>
          </a:r>
        </a:p>
      </dsp:txBody>
      <dsp:txXfrm>
        <a:off x="1228307" y="31510"/>
        <a:ext cx="1868707" cy="906161"/>
      </dsp:txXfrm>
    </dsp:sp>
    <dsp:sp modelId="{59B1DF48-4EE5-064B-BBA3-60356A7FF845}">
      <dsp:nvSpPr>
        <dsp:cNvPr id="0" name=""/>
        <dsp:cNvSpPr/>
      </dsp:nvSpPr>
      <dsp:spPr>
        <a:xfrm>
          <a:off x="1392624" y="965864"/>
          <a:ext cx="192509" cy="721909"/>
        </a:xfrm>
        <a:custGeom>
          <a:avLst/>
          <a:gdLst/>
          <a:ahLst/>
          <a:cxnLst/>
          <a:rect l="0" t="0" r="0" b="0"/>
          <a:pathLst>
            <a:path>
              <a:moveTo>
                <a:pt x="0" y="0"/>
              </a:moveTo>
              <a:lnTo>
                <a:pt x="0" y="721909"/>
              </a:lnTo>
              <a:lnTo>
                <a:pt x="192509" y="721909"/>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BE8EB90-D8DA-0241-A1E8-240EC12D7CAC}">
      <dsp:nvSpPr>
        <dsp:cNvPr id="0" name=""/>
        <dsp:cNvSpPr/>
      </dsp:nvSpPr>
      <dsp:spPr>
        <a:xfrm>
          <a:off x="1585133" y="1206500"/>
          <a:ext cx="1540073" cy="962545"/>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4765" tIns="16510" rIns="24765" bIns="16510" numCol="1" spcCol="1270" anchor="ctr" anchorCtr="0">
          <a:noAutofit/>
        </a:bodyPr>
        <a:lstStyle/>
        <a:p>
          <a:pPr marL="0" lvl="0" indent="0" algn="ctr" defTabSz="577850">
            <a:lnSpc>
              <a:spcPct val="90000"/>
            </a:lnSpc>
            <a:spcBef>
              <a:spcPct val="0"/>
            </a:spcBef>
            <a:spcAft>
              <a:spcPct val="35000"/>
            </a:spcAft>
            <a:buNone/>
          </a:pPr>
          <a:r>
            <a:rPr lang="en-US" sz="1300" kern="1200"/>
            <a:t>207 MW capasity (6.9 EH/s) $0.02/kwh avg</a:t>
          </a:r>
        </a:p>
      </dsp:txBody>
      <dsp:txXfrm>
        <a:off x="1613325" y="1234692"/>
        <a:ext cx="1483689" cy="906161"/>
      </dsp:txXfrm>
    </dsp:sp>
    <dsp:sp modelId="{82671E73-F724-324E-AC0F-D961D52DFFDC}">
      <dsp:nvSpPr>
        <dsp:cNvPr id="0" name=""/>
        <dsp:cNvSpPr/>
      </dsp:nvSpPr>
      <dsp:spPr>
        <a:xfrm>
          <a:off x="1392624" y="965864"/>
          <a:ext cx="318179" cy="2150669"/>
        </a:xfrm>
        <a:custGeom>
          <a:avLst/>
          <a:gdLst/>
          <a:ahLst/>
          <a:cxnLst/>
          <a:rect l="0" t="0" r="0" b="0"/>
          <a:pathLst>
            <a:path>
              <a:moveTo>
                <a:pt x="0" y="0"/>
              </a:moveTo>
              <a:lnTo>
                <a:pt x="0" y="2150669"/>
              </a:lnTo>
              <a:lnTo>
                <a:pt x="318179" y="2150669"/>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0857EBE-D418-144E-A46E-A206436374D8}">
      <dsp:nvSpPr>
        <dsp:cNvPr id="0" name=""/>
        <dsp:cNvSpPr/>
      </dsp:nvSpPr>
      <dsp:spPr>
        <a:xfrm>
          <a:off x="1710803" y="2378275"/>
          <a:ext cx="2775304" cy="1476516"/>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4765" tIns="16510" rIns="24765" bIns="16510" numCol="1" spcCol="1270" anchor="ctr" anchorCtr="0">
          <a:noAutofit/>
        </a:bodyPr>
        <a:lstStyle/>
        <a:p>
          <a:pPr marL="0" lvl="0" indent="0" algn="ctr" defTabSz="577850">
            <a:lnSpc>
              <a:spcPct val="90000"/>
            </a:lnSpc>
            <a:spcBef>
              <a:spcPct val="0"/>
            </a:spcBef>
            <a:spcAft>
              <a:spcPct val="35000"/>
            </a:spcAft>
            <a:buNone/>
          </a:pPr>
          <a:r>
            <a:rPr lang="en-US" sz="1300" kern="1200"/>
            <a:t>The combined Luminant Lease agreement commenced 11/22/22 and has an intial term of 5 years. At the end of the lease term for the interconnection, the substation will be sold back to Luminate's affiliate, Vistra Operations Company</a:t>
          </a:r>
        </a:p>
      </dsp:txBody>
      <dsp:txXfrm>
        <a:off x="1754049" y="2421521"/>
        <a:ext cx="2688812" cy="1390024"/>
      </dsp:txXfrm>
    </dsp:sp>
    <dsp:sp modelId="{0DBA4063-74C4-F644-A1C8-2CBA8CC4364B}">
      <dsp:nvSpPr>
        <dsp:cNvPr id="0" name=""/>
        <dsp:cNvSpPr/>
      </dsp:nvSpPr>
      <dsp:spPr>
        <a:xfrm>
          <a:off x="1392624" y="965864"/>
          <a:ext cx="192509" cy="3642244"/>
        </a:xfrm>
        <a:custGeom>
          <a:avLst/>
          <a:gdLst/>
          <a:ahLst/>
          <a:cxnLst/>
          <a:rect l="0" t="0" r="0" b="0"/>
          <a:pathLst>
            <a:path>
              <a:moveTo>
                <a:pt x="0" y="0"/>
              </a:moveTo>
              <a:lnTo>
                <a:pt x="0" y="3642244"/>
              </a:lnTo>
              <a:lnTo>
                <a:pt x="192509" y="3642244"/>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024591D-6E18-EA4A-88CB-D654BA272514}">
      <dsp:nvSpPr>
        <dsp:cNvPr id="0" name=""/>
        <dsp:cNvSpPr/>
      </dsp:nvSpPr>
      <dsp:spPr>
        <a:xfrm>
          <a:off x="1585133" y="4126835"/>
          <a:ext cx="1540073" cy="962545"/>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4765" tIns="16510" rIns="24765" bIns="16510" numCol="1" spcCol="1270" anchor="ctr" anchorCtr="0">
          <a:noAutofit/>
        </a:bodyPr>
        <a:lstStyle/>
        <a:p>
          <a:pPr marL="0" lvl="0" indent="0" algn="ctr" defTabSz="577850">
            <a:lnSpc>
              <a:spcPct val="90000"/>
            </a:lnSpc>
            <a:spcBef>
              <a:spcPct val="0"/>
            </a:spcBef>
            <a:spcAft>
              <a:spcPct val="35000"/>
            </a:spcAft>
            <a:buNone/>
          </a:pPr>
          <a:r>
            <a:rPr lang="en-US" sz="1300" kern="1200"/>
            <a:t>11.3 EH/s by YE Al24</a:t>
          </a:r>
        </a:p>
      </dsp:txBody>
      <dsp:txXfrm>
        <a:off x="1613325" y="4155027"/>
        <a:ext cx="1483689" cy="906161"/>
      </dsp:txXfrm>
    </dsp:sp>
    <dsp:sp modelId="{2D161B54-A798-3B42-8F10-79D72FFCBFD7}">
      <dsp:nvSpPr>
        <dsp:cNvPr id="0" name=""/>
        <dsp:cNvSpPr/>
      </dsp:nvSpPr>
      <dsp:spPr>
        <a:xfrm>
          <a:off x="4456692" y="3318"/>
          <a:ext cx="1925091" cy="962545"/>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5245" tIns="36830" rIns="55245" bIns="36830" numCol="1" spcCol="1270" anchor="ctr" anchorCtr="0">
          <a:noAutofit/>
        </a:bodyPr>
        <a:lstStyle/>
        <a:p>
          <a:pPr marL="0" lvl="0" indent="0" algn="ctr" defTabSz="1289050">
            <a:lnSpc>
              <a:spcPct val="90000"/>
            </a:lnSpc>
            <a:spcBef>
              <a:spcPct val="0"/>
            </a:spcBef>
            <a:spcAft>
              <a:spcPct val="35000"/>
            </a:spcAft>
            <a:buNone/>
          </a:pPr>
          <a:r>
            <a:rPr lang="en-US" sz="2900" kern="1200"/>
            <a:t>Alborz, Bear, Cheif</a:t>
          </a:r>
        </a:p>
      </dsp:txBody>
      <dsp:txXfrm>
        <a:off x="4484884" y="31510"/>
        <a:ext cx="1868707" cy="906161"/>
      </dsp:txXfrm>
    </dsp:sp>
    <dsp:sp modelId="{063F12BE-C8DB-9F48-B380-1BCACF51EEC4}">
      <dsp:nvSpPr>
        <dsp:cNvPr id="0" name=""/>
        <dsp:cNvSpPr/>
      </dsp:nvSpPr>
      <dsp:spPr>
        <a:xfrm>
          <a:off x="4649202" y="965864"/>
          <a:ext cx="192509" cy="721909"/>
        </a:xfrm>
        <a:custGeom>
          <a:avLst/>
          <a:gdLst/>
          <a:ahLst/>
          <a:cxnLst/>
          <a:rect l="0" t="0" r="0" b="0"/>
          <a:pathLst>
            <a:path>
              <a:moveTo>
                <a:pt x="0" y="0"/>
              </a:moveTo>
              <a:lnTo>
                <a:pt x="0" y="721909"/>
              </a:lnTo>
              <a:lnTo>
                <a:pt x="192509" y="721909"/>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074C401-A0DC-6C47-8B66-89A594D81242}">
      <dsp:nvSpPr>
        <dsp:cNvPr id="0" name=""/>
        <dsp:cNvSpPr/>
      </dsp:nvSpPr>
      <dsp:spPr>
        <a:xfrm>
          <a:off x="4841711" y="1206500"/>
          <a:ext cx="1540073" cy="962545"/>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4765" tIns="16510" rIns="24765" bIns="16510" numCol="1" spcCol="1270" anchor="ctr" anchorCtr="0">
          <a:noAutofit/>
        </a:bodyPr>
        <a:lstStyle/>
        <a:p>
          <a:pPr marL="0" lvl="0" indent="0" algn="ctr" defTabSz="577850">
            <a:lnSpc>
              <a:spcPct val="90000"/>
            </a:lnSpc>
            <a:spcBef>
              <a:spcPct val="0"/>
            </a:spcBef>
            <a:spcAft>
              <a:spcPct val="35000"/>
            </a:spcAft>
            <a:buNone/>
          </a:pPr>
          <a:r>
            <a:rPr lang="en-US" sz="1300" kern="1200"/>
            <a:t>120 MW capasity (14% of production)</a:t>
          </a:r>
        </a:p>
      </dsp:txBody>
      <dsp:txXfrm>
        <a:off x="4869903" y="1234692"/>
        <a:ext cx="1483689" cy="906161"/>
      </dsp:txXfrm>
    </dsp:sp>
    <dsp:sp modelId="{C788BB38-28D1-3748-9870-EC72D350C519}">
      <dsp:nvSpPr>
        <dsp:cNvPr id="0" name=""/>
        <dsp:cNvSpPr/>
      </dsp:nvSpPr>
      <dsp:spPr>
        <a:xfrm>
          <a:off x="4649202" y="965864"/>
          <a:ext cx="192509" cy="1925091"/>
        </a:xfrm>
        <a:custGeom>
          <a:avLst/>
          <a:gdLst/>
          <a:ahLst/>
          <a:cxnLst/>
          <a:rect l="0" t="0" r="0" b="0"/>
          <a:pathLst>
            <a:path>
              <a:moveTo>
                <a:pt x="0" y="0"/>
              </a:moveTo>
              <a:lnTo>
                <a:pt x="0" y="1925091"/>
              </a:lnTo>
              <a:lnTo>
                <a:pt x="192509" y="1925091"/>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AB9B3AE-6E7A-424E-9F9B-F40E176F9A26}">
      <dsp:nvSpPr>
        <dsp:cNvPr id="0" name=""/>
        <dsp:cNvSpPr/>
      </dsp:nvSpPr>
      <dsp:spPr>
        <a:xfrm>
          <a:off x="4841711" y="2409682"/>
          <a:ext cx="1540073" cy="962545"/>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4765" tIns="16510" rIns="24765" bIns="16510" numCol="1" spcCol="1270" anchor="ctr" anchorCtr="0">
          <a:noAutofit/>
        </a:bodyPr>
        <a:lstStyle/>
        <a:p>
          <a:pPr marL="0" lvl="0" indent="0" algn="ctr" defTabSz="577850">
            <a:lnSpc>
              <a:spcPct val="90000"/>
            </a:lnSpc>
            <a:spcBef>
              <a:spcPct val="0"/>
            </a:spcBef>
            <a:spcAft>
              <a:spcPct val="35000"/>
            </a:spcAft>
            <a:buNone/>
          </a:pPr>
          <a:r>
            <a:rPr lang="en-US" sz="1300" kern="1200"/>
            <a:t>Joint-Venture with WindHQ LLC which Cipher owns 1.8EH/s</a:t>
          </a:r>
        </a:p>
      </dsp:txBody>
      <dsp:txXfrm>
        <a:off x="4869903" y="2437874"/>
        <a:ext cx="1483689" cy="906161"/>
      </dsp:txXfrm>
    </dsp:sp>
    <dsp:sp modelId="{2D4ADFC2-D689-6046-8E25-D93C1678D51C}">
      <dsp:nvSpPr>
        <dsp:cNvPr id="0" name=""/>
        <dsp:cNvSpPr/>
      </dsp:nvSpPr>
      <dsp:spPr>
        <a:xfrm>
          <a:off x="4649202" y="965864"/>
          <a:ext cx="192509" cy="3128274"/>
        </a:xfrm>
        <a:custGeom>
          <a:avLst/>
          <a:gdLst/>
          <a:ahLst/>
          <a:cxnLst/>
          <a:rect l="0" t="0" r="0" b="0"/>
          <a:pathLst>
            <a:path>
              <a:moveTo>
                <a:pt x="0" y="0"/>
              </a:moveTo>
              <a:lnTo>
                <a:pt x="0" y="3128274"/>
              </a:lnTo>
              <a:lnTo>
                <a:pt x="192509" y="3128274"/>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5328AA1-7D26-0348-A791-6328E57322E1}">
      <dsp:nvSpPr>
        <dsp:cNvPr id="0" name=""/>
        <dsp:cNvSpPr/>
      </dsp:nvSpPr>
      <dsp:spPr>
        <a:xfrm>
          <a:off x="4841711" y="3612865"/>
          <a:ext cx="1540073" cy="962545"/>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4765" tIns="16510" rIns="24765" bIns="16510" numCol="1" spcCol="1270" anchor="ctr" anchorCtr="0">
          <a:noAutofit/>
        </a:bodyPr>
        <a:lstStyle/>
        <a:p>
          <a:pPr marL="0" lvl="0" indent="0" algn="ctr" defTabSz="577850">
            <a:lnSpc>
              <a:spcPct val="90000"/>
            </a:lnSpc>
            <a:spcBef>
              <a:spcPct val="0"/>
            </a:spcBef>
            <a:spcAft>
              <a:spcPct val="35000"/>
            </a:spcAft>
            <a:buNone/>
          </a:pPr>
          <a:r>
            <a:rPr lang="en-US" sz="1300" kern="1200"/>
            <a:t>$0.03 kwh avg</a:t>
          </a:r>
        </a:p>
      </dsp:txBody>
      <dsp:txXfrm>
        <a:off x="4869903" y="3641057"/>
        <a:ext cx="1483689" cy="906161"/>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E0F45CA-047B-5E46-AE8E-D597B9BD0EEA}">
      <dsp:nvSpPr>
        <dsp:cNvPr id="0" name=""/>
        <dsp:cNvSpPr/>
      </dsp:nvSpPr>
      <dsp:spPr>
        <a:xfrm>
          <a:off x="2847515" y="1229"/>
          <a:ext cx="1610025" cy="805012"/>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4770" tIns="43180" rIns="64770" bIns="43180" numCol="1" spcCol="1270" anchor="ctr" anchorCtr="0">
          <a:noAutofit/>
        </a:bodyPr>
        <a:lstStyle/>
        <a:p>
          <a:pPr marL="0" lvl="0" indent="0" algn="ctr" defTabSz="1511300">
            <a:lnSpc>
              <a:spcPct val="90000"/>
            </a:lnSpc>
            <a:spcBef>
              <a:spcPct val="0"/>
            </a:spcBef>
            <a:spcAft>
              <a:spcPct val="35000"/>
            </a:spcAft>
            <a:buNone/>
          </a:pPr>
          <a:r>
            <a:rPr lang="en-US" sz="3400" kern="1200"/>
            <a:t>Pipeline</a:t>
          </a:r>
        </a:p>
      </dsp:txBody>
      <dsp:txXfrm>
        <a:off x="2871093" y="24807"/>
        <a:ext cx="1562869" cy="757856"/>
      </dsp:txXfrm>
    </dsp:sp>
    <dsp:sp modelId="{6E8F0CEF-06B5-AB4E-83BF-A08F2AE0E5F3}">
      <dsp:nvSpPr>
        <dsp:cNvPr id="0" name=""/>
        <dsp:cNvSpPr/>
      </dsp:nvSpPr>
      <dsp:spPr>
        <a:xfrm>
          <a:off x="3008518" y="806242"/>
          <a:ext cx="161002" cy="603759"/>
        </a:xfrm>
        <a:custGeom>
          <a:avLst/>
          <a:gdLst/>
          <a:ahLst/>
          <a:cxnLst/>
          <a:rect l="0" t="0" r="0" b="0"/>
          <a:pathLst>
            <a:path>
              <a:moveTo>
                <a:pt x="0" y="0"/>
              </a:moveTo>
              <a:lnTo>
                <a:pt x="0" y="603759"/>
              </a:lnTo>
              <a:lnTo>
                <a:pt x="161002" y="603759"/>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98F7282-8EDB-CB4C-9F90-5670C648E491}">
      <dsp:nvSpPr>
        <dsp:cNvPr id="0" name=""/>
        <dsp:cNvSpPr/>
      </dsp:nvSpPr>
      <dsp:spPr>
        <a:xfrm>
          <a:off x="3169520" y="1007495"/>
          <a:ext cx="1288020" cy="805012"/>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0955" tIns="13970" rIns="20955" bIns="13970" numCol="1" spcCol="1270" anchor="ctr" anchorCtr="0">
          <a:noAutofit/>
        </a:bodyPr>
        <a:lstStyle/>
        <a:p>
          <a:pPr marL="0" lvl="0" indent="0" algn="ctr" defTabSz="488950">
            <a:lnSpc>
              <a:spcPct val="90000"/>
            </a:lnSpc>
            <a:spcBef>
              <a:spcPct val="0"/>
            </a:spcBef>
            <a:spcAft>
              <a:spcPct val="35000"/>
            </a:spcAft>
            <a:buNone/>
          </a:pPr>
          <a:r>
            <a:rPr lang="en-US" sz="1100" kern="1200"/>
            <a:t>2.2 GW, 10 sites total (300MW are currently being built out at Black Pearl)</a:t>
          </a:r>
        </a:p>
      </dsp:txBody>
      <dsp:txXfrm>
        <a:off x="3193098" y="1031073"/>
        <a:ext cx="1240864" cy="757856"/>
      </dsp:txXfrm>
    </dsp:sp>
    <dsp:sp modelId="{A763F3D7-DACF-2542-A17A-9D92625196F0}">
      <dsp:nvSpPr>
        <dsp:cNvPr id="0" name=""/>
        <dsp:cNvSpPr/>
      </dsp:nvSpPr>
      <dsp:spPr>
        <a:xfrm>
          <a:off x="3008518" y="806242"/>
          <a:ext cx="161002" cy="1610025"/>
        </a:xfrm>
        <a:custGeom>
          <a:avLst/>
          <a:gdLst/>
          <a:ahLst/>
          <a:cxnLst/>
          <a:rect l="0" t="0" r="0" b="0"/>
          <a:pathLst>
            <a:path>
              <a:moveTo>
                <a:pt x="0" y="0"/>
              </a:moveTo>
              <a:lnTo>
                <a:pt x="0" y="1610025"/>
              </a:lnTo>
              <a:lnTo>
                <a:pt x="161002" y="16100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C97289B-3EDA-9141-8F4A-C9A944192159}">
      <dsp:nvSpPr>
        <dsp:cNvPr id="0" name=""/>
        <dsp:cNvSpPr/>
      </dsp:nvSpPr>
      <dsp:spPr>
        <a:xfrm>
          <a:off x="3169520" y="2013761"/>
          <a:ext cx="1288020" cy="805012"/>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0955" tIns="13970" rIns="20955" bIns="13970" numCol="1" spcCol="1270" anchor="ctr" anchorCtr="0">
          <a:noAutofit/>
        </a:bodyPr>
        <a:lstStyle/>
        <a:p>
          <a:pPr marL="0" lvl="0" indent="0" algn="ctr" defTabSz="488950">
            <a:lnSpc>
              <a:spcPct val="90000"/>
            </a:lnSpc>
            <a:spcBef>
              <a:spcPct val="0"/>
            </a:spcBef>
            <a:spcAft>
              <a:spcPct val="35000"/>
            </a:spcAft>
            <a:buNone/>
          </a:pPr>
          <a:r>
            <a:rPr lang="en-US" sz="1100" kern="1200"/>
            <a:t>1.7 GW can have 100% uptime</a:t>
          </a:r>
        </a:p>
      </dsp:txBody>
      <dsp:txXfrm>
        <a:off x="3193098" y="2037339"/>
        <a:ext cx="1240864" cy="757856"/>
      </dsp:txXfrm>
    </dsp:sp>
    <dsp:sp modelId="{0282545E-4F0F-804A-896A-998E42C8ADCE}">
      <dsp:nvSpPr>
        <dsp:cNvPr id="0" name=""/>
        <dsp:cNvSpPr/>
      </dsp:nvSpPr>
      <dsp:spPr>
        <a:xfrm>
          <a:off x="3008518" y="806242"/>
          <a:ext cx="161002" cy="2593284"/>
        </a:xfrm>
        <a:custGeom>
          <a:avLst/>
          <a:gdLst/>
          <a:ahLst/>
          <a:cxnLst/>
          <a:rect l="0" t="0" r="0" b="0"/>
          <a:pathLst>
            <a:path>
              <a:moveTo>
                <a:pt x="0" y="0"/>
              </a:moveTo>
              <a:lnTo>
                <a:pt x="0" y="2593284"/>
              </a:lnTo>
              <a:lnTo>
                <a:pt x="161002" y="2593284"/>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716D361-6ABA-EE44-AD44-994D123DFA1A}">
      <dsp:nvSpPr>
        <dsp:cNvPr id="0" name=""/>
        <dsp:cNvSpPr/>
      </dsp:nvSpPr>
      <dsp:spPr>
        <a:xfrm>
          <a:off x="3169520" y="3020027"/>
          <a:ext cx="3066236" cy="758998"/>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0955" tIns="13970" rIns="20955" bIns="13970" numCol="1" spcCol="1270" anchor="ctr" anchorCtr="0">
          <a:noAutofit/>
        </a:bodyPr>
        <a:lstStyle/>
        <a:p>
          <a:pPr marL="0" lvl="0" indent="0" algn="ctr" defTabSz="488950">
            <a:lnSpc>
              <a:spcPct val="90000"/>
            </a:lnSpc>
            <a:spcBef>
              <a:spcPct val="0"/>
            </a:spcBef>
            <a:spcAft>
              <a:spcPct val="35000"/>
            </a:spcAft>
            <a:buNone/>
          </a:pPr>
          <a:r>
            <a:rPr lang="en-US" sz="1100" kern="1200"/>
            <a:t>70</a:t>
          </a:r>
          <a:r>
            <a:rPr lang="en-US" sz="1100" kern="1200" baseline="0"/>
            <a:t> MW of approved power w/ 200 MW of capsity at Reveille DC site (Planning for poweshell buildoutof data center while marketing the site to potential HPC clients. Expected to close in September</a:t>
          </a:r>
          <a:endParaRPr lang="en-US" sz="1100" kern="1200"/>
        </a:p>
      </dsp:txBody>
      <dsp:txXfrm>
        <a:off x="3191750" y="3042257"/>
        <a:ext cx="3021776" cy="714538"/>
      </dsp:txXfrm>
    </dsp:sp>
    <dsp:sp modelId="{773768FD-84B6-3345-95E0-8647DFD5DC0B}">
      <dsp:nvSpPr>
        <dsp:cNvPr id="0" name=""/>
        <dsp:cNvSpPr/>
      </dsp:nvSpPr>
      <dsp:spPr>
        <a:xfrm>
          <a:off x="3008518" y="806242"/>
          <a:ext cx="161002" cy="3812182"/>
        </a:xfrm>
        <a:custGeom>
          <a:avLst/>
          <a:gdLst/>
          <a:ahLst/>
          <a:cxnLst/>
          <a:rect l="0" t="0" r="0" b="0"/>
          <a:pathLst>
            <a:path>
              <a:moveTo>
                <a:pt x="0" y="0"/>
              </a:moveTo>
              <a:lnTo>
                <a:pt x="0" y="3812182"/>
              </a:lnTo>
              <a:lnTo>
                <a:pt x="161002" y="381218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296C66D-F6D9-AD46-8B85-61F3E0FF554A}">
      <dsp:nvSpPr>
        <dsp:cNvPr id="0" name=""/>
        <dsp:cNvSpPr/>
      </dsp:nvSpPr>
      <dsp:spPr>
        <a:xfrm>
          <a:off x="3169520" y="3980279"/>
          <a:ext cx="3444463" cy="1276291"/>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20955" tIns="13970" rIns="20955" bIns="13970" numCol="1" spcCol="1270" anchor="ctr" anchorCtr="0">
          <a:noAutofit/>
        </a:bodyPr>
        <a:lstStyle/>
        <a:p>
          <a:pPr marL="0" lvl="0" indent="0" algn="ctr" defTabSz="488950">
            <a:lnSpc>
              <a:spcPct val="90000"/>
            </a:lnSpc>
            <a:spcBef>
              <a:spcPct val="0"/>
            </a:spcBef>
            <a:spcAft>
              <a:spcPct val="35000"/>
            </a:spcAft>
            <a:buNone/>
          </a:pPr>
          <a:r>
            <a:rPr lang="en-US" sz="1100" kern="1200"/>
            <a:t>Recently acquired a 300MW site in West TX on 250 acres and 300 MW. Have agreements necessary to participate in the ERCOT market. Newly constructed fully energized, high-to-mid voltage substation. All necessary approvals and contracts. $0.03 power for the first 5 years after energization.</a:t>
          </a:r>
        </a:p>
      </dsp:txBody>
      <dsp:txXfrm>
        <a:off x="3206901" y="4017660"/>
        <a:ext cx="3369701" cy="1201529"/>
      </dsp:txXfrm>
    </dsp:sp>
  </dsp:spTree>
</dsp:drawing>
</file>

<file path=xl/diagrams/drawing5.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6DCE430-9715-0F44-BBB3-1FD7E7097E12}">
      <dsp:nvSpPr>
        <dsp:cNvPr id="0" name=""/>
        <dsp:cNvSpPr/>
      </dsp:nvSpPr>
      <dsp:spPr>
        <a:xfrm rot="16200000">
          <a:off x="-569591" y="570911"/>
          <a:ext cx="4572000" cy="3430177"/>
        </a:xfrm>
        <a:prstGeom prst="flowChartManualOperation">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0" tIns="0" rIns="116582" bIns="0" numCol="1" spcCol="1270" anchor="t" anchorCtr="0">
          <a:noAutofit/>
        </a:bodyPr>
        <a:lstStyle/>
        <a:p>
          <a:pPr marL="0" lvl="0" indent="0" algn="l" defTabSz="800100">
            <a:lnSpc>
              <a:spcPct val="90000"/>
            </a:lnSpc>
            <a:spcBef>
              <a:spcPct val="0"/>
            </a:spcBef>
            <a:spcAft>
              <a:spcPct val="35000"/>
            </a:spcAft>
            <a:buNone/>
          </a:pPr>
          <a:r>
            <a:rPr lang="en-US" sz="1800" kern="1200"/>
            <a:t>Rockdale, TX</a:t>
          </a:r>
        </a:p>
        <a:p>
          <a:pPr marL="114300" lvl="1" indent="-114300" algn="l" defTabSz="622300">
            <a:lnSpc>
              <a:spcPct val="90000"/>
            </a:lnSpc>
            <a:spcBef>
              <a:spcPct val="0"/>
            </a:spcBef>
            <a:spcAft>
              <a:spcPct val="15000"/>
            </a:spcAft>
            <a:buChar char="•"/>
          </a:pPr>
          <a:r>
            <a:rPr lang="en-US" sz="1400" kern="1200"/>
            <a:t>700MW of developed capacity, 700 MW total capacity.</a:t>
          </a:r>
        </a:p>
        <a:p>
          <a:pPr marL="114300" lvl="1" indent="-114300" algn="l" defTabSz="622300">
            <a:lnSpc>
              <a:spcPct val="90000"/>
            </a:lnSpc>
            <a:spcBef>
              <a:spcPct val="0"/>
            </a:spcBef>
            <a:spcAft>
              <a:spcPct val="15000"/>
            </a:spcAft>
            <a:buChar char="•"/>
          </a:pPr>
          <a:r>
            <a:rPr lang="en-US" sz="1400" kern="1200"/>
            <a:t>7 buildings, with 2 deploying immersion-cooling (200MW), and the remaining 5 utilizing air-cooling (500MW).</a:t>
          </a:r>
        </a:p>
        <a:p>
          <a:pPr marL="114300" lvl="1" indent="-114300" algn="l" defTabSz="622300">
            <a:lnSpc>
              <a:spcPct val="90000"/>
            </a:lnSpc>
            <a:spcBef>
              <a:spcPct val="0"/>
            </a:spcBef>
            <a:spcAft>
              <a:spcPct val="15000"/>
            </a:spcAft>
            <a:buChar char="•"/>
          </a:pPr>
          <a:r>
            <a:rPr lang="en-US" sz="1400" kern="1200"/>
            <a:t>15 EH/s</a:t>
          </a:r>
        </a:p>
        <a:p>
          <a:pPr marL="114300" lvl="1" indent="-114300" algn="l" defTabSz="622300">
            <a:lnSpc>
              <a:spcPct val="90000"/>
            </a:lnSpc>
            <a:spcBef>
              <a:spcPct val="0"/>
            </a:spcBef>
            <a:spcAft>
              <a:spcPct val="15000"/>
            </a:spcAft>
            <a:buChar char="•"/>
          </a:pPr>
          <a:r>
            <a:rPr lang="en-US" sz="1400" kern="1200"/>
            <a:t>$0.025/kWh (fixed rate)</a:t>
          </a:r>
        </a:p>
        <a:p>
          <a:pPr marL="114300" lvl="1" indent="-114300" algn="l" defTabSz="622300">
            <a:lnSpc>
              <a:spcPct val="90000"/>
            </a:lnSpc>
            <a:spcBef>
              <a:spcPct val="0"/>
            </a:spcBef>
            <a:spcAft>
              <a:spcPct val="15000"/>
            </a:spcAft>
            <a:buChar char="•"/>
          </a:pPr>
          <a:r>
            <a:rPr lang="en-US" sz="1400" kern="1200"/>
            <a:t>Railroad running along property</a:t>
          </a:r>
        </a:p>
        <a:p>
          <a:pPr marL="114300" lvl="1" indent="-114300" algn="l" defTabSz="622300">
            <a:lnSpc>
              <a:spcPct val="90000"/>
            </a:lnSpc>
            <a:spcBef>
              <a:spcPct val="0"/>
            </a:spcBef>
            <a:spcAft>
              <a:spcPct val="15000"/>
            </a:spcAft>
            <a:buChar char="•"/>
          </a:pPr>
          <a:r>
            <a:rPr lang="en-US" sz="1400" kern="1200"/>
            <a:t>Participates in ERCOT demand response</a:t>
          </a:r>
        </a:p>
        <a:p>
          <a:pPr marL="114300" lvl="1" indent="-114300" algn="l" defTabSz="622300">
            <a:lnSpc>
              <a:spcPct val="90000"/>
            </a:lnSpc>
            <a:spcBef>
              <a:spcPct val="0"/>
            </a:spcBef>
            <a:spcAft>
              <a:spcPct val="15000"/>
            </a:spcAft>
            <a:buChar char="•"/>
          </a:pPr>
          <a:r>
            <a:rPr lang="en-US" sz="1400" kern="1200"/>
            <a:t>41 miles from Austin, 100 miles from Houston</a:t>
          </a:r>
        </a:p>
      </dsp:txBody>
      <dsp:txXfrm rot="5400000">
        <a:off x="1321" y="914399"/>
        <a:ext cx="3430177" cy="2743200"/>
      </dsp:txXfrm>
    </dsp:sp>
    <dsp:sp modelId="{6DF283C4-6945-F344-9E7B-54F4F2ECEB9C}">
      <dsp:nvSpPr>
        <dsp:cNvPr id="0" name=""/>
        <dsp:cNvSpPr/>
      </dsp:nvSpPr>
      <dsp:spPr>
        <a:xfrm rot="16200000">
          <a:off x="3117849" y="570911"/>
          <a:ext cx="4572000" cy="3430177"/>
        </a:xfrm>
        <a:prstGeom prst="flowChartManualOperation">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0" tIns="0" rIns="116582" bIns="0" numCol="1" spcCol="1270" anchor="t" anchorCtr="0">
          <a:noAutofit/>
        </a:bodyPr>
        <a:lstStyle/>
        <a:p>
          <a:pPr marL="0" lvl="0" indent="0" algn="l" defTabSz="800100">
            <a:lnSpc>
              <a:spcPct val="90000"/>
            </a:lnSpc>
            <a:spcBef>
              <a:spcPct val="0"/>
            </a:spcBef>
            <a:spcAft>
              <a:spcPct val="35000"/>
            </a:spcAft>
            <a:buNone/>
          </a:pPr>
          <a:r>
            <a:rPr lang="en-US" sz="1800" kern="1200"/>
            <a:t>Corsicana, TX</a:t>
          </a:r>
        </a:p>
        <a:p>
          <a:pPr marL="114300" lvl="1" indent="-114300" algn="l" defTabSz="622300">
            <a:lnSpc>
              <a:spcPct val="90000"/>
            </a:lnSpc>
            <a:spcBef>
              <a:spcPct val="0"/>
            </a:spcBef>
            <a:spcAft>
              <a:spcPct val="15000"/>
            </a:spcAft>
            <a:buChar char="•"/>
          </a:pPr>
          <a:r>
            <a:rPr lang="en-US" sz="1400" kern="1200"/>
            <a:t>400MW of developed capacity, 1GW of total capacity </a:t>
          </a:r>
        </a:p>
        <a:p>
          <a:pPr marL="114300" lvl="1" indent="-114300" algn="l" defTabSz="622300">
            <a:lnSpc>
              <a:spcPct val="90000"/>
            </a:lnSpc>
            <a:spcBef>
              <a:spcPct val="0"/>
            </a:spcBef>
            <a:spcAft>
              <a:spcPct val="15000"/>
            </a:spcAft>
            <a:buChar char="•"/>
          </a:pPr>
          <a:r>
            <a:rPr lang="en-US" sz="1400" kern="1200"/>
            <a:t>400MW of immersion-cooling</a:t>
          </a:r>
        </a:p>
        <a:p>
          <a:pPr marL="114300" lvl="1" indent="-114300" algn="l" defTabSz="622300">
            <a:lnSpc>
              <a:spcPct val="90000"/>
            </a:lnSpc>
            <a:spcBef>
              <a:spcPct val="0"/>
            </a:spcBef>
            <a:spcAft>
              <a:spcPct val="15000"/>
            </a:spcAft>
            <a:buChar char="•"/>
          </a:pPr>
          <a:r>
            <a:rPr lang="en-US" sz="1400" kern="1200"/>
            <a:t>14.1 EH/s</a:t>
          </a:r>
        </a:p>
        <a:p>
          <a:pPr marL="114300" lvl="1" indent="-114300" algn="l" defTabSz="622300">
            <a:lnSpc>
              <a:spcPct val="90000"/>
            </a:lnSpc>
            <a:spcBef>
              <a:spcPct val="0"/>
            </a:spcBef>
            <a:spcAft>
              <a:spcPct val="15000"/>
            </a:spcAft>
            <a:buChar char="•"/>
          </a:pPr>
          <a:r>
            <a:rPr lang="en-US" sz="1400" kern="1200"/>
            <a:t>265 acres</a:t>
          </a:r>
        </a:p>
        <a:p>
          <a:pPr marL="114300" lvl="1" indent="-114300" algn="l" defTabSz="622300">
            <a:lnSpc>
              <a:spcPct val="90000"/>
            </a:lnSpc>
            <a:spcBef>
              <a:spcPct val="0"/>
            </a:spcBef>
            <a:spcAft>
              <a:spcPct val="15000"/>
            </a:spcAft>
            <a:buChar char="•"/>
          </a:pPr>
          <a:r>
            <a:rPr lang="en-US" sz="1400" kern="1200"/>
            <a:t>57 miles from Dallas,TX</a:t>
          </a:r>
        </a:p>
        <a:p>
          <a:pPr marL="114300" lvl="1" indent="-114300" algn="l" defTabSz="622300">
            <a:lnSpc>
              <a:spcPct val="90000"/>
            </a:lnSpc>
            <a:spcBef>
              <a:spcPct val="0"/>
            </a:spcBef>
            <a:spcAft>
              <a:spcPct val="15000"/>
            </a:spcAft>
            <a:buChar char="•"/>
          </a:pPr>
          <a:r>
            <a:rPr lang="en-US" sz="1400" kern="1200"/>
            <a:t>$0.039/kWh</a:t>
          </a:r>
        </a:p>
        <a:p>
          <a:pPr marL="114300" lvl="1" indent="-114300" algn="l" defTabSz="622300">
            <a:lnSpc>
              <a:spcPct val="90000"/>
            </a:lnSpc>
            <a:spcBef>
              <a:spcPct val="0"/>
            </a:spcBef>
            <a:spcAft>
              <a:spcPct val="15000"/>
            </a:spcAft>
            <a:buChar char="•"/>
          </a:pPr>
          <a:r>
            <a:rPr lang="en-US" sz="1400" kern="1200"/>
            <a:t>Potentially using remaining 600MW for AI development.</a:t>
          </a:r>
        </a:p>
      </dsp:txBody>
      <dsp:txXfrm rot="5400000">
        <a:off x="3688761" y="914399"/>
        <a:ext cx="3430177" cy="2743200"/>
      </dsp:txXfrm>
    </dsp:sp>
    <dsp:sp modelId="{0E2AF0FB-C03A-984B-8D65-F86C5D815647}">
      <dsp:nvSpPr>
        <dsp:cNvPr id="0" name=""/>
        <dsp:cNvSpPr/>
      </dsp:nvSpPr>
      <dsp:spPr>
        <a:xfrm rot="16200000">
          <a:off x="6805290" y="570911"/>
          <a:ext cx="4572000" cy="3430177"/>
        </a:xfrm>
        <a:prstGeom prst="flowChartManualOperation">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14300" tIns="0" rIns="116582" bIns="0" numCol="1" spcCol="1270" anchor="t" anchorCtr="0">
          <a:noAutofit/>
        </a:bodyPr>
        <a:lstStyle/>
        <a:p>
          <a:pPr marL="0" lvl="0" indent="0" algn="l" defTabSz="800100">
            <a:lnSpc>
              <a:spcPct val="90000"/>
            </a:lnSpc>
            <a:spcBef>
              <a:spcPct val="0"/>
            </a:spcBef>
            <a:spcAft>
              <a:spcPct val="35000"/>
            </a:spcAft>
            <a:buNone/>
          </a:pPr>
          <a:r>
            <a:rPr lang="en-US" sz="1800" kern="1200"/>
            <a:t>Kentucky (Block Mining)</a:t>
          </a:r>
        </a:p>
        <a:p>
          <a:pPr marL="114300" lvl="1" indent="-114300" algn="l" defTabSz="622300">
            <a:lnSpc>
              <a:spcPct val="90000"/>
            </a:lnSpc>
            <a:spcBef>
              <a:spcPct val="0"/>
            </a:spcBef>
            <a:spcAft>
              <a:spcPct val="15000"/>
            </a:spcAft>
            <a:buChar char="•"/>
          </a:pPr>
          <a:r>
            <a:rPr lang="en-US" sz="1400" kern="1200"/>
            <a:t>60MW developed capacity, 110MW of contracted capacity, 300MW potential capacity</a:t>
          </a:r>
        </a:p>
        <a:p>
          <a:pPr marL="114300" lvl="1" indent="-114300" algn="l" defTabSz="622300">
            <a:lnSpc>
              <a:spcPct val="90000"/>
            </a:lnSpc>
            <a:spcBef>
              <a:spcPct val="0"/>
            </a:spcBef>
            <a:spcAft>
              <a:spcPct val="15000"/>
            </a:spcAft>
            <a:buChar char="•"/>
          </a:pPr>
          <a:r>
            <a:rPr lang="en-US" sz="1400" kern="1200"/>
            <a:t>Split between 3 sites. Commerce Drive, Blue Steel, and Coleman Road. (loactions arent specific)</a:t>
          </a:r>
        </a:p>
        <a:p>
          <a:pPr marL="114300" lvl="1" indent="-114300" algn="l" defTabSz="622300">
            <a:lnSpc>
              <a:spcPct val="90000"/>
            </a:lnSpc>
            <a:spcBef>
              <a:spcPct val="0"/>
            </a:spcBef>
            <a:spcAft>
              <a:spcPct val="15000"/>
            </a:spcAft>
            <a:buChar char="•"/>
          </a:pPr>
          <a:r>
            <a:rPr lang="en-US" sz="1400" kern="1200"/>
            <a:t>all 60MW of air-cooling</a:t>
          </a:r>
        </a:p>
        <a:p>
          <a:pPr marL="114300" lvl="1" indent="-114300" algn="l" defTabSz="622300">
            <a:lnSpc>
              <a:spcPct val="90000"/>
            </a:lnSpc>
            <a:spcBef>
              <a:spcPct val="0"/>
            </a:spcBef>
            <a:spcAft>
              <a:spcPct val="15000"/>
            </a:spcAft>
            <a:buChar char="•"/>
          </a:pPr>
          <a:r>
            <a:rPr lang="en-US" sz="1400" kern="1200"/>
            <a:t>2.4 EH/s</a:t>
          </a:r>
        </a:p>
        <a:p>
          <a:pPr marL="114300" lvl="1" indent="-114300" algn="l" defTabSz="622300">
            <a:lnSpc>
              <a:spcPct val="90000"/>
            </a:lnSpc>
            <a:spcBef>
              <a:spcPct val="0"/>
            </a:spcBef>
            <a:spcAft>
              <a:spcPct val="15000"/>
            </a:spcAft>
            <a:buChar char="•"/>
          </a:pPr>
          <a:r>
            <a:rPr lang="en-US" sz="1400" kern="1200"/>
            <a:t>participates in MISO market</a:t>
          </a:r>
        </a:p>
      </dsp:txBody>
      <dsp:txXfrm rot="5400000">
        <a:off x="7376202" y="914399"/>
        <a:ext cx="3430177" cy="2743200"/>
      </dsp:txXfrm>
    </dsp:sp>
  </dsp:spTree>
</dsp:drawing>
</file>

<file path=xl/diagrams/drawing6.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4498FB8-3B81-904F-8674-42E2E05280E2}">
      <dsp:nvSpPr>
        <dsp:cNvPr id="0" name=""/>
        <dsp:cNvSpPr/>
      </dsp:nvSpPr>
      <dsp:spPr>
        <a:xfrm>
          <a:off x="0" y="44336"/>
          <a:ext cx="10801091" cy="1583439"/>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t" anchorCtr="0">
          <a:noAutofit/>
        </a:bodyPr>
        <a:lstStyle/>
        <a:p>
          <a:pPr marL="0" lvl="0" indent="0" algn="l" defTabSz="711200">
            <a:lnSpc>
              <a:spcPct val="90000"/>
            </a:lnSpc>
            <a:spcBef>
              <a:spcPct val="0"/>
            </a:spcBef>
            <a:spcAft>
              <a:spcPct val="35000"/>
            </a:spcAft>
            <a:buNone/>
          </a:pPr>
          <a:r>
            <a:rPr lang="en-US" sz="1600" kern="1200"/>
            <a:t>Childress, Texas</a:t>
          </a:r>
        </a:p>
        <a:p>
          <a:pPr marL="114300" lvl="1" indent="-114300" algn="l" defTabSz="533400">
            <a:lnSpc>
              <a:spcPct val="90000"/>
            </a:lnSpc>
            <a:spcBef>
              <a:spcPct val="0"/>
            </a:spcBef>
            <a:spcAft>
              <a:spcPct val="15000"/>
            </a:spcAft>
            <a:buChar char="•"/>
          </a:pPr>
          <a:r>
            <a:rPr lang="en-US" sz="1200" kern="1200"/>
            <a:t>100% renewable energy</a:t>
          </a:r>
        </a:p>
        <a:p>
          <a:pPr marL="114300" lvl="1" indent="-114300" algn="l" defTabSz="533400">
            <a:lnSpc>
              <a:spcPct val="90000"/>
            </a:lnSpc>
            <a:spcBef>
              <a:spcPct val="0"/>
            </a:spcBef>
            <a:spcAft>
              <a:spcPct val="15000"/>
            </a:spcAft>
            <a:buChar char="•"/>
          </a:pPr>
          <a:r>
            <a:rPr lang="en-US" sz="1200" kern="1200"/>
            <a:t>aprox. 200MW operating, 550MW under construction (finish by YE24), 750MW power capacity</a:t>
          </a:r>
        </a:p>
        <a:p>
          <a:pPr marL="114300" lvl="1" indent="-114300" algn="l" defTabSz="533400">
            <a:lnSpc>
              <a:spcPct val="90000"/>
            </a:lnSpc>
            <a:spcBef>
              <a:spcPct val="0"/>
            </a:spcBef>
            <a:spcAft>
              <a:spcPct val="15000"/>
            </a:spcAft>
            <a:buChar char="•"/>
          </a:pPr>
          <a:r>
            <a:rPr lang="en-US" sz="1200" kern="1200"/>
            <a:t>420 acres, 100% owned</a:t>
          </a:r>
        </a:p>
        <a:p>
          <a:pPr marL="114300" lvl="1" indent="-114300" algn="l" defTabSz="533400">
            <a:lnSpc>
              <a:spcPct val="90000"/>
            </a:lnSpc>
            <a:spcBef>
              <a:spcPct val="0"/>
            </a:spcBef>
            <a:spcAft>
              <a:spcPct val="15000"/>
            </a:spcAft>
            <a:buChar char="•"/>
          </a:pPr>
          <a:r>
            <a:rPr lang="en-US" sz="1200" kern="1200"/>
            <a:t>10 EH/s</a:t>
          </a:r>
        </a:p>
        <a:p>
          <a:pPr marL="114300" lvl="1" indent="-114300" algn="l" defTabSz="533400">
            <a:lnSpc>
              <a:spcPct val="90000"/>
            </a:lnSpc>
            <a:spcBef>
              <a:spcPct val="0"/>
            </a:spcBef>
            <a:spcAft>
              <a:spcPct val="15000"/>
            </a:spcAft>
            <a:buChar char="•"/>
          </a:pPr>
          <a:r>
            <a:rPr lang="en-US" sz="1200" kern="1200"/>
            <a:t>Dual physical fiber paths (sub 10ms latency)</a:t>
          </a:r>
        </a:p>
        <a:p>
          <a:pPr marL="114300" lvl="1" indent="-114300" algn="l" defTabSz="533400">
            <a:lnSpc>
              <a:spcPct val="90000"/>
            </a:lnSpc>
            <a:spcBef>
              <a:spcPct val="0"/>
            </a:spcBef>
            <a:spcAft>
              <a:spcPct val="15000"/>
            </a:spcAft>
            <a:buChar char="•"/>
          </a:pPr>
          <a:r>
            <a:rPr lang="en-US" sz="1200" kern="1200"/>
            <a:t>Connected to ERCOT via 345kV transmission connect</a:t>
          </a:r>
        </a:p>
      </dsp:txBody>
      <dsp:txXfrm>
        <a:off x="2318562" y="44336"/>
        <a:ext cx="8482528" cy="1583439"/>
      </dsp:txXfrm>
    </dsp:sp>
    <dsp:sp modelId="{B7F7C2B0-8508-D245-8EE0-CF58B9404105}">
      <dsp:nvSpPr>
        <dsp:cNvPr id="0" name=""/>
        <dsp:cNvSpPr/>
      </dsp:nvSpPr>
      <dsp:spPr>
        <a:xfrm>
          <a:off x="137767" y="139025"/>
          <a:ext cx="2171861" cy="1311442"/>
        </a:xfrm>
        <a:prstGeom prst="roundRect">
          <a:avLst>
            <a:gd name="adj" fmla="val 10000"/>
          </a:avLst>
        </a:prstGeom>
        <a:blipFill>
          <a:blip xmlns:r="http://schemas.openxmlformats.org/officeDocument/2006/relationships" r:embed="rId1">
            <a:extLst>
              <a:ext uri="{28A0092B-C50C-407E-A947-70E740481C1C}">
                <a14:useLocalDpi xmlns:a14="http://schemas.microsoft.com/office/drawing/2010/main" val="0"/>
              </a:ext>
            </a:extLst>
          </a:blip>
          <a:srcRect/>
          <a:stretch>
            <a:fillRect l="-10000" r="-10000"/>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F6C01A38-DB88-FF4C-8099-8D07A3FFAC70}">
      <dsp:nvSpPr>
        <dsp:cNvPr id="0" name=""/>
        <dsp:cNvSpPr/>
      </dsp:nvSpPr>
      <dsp:spPr>
        <a:xfrm>
          <a:off x="0" y="1771345"/>
          <a:ext cx="10801091" cy="1583439"/>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t" anchorCtr="0">
          <a:noAutofit/>
        </a:bodyPr>
        <a:lstStyle/>
        <a:p>
          <a:pPr marL="0" lvl="0" indent="0" algn="l" defTabSz="711200">
            <a:lnSpc>
              <a:spcPct val="90000"/>
            </a:lnSpc>
            <a:spcBef>
              <a:spcPct val="0"/>
            </a:spcBef>
            <a:spcAft>
              <a:spcPct val="35000"/>
            </a:spcAft>
            <a:buNone/>
          </a:pPr>
          <a:r>
            <a:rPr lang="en-US" sz="1600" kern="1200"/>
            <a:t>Prince George, British Columbia</a:t>
          </a:r>
        </a:p>
        <a:p>
          <a:pPr marL="114300" lvl="1" indent="-114300" algn="l" defTabSz="533400">
            <a:lnSpc>
              <a:spcPct val="90000"/>
            </a:lnSpc>
            <a:spcBef>
              <a:spcPct val="0"/>
            </a:spcBef>
            <a:spcAft>
              <a:spcPct val="15000"/>
            </a:spcAft>
            <a:buChar char="•"/>
          </a:pPr>
          <a:r>
            <a:rPr lang="en-US" sz="1200" kern="1200"/>
            <a:t>50 MW, 100% renewable energy</a:t>
          </a:r>
        </a:p>
        <a:p>
          <a:pPr marL="114300" lvl="1" indent="-114300" algn="l" defTabSz="533400">
            <a:lnSpc>
              <a:spcPct val="90000"/>
            </a:lnSpc>
            <a:spcBef>
              <a:spcPct val="0"/>
            </a:spcBef>
            <a:spcAft>
              <a:spcPct val="15000"/>
            </a:spcAft>
            <a:buChar char="•"/>
          </a:pPr>
          <a:r>
            <a:rPr lang="en-US" sz="1200" kern="1200"/>
            <a:t>12 acres, 50-year lease, with an option to purchace the freehold land.</a:t>
          </a:r>
        </a:p>
        <a:p>
          <a:pPr marL="114300" lvl="1" indent="-114300" algn="l" defTabSz="533400">
            <a:lnSpc>
              <a:spcPct val="90000"/>
            </a:lnSpc>
            <a:spcBef>
              <a:spcPct val="0"/>
            </a:spcBef>
            <a:spcAft>
              <a:spcPct val="15000"/>
            </a:spcAft>
            <a:buChar char="•"/>
          </a:pPr>
          <a:r>
            <a:rPr lang="en-US" sz="1200" kern="1200"/>
            <a:t>3 EH/s</a:t>
          </a:r>
        </a:p>
        <a:p>
          <a:pPr marL="114300" lvl="1" indent="-114300" algn="l" defTabSz="533400">
            <a:lnSpc>
              <a:spcPct val="90000"/>
            </a:lnSpc>
            <a:spcBef>
              <a:spcPct val="0"/>
            </a:spcBef>
            <a:spcAft>
              <a:spcPct val="15000"/>
            </a:spcAft>
            <a:buChar char="•"/>
          </a:pPr>
          <a:r>
            <a:rPr lang="en-US" sz="1200" kern="1200"/>
            <a:t>Dual phsical fiber paths (sub 20ms latency)</a:t>
          </a:r>
        </a:p>
        <a:p>
          <a:pPr marL="114300" lvl="1" indent="-114300" algn="l" defTabSz="533400">
            <a:lnSpc>
              <a:spcPct val="90000"/>
            </a:lnSpc>
            <a:spcBef>
              <a:spcPct val="0"/>
            </a:spcBef>
            <a:spcAft>
              <a:spcPct val="15000"/>
            </a:spcAft>
            <a:buChar char="•"/>
          </a:pPr>
          <a:r>
            <a:rPr lang="en-US" sz="1200" kern="1200"/>
            <a:t>Installing liquid cooling infrastructure to support NVIDIA Blackwell GPU's</a:t>
          </a:r>
        </a:p>
        <a:p>
          <a:pPr marL="114300" lvl="1" indent="-114300" algn="l" defTabSz="533400">
            <a:lnSpc>
              <a:spcPct val="90000"/>
            </a:lnSpc>
            <a:spcBef>
              <a:spcPct val="0"/>
            </a:spcBef>
            <a:spcAft>
              <a:spcPct val="15000"/>
            </a:spcAft>
            <a:buChar char="•"/>
          </a:pPr>
          <a:r>
            <a:rPr lang="en-US" sz="1200" kern="1200"/>
            <a:t>H200 cluster now installed and undergoing customer testing</a:t>
          </a:r>
        </a:p>
      </dsp:txBody>
      <dsp:txXfrm>
        <a:off x="2318562" y="1771345"/>
        <a:ext cx="8482528" cy="1583439"/>
      </dsp:txXfrm>
    </dsp:sp>
    <dsp:sp modelId="{F517E9F2-DE06-F44E-8FFC-E33AF7C61F6C}">
      <dsp:nvSpPr>
        <dsp:cNvPr id="0" name=""/>
        <dsp:cNvSpPr/>
      </dsp:nvSpPr>
      <dsp:spPr>
        <a:xfrm>
          <a:off x="158343" y="1900126"/>
          <a:ext cx="2160218" cy="1266751"/>
        </a:xfrm>
        <a:prstGeom prst="roundRect">
          <a:avLst>
            <a:gd name="adj" fmla="val 10000"/>
          </a:avLst>
        </a:prstGeom>
        <a:blipFill>
          <a:blip xmlns:r="http://schemas.openxmlformats.org/officeDocument/2006/relationships" r:embed="rId2" cstate="print">
            <a:extLst>
              <a:ext uri="{28A0092B-C50C-407E-A947-70E740481C1C}">
                <a14:useLocalDpi xmlns:a14="http://schemas.microsoft.com/office/drawing/2010/main" val="0"/>
              </a:ext>
            </a:extLst>
          </a:blip>
          <a:srcRect/>
          <a:stretch>
            <a:fillRect l="-2000" r="-2000"/>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C908CC46-2EE0-664A-B720-C6E669014CAD}">
      <dsp:nvSpPr>
        <dsp:cNvPr id="0" name=""/>
        <dsp:cNvSpPr/>
      </dsp:nvSpPr>
      <dsp:spPr>
        <a:xfrm>
          <a:off x="0" y="3483566"/>
          <a:ext cx="10801091" cy="1583439"/>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t" anchorCtr="0">
          <a:noAutofit/>
        </a:bodyPr>
        <a:lstStyle/>
        <a:p>
          <a:pPr marL="0" lvl="0" indent="0" algn="l" defTabSz="711200">
            <a:lnSpc>
              <a:spcPct val="90000"/>
            </a:lnSpc>
            <a:spcBef>
              <a:spcPct val="0"/>
            </a:spcBef>
            <a:spcAft>
              <a:spcPct val="35000"/>
            </a:spcAft>
            <a:buNone/>
          </a:pPr>
          <a:r>
            <a:rPr lang="en-US" sz="1600" kern="1200"/>
            <a:t>Canal Flats, British Columbia</a:t>
          </a:r>
        </a:p>
        <a:p>
          <a:pPr marL="114300" lvl="1" indent="-114300" algn="l" defTabSz="533400">
            <a:lnSpc>
              <a:spcPct val="90000"/>
            </a:lnSpc>
            <a:spcBef>
              <a:spcPct val="0"/>
            </a:spcBef>
            <a:spcAft>
              <a:spcPct val="15000"/>
            </a:spcAft>
            <a:buChar char="•"/>
          </a:pPr>
          <a:r>
            <a:rPr lang="en-US" sz="1200" kern="1200"/>
            <a:t>30 MW, 100% renewable energy</a:t>
          </a:r>
        </a:p>
        <a:p>
          <a:pPr marL="114300" lvl="1" indent="-114300" algn="l" defTabSz="533400">
            <a:lnSpc>
              <a:spcPct val="90000"/>
            </a:lnSpc>
            <a:spcBef>
              <a:spcPct val="0"/>
            </a:spcBef>
            <a:spcAft>
              <a:spcPct val="15000"/>
            </a:spcAft>
            <a:buChar char="•"/>
          </a:pPr>
          <a:r>
            <a:rPr lang="en-US" sz="1200" kern="1200"/>
            <a:t>10 acres, 100% ownership</a:t>
          </a:r>
        </a:p>
        <a:p>
          <a:pPr marL="114300" lvl="1" indent="-114300" algn="l" defTabSz="533400">
            <a:lnSpc>
              <a:spcPct val="90000"/>
            </a:lnSpc>
            <a:spcBef>
              <a:spcPct val="0"/>
            </a:spcBef>
            <a:spcAft>
              <a:spcPct val="15000"/>
            </a:spcAft>
            <a:buChar char="•"/>
          </a:pPr>
          <a:r>
            <a:rPr lang="en-US" sz="1200" kern="1200"/>
            <a:t>1.6 EH/s</a:t>
          </a:r>
        </a:p>
        <a:p>
          <a:pPr marL="114300" lvl="1" indent="-114300" algn="l" defTabSz="533400">
            <a:lnSpc>
              <a:spcPct val="90000"/>
            </a:lnSpc>
            <a:spcBef>
              <a:spcPct val="0"/>
            </a:spcBef>
            <a:spcAft>
              <a:spcPct val="15000"/>
            </a:spcAft>
            <a:buChar char="•"/>
          </a:pPr>
          <a:r>
            <a:rPr lang="en-US" sz="1200" kern="1200"/>
            <a:t>Dual physical fiber paths (sub 20ms latency)</a:t>
          </a:r>
        </a:p>
      </dsp:txBody>
      <dsp:txXfrm>
        <a:off x="2318562" y="3483566"/>
        <a:ext cx="8482528" cy="1583439"/>
      </dsp:txXfrm>
    </dsp:sp>
    <dsp:sp modelId="{1AB93289-EC83-0543-8185-0E116E2BF8EB}">
      <dsp:nvSpPr>
        <dsp:cNvPr id="0" name=""/>
        <dsp:cNvSpPr/>
      </dsp:nvSpPr>
      <dsp:spPr>
        <a:xfrm>
          <a:off x="158343" y="3641909"/>
          <a:ext cx="2160218" cy="1266751"/>
        </a:xfrm>
        <a:prstGeom prst="roundRect">
          <a:avLst>
            <a:gd name="adj" fmla="val 10000"/>
          </a:avLst>
        </a:prstGeom>
        <a:blipFill>
          <a:blip xmlns:r="http://schemas.openxmlformats.org/officeDocument/2006/relationships" r:embed="rId3" cstate="print">
            <a:extLst>
              <a:ext uri="{28A0092B-C50C-407E-A947-70E740481C1C}">
                <a14:useLocalDpi xmlns:a14="http://schemas.microsoft.com/office/drawing/2010/main" val="0"/>
              </a:ext>
            </a:extLst>
          </a:blip>
          <a:srcRect/>
          <a:stretch>
            <a:fillRect t="-3000" b="-3000"/>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C1D7FF54-4E88-2C4F-B061-EF90CA6CBEED}">
      <dsp:nvSpPr>
        <dsp:cNvPr id="0" name=""/>
        <dsp:cNvSpPr/>
      </dsp:nvSpPr>
      <dsp:spPr>
        <a:xfrm>
          <a:off x="0" y="5225349"/>
          <a:ext cx="10801091" cy="1583439"/>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t" anchorCtr="0">
          <a:noAutofit/>
        </a:bodyPr>
        <a:lstStyle/>
        <a:p>
          <a:pPr marL="0" lvl="0" indent="0" algn="l" defTabSz="711200">
            <a:lnSpc>
              <a:spcPct val="90000"/>
            </a:lnSpc>
            <a:spcBef>
              <a:spcPct val="0"/>
            </a:spcBef>
            <a:spcAft>
              <a:spcPct val="35000"/>
            </a:spcAft>
            <a:buNone/>
          </a:pPr>
          <a:r>
            <a:rPr lang="en-US" sz="1600" kern="1200"/>
            <a:t>Mackenzie, British Columbia</a:t>
          </a:r>
        </a:p>
        <a:p>
          <a:pPr marL="114300" lvl="1" indent="-114300" algn="l" defTabSz="533400">
            <a:lnSpc>
              <a:spcPct val="90000"/>
            </a:lnSpc>
            <a:spcBef>
              <a:spcPct val="0"/>
            </a:spcBef>
            <a:spcAft>
              <a:spcPct val="15000"/>
            </a:spcAft>
            <a:buChar char="•"/>
          </a:pPr>
          <a:r>
            <a:rPr lang="en-US" sz="1200" kern="1200"/>
            <a:t>80 MW, 100% renewable energy</a:t>
          </a:r>
        </a:p>
        <a:p>
          <a:pPr marL="114300" lvl="1" indent="-114300" algn="l" defTabSz="533400">
            <a:lnSpc>
              <a:spcPct val="90000"/>
            </a:lnSpc>
            <a:spcBef>
              <a:spcPct val="0"/>
            </a:spcBef>
            <a:spcAft>
              <a:spcPct val="15000"/>
            </a:spcAft>
            <a:buChar char="•"/>
          </a:pPr>
          <a:r>
            <a:rPr lang="en-US" sz="1200" kern="1200"/>
            <a:t>11 acres, 100% ownership</a:t>
          </a:r>
        </a:p>
        <a:p>
          <a:pPr marL="114300" lvl="1" indent="-114300" algn="l" defTabSz="533400">
            <a:lnSpc>
              <a:spcPct val="90000"/>
            </a:lnSpc>
            <a:spcBef>
              <a:spcPct val="0"/>
            </a:spcBef>
            <a:spcAft>
              <a:spcPct val="15000"/>
            </a:spcAft>
            <a:buChar char="•"/>
          </a:pPr>
          <a:r>
            <a:rPr lang="en-US" sz="1200" kern="1200"/>
            <a:t>5.2 EH/s</a:t>
          </a:r>
        </a:p>
        <a:p>
          <a:pPr marL="114300" lvl="1" indent="-114300" algn="l" defTabSz="533400">
            <a:lnSpc>
              <a:spcPct val="90000"/>
            </a:lnSpc>
            <a:spcBef>
              <a:spcPct val="0"/>
            </a:spcBef>
            <a:spcAft>
              <a:spcPct val="15000"/>
            </a:spcAft>
            <a:buChar char="•"/>
          </a:pPr>
          <a:r>
            <a:rPr lang="en-US" sz="1200" kern="1200"/>
            <a:t>Single fiber path with a second fiber path planned for 2024</a:t>
          </a:r>
        </a:p>
      </dsp:txBody>
      <dsp:txXfrm>
        <a:off x="2318562" y="5225349"/>
        <a:ext cx="8482528" cy="1583439"/>
      </dsp:txXfrm>
    </dsp:sp>
    <dsp:sp modelId="{C0BFC06E-2B90-D945-BF40-EAF839C84716}">
      <dsp:nvSpPr>
        <dsp:cNvPr id="0" name=""/>
        <dsp:cNvSpPr/>
      </dsp:nvSpPr>
      <dsp:spPr>
        <a:xfrm>
          <a:off x="158343" y="5383692"/>
          <a:ext cx="2160218" cy="1266751"/>
        </a:xfrm>
        <a:prstGeom prst="roundRect">
          <a:avLst>
            <a:gd name="adj" fmla="val 10000"/>
          </a:avLst>
        </a:prstGeom>
        <a:blipFill>
          <a:blip xmlns:r="http://schemas.openxmlformats.org/officeDocument/2006/relationships" r:embed="rId4" cstate="print">
            <a:extLst>
              <a:ext uri="{28A0092B-C50C-407E-A947-70E740481C1C}">
                <a14:useLocalDpi xmlns:a14="http://schemas.microsoft.com/office/drawing/2010/main" val="0"/>
              </a:ext>
            </a:extLst>
          </a:blip>
          <a:srcRect/>
          <a:stretch>
            <a:fillRect t="-3000" b="-3000"/>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1CCD8B87-DC89-F643-8A23-F10FDD0EC0C3}">
      <dsp:nvSpPr>
        <dsp:cNvPr id="0" name=""/>
        <dsp:cNvSpPr/>
      </dsp:nvSpPr>
      <dsp:spPr>
        <a:xfrm>
          <a:off x="0" y="6967132"/>
          <a:ext cx="10801091" cy="172427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0960" tIns="60960" rIns="60960" bIns="60960" numCol="1" spcCol="1270" anchor="t" anchorCtr="0">
          <a:noAutofit/>
        </a:bodyPr>
        <a:lstStyle/>
        <a:p>
          <a:pPr marL="0" lvl="0" indent="0" algn="l" defTabSz="711200">
            <a:lnSpc>
              <a:spcPct val="90000"/>
            </a:lnSpc>
            <a:spcBef>
              <a:spcPct val="0"/>
            </a:spcBef>
            <a:spcAft>
              <a:spcPct val="35000"/>
            </a:spcAft>
            <a:buNone/>
          </a:pPr>
          <a:r>
            <a:rPr lang="en-US" sz="1600" kern="1200"/>
            <a:t>Pipeline (Sweetwater, TX)</a:t>
          </a:r>
        </a:p>
        <a:p>
          <a:pPr marL="114300" lvl="1" indent="-114300" algn="l" defTabSz="533400">
            <a:lnSpc>
              <a:spcPct val="90000"/>
            </a:lnSpc>
            <a:spcBef>
              <a:spcPct val="0"/>
            </a:spcBef>
            <a:spcAft>
              <a:spcPct val="15000"/>
            </a:spcAft>
            <a:buChar char="•"/>
          </a:pPr>
          <a:r>
            <a:rPr lang="en-US" sz="1200" kern="1200"/>
            <a:t>1.4GW+ in development + 1,300 aceres of land</a:t>
          </a:r>
        </a:p>
        <a:p>
          <a:pPr marL="114300" lvl="1" indent="-114300" algn="l" defTabSz="533400">
            <a:lnSpc>
              <a:spcPct val="90000"/>
            </a:lnSpc>
            <a:spcBef>
              <a:spcPct val="0"/>
            </a:spcBef>
            <a:spcAft>
              <a:spcPct val="15000"/>
            </a:spcAft>
            <a:buChar char="•"/>
          </a:pPr>
          <a:r>
            <a:rPr lang="en-US" sz="1200" kern="1200"/>
            <a:t>Substation energization in - 15 months</a:t>
          </a:r>
        </a:p>
        <a:p>
          <a:pPr marL="114300" lvl="1" indent="-114300" algn="l" defTabSz="533400">
            <a:lnSpc>
              <a:spcPct val="90000"/>
            </a:lnSpc>
            <a:spcBef>
              <a:spcPct val="0"/>
            </a:spcBef>
            <a:spcAft>
              <a:spcPct val="15000"/>
            </a:spcAft>
            <a:buChar char="•"/>
          </a:pPr>
          <a:r>
            <a:rPr lang="en-US" sz="1200" kern="1200"/>
            <a:t>Multiple fiber paths with &lt;10ms latency</a:t>
          </a:r>
        </a:p>
        <a:p>
          <a:pPr marL="114300" lvl="1" indent="-114300" algn="l" defTabSz="533400">
            <a:lnSpc>
              <a:spcPct val="90000"/>
            </a:lnSpc>
            <a:spcBef>
              <a:spcPct val="0"/>
            </a:spcBef>
            <a:spcAft>
              <a:spcPct val="15000"/>
            </a:spcAft>
            <a:buChar char="•"/>
          </a:pPr>
          <a:r>
            <a:rPr lang="en-US" sz="1200" kern="1200"/>
            <a:t>Site supports &lt;90 EH/s or 800,000 GPU's</a:t>
          </a:r>
        </a:p>
        <a:p>
          <a:pPr marL="114300" lvl="1" indent="-114300" algn="l" defTabSz="533400">
            <a:lnSpc>
              <a:spcPct val="90000"/>
            </a:lnSpc>
            <a:spcBef>
              <a:spcPct val="0"/>
            </a:spcBef>
            <a:spcAft>
              <a:spcPct val="15000"/>
            </a:spcAft>
            <a:buChar char="•"/>
          </a:pPr>
          <a:r>
            <a:rPr lang="en-US" sz="1200" kern="1200"/>
            <a:t>Completion by April 2026</a:t>
          </a:r>
        </a:p>
      </dsp:txBody>
      <dsp:txXfrm>
        <a:off x="2318562" y="6967132"/>
        <a:ext cx="8482528" cy="1724270"/>
      </dsp:txXfrm>
    </dsp:sp>
    <dsp:sp modelId="{AEBEA5FD-4A69-AA4F-8863-797028126976}">
      <dsp:nvSpPr>
        <dsp:cNvPr id="0" name=""/>
        <dsp:cNvSpPr/>
      </dsp:nvSpPr>
      <dsp:spPr>
        <a:xfrm>
          <a:off x="158343" y="7195891"/>
          <a:ext cx="2160218" cy="1266751"/>
        </a:xfrm>
        <a:prstGeom prst="roundRect">
          <a:avLst>
            <a:gd name="adj" fmla="val 10000"/>
          </a:avLst>
        </a:prstGeom>
        <a:blipFill rotWithShape="1">
          <a:blip xmlns:r="http://schemas.openxmlformats.org/officeDocument/2006/relationships" r:embed="rId5" cstate="print">
            <a:extLst>
              <a:ext uri="{28A0092B-C50C-407E-A947-70E740481C1C}">
                <a14:useLocalDpi xmlns:a14="http://schemas.microsoft.com/office/drawing/2010/main" val="0"/>
              </a:ext>
            </a:extLst>
          </a:blip>
          <a:srcRect/>
          <a:stretch>
            <a:fillRect l="-3000" r="-3000"/>
          </a:stretch>
        </a:blip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drawing7.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FEB5051-5230-A442-B9AD-B4E15B49F4C2}">
      <dsp:nvSpPr>
        <dsp:cNvPr id="0" name=""/>
        <dsp:cNvSpPr/>
      </dsp:nvSpPr>
      <dsp:spPr>
        <a:xfrm>
          <a:off x="0" y="31749"/>
          <a:ext cx="4572000" cy="2743200"/>
        </a:xfrm>
        <a:prstGeom prst="rect">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72390" tIns="72390" rIns="72390" bIns="72390" numCol="1" spcCol="1270" anchor="ctr" anchorCtr="0">
          <a:noAutofit/>
        </a:bodyPr>
        <a:lstStyle/>
        <a:p>
          <a:pPr marL="0" lvl="0" indent="0" algn="ctr" defTabSz="844550">
            <a:lnSpc>
              <a:spcPct val="90000"/>
            </a:lnSpc>
            <a:spcBef>
              <a:spcPct val="0"/>
            </a:spcBef>
            <a:spcAft>
              <a:spcPct val="35000"/>
            </a:spcAft>
            <a:buNone/>
          </a:pPr>
          <a:r>
            <a:rPr lang="en-US" sz="1900" kern="1200"/>
            <a:t>Sites (leased)</a:t>
          </a:r>
        </a:p>
        <a:p>
          <a:pPr marL="0" lvl="0" indent="0" algn="ctr" defTabSz="844550">
            <a:lnSpc>
              <a:spcPct val="90000"/>
            </a:lnSpc>
            <a:spcBef>
              <a:spcPct val="0"/>
            </a:spcBef>
            <a:spcAft>
              <a:spcPct val="35000"/>
            </a:spcAft>
            <a:buNone/>
          </a:pPr>
          <a:r>
            <a:rPr lang="en-US" sz="1900" kern="1200"/>
            <a:t>.86%carbon-free</a:t>
          </a:r>
        </a:p>
        <a:p>
          <a:pPr marL="0" lvl="0" indent="0" algn="ctr" defTabSz="844550">
            <a:lnSpc>
              <a:spcPct val="90000"/>
            </a:lnSpc>
            <a:spcBef>
              <a:spcPct val="0"/>
            </a:spcBef>
            <a:spcAft>
              <a:spcPct val="35000"/>
            </a:spcAft>
            <a:buNone/>
          </a:pPr>
          <a:r>
            <a:rPr lang="en-US" sz="1900" kern="1200"/>
            <a:t>.3 sites in the US (Newyork, Texas, and Kentucky). Participates in voluntary energy-cutailment program</a:t>
          </a:r>
        </a:p>
        <a:p>
          <a:pPr marL="0" lvl="0" indent="0" algn="ctr" defTabSz="844550">
            <a:lnSpc>
              <a:spcPct val="90000"/>
            </a:lnSpc>
            <a:spcBef>
              <a:spcPct val="0"/>
            </a:spcBef>
            <a:spcAft>
              <a:spcPct val="35000"/>
            </a:spcAft>
            <a:buNone/>
          </a:pPr>
          <a:r>
            <a:rPr lang="en-US" sz="1900" kern="1200"/>
            <a:t>.One site in Canada</a:t>
          </a:r>
        </a:p>
        <a:p>
          <a:pPr marL="0" lvl="0" indent="0" algn="ctr" defTabSz="844550">
            <a:lnSpc>
              <a:spcPct val="90000"/>
            </a:lnSpc>
            <a:spcBef>
              <a:spcPct val="0"/>
            </a:spcBef>
            <a:spcAft>
              <a:spcPct val="35000"/>
            </a:spcAft>
            <a:buNone/>
          </a:pPr>
          <a:r>
            <a:rPr lang="en-US" sz="1900" kern="1200"/>
            <a:t>.Two locations in Iceland(10 MW could be converted to ai with small mods, tier 3)</a:t>
          </a:r>
        </a:p>
      </dsp:txBody>
      <dsp:txXfrm>
        <a:off x="0" y="31749"/>
        <a:ext cx="4572000" cy="2743200"/>
      </dsp:txXfrm>
    </dsp:sp>
  </dsp:spTree>
</dsp:drawing>
</file>

<file path=xl/diagrams/layout1.xml><?xml version="1.0" encoding="utf-8"?>
<dgm:layoutDef xmlns:dgm="http://schemas.openxmlformats.org/drawingml/2006/diagram" xmlns:a="http://schemas.openxmlformats.org/drawingml/2006/main" uniqueId="urn:microsoft.com/office/officeart/2005/8/layout/hierarchy3">
  <dgm:title val=""/>
  <dgm:desc val=""/>
  <dgm:catLst>
    <dgm:cat type="hierarchy" pri="7000"/>
    <dgm:cat type="list" pri="23000"/>
    <dgm:cat type="relationship" pri="15000"/>
    <dgm:cat type="convert" pri="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1" destId="11" srcOrd="0" destOrd="0"/>
        <dgm:cxn modelId="6" srcId="1" destId="12" srcOrd="1" destOrd="0"/>
        <dgm:cxn modelId="7" srcId="0" destId="2" srcOrd="1" destOrd="0"/>
        <dgm:cxn modelId="8" srcId="2" destId="21" srcOrd="0" destOrd="0"/>
        <dgm:cxn modelId="9" srcId="2" destId="2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diagram">
    <dgm:varLst>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primFontSz" for="des" forName="rootText" op="equ" val="65"/>
      <dgm:constr type="primFontSz" for="des" forName="childText" op="equ" val="65"/>
      <dgm:constr type="w" for="des" forName="rootComposite" refType="w"/>
      <dgm:constr type="h" for="des" forName="rootComposite" refType="w" fact="0.5"/>
      <dgm:constr type="w" for="des" forName="childText" refType="w" refFor="des" refForName="rootComposite" fact="0.8"/>
      <dgm:constr type="h" for="des" forName="childText" refType="h" refFor="des" refForName="rootComposite"/>
      <dgm:constr type="sibSp" refType="w" refFor="des" refForName="rootComposite" fact="0.25"/>
      <dgm:constr type="sibSp" for="des" forName="childShape" refType="h" refFor="des" refForName="childText" fact="0.25"/>
      <dgm:constr type="sp" for="des" forName="root" refType="h" refFor="des" refForName="childText" fact="0.25"/>
    </dgm:constrLst>
    <dgm:ruleLst/>
    <dgm:forEach name="Name3" axis="ch">
      <dgm:forEach name="Name4" axis="self" ptType="node" cnt="1">
        <dgm:layoutNode name="root">
          <dgm:choose name="Name5">
            <dgm:if name="Name6" func="var" arg="dir" op="equ" val="norm">
              <dgm:alg type="hierRoot">
                <dgm:param type="hierAlign" val="tL"/>
              </dgm:alg>
            </dgm:if>
            <dgm:else name="Name7">
              <dgm:alg type="hierRoot">
                <dgm:param type="hierAlign" val="tR"/>
              </dgm:alg>
            </dgm:else>
          </dgm:choose>
          <dgm:shape xmlns:r="http://schemas.openxmlformats.org/officeDocument/2006/relationships" r:blip="">
            <dgm:adjLst/>
          </dgm:shape>
          <dgm:presOf/>
          <dgm:constrLst>
            <dgm:constr type="alignOff" val="0.2"/>
          </dgm:constrLst>
          <dgm:ruleLst/>
          <dgm:layoutNode name="rootComposite">
            <dgm:alg type="composite"/>
            <dgm:shape xmlns:r="http://schemas.openxmlformats.org/officeDocument/2006/relationships" r:blip="">
              <dgm:adjLst/>
            </dgm:shape>
            <dgm:presOf axis="self" ptType="node" cnt="1"/>
            <dgm:choose name="Name8">
              <dgm:if name="Name9" func="var" arg="dir" op="equ" val="norm">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10">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styleLbl="node1">
              <dgm:alg type="tx"/>
              <dgm:shape xmlns:r="http://schemas.openxmlformats.org/officeDocument/2006/relationships" type="roundRect" r:blip="">
                <dgm:adjLst>
                  <dgm:adj idx="1" val="0.1"/>
                </dgm:adjLst>
              </dgm:shape>
              <dgm:presOf axis="self" ptType="node" cnt="1"/>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layoutNode name="rootConnector" moveWith="rootText">
              <dgm:alg type="sp"/>
              <dgm:shape xmlns:r="http://schemas.openxmlformats.org/officeDocument/2006/relationships" type="roundRect" r:blip="" hideGeom="1">
                <dgm:adjLst>
                  <dgm:adj idx="1" val="0.1"/>
                </dgm:adjLst>
              </dgm:shape>
              <dgm:presOf axis="self" ptType="node" cnt="1"/>
              <dgm:constrLst/>
              <dgm:ruleLst/>
            </dgm:layoutNode>
          </dgm:layoutNode>
          <dgm:layoutNode name="childShape">
            <dgm:alg type="hierChild">
              <dgm:param type="chAlign" val="l"/>
              <dgm:param type="linDir" val="fromT"/>
            </dgm:alg>
            <dgm:shape xmlns:r="http://schemas.openxmlformats.org/officeDocument/2006/relationships" r:blip="">
              <dgm:adjLst/>
            </dgm:shape>
            <dgm:presOf/>
            <dgm:constrLst/>
            <dgm:ruleLst/>
            <dgm:forEach name="Name11" axis="ch">
              <dgm:forEach name="Name12" axis="self" ptType="parTrans" cnt="1">
                <dgm:layoutNode name="Name13">
                  <dgm:choose name="Name14">
                    <dgm:if name="Name15" func="var" arg="dir" op="equ" val="norm">
                      <dgm:alg type="conn">
                        <dgm:param type="dim" val="1D"/>
                        <dgm:param type="endSty" val="noArr"/>
                        <dgm:param type="connRout" val="bend"/>
                        <dgm:param type="srcNode" val="rootConnector"/>
                        <dgm:param type="begPts" val="bCtr"/>
                        <dgm:param type="endPts" val="midL"/>
                      </dgm:alg>
                    </dgm:if>
                    <dgm:else name="Name16">
                      <dgm:alg type="conn">
                        <dgm:param type="dim" val="1D"/>
                        <dgm:param type="endSty" val="noArr"/>
                        <dgm:param type="connRout" val="bend"/>
                        <dgm:param type="srcNode" val="rootConnector"/>
                        <dgm:param type="begPts" val="bCtr"/>
                        <dgm:param type="endPts" val="midR"/>
                      </dgm:alg>
                    </dgm:else>
                  </dgm:choose>
                  <dgm:shape xmlns:r="http://schemas.openxmlformats.org/officeDocument/2006/relationships" type="conn" r:blip="">
                    <dgm:adjLst/>
                  </dgm:shape>
                  <dgm:presOf axis="self"/>
                  <dgm:constrLst>
                    <dgm:constr type="begPad"/>
                    <dgm:constr type="endPad"/>
                  </dgm:constrLst>
                  <dgm:ruleLst/>
                </dgm:layoutNode>
              </dgm:forEach>
              <dgm:forEach name="Name17" axis="self" ptType="node">
                <dgm:layoutNode name="childText" styleLbl="bgAcc1">
                  <dgm:varLst>
                    <dgm:bulletEnabled val="1"/>
                  </dgm:varLst>
                  <dgm:alg type="tx"/>
                  <dgm:shape xmlns:r="http://schemas.openxmlformats.org/officeDocument/2006/relationships" type="roundRect" r:blip="">
                    <dgm:adjLst>
                      <dgm:adj idx="1" val="0.1"/>
                    </dgm:adjLst>
                  </dgm:shape>
                  <dgm:presOf axis="self desOrSelf" ptType="node node" st="1 1" cnt="1 0"/>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forEach>
            </dgm:forEach>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hierarchy3">
  <dgm:title val=""/>
  <dgm:desc val=""/>
  <dgm:catLst>
    <dgm:cat type="hierarchy" pri="7000"/>
    <dgm:cat type="list" pri="23000"/>
    <dgm:cat type="relationship" pri="15000"/>
    <dgm:cat type="convert" pri="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1" destId="11" srcOrd="0" destOrd="0"/>
        <dgm:cxn modelId="6" srcId="1" destId="12" srcOrd="1" destOrd="0"/>
        <dgm:cxn modelId="7" srcId="0" destId="2" srcOrd="1" destOrd="0"/>
        <dgm:cxn modelId="8" srcId="2" destId="21" srcOrd="0" destOrd="0"/>
        <dgm:cxn modelId="9" srcId="2" destId="2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diagram">
    <dgm:varLst>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primFontSz" for="des" forName="rootText" op="equ" val="65"/>
      <dgm:constr type="primFontSz" for="des" forName="childText" op="equ" val="65"/>
      <dgm:constr type="w" for="des" forName="rootComposite" refType="w"/>
      <dgm:constr type="h" for="des" forName="rootComposite" refType="w" fact="0.5"/>
      <dgm:constr type="w" for="des" forName="childText" refType="w" refFor="des" refForName="rootComposite" fact="0.8"/>
      <dgm:constr type="h" for="des" forName="childText" refType="h" refFor="des" refForName="rootComposite"/>
      <dgm:constr type="sibSp" refType="w" refFor="des" refForName="rootComposite" fact="0.25"/>
      <dgm:constr type="sibSp" for="des" forName="childShape" refType="h" refFor="des" refForName="childText" fact="0.25"/>
      <dgm:constr type="sp" for="des" forName="root" refType="h" refFor="des" refForName="childText" fact="0.25"/>
    </dgm:constrLst>
    <dgm:ruleLst/>
    <dgm:forEach name="Name3" axis="ch">
      <dgm:forEach name="Name4" axis="self" ptType="node" cnt="1">
        <dgm:layoutNode name="root">
          <dgm:choose name="Name5">
            <dgm:if name="Name6" func="var" arg="dir" op="equ" val="norm">
              <dgm:alg type="hierRoot">
                <dgm:param type="hierAlign" val="tL"/>
              </dgm:alg>
            </dgm:if>
            <dgm:else name="Name7">
              <dgm:alg type="hierRoot">
                <dgm:param type="hierAlign" val="tR"/>
              </dgm:alg>
            </dgm:else>
          </dgm:choose>
          <dgm:shape xmlns:r="http://schemas.openxmlformats.org/officeDocument/2006/relationships" r:blip="">
            <dgm:adjLst/>
          </dgm:shape>
          <dgm:presOf/>
          <dgm:constrLst>
            <dgm:constr type="alignOff" val="0.2"/>
          </dgm:constrLst>
          <dgm:ruleLst/>
          <dgm:layoutNode name="rootComposite">
            <dgm:alg type="composite"/>
            <dgm:shape xmlns:r="http://schemas.openxmlformats.org/officeDocument/2006/relationships" r:blip="">
              <dgm:adjLst/>
            </dgm:shape>
            <dgm:presOf axis="self" ptType="node" cnt="1"/>
            <dgm:choose name="Name8">
              <dgm:if name="Name9" func="var" arg="dir" op="equ" val="norm">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10">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styleLbl="node1">
              <dgm:alg type="tx"/>
              <dgm:shape xmlns:r="http://schemas.openxmlformats.org/officeDocument/2006/relationships" type="roundRect" r:blip="">
                <dgm:adjLst>
                  <dgm:adj idx="1" val="0.1"/>
                </dgm:adjLst>
              </dgm:shape>
              <dgm:presOf axis="self" ptType="node" cnt="1"/>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layoutNode name="rootConnector" moveWith="rootText">
              <dgm:alg type="sp"/>
              <dgm:shape xmlns:r="http://schemas.openxmlformats.org/officeDocument/2006/relationships" type="roundRect" r:blip="" hideGeom="1">
                <dgm:adjLst>
                  <dgm:adj idx="1" val="0.1"/>
                </dgm:adjLst>
              </dgm:shape>
              <dgm:presOf axis="self" ptType="node" cnt="1"/>
              <dgm:constrLst/>
              <dgm:ruleLst/>
            </dgm:layoutNode>
          </dgm:layoutNode>
          <dgm:layoutNode name="childShape">
            <dgm:alg type="hierChild">
              <dgm:param type="chAlign" val="l"/>
              <dgm:param type="linDir" val="fromT"/>
            </dgm:alg>
            <dgm:shape xmlns:r="http://schemas.openxmlformats.org/officeDocument/2006/relationships" r:blip="">
              <dgm:adjLst/>
            </dgm:shape>
            <dgm:presOf/>
            <dgm:constrLst/>
            <dgm:ruleLst/>
            <dgm:forEach name="Name11" axis="ch">
              <dgm:forEach name="Name12" axis="self" ptType="parTrans" cnt="1">
                <dgm:layoutNode name="Name13">
                  <dgm:choose name="Name14">
                    <dgm:if name="Name15" func="var" arg="dir" op="equ" val="norm">
                      <dgm:alg type="conn">
                        <dgm:param type="dim" val="1D"/>
                        <dgm:param type="endSty" val="noArr"/>
                        <dgm:param type="connRout" val="bend"/>
                        <dgm:param type="srcNode" val="rootConnector"/>
                        <dgm:param type="begPts" val="bCtr"/>
                        <dgm:param type="endPts" val="midL"/>
                      </dgm:alg>
                    </dgm:if>
                    <dgm:else name="Name16">
                      <dgm:alg type="conn">
                        <dgm:param type="dim" val="1D"/>
                        <dgm:param type="endSty" val="noArr"/>
                        <dgm:param type="connRout" val="bend"/>
                        <dgm:param type="srcNode" val="rootConnector"/>
                        <dgm:param type="begPts" val="bCtr"/>
                        <dgm:param type="endPts" val="midR"/>
                      </dgm:alg>
                    </dgm:else>
                  </dgm:choose>
                  <dgm:shape xmlns:r="http://schemas.openxmlformats.org/officeDocument/2006/relationships" type="conn" r:blip="">
                    <dgm:adjLst/>
                  </dgm:shape>
                  <dgm:presOf axis="self"/>
                  <dgm:constrLst>
                    <dgm:constr type="begPad"/>
                    <dgm:constr type="endPad"/>
                  </dgm:constrLst>
                  <dgm:ruleLst/>
                </dgm:layoutNode>
              </dgm:forEach>
              <dgm:forEach name="Name17" axis="self" ptType="node">
                <dgm:layoutNode name="childText" styleLbl="bgAcc1">
                  <dgm:varLst>
                    <dgm:bulletEnabled val="1"/>
                  </dgm:varLst>
                  <dgm:alg type="tx"/>
                  <dgm:shape xmlns:r="http://schemas.openxmlformats.org/officeDocument/2006/relationships" type="roundRect" r:blip="">
                    <dgm:adjLst>
                      <dgm:adj idx="1" val="0.1"/>
                    </dgm:adjLst>
                  </dgm:shape>
                  <dgm:presOf axis="self desOrSelf" ptType="node node" st="1 1" cnt="1 0"/>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forEach>
            </dgm:forEach>
          </dgm:layoutNod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hierarchy3">
  <dgm:title val=""/>
  <dgm:desc val=""/>
  <dgm:catLst>
    <dgm:cat type="hierarchy" pri="7000"/>
    <dgm:cat type="list" pri="23000"/>
    <dgm:cat type="relationship" pri="15000"/>
    <dgm:cat type="convert" pri="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1" destId="11" srcOrd="0" destOrd="0"/>
        <dgm:cxn modelId="6" srcId="1" destId="12" srcOrd="1" destOrd="0"/>
        <dgm:cxn modelId="7" srcId="0" destId="2" srcOrd="1" destOrd="0"/>
        <dgm:cxn modelId="8" srcId="2" destId="21" srcOrd="0" destOrd="0"/>
        <dgm:cxn modelId="9" srcId="2" destId="2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diagram">
    <dgm:varLst>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primFontSz" for="des" forName="rootText" op="equ" val="65"/>
      <dgm:constr type="primFontSz" for="des" forName="childText" op="equ" val="65"/>
      <dgm:constr type="w" for="des" forName="rootComposite" refType="w"/>
      <dgm:constr type="h" for="des" forName="rootComposite" refType="w" fact="0.5"/>
      <dgm:constr type="w" for="des" forName="childText" refType="w" refFor="des" refForName="rootComposite" fact="0.8"/>
      <dgm:constr type="h" for="des" forName="childText" refType="h" refFor="des" refForName="rootComposite"/>
      <dgm:constr type="sibSp" refType="w" refFor="des" refForName="rootComposite" fact="0.25"/>
      <dgm:constr type="sibSp" for="des" forName="childShape" refType="h" refFor="des" refForName="childText" fact="0.25"/>
      <dgm:constr type="sp" for="des" forName="root" refType="h" refFor="des" refForName="childText" fact="0.25"/>
    </dgm:constrLst>
    <dgm:ruleLst/>
    <dgm:forEach name="Name3" axis="ch">
      <dgm:forEach name="Name4" axis="self" ptType="node" cnt="1">
        <dgm:layoutNode name="root">
          <dgm:choose name="Name5">
            <dgm:if name="Name6" func="var" arg="dir" op="equ" val="norm">
              <dgm:alg type="hierRoot">
                <dgm:param type="hierAlign" val="tL"/>
              </dgm:alg>
            </dgm:if>
            <dgm:else name="Name7">
              <dgm:alg type="hierRoot">
                <dgm:param type="hierAlign" val="tR"/>
              </dgm:alg>
            </dgm:else>
          </dgm:choose>
          <dgm:shape xmlns:r="http://schemas.openxmlformats.org/officeDocument/2006/relationships" r:blip="">
            <dgm:adjLst/>
          </dgm:shape>
          <dgm:presOf/>
          <dgm:constrLst>
            <dgm:constr type="alignOff" val="0.2"/>
          </dgm:constrLst>
          <dgm:ruleLst/>
          <dgm:layoutNode name="rootComposite">
            <dgm:alg type="composite"/>
            <dgm:shape xmlns:r="http://schemas.openxmlformats.org/officeDocument/2006/relationships" r:blip="">
              <dgm:adjLst/>
            </dgm:shape>
            <dgm:presOf axis="self" ptType="node" cnt="1"/>
            <dgm:choose name="Name8">
              <dgm:if name="Name9" func="var" arg="dir" op="equ" val="norm">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10">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styleLbl="node1">
              <dgm:alg type="tx"/>
              <dgm:shape xmlns:r="http://schemas.openxmlformats.org/officeDocument/2006/relationships" type="roundRect" r:blip="">
                <dgm:adjLst>
                  <dgm:adj idx="1" val="0.1"/>
                </dgm:adjLst>
              </dgm:shape>
              <dgm:presOf axis="self" ptType="node" cnt="1"/>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layoutNode name="rootConnector" moveWith="rootText">
              <dgm:alg type="sp"/>
              <dgm:shape xmlns:r="http://schemas.openxmlformats.org/officeDocument/2006/relationships" type="roundRect" r:blip="" hideGeom="1">
                <dgm:adjLst>
                  <dgm:adj idx="1" val="0.1"/>
                </dgm:adjLst>
              </dgm:shape>
              <dgm:presOf axis="self" ptType="node" cnt="1"/>
              <dgm:constrLst/>
              <dgm:ruleLst/>
            </dgm:layoutNode>
          </dgm:layoutNode>
          <dgm:layoutNode name="childShape">
            <dgm:alg type="hierChild">
              <dgm:param type="chAlign" val="l"/>
              <dgm:param type="linDir" val="fromT"/>
            </dgm:alg>
            <dgm:shape xmlns:r="http://schemas.openxmlformats.org/officeDocument/2006/relationships" r:blip="">
              <dgm:adjLst/>
            </dgm:shape>
            <dgm:presOf/>
            <dgm:constrLst/>
            <dgm:ruleLst/>
            <dgm:forEach name="Name11" axis="ch">
              <dgm:forEach name="Name12" axis="self" ptType="parTrans" cnt="1">
                <dgm:layoutNode name="Name13">
                  <dgm:choose name="Name14">
                    <dgm:if name="Name15" func="var" arg="dir" op="equ" val="norm">
                      <dgm:alg type="conn">
                        <dgm:param type="dim" val="1D"/>
                        <dgm:param type="endSty" val="noArr"/>
                        <dgm:param type="connRout" val="bend"/>
                        <dgm:param type="srcNode" val="rootConnector"/>
                        <dgm:param type="begPts" val="bCtr"/>
                        <dgm:param type="endPts" val="midL"/>
                      </dgm:alg>
                    </dgm:if>
                    <dgm:else name="Name16">
                      <dgm:alg type="conn">
                        <dgm:param type="dim" val="1D"/>
                        <dgm:param type="endSty" val="noArr"/>
                        <dgm:param type="connRout" val="bend"/>
                        <dgm:param type="srcNode" val="rootConnector"/>
                        <dgm:param type="begPts" val="bCtr"/>
                        <dgm:param type="endPts" val="midR"/>
                      </dgm:alg>
                    </dgm:else>
                  </dgm:choose>
                  <dgm:shape xmlns:r="http://schemas.openxmlformats.org/officeDocument/2006/relationships" type="conn" r:blip="">
                    <dgm:adjLst/>
                  </dgm:shape>
                  <dgm:presOf axis="self"/>
                  <dgm:constrLst>
                    <dgm:constr type="begPad"/>
                    <dgm:constr type="endPad"/>
                  </dgm:constrLst>
                  <dgm:ruleLst/>
                </dgm:layoutNode>
              </dgm:forEach>
              <dgm:forEach name="Name17" axis="self" ptType="node">
                <dgm:layoutNode name="childText" styleLbl="bgAcc1">
                  <dgm:varLst>
                    <dgm:bulletEnabled val="1"/>
                  </dgm:varLst>
                  <dgm:alg type="tx"/>
                  <dgm:shape xmlns:r="http://schemas.openxmlformats.org/officeDocument/2006/relationships" type="roundRect" r:blip="">
                    <dgm:adjLst>
                      <dgm:adj idx="1" val="0.1"/>
                    </dgm:adjLst>
                  </dgm:shape>
                  <dgm:presOf axis="self desOrSelf" ptType="node node" st="1 1" cnt="1 0"/>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forEach>
            </dgm:forEach>
          </dgm:layoutNode>
        </dgm:layoutNode>
      </dgm:forEach>
    </dgm:forEach>
  </dgm:layoutNode>
</dgm:layoutDef>
</file>

<file path=xl/diagrams/layout5.xml><?xml version="1.0" encoding="utf-8"?>
<dgm:layoutDef xmlns:dgm="http://schemas.openxmlformats.org/drawingml/2006/diagram" xmlns:a="http://schemas.openxmlformats.org/drawingml/2006/main" uniqueId="urn:microsoft.com/office/officeart/2005/8/layout/hList6">
  <dgm:title val=""/>
  <dgm:desc val=""/>
  <dgm:catLst>
    <dgm:cat type="list" pri="18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ptType="node" refType="h"/>
      <dgm:constr type="w" for="ch" ptType="node" refType="w"/>
      <dgm:constr type="primFontSz" for="ch" ptType="node" op="equ"/>
      <dgm:constr type="w" for="ch" forName="sibTrans" refType="w" fact="0.075"/>
    </dgm:constrLst>
    <dgm:ruleLst/>
    <dgm:forEach name="nodesForEach" axis="ch" ptType="node">
      <dgm:layoutNode name="node">
        <dgm:varLst>
          <dgm:bulletEnabled val="1"/>
        </dgm:varLst>
        <dgm:alg type="tx"/>
        <dgm:choose name="Name4">
          <dgm:if name="Name5" func="var" arg="dir" op="equ" val="norm">
            <dgm:shape xmlns:r="http://schemas.openxmlformats.org/officeDocument/2006/relationships" rot="-90" type="flowChartManualOperation" r:blip="">
              <dgm:adjLst/>
            </dgm:shape>
          </dgm:if>
          <dgm:else name="Name6">
            <dgm:shape xmlns:r="http://schemas.openxmlformats.org/officeDocument/2006/relationships" rot="90" type="flowChartManualOperation" r:blip="">
              <dgm:adjLst/>
            </dgm:shape>
          </dgm:else>
        </dgm:choose>
        <dgm:presOf axis="desOrSelf" ptType="node"/>
        <dgm:constrLst>
          <dgm:constr type="primFontSz" val="65"/>
          <dgm:constr type="tMarg"/>
          <dgm:constr type="bMarg"/>
          <dgm:constr type="lMarg" refType="primFontSz" fact="0.5"/>
          <dgm:constr type="rMarg" refType="lMarg"/>
        </dgm:constrLst>
        <dgm:ruleLst>
          <dgm:rule type="primFontSz" val="5" fact="NaN" max="NaN"/>
        </dgm:ruleLst>
      </dgm:layoutNode>
      <dgm:forEach name="sibTransForEach"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6.xml><?xml version="1.0" encoding="utf-8"?>
<dgm:layoutDef xmlns:dgm="http://schemas.openxmlformats.org/drawingml/2006/diagram" xmlns:a="http://schemas.openxmlformats.org/drawingml/2006/main" uniqueId="urn:microsoft.com/office/officeart/2005/8/layout/vList4">
  <dgm:title val=""/>
  <dgm:desc val=""/>
  <dgm:catLst>
    <dgm:cat type="list" pri="13000"/>
    <dgm:cat type="picture" pri="26000"/>
    <dgm:cat type="pictureconvert" pri="26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dir/>
      <dgm:resizeHandles val="exact"/>
    </dgm:varLst>
    <dgm:alg type="lin">
      <dgm:param type="linDir" val="fromT"/>
      <dgm:param type="vertAlign" val="t"/>
    </dgm:alg>
    <dgm:shape xmlns:r="http://schemas.openxmlformats.org/officeDocument/2006/relationships" r:blip="">
      <dgm:adjLst/>
    </dgm:shape>
    <dgm:presOf/>
    <dgm:constrLst>
      <dgm:constr type="w" for="ch" forName="comp" refType="w"/>
      <dgm:constr type="h" for="ch" forName="comp" refType="h"/>
      <dgm:constr type="h" for="ch" forName="spacer" refType="h" refFor="ch" refForName="comp" op="equ" fact="0.1"/>
      <dgm:constr type="primFontSz" for="des" forName="text" op="equ" val="65"/>
    </dgm:constrLst>
    <dgm:ruleLst/>
    <dgm:forEach name="Name0" axis="ch" ptType="node">
      <dgm:layoutNode name="comp" styleLbl="node1">
        <dgm:alg type="composite"/>
        <dgm:shape xmlns:r="http://schemas.openxmlformats.org/officeDocument/2006/relationships" r:blip="">
          <dgm:adjLst/>
        </dgm:shape>
        <dgm:presOf/>
        <dgm:choose name="Name1">
          <dgm:if name="Name2" func="var" arg="dir" op="equ" val="norm">
            <dgm:constrLst>
              <dgm:constr type="h" for="ch" forName="box" refType="h"/>
              <dgm:constr type="w" for="ch" forName="box" refType="w"/>
              <dgm:constr type="w" for="ch" forName="img" refType="w" refFor="ch" refForName="box" fact="0.2"/>
              <dgm:constr type="h" for="ch" forName="img" refType="h" refFor="ch" refForName="box" fact="0.8"/>
              <dgm:constr type="t" for="ch" forName="img" refType="h" refFor="ch" refForName="box" fact="0.1"/>
              <dgm:constr type="l" for="ch" forName="img" refType="h" refFor="ch" refForName="box" fact="0.1"/>
              <dgm:constr type="h" for="ch" forName="text" refType="h"/>
              <dgm:constr type="l" for="ch" forName="text" refType="r" refFor="ch" refForName="img"/>
              <dgm:constr type="r" for="ch" forName="text" refType="w"/>
            </dgm:constrLst>
          </dgm:if>
          <dgm:else name="Name3">
            <dgm:constrLst>
              <dgm:constr type="h" for="ch" forName="box" refType="h"/>
              <dgm:constr type="w" for="ch" forName="box" refType="w"/>
              <dgm:constr type="w" for="ch" forName="img" refType="w" refFor="ch" refForName="box" fact="0.2"/>
              <dgm:constr type="h" for="ch" forName="img" refType="h" refFor="ch" refForName="box" fact="0.8"/>
              <dgm:constr type="t" for="ch" forName="img" refType="h" refFor="ch" refForName="box" fact="0.1"/>
              <dgm:constr type="r" for="ch" forName="img" refType="w" refFor="ch" refForName="box"/>
              <dgm:constr type="rOff" for="ch" forName="img" refType="h" refFor="ch" refForName="box" fact="-0.1"/>
              <dgm:constr type="h" for="ch" forName="text" refType="h"/>
              <dgm:constr type="r" for="ch" forName="text" refType="l" refFor="ch" refForName="img"/>
              <dgm:constr type="l" for="ch" forName="text"/>
            </dgm:constrLst>
          </dgm:else>
        </dgm:choose>
        <dgm:ruleLst/>
        <dgm:layoutNode name="box" styleLbl="node1">
          <dgm:alg type="sp"/>
          <dgm:shape xmlns:r="http://schemas.openxmlformats.org/officeDocument/2006/relationships" type="roundRect" r:blip="">
            <dgm:adjLst>
              <dgm:adj idx="1" val="0.1"/>
            </dgm:adjLst>
          </dgm:shape>
          <dgm:presOf axis="desOrSelf" ptType="node"/>
          <dgm:constrLst/>
          <dgm:ruleLst/>
        </dgm:layoutNode>
        <dgm:layoutNode name="img" styleLbl="fgImgPlace1">
          <dgm:alg type="sp"/>
          <dgm:shape xmlns:r="http://schemas.openxmlformats.org/officeDocument/2006/relationships" type="roundRect" r:blip="" blipPhldr="1">
            <dgm:adjLst>
              <dgm:adj idx="1" val="0.1"/>
            </dgm:adjLst>
          </dgm:shape>
          <dgm:presOf/>
          <dgm:constrLst/>
          <dgm:ruleLst/>
        </dgm:layoutNode>
        <dgm:layoutNode name="text">
          <dgm:varLst>
            <dgm:bulletEnabled val="1"/>
          </dgm:varLst>
          <dgm:alg type="tx">
            <dgm:param type="parTxLTRAlign" val="l"/>
            <dgm:param type="parTxRTLAlign" val="r"/>
          </dgm:alg>
          <dgm:shape xmlns:r="http://schemas.openxmlformats.org/officeDocument/2006/relationships" type="rect" r:blip="" hideGeom="1">
            <dgm:adjLst/>
          </dgm:shape>
          <dgm:presOf axis="desOrSelf" ptType="node"/>
          <dgm:constrLst>
            <dgm:constr type="tMarg" refType="primFontSz" fact="0.3"/>
            <dgm:constr type="bMarg" refType="primFontSz" fact="0.3"/>
            <dgm:constr type="lMarg" refType="primFontSz" fact="0.3"/>
            <dgm:constr type="rMarg" refType="primFontSz" fact="0.3"/>
          </dgm:constrLst>
          <dgm:ruleLst>
            <dgm:rule type="primFontSz" val="5" fact="NaN" max="NaN"/>
          </dgm:ruleLst>
        </dgm:layoutNode>
      </dgm:layoutNode>
      <dgm:forEach name="Name4" axis="followSib" ptType="sibTrans" cnt="1">
        <dgm:layoutNode name="spacer">
          <dgm:alg type="sp"/>
          <dgm:shape xmlns:r="http://schemas.openxmlformats.org/officeDocument/2006/relationships" r:blip="">
            <dgm:adjLst/>
          </dgm:shape>
          <dgm:presOf axis="self"/>
          <dgm:constrLst/>
          <dgm:ruleLst/>
        </dgm:layoutNode>
      </dgm:forEach>
    </dgm:forEach>
  </dgm:layoutNode>
</dgm:layoutDef>
</file>

<file path=xl/diagrams/layout7.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5.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6.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7.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diagramData" Target="../diagrams/data2.xml"/><Relationship Id="rId3" Type="http://schemas.openxmlformats.org/officeDocument/2006/relationships/diagramData" Target="../diagrams/data1.xml"/><Relationship Id="rId7" Type="http://schemas.microsoft.com/office/2007/relationships/diagramDrawing" Target="../diagrams/drawing1.xml"/><Relationship Id="rId12" Type="http://schemas.microsoft.com/office/2007/relationships/diagramDrawing" Target="../diagrams/drawing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diagramColors" Target="../diagrams/colors1.xml"/><Relationship Id="rId11" Type="http://schemas.openxmlformats.org/officeDocument/2006/relationships/diagramColors" Target="../diagrams/colors2.xml"/><Relationship Id="rId5" Type="http://schemas.openxmlformats.org/officeDocument/2006/relationships/diagramQuickStyle" Target="../diagrams/quickStyle1.xml"/><Relationship Id="rId10" Type="http://schemas.openxmlformats.org/officeDocument/2006/relationships/diagramQuickStyle" Target="../diagrams/quickStyle2.xml"/><Relationship Id="rId4" Type="http://schemas.openxmlformats.org/officeDocument/2006/relationships/diagramLayout" Target="../diagrams/layout1.xml"/><Relationship Id="rId9" Type="http://schemas.openxmlformats.org/officeDocument/2006/relationships/diagramLayout" Target="../diagrams/layout2.xml"/></Relationships>
</file>

<file path=xl/drawings/_rels/drawing5.xml.rels><?xml version="1.0" encoding="UTF-8" standalone="yes"?>
<Relationships xmlns="http://schemas.openxmlformats.org/package/2006/relationships"><Relationship Id="rId8" Type="http://schemas.openxmlformats.org/officeDocument/2006/relationships/diagramQuickStyle" Target="../diagrams/quickStyle4.xml"/><Relationship Id="rId3" Type="http://schemas.openxmlformats.org/officeDocument/2006/relationships/diagramQuickStyle" Target="../diagrams/quickStyle3.xml"/><Relationship Id="rId7" Type="http://schemas.openxmlformats.org/officeDocument/2006/relationships/diagramLayout" Target="../diagrams/layout4.xml"/><Relationship Id="rId2" Type="http://schemas.openxmlformats.org/officeDocument/2006/relationships/diagramLayout" Target="../diagrams/layout3.xml"/><Relationship Id="rId1" Type="http://schemas.openxmlformats.org/officeDocument/2006/relationships/diagramData" Target="../diagrams/data3.xml"/><Relationship Id="rId6" Type="http://schemas.openxmlformats.org/officeDocument/2006/relationships/diagramData" Target="../diagrams/data4.xml"/><Relationship Id="rId5" Type="http://schemas.microsoft.com/office/2007/relationships/diagramDrawing" Target="../diagrams/drawing3.xml"/><Relationship Id="rId10" Type="http://schemas.microsoft.com/office/2007/relationships/diagramDrawing" Target="../diagrams/drawing4.xml"/><Relationship Id="rId4" Type="http://schemas.openxmlformats.org/officeDocument/2006/relationships/diagramColors" Target="../diagrams/colors3.xml"/><Relationship Id="rId9" Type="http://schemas.openxmlformats.org/officeDocument/2006/relationships/diagramColors" Target="../diagrams/colors4.xml"/></Relationships>
</file>

<file path=xl/drawings/_rels/drawing6.xml.rels><?xml version="1.0" encoding="UTF-8" standalone="yes"?>
<Relationships xmlns="http://schemas.openxmlformats.org/package/2006/relationships"><Relationship Id="rId8" Type="http://schemas.openxmlformats.org/officeDocument/2006/relationships/diagramColors" Target="../diagrams/colors5.xml"/><Relationship Id="rId3" Type="http://schemas.openxmlformats.org/officeDocument/2006/relationships/chart" Target="../charts/chart11.xml"/><Relationship Id="rId7" Type="http://schemas.openxmlformats.org/officeDocument/2006/relationships/diagramQuickStyle" Target="../diagrams/quickStyle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diagramLayout" Target="../diagrams/layout5.xml"/><Relationship Id="rId5" Type="http://schemas.openxmlformats.org/officeDocument/2006/relationships/diagramData" Target="../diagrams/data5.xml"/><Relationship Id="rId10" Type="http://schemas.openxmlformats.org/officeDocument/2006/relationships/chart" Target="../charts/chart13.xml"/><Relationship Id="rId4" Type="http://schemas.openxmlformats.org/officeDocument/2006/relationships/chart" Target="../charts/chart12.xml"/><Relationship Id="rId9" Type="http://schemas.microsoft.com/office/2007/relationships/diagramDrawing" Target="../diagrams/drawing5.xml"/></Relationships>
</file>

<file path=xl/drawings/_rels/drawing7.xml.rels><?xml version="1.0" encoding="UTF-8" standalone="yes"?>
<Relationships xmlns="http://schemas.openxmlformats.org/package/2006/relationships"><Relationship Id="rId8" Type="http://schemas.microsoft.com/office/2007/relationships/diagramDrawing" Target="../diagrams/drawing6.xml"/><Relationship Id="rId3" Type="http://schemas.openxmlformats.org/officeDocument/2006/relationships/chart" Target="../charts/chart16.xml"/><Relationship Id="rId7" Type="http://schemas.openxmlformats.org/officeDocument/2006/relationships/diagramColors" Target="../diagrams/colors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diagramQuickStyle" Target="../diagrams/quickStyle6.xml"/><Relationship Id="rId5" Type="http://schemas.openxmlformats.org/officeDocument/2006/relationships/diagramLayout" Target="../diagrams/layout6.xml"/><Relationship Id="rId4" Type="http://schemas.openxmlformats.org/officeDocument/2006/relationships/diagramData" Target="../diagrams/data6.xml"/></Relationships>
</file>

<file path=xl/drawings/_rels/drawing8.xml.rels><?xml version="1.0" encoding="UTF-8" standalone="yes"?>
<Relationships xmlns="http://schemas.openxmlformats.org/package/2006/relationships"><Relationship Id="rId3" Type="http://schemas.openxmlformats.org/officeDocument/2006/relationships/diagramQuickStyle" Target="../diagrams/quickStyle7.xml"/><Relationship Id="rId2" Type="http://schemas.openxmlformats.org/officeDocument/2006/relationships/diagramLayout" Target="../diagrams/layout7.xml"/><Relationship Id="rId1" Type="http://schemas.openxmlformats.org/officeDocument/2006/relationships/diagramData" Target="../diagrams/data7.xml"/><Relationship Id="rId6" Type="http://schemas.openxmlformats.org/officeDocument/2006/relationships/image" Target="../media/image7.png"/><Relationship Id="rId5" Type="http://schemas.microsoft.com/office/2007/relationships/diagramDrawing" Target="../diagrams/drawing7.xml"/><Relationship Id="rId4" Type="http://schemas.openxmlformats.org/officeDocument/2006/relationships/diagramColors" Target="../diagrams/colors7.xml"/></Relationships>
</file>

<file path=xl/drawings/_rels/drawing9.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chart" Target="../charts/chart29.xml"/><Relationship Id="rId3" Type="http://schemas.openxmlformats.org/officeDocument/2006/relationships/chart" Target="../charts/chart19.xml"/><Relationship Id="rId7" Type="http://schemas.openxmlformats.org/officeDocument/2006/relationships/chart" Target="../charts/chart23.xml"/><Relationship Id="rId12" Type="http://schemas.openxmlformats.org/officeDocument/2006/relationships/chart" Target="../charts/chart28.xml"/><Relationship Id="rId2" Type="http://schemas.openxmlformats.org/officeDocument/2006/relationships/chart" Target="../charts/chart18.xml"/><Relationship Id="rId16" Type="http://schemas.openxmlformats.org/officeDocument/2006/relationships/chart" Target="../charts/chart32.xml"/><Relationship Id="rId1" Type="http://schemas.openxmlformats.org/officeDocument/2006/relationships/chart" Target="../charts/chart17.xml"/><Relationship Id="rId6" Type="http://schemas.openxmlformats.org/officeDocument/2006/relationships/chart" Target="../charts/chart22.xml"/><Relationship Id="rId11" Type="http://schemas.openxmlformats.org/officeDocument/2006/relationships/chart" Target="../charts/chart27.xml"/><Relationship Id="rId5" Type="http://schemas.openxmlformats.org/officeDocument/2006/relationships/chart" Target="../charts/chart21.xml"/><Relationship Id="rId15" Type="http://schemas.openxmlformats.org/officeDocument/2006/relationships/chart" Target="../charts/chart3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 Id="rId1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editAs="oneCell">
    <xdr:from>
      <xdr:col>2</xdr:col>
      <xdr:colOff>690900</xdr:colOff>
      <xdr:row>153</xdr:row>
      <xdr:rowOff>10160</xdr:rowOff>
    </xdr:from>
    <xdr:to>
      <xdr:col>11</xdr:col>
      <xdr:colOff>457415</xdr:colOff>
      <xdr:row>156</xdr:row>
      <xdr:rowOff>37428</xdr:rowOff>
    </xdr:to>
    <xdr:pic>
      <xdr:nvPicPr>
        <xdr:cNvPr id="3" name="Picture 2">
          <a:extLst>
            <a:ext uri="{FF2B5EF4-FFF2-40B4-BE49-F238E27FC236}">
              <a16:creationId xmlns:a16="http://schemas.microsoft.com/office/drawing/2014/main" id="{2DD4D24F-AAA4-41C3-10B1-25ED72DFC2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76820" y="32146240"/>
          <a:ext cx="9479475" cy="6368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901700</xdr:colOff>
      <xdr:row>19</xdr:row>
      <xdr:rowOff>12700</xdr:rowOff>
    </xdr:from>
    <xdr:to>
      <xdr:col>2</xdr:col>
      <xdr:colOff>939800</xdr:colOff>
      <xdr:row>33</xdr:row>
      <xdr:rowOff>190500</xdr:rowOff>
    </xdr:to>
    <xdr:graphicFrame macro="">
      <xdr:nvGraphicFramePr>
        <xdr:cNvPr id="2" name="Chart 1">
          <a:extLst>
            <a:ext uri="{FF2B5EF4-FFF2-40B4-BE49-F238E27FC236}">
              <a16:creationId xmlns:a16="http://schemas.microsoft.com/office/drawing/2014/main" id="{3A1C8B8C-EBAD-E747-B8C6-5FF17C784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19</xdr:row>
      <xdr:rowOff>0</xdr:rowOff>
    </xdr:from>
    <xdr:to>
      <xdr:col>7</xdr:col>
      <xdr:colOff>533400</xdr:colOff>
      <xdr:row>33</xdr:row>
      <xdr:rowOff>190500</xdr:rowOff>
    </xdr:to>
    <xdr:graphicFrame macro="">
      <xdr:nvGraphicFramePr>
        <xdr:cNvPr id="3" name="Chart 2">
          <a:extLst>
            <a:ext uri="{FF2B5EF4-FFF2-40B4-BE49-F238E27FC236}">
              <a16:creationId xmlns:a16="http://schemas.microsoft.com/office/drawing/2014/main" id="{F85071B3-8C74-4740-BE4C-5AFED05A3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18</xdr:row>
      <xdr:rowOff>190500</xdr:rowOff>
    </xdr:from>
    <xdr:to>
      <xdr:col>12</xdr:col>
      <xdr:colOff>850900</xdr:colOff>
      <xdr:row>34</xdr:row>
      <xdr:rowOff>12700</xdr:rowOff>
    </xdr:to>
    <xdr:graphicFrame macro="">
      <xdr:nvGraphicFramePr>
        <xdr:cNvPr id="4" name="Chart 3">
          <a:extLst>
            <a:ext uri="{FF2B5EF4-FFF2-40B4-BE49-F238E27FC236}">
              <a16:creationId xmlns:a16="http://schemas.microsoft.com/office/drawing/2014/main" id="{830A7B2B-CFDE-4145-AA1B-6993D7B40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18</xdr:row>
      <xdr:rowOff>197555</xdr:rowOff>
    </xdr:from>
    <xdr:to>
      <xdr:col>2</xdr:col>
      <xdr:colOff>465666</xdr:colOff>
      <xdr:row>34</xdr:row>
      <xdr:rowOff>84667</xdr:rowOff>
    </xdr:to>
    <xdr:graphicFrame macro="">
      <xdr:nvGraphicFramePr>
        <xdr:cNvPr id="2" name="Chart 1">
          <a:extLst>
            <a:ext uri="{FF2B5EF4-FFF2-40B4-BE49-F238E27FC236}">
              <a16:creationId xmlns:a16="http://schemas.microsoft.com/office/drawing/2014/main" id="{FBE9672A-CCB6-9C40-A53D-26903D58F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0</xdr:rowOff>
    </xdr:from>
    <xdr:to>
      <xdr:col>6</xdr:col>
      <xdr:colOff>1368778</xdr:colOff>
      <xdr:row>34</xdr:row>
      <xdr:rowOff>84667</xdr:rowOff>
    </xdr:to>
    <xdr:graphicFrame macro="">
      <xdr:nvGraphicFramePr>
        <xdr:cNvPr id="3" name="Chart 2">
          <a:extLst>
            <a:ext uri="{FF2B5EF4-FFF2-40B4-BE49-F238E27FC236}">
              <a16:creationId xmlns:a16="http://schemas.microsoft.com/office/drawing/2014/main" id="{4306D243-F373-8B4B-9274-ACF33CA27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620888</xdr:colOff>
      <xdr:row>19</xdr:row>
      <xdr:rowOff>14110</xdr:rowOff>
    </xdr:from>
    <xdr:to>
      <xdr:col>13</xdr:col>
      <xdr:colOff>42333</xdr:colOff>
      <xdr:row>34</xdr:row>
      <xdr:rowOff>112888</xdr:rowOff>
    </xdr:to>
    <xdr:graphicFrame macro="">
      <xdr:nvGraphicFramePr>
        <xdr:cNvPr id="4" name="Chart 3">
          <a:extLst>
            <a:ext uri="{FF2B5EF4-FFF2-40B4-BE49-F238E27FC236}">
              <a16:creationId xmlns:a16="http://schemas.microsoft.com/office/drawing/2014/main" id="{6589C9F4-8AB9-D74E-9348-545A56C01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19</xdr:row>
      <xdr:rowOff>0</xdr:rowOff>
    </xdr:from>
    <xdr:to>
      <xdr:col>5</xdr:col>
      <xdr:colOff>330200</xdr:colOff>
      <xdr:row>33</xdr:row>
      <xdr:rowOff>76200</xdr:rowOff>
    </xdr:to>
    <xdr:graphicFrame macro="">
      <xdr:nvGraphicFramePr>
        <xdr:cNvPr id="6" name="Chart 5">
          <a:extLst>
            <a:ext uri="{FF2B5EF4-FFF2-40B4-BE49-F238E27FC236}">
              <a16:creationId xmlns:a16="http://schemas.microsoft.com/office/drawing/2014/main" id="{8D6882B3-40F6-824F-8C54-EC6005653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19</xdr:row>
      <xdr:rowOff>0</xdr:rowOff>
    </xdr:from>
    <xdr:to>
      <xdr:col>10</xdr:col>
      <xdr:colOff>787400</xdr:colOff>
      <xdr:row>33</xdr:row>
      <xdr:rowOff>12700</xdr:rowOff>
    </xdr:to>
    <xdr:graphicFrame macro="">
      <xdr:nvGraphicFramePr>
        <xdr:cNvPr id="8" name="Chart 7">
          <a:extLst>
            <a:ext uri="{FF2B5EF4-FFF2-40B4-BE49-F238E27FC236}">
              <a16:creationId xmlns:a16="http://schemas.microsoft.com/office/drawing/2014/main" id="{DFDD18A4-B1ED-5E4A-B57C-314424467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452964</xdr:colOff>
      <xdr:row>0</xdr:row>
      <xdr:rowOff>0</xdr:rowOff>
    </xdr:from>
    <xdr:to>
      <xdr:col>18</xdr:col>
      <xdr:colOff>465665</xdr:colOff>
      <xdr:row>31</xdr:row>
      <xdr:rowOff>42335</xdr:rowOff>
    </xdr:to>
    <xdr:graphicFrame macro="">
      <xdr:nvGraphicFramePr>
        <xdr:cNvPr id="11" name="Diagram 10">
          <a:extLst>
            <a:ext uri="{FF2B5EF4-FFF2-40B4-BE49-F238E27FC236}">
              <a16:creationId xmlns:a16="http://schemas.microsoft.com/office/drawing/2014/main" id="{80999E62-9345-9EFA-F706-F6A02894287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 r:lo="rId4" r:qs="rId5" r:cs="rId6"/>
        </a:graphicData>
      </a:graphic>
    </xdr:graphicFrame>
    <xdr:clientData/>
  </xdr:twoCellAnchor>
  <xdr:twoCellAnchor>
    <xdr:from>
      <xdr:col>16</xdr:col>
      <xdr:colOff>691445</xdr:colOff>
      <xdr:row>2</xdr:row>
      <xdr:rowOff>70557</xdr:rowOff>
    </xdr:from>
    <xdr:to>
      <xdr:col>20</xdr:col>
      <xdr:colOff>296333</xdr:colOff>
      <xdr:row>6</xdr:row>
      <xdr:rowOff>70557</xdr:rowOff>
    </xdr:to>
    <xdr:graphicFrame macro="">
      <xdr:nvGraphicFramePr>
        <xdr:cNvPr id="3" name="Diagram 2">
          <a:extLst>
            <a:ext uri="{FF2B5EF4-FFF2-40B4-BE49-F238E27FC236}">
              <a16:creationId xmlns:a16="http://schemas.microsoft.com/office/drawing/2014/main" id="{87983987-7475-2EE5-C6FF-FC142B977F01}"/>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8" r:lo="rId9" r:qs="rId10" r:cs="rId1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914400</xdr:colOff>
      <xdr:row>19</xdr:row>
      <xdr:rowOff>0</xdr:rowOff>
    </xdr:from>
    <xdr:to>
      <xdr:col>4</xdr:col>
      <xdr:colOff>1054100</xdr:colOff>
      <xdr:row>44</xdr:row>
      <xdr:rowOff>12700</xdr:rowOff>
    </xdr:to>
    <xdr:graphicFrame macro="">
      <xdr:nvGraphicFramePr>
        <xdr:cNvPr id="2" name="Diagram 1">
          <a:extLst>
            <a:ext uri="{FF2B5EF4-FFF2-40B4-BE49-F238E27FC236}">
              <a16:creationId xmlns:a16="http://schemas.microsoft.com/office/drawing/2014/main" id="{F4C45B4C-69E2-2FF2-2C3F-5F126DEAC0B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3</xdr:col>
      <xdr:colOff>342900</xdr:colOff>
      <xdr:row>18</xdr:row>
      <xdr:rowOff>165100</xdr:rowOff>
    </xdr:from>
    <xdr:to>
      <xdr:col>11</xdr:col>
      <xdr:colOff>177800</xdr:colOff>
      <xdr:row>44</xdr:row>
      <xdr:rowOff>139700</xdr:rowOff>
    </xdr:to>
    <xdr:graphicFrame macro="">
      <xdr:nvGraphicFramePr>
        <xdr:cNvPr id="3" name="Diagram 2">
          <a:extLst>
            <a:ext uri="{FF2B5EF4-FFF2-40B4-BE49-F238E27FC236}">
              <a16:creationId xmlns:a16="http://schemas.microsoft.com/office/drawing/2014/main" id="{DF9CC529-1319-5CEE-A3F2-487DE9EFE24F}"/>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25399</xdr:colOff>
      <xdr:row>18</xdr:row>
      <xdr:rowOff>169334</xdr:rowOff>
    </xdr:from>
    <xdr:to>
      <xdr:col>3</xdr:col>
      <xdr:colOff>1100667</xdr:colOff>
      <xdr:row>38</xdr:row>
      <xdr:rowOff>0</xdr:rowOff>
    </xdr:to>
    <xdr:graphicFrame macro="">
      <xdr:nvGraphicFramePr>
        <xdr:cNvPr id="2" name="Chart 1">
          <a:extLst>
            <a:ext uri="{FF2B5EF4-FFF2-40B4-BE49-F238E27FC236}">
              <a16:creationId xmlns:a16="http://schemas.microsoft.com/office/drawing/2014/main" id="{6C552721-E13F-DC43-9382-D4BA9EBD4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1312334</xdr:colOff>
      <xdr:row>18</xdr:row>
      <xdr:rowOff>196144</xdr:rowOff>
    </xdr:from>
    <xdr:to>
      <xdr:col>9</xdr:col>
      <xdr:colOff>28222</xdr:colOff>
      <xdr:row>38</xdr:row>
      <xdr:rowOff>14111</xdr:rowOff>
    </xdr:to>
    <xdr:graphicFrame macro="">
      <xdr:nvGraphicFramePr>
        <xdr:cNvPr id="3" name="Chart 2">
          <a:extLst>
            <a:ext uri="{FF2B5EF4-FFF2-40B4-BE49-F238E27FC236}">
              <a16:creationId xmlns:a16="http://schemas.microsoft.com/office/drawing/2014/main" id="{F0DD47A3-9C5F-3D4D-AC8F-2222EEF24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189089</xdr:colOff>
      <xdr:row>19</xdr:row>
      <xdr:rowOff>28222</xdr:rowOff>
    </xdr:from>
    <xdr:to>
      <xdr:col>14</xdr:col>
      <xdr:colOff>239889</xdr:colOff>
      <xdr:row>38</xdr:row>
      <xdr:rowOff>56445</xdr:rowOff>
    </xdr:to>
    <xdr:graphicFrame macro="">
      <xdr:nvGraphicFramePr>
        <xdr:cNvPr id="4" name="Chart 3">
          <a:extLst>
            <a:ext uri="{FF2B5EF4-FFF2-40B4-BE49-F238E27FC236}">
              <a16:creationId xmlns:a16="http://schemas.microsoft.com/office/drawing/2014/main" id="{C97A169C-A2F9-174C-970B-172DAD2AC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450143</xdr:colOff>
      <xdr:row>19</xdr:row>
      <xdr:rowOff>28223</xdr:rowOff>
    </xdr:from>
    <xdr:to>
      <xdr:col>20</xdr:col>
      <xdr:colOff>248355</xdr:colOff>
      <xdr:row>34</xdr:row>
      <xdr:rowOff>53623</xdr:rowOff>
    </xdr:to>
    <xdr:graphicFrame macro="">
      <xdr:nvGraphicFramePr>
        <xdr:cNvPr id="5" name="Chart 4">
          <a:extLst>
            <a:ext uri="{FF2B5EF4-FFF2-40B4-BE49-F238E27FC236}">
              <a16:creationId xmlns:a16="http://schemas.microsoft.com/office/drawing/2014/main" id="{D1F30218-077D-BB40-BB9E-4DD819C23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9878</xdr:colOff>
      <xdr:row>0</xdr:row>
      <xdr:rowOff>0</xdr:rowOff>
    </xdr:from>
    <xdr:to>
      <xdr:col>27</xdr:col>
      <xdr:colOff>251177</xdr:colOff>
      <xdr:row>18</xdr:row>
      <xdr:rowOff>50800</xdr:rowOff>
    </xdr:to>
    <xdr:graphicFrame macro="">
      <xdr:nvGraphicFramePr>
        <xdr:cNvPr id="6" name="Diagram 5">
          <a:extLst>
            <a:ext uri="{FF2B5EF4-FFF2-40B4-BE49-F238E27FC236}">
              <a16:creationId xmlns:a16="http://schemas.microsoft.com/office/drawing/2014/main" id="{883AE97C-723E-98A9-2E65-59EB81B0E4D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5" r:lo="rId6" r:qs="rId7" r:cs="rId8"/>
        </a:graphicData>
      </a:graphic>
    </xdr:graphicFrame>
    <xdr:clientData/>
  </xdr:twoCellAnchor>
  <xdr:twoCellAnchor>
    <xdr:from>
      <xdr:col>14</xdr:col>
      <xdr:colOff>379588</xdr:colOff>
      <xdr:row>19</xdr:row>
      <xdr:rowOff>70557</xdr:rowOff>
    </xdr:from>
    <xdr:to>
      <xdr:col>21</xdr:col>
      <xdr:colOff>28222</xdr:colOff>
      <xdr:row>38</xdr:row>
      <xdr:rowOff>70556</xdr:rowOff>
    </xdr:to>
    <xdr:graphicFrame macro="">
      <xdr:nvGraphicFramePr>
        <xdr:cNvPr id="7" name="Chart 6">
          <a:extLst>
            <a:ext uri="{FF2B5EF4-FFF2-40B4-BE49-F238E27FC236}">
              <a16:creationId xmlns:a16="http://schemas.microsoft.com/office/drawing/2014/main" id="{88C7D725-F146-C1C7-E482-9008CD2C1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65836</xdr:colOff>
      <xdr:row>19</xdr:row>
      <xdr:rowOff>15327</xdr:rowOff>
    </xdr:from>
    <xdr:to>
      <xdr:col>3</xdr:col>
      <xdr:colOff>1722530</xdr:colOff>
      <xdr:row>41</xdr:row>
      <xdr:rowOff>116782</xdr:rowOff>
    </xdr:to>
    <xdr:graphicFrame macro="">
      <xdr:nvGraphicFramePr>
        <xdr:cNvPr id="2" name="Chart 1">
          <a:extLst>
            <a:ext uri="{FF2B5EF4-FFF2-40B4-BE49-F238E27FC236}">
              <a16:creationId xmlns:a16="http://schemas.microsoft.com/office/drawing/2014/main" id="{AA26D705-050B-4A44-B438-7867548DF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11971</xdr:colOff>
      <xdr:row>19</xdr:row>
      <xdr:rowOff>0</xdr:rowOff>
    </xdr:from>
    <xdr:to>
      <xdr:col>10</xdr:col>
      <xdr:colOff>656897</xdr:colOff>
      <xdr:row>41</xdr:row>
      <xdr:rowOff>116781</xdr:rowOff>
    </xdr:to>
    <xdr:graphicFrame macro="">
      <xdr:nvGraphicFramePr>
        <xdr:cNvPr id="3" name="Chart 2">
          <a:extLst>
            <a:ext uri="{FF2B5EF4-FFF2-40B4-BE49-F238E27FC236}">
              <a16:creationId xmlns:a16="http://schemas.microsoft.com/office/drawing/2014/main" id="{B0AE62EE-EAB0-054F-AE29-8FB9F485D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706237</xdr:colOff>
      <xdr:row>19</xdr:row>
      <xdr:rowOff>18059</xdr:rowOff>
    </xdr:from>
    <xdr:to>
      <xdr:col>17</xdr:col>
      <xdr:colOff>72988</xdr:colOff>
      <xdr:row>41</xdr:row>
      <xdr:rowOff>102184</xdr:rowOff>
    </xdr:to>
    <xdr:graphicFrame macro="">
      <xdr:nvGraphicFramePr>
        <xdr:cNvPr id="4" name="Chart 3">
          <a:extLst>
            <a:ext uri="{FF2B5EF4-FFF2-40B4-BE49-F238E27FC236}">
              <a16:creationId xmlns:a16="http://schemas.microsoft.com/office/drawing/2014/main" id="{C38BB2DA-C744-564E-BD92-C699D1D03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493500</xdr:colOff>
      <xdr:row>0</xdr:row>
      <xdr:rowOff>0</xdr:rowOff>
    </xdr:from>
    <xdr:to>
      <xdr:col>30</xdr:col>
      <xdr:colOff>512550</xdr:colOff>
      <xdr:row>37</xdr:row>
      <xdr:rowOff>76200</xdr:rowOff>
    </xdr:to>
    <xdr:graphicFrame macro="">
      <xdr:nvGraphicFramePr>
        <xdr:cNvPr id="5" name="Diagram 4">
          <a:extLst>
            <a:ext uri="{FF2B5EF4-FFF2-40B4-BE49-F238E27FC236}">
              <a16:creationId xmlns:a16="http://schemas.microsoft.com/office/drawing/2014/main" id="{1CB18C23-3076-CC5B-B3B5-A35422DF897F}"/>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4" r:lo="rId5" r:qs="rId6" r:cs="rId7"/>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19</xdr:row>
      <xdr:rowOff>177800</xdr:rowOff>
    </xdr:from>
    <xdr:to>
      <xdr:col>2</xdr:col>
      <xdr:colOff>647700</xdr:colOff>
      <xdr:row>33</xdr:row>
      <xdr:rowOff>76200</xdr:rowOff>
    </xdr:to>
    <xdr:graphicFrame macro="">
      <xdr:nvGraphicFramePr>
        <xdr:cNvPr id="2" name="Diagram 1">
          <a:extLst>
            <a:ext uri="{FF2B5EF4-FFF2-40B4-BE49-F238E27FC236}">
              <a16:creationId xmlns:a16="http://schemas.microsoft.com/office/drawing/2014/main" id="{0C9C510F-44CE-547E-1D03-FADAFB2AC626}"/>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editAs="oneCell">
    <xdr:from>
      <xdr:col>4</xdr:col>
      <xdr:colOff>25400</xdr:colOff>
      <xdr:row>21</xdr:row>
      <xdr:rowOff>50800</xdr:rowOff>
    </xdr:from>
    <xdr:to>
      <xdr:col>10</xdr:col>
      <xdr:colOff>152400</xdr:colOff>
      <xdr:row>47</xdr:row>
      <xdr:rowOff>117433</xdr:rowOff>
    </xdr:to>
    <xdr:pic>
      <xdr:nvPicPr>
        <xdr:cNvPr id="4" name="Picture 3">
          <a:extLst>
            <a:ext uri="{FF2B5EF4-FFF2-40B4-BE49-F238E27FC236}">
              <a16:creationId xmlns:a16="http://schemas.microsoft.com/office/drawing/2014/main" id="{173B1FD3-6427-54A5-0F2B-8153337A539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184900" y="5372100"/>
          <a:ext cx="7772400" cy="534983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2540000</xdr:colOff>
      <xdr:row>21</xdr:row>
      <xdr:rowOff>12700</xdr:rowOff>
    </xdr:from>
    <xdr:to>
      <xdr:col>10</xdr:col>
      <xdr:colOff>582383</xdr:colOff>
      <xdr:row>40</xdr:row>
      <xdr:rowOff>174625</xdr:rowOff>
    </xdr:to>
    <xdr:pic>
      <xdr:nvPicPr>
        <xdr:cNvPr id="4" name="Picture 3">
          <a:extLst>
            <a:ext uri="{FF2B5EF4-FFF2-40B4-BE49-F238E27FC236}">
              <a16:creationId xmlns:a16="http://schemas.microsoft.com/office/drawing/2014/main" id="{AE121FCB-A7CE-8D47-AE0F-C51B7BFCA3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40000" y="5489575"/>
          <a:ext cx="11425008" cy="4083050"/>
        </a:xfrm>
        <a:prstGeom prst="rect">
          <a:avLst/>
        </a:prstGeom>
      </xdr:spPr>
    </xdr:pic>
    <xdr:clientData/>
  </xdr:twoCellAnchor>
  <xdr:twoCellAnchor editAs="oneCell">
    <xdr:from>
      <xdr:col>14</xdr:col>
      <xdr:colOff>787400</xdr:colOff>
      <xdr:row>2</xdr:row>
      <xdr:rowOff>9525</xdr:rowOff>
    </xdr:from>
    <xdr:to>
      <xdr:col>24</xdr:col>
      <xdr:colOff>206375</xdr:colOff>
      <xdr:row>16</xdr:row>
      <xdr:rowOff>579232</xdr:rowOff>
    </xdr:to>
    <xdr:pic>
      <xdr:nvPicPr>
        <xdr:cNvPr id="8" name="Picture 7">
          <a:extLst>
            <a:ext uri="{FF2B5EF4-FFF2-40B4-BE49-F238E27FC236}">
              <a16:creationId xmlns:a16="http://schemas.microsoft.com/office/drawing/2014/main" id="{77CDAE43-06CF-C19B-6327-BC75D94CCD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02275" y="517525"/>
          <a:ext cx="7769225" cy="3776457"/>
        </a:xfrm>
        <a:prstGeom prst="rect">
          <a:avLst/>
        </a:prstGeom>
      </xdr:spPr>
    </xdr:pic>
    <xdr:clientData/>
  </xdr:twoCellAnchor>
  <xdr:twoCellAnchor editAs="oneCell">
    <xdr:from>
      <xdr:col>15</xdr:col>
      <xdr:colOff>31750</xdr:colOff>
      <xdr:row>20</xdr:row>
      <xdr:rowOff>15875</xdr:rowOff>
    </xdr:from>
    <xdr:to>
      <xdr:col>24</xdr:col>
      <xdr:colOff>279401</xdr:colOff>
      <xdr:row>32</xdr:row>
      <xdr:rowOff>193830</xdr:rowOff>
    </xdr:to>
    <xdr:pic>
      <xdr:nvPicPr>
        <xdr:cNvPr id="10" name="Picture 9">
          <a:extLst>
            <a:ext uri="{FF2B5EF4-FFF2-40B4-BE49-F238E27FC236}">
              <a16:creationId xmlns:a16="http://schemas.microsoft.com/office/drawing/2014/main" id="{BFB24EF4-9C14-9407-098A-4AAA46E5BDD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272125" y="5222875"/>
          <a:ext cx="7772400" cy="271795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8</xdr:col>
      <xdr:colOff>107950</xdr:colOff>
      <xdr:row>9</xdr:row>
      <xdr:rowOff>114300</xdr:rowOff>
    </xdr:from>
    <xdr:to>
      <xdr:col>13</xdr:col>
      <xdr:colOff>552450</xdr:colOff>
      <xdr:row>24</xdr:row>
      <xdr:rowOff>12700</xdr:rowOff>
    </xdr:to>
    <xdr:graphicFrame macro="">
      <xdr:nvGraphicFramePr>
        <xdr:cNvPr id="3" name="Chart 2">
          <a:extLst>
            <a:ext uri="{FF2B5EF4-FFF2-40B4-BE49-F238E27FC236}">
              <a16:creationId xmlns:a16="http://schemas.microsoft.com/office/drawing/2014/main" id="{3C958808-834D-BBB0-91E3-A8CFBD2C3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387350</xdr:colOff>
      <xdr:row>8</xdr:row>
      <xdr:rowOff>114300</xdr:rowOff>
    </xdr:from>
    <xdr:to>
      <xdr:col>14</xdr:col>
      <xdr:colOff>6350</xdr:colOff>
      <xdr:row>22</xdr:row>
      <xdr:rowOff>12700</xdr:rowOff>
    </xdr:to>
    <xdr:graphicFrame macro="">
      <xdr:nvGraphicFramePr>
        <xdr:cNvPr id="4" name="Chart 3">
          <a:extLst>
            <a:ext uri="{FF2B5EF4-FFF2-40B4-BE49-F238E27FC236}">
              <a16:creationId xmlns:a16="http://schemas.microsoft.com/office/drawing/2014/main" id="{7C3A36D7-15E9-6C27-F5EC-D41BB05D7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107950</xdr:colOff>
      <xdr:row>9</xdr:row>
      <xdr:rowOff>120650</xdr:rowOff>
    </xdr:from>
    <xdr:to>
      <xdr:col>13</xdr:col>
      <xdr:colOff>552450</xdr:colOff>
      <xdr:row>23</xdr:row>
      <xdr:rowOff>19050</xdr:rowOff>
    </xdr:to>
    <xdr:graphicFrame macro="">
      <xdr:nvGraphicFramePr>
        <xdr:cNvPr id="2" name="Chart 1">
          <a:extLst>
            <a:ext uri="{FF2B5EF4-FFF2-40B4-BE49-F238E27FC236}">
              <a16:creationId xmlns:a16="http://schemas.microsoft.com/office/drawing/2014/main" id="{5BFA7274-B75F-6CBB-5EE2-EB975D46A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xdr:colOff>
      <xdr:row>9</xdr:row>
      <xdr:rowOff>196850</xdr:rowOff>
    </xdr:from>
    <xdr:to>
      <xdr:col>13</xdr:col>
      <xdr:colOff>482600</xdr:colOff>
      <xdr:row>23</xdr:row>
      <xdr:rowOff>95250</xdr:rowOff>
    </xdr:to>
    <xdr:graphicFrame macro="">
      <xdr:nvGraphicFramePr>
        <xdr:cNvPr id="5" name="Chart 4">
          <a:extLst>
            <a:ext uri="{FF2B5EF4-FFF2-40B4-BE49-F238E27FC236}">
              <a16:creationId xmlns:a16="http://schemas.microsoft.com/office/drawing/2014/main" id="{94AF80B0-D5CE-7028-7745-4CB9E114C8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107950</xdr:colOff>
      <xdr:row>9</xdr:row>
      <xdr:rowOff>120650</xdr:rowOff>
    </xdr:from>
    <xdr:to>
      <xdr:col>13</xdr:col>
      <xdr:colOff>552450</xdr:colOff>
      <xdr:row>23</xdr:row>
      <xdr:rowOff>19050</xdr:rowOff>
    </xdr:to>
    <xdr:graphicFrame macro="">
      <xdr:nvGraphicFramePr>
        <xdr:cNvPr id="6" name="Chart 5">
          <a:extLst>
            <a:ext uri="{FF2B5EF4-FFF2-40B4-BE49-F238E27FC236}">
              <a16:creationId xmlns:a16="http://schemas.microsoft.com/office/drawing/2014/main" id="{0916DE2B-0611-4D3C-2B89-898EA0DD6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754495</xdr:colOff>
      <xdr:row>21</xdr:row>
      <xdr:rowOff>125845</xdr:rowOff>
    </xdr:from>
    <xdr:to>
      <xdr:col>26</xdr:col>
      <xdr:colOff>367722</xdr:colOff>
      <xdr:row>35</xdr:row>
      <xdr:rowOff>24246</xdr:rowOff>
    </xdr:to>
    <xdr:graphicFrame macro="">
      <xdr:nvGraphicFramePr>
        <xdr:cNvPr id="7" name="Chart 6">
          <a:extLst>
            <a:ext uri="{FF2B5EF4-FFF2-40B4-BE49-F238E27FC236}">
              <a16:creationId xmlns:a16="http://schemas.microsoft.com/office/drawing/2014/main" id="{DBBE5837-49D4-434A-0942-7B96D463A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822613</xdr:colOff>
      <xdr:row>21</xdr:row>
      <xdr:rowOff>62345</xdr:rowOff>
    </xdr:from>
    <xdr:to>
      <xdr:col>26</xdr:col>
      <xdr:colOff>435840</xdr:colOff>
      <xdr:row>34</xdr:row>
      <xdr:rowOff>168564</xdr:rowOff>
    </xdr:to>
    <xdr:graphicFrame macro="">
      <xdr:nvGraphicFramePr>
        <xdr:cNvPr id="8" name="Chart 7">
          <a:extLst>
            <a:ext uri="{FF2B5EF4-FFF2-40B4-BE49-F238E27FC236}">
              <a16:creationId xmlns:a16="http://schemas.microsoft.com/office/drawing/2014/main" id="{69FE98FC-1A94-C947-6EB6-AC3F1FB2A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615950</xdr:colOff>
      <xdr:row>21</xdr:row>
      <xdr:rowOff>91209</xdr:rowOff>
    </xdr:from>
    <xdr:to>
      <xdr:col>26</xdr:col>
      <xdr:colOff>229177</xdr:colOff>
      <xdr:row>34</xdr:row>
      <xdr:rowOff>197428</xdr:rowOff>
    </xdr:to>
    <xdr:graphicFrame macro="">
      <xdr:nvGraphicFramePr>
        <xdr:cNvPr id="10" name="Chart 9">
          <a:extLst>
            <a:ext uri="{FF2B5EF4-FFF2-40B4-BE49-F238E27FC236}">
              <a16:creationId xmlns:a16="http://schemas.microsoft.com/office/drawing/2014/main" id="{D4EDFCB2-6028-29A7-4711-0569E71FB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484908</xdr:colOff>
      <xdr:row>23</xdr:row>
      <xdr:rowOff>88900</xdr:rowOff>
    </xdr:from>
    <xdr:to>
      <xdr:col>26</xdr:col>
      <xdr:colOff>69272</xdr:colOff>
      <xdr:row>36</xdr:row>
      <xdr:rowOff>130463</xdr:rowOff>
    </xdr:to>
    <xdr:graphicFrame macro="">
      <xdr:nvGraphicFramePr>
        <xdr:cNvPr id="9" name="Chart 8">
          <a:extLst>
            <a:ext uri="{FF2B5EF4-FFF2-40B4-BE49-F238E27FC236}">
              <a16:creationId xmlns:a16="http://schemas.microsoft.com/office/drawing/2014/main" id="{0FACDC8F-1451-98C4-B106-EBCE3DB30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173182</xdr:colOff>
      <xdr:row>25</xdr:row>
      <xdr:rowOff>135081</xdr:rowOff>
    </xdr:from>
    <xdr:to>
      <xdr:col>27</xdr:col>
      <xdr:colOff>588818</xdr:colOff>
      <xdr:row>38</xdr:row>
      <xdr:rowOff>176645</xdr:rowOff>
    </xdr:to>
    <xdr:graphicFrame macro="">
      <xdr:nvGraphicFramePr>
        <xdr:cNvPr id="11" name="Chart 10">
          <a:extLst>
            <a:ext uri="{FF2B5EF4-FFF2-40B4-BE49-F238E27FC236}">
              <a16:creationId xmlns:a16="http://schemas.microsoft.com/office/drawing/2014/main" id="{E2ADDD80-74A7-4A23-8632-C5EF11B4C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103908</xdr:colOff>
      <xdr:row>26</xdr:row>
      <xdr:rowOff>100445</xdr:rowOff>
    </xdr:from>
    <xdr:to>
      <xdr:col>24</xdr:col>
      <xdr:colOff>519545</xdr:colOff>
      <xdr:row>39</xdr:row>
      <xdr:rowOff>142009</xdr:rowOff>
    </xdr:to>
    <xdr:graphicFrame macro="">
      <xdr:nvGraphicFramePr>
        <xdr:cNvPr id="12" name="Chart 11">
          <a:extLst>
            <a:ext uri="{FF2B5EF4-FFF2-40B4-BE49-F238E27FC236}">
              <a16:creationId xmlns:a16="http://schemas.microsoft.com/office/drawing/2014/main" id="{7BFEBFC0-2106-F5F3-AF33-5C985FBAA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202046</xdr:colOff>
      <xdr:row>24</xdr:row>
      <xdr:rowOff>204355</xdr:rowOff>
    </xdr:from>
    <xdr:to>
      <xdr:col>29</xdr:col>
      <xdr:colOff>617682</xdr:colOff>
      <xdr:row>38</xdr:row>
      <xdr:rowOff>38100</xdr:rowOff>
    </xdr:to>
    <xdr:graphicFrame macro="">
      <xdr:nvGraphicFramePr>
        <xdr:cNvPr id="13" name="Chart 12">
          <a:extLst>
            <a:ext uri="{FF2B5EF4-FFF2-40B4-BE49-F238E27FC236}">
              <a16:creationId xmlns:a16="http://schemas.microsoft.com/office/drawing/2014/main" id="{736F5781-94A2-837B-26FF-BB06870F9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178955</xdr:colOff>
      <xdr:row>20</xdr:row>
      <xdr:rowOff>31172</xdr:rowOff>
    </xdr:from>
    <xdr:to>
      <xdr:col>28</xdr:col>
      <xdr:colOff>594592</xdr:colOff>
      <xdr:row>33</xdr:row>
      <xdr:rowOff>72736</xdr:rowOff>
    </xdr:to>
    <xdr:graphicFrame macro="">
      <xdr:nvGraphicFramePr>
        <xdr:cNvPr id="14" name="Chart 13">
          <a:extLst>
            <a:ext uri="{FF2B5EF4-FFF2-40B4-BE49-F238E27FC236}">
              <a16:creationId xmlns:a16="http://schemas.microsoft.com/office/drawing/2014/main" id="{48569728-1F57-20CB-6B1A-30D140139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25</xdr:col>
      <xdr:colOff>63500</xdr:colOff>
      <xdr:row>23</xdr:row>
      <xdr:rowOff>77355</xdr:rowOff>
    </xdr:from>
    <xdr:to>
      <xdr:col>30</xdr:col>
      <xdr:colOff>479136</xdr:colOff>
      <xdr:row>36</xdr:row>
      <xdr:rowOff>118918</xdr:rowOff>
    </xdr:to>
    <xdr:graphicFrame macro="">
      <xdr:nvGraphicFramePr>
        <xdr:cNvPr id="15" name="Chart 14">
          <a:extLst>
            <a:ext uri="{FF2B5EF4-FFF2-40B4-BE49-F238E27FC236}">
              <a16:creationId xmlns:a16="http://schemas.microsoft.com/office/drawing/2014/main" id="{E89D81BA-D6A1-55CF-78D6-611B183A3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26</xdr:col>
      <xdr:colOff>508000</xdr:colOff>
      <xdr:row>28</xdr:row>
      <xdr:rowOff>169718</xdr:rowOff>
    </xdr:from>
    <xdr:to>
      <xdr:col>32</xdr:col>
      <xdr:colOff>92364</xdr:colOff>
      <xdr:row>42</xdr:row>
      <xdr:rowOff>3463</xdr:rowOff>
    </xdr:to>
    <xdr:graphicFrame macro="">
      <xdr:nvGraphicFramePr>
        <xdr:cNvPr id="16" name="Chart 15">
          <a:extLst>
            <a:ext uri="{FF2B5EF4-FFF2-40B4-BE49-F238E27FC236}">
              <a16:creationId xmlns:a16="http://schemas.microsoft.com/office/drawing/2014/main" id="{A590A1D0-AD04-BF9B-CBF9-6D6DAE5E5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386770</xdr:colOff>
      <xdr:row>42</xdr:row>
      <xdr:rowOff>135081</xdr:rowOff>
    </xdr:from>
    <xdr:to>
      <xdr:col>25</xdr:col>
      <xdr:colOff>802407</xdr:colOff>
      <xdr:row>55</xdr:row>
      <xdr:rowOff>176645</xdr:rowOff>
    </xdr:to>
    <xdr:graphicFrame macro="">
      <xdr:nvGraphicFramePr>
        <xdr:cNvPr id="17" name="Chart 16">
          <a:extLst>
            <a:ext uri="{FF2B5EF4-FFF2-40B4-BE49-F238E27FC236}">
              <a16:creationId xmlns:a16="http://schemas.microsoft.com/office/drawing/2014/main" id="{950C8E42-26E6-4D60-6845-E48536082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5">
  <rv s="0">
    <v>https://www.bing.com/financeapi/forcetrigger?t=c438im&amp;q=XNAS%3aIREN&amp;form=skydnc</v>
    <v>Learn more on Bing</v>
  </rv>
  <rv s="1">
    <v>0</v>
    <v>IREN LIMITED (XNAS:IREN)</v>
    <v>2</v>
    <v>3</v>
    <v>Finance</v>
    <v>4</v>
    <v>en-US</v>
    <v>c438im</v>
    <v>268435456</v>
    <v>1</v>
    <v>Powered by Refinitiv</v>
    <v>15.92</v>
    <v>5.125</v>
    <v>3.7778999999999998</v>
    <v>-0.13</v>
    <v>-1.2621E-2</v>
    <v>-0.09</v>
    <v>-8.8500000000000002E-3</v>
    <v>USD</v>
    <v>IREN Limited is an Australia-based company, which owns and operates data centers powered by 100% renewable energy. Its facilities are optimized for Bitcoin mining, artificial intelligence (AI) cloud services, and other power-dense compute. Its data center mining facilities are in Canal Flats, Mackenzie, Prince George and Childress. Bitcoin Mining provides security to the Bitcoin network. Al Cloud Services provides cloud compute to Al customers, approximately 1,896 NVIDIA H100 and H200 GPUs. Its Canal Flats facility is in the Canadian Rockies, 100 kilometers (km) from Cranbrook regional airport and 500km east of Vancouver. Its facility is in Prince George, the city in northern British Columbia, located 500 km north of Vancouver. Its facility is located in Childress County, Texas, over 250 miles northwest of Dallas and in close proximity to multiple wind and solar generating facilities in the region. Its Childress operations comprise 200 Mega Watt of operating data centers.</v>
    <v>144</v>
    <v>Nasdaq Stock Market</v>
    <v>XNAS</v>
    <v>XNAS</v>
    <v>Level 6, 55 Market Street, SYDNEY, NEW SOUTH WALES, NSW 2000 AU</v>
    <v>10.5</v>
    <v>Financial Technology (Fintech) &amp; Infrastructure</v>
    <v>Stock</v>
    <v>45820.89038118047</v>
    <v>0</v>
    <v>9.9</v>
    <v>2282747013</v>
    <v>IREN LIMITED</v>
    <v>IREN LIMITED</v>
    <v>10</v>
    <v>0</v>
    <v>10.3</v>
    <v>10.17</v>
    <v>10.08</v>
    <v>224458900</v>
    <v>IREN</v>
    <v>IREN LIMITED (XNAS:IREN)</v>
    <v>13900877</v>
    <v>17317007</v>
    <v>2018</v>
  </rv>
  <rv s="2">
    <v>1</v>
  </rv>
  <rv s="3">
    <v>5</v>
    <v>BTC/USD</v>
    <v>6</v>
    <v>7</v>
    <v>Finance</v>
    <v>8</v>
    <v>en-US</v>
    <v>bo8l6h</v>
    <v>268435456</v>
    <v>1</v>
    <v>Powered by Refinitiv</v>
    <v>111965.62</v>
    <v>49445.08</v>
    <v>280.45</v>
    <v>2.6450000000000002E-3</v>
    <v>USD</v>
    <v>BTC</v>
    <v>106358.08</v>
    <v>Currency Pair</v>
    <v>45820.891493055555</v>
    <v>105954.48</v>
    <v>Bitcoin/US Dollar FX Spot Rate</v>
    <v>105955.83</v>
    <v>106013.27</v>
    <v>106293.72</v>
    <v>BTCUSD</v>
    <v>BTC/USD</v>
  </rv>
  <rv s="2">
    <v>3</v>
  </rv>
  <rv s="3">
    <v>5</v>
    <v>ETH/USD</v>
    <v>6</v>
    <v>7</v>
    <v>Finance</v>
    <v>8</v>
    <v>en-US</v>
    <v>brjcfr</v>
    <v>268435456</v>
    <v>1</v>
    <v>Powered by Refinitiv</v>
    <v>4108.1000000000004</v>
    <v>1387.02</v>
    <v>10.14</v>
    <v>3.8369999999999997E-3</v>
    <v>USD</v>
    <v>ETH</v>
    <v>2655.56</v>
    <v>Currency Pair</v>
    <v>45820.891400462962</v>
    <v>2634.13</v>
    <v>Ethereum/US Dollar FX Spot Rate</v>
    <v>2637.89</v>
    <v>2642.51</v>
    <v>2652.65</v>
    <v>ETHUSD</v>
    <v>ETH/USD</v>
  </rv>
  <rv s="2">
    <v>5</v>
  </rv>
  <rv s="0">
    <v>https://www.bing.com/financeapi/forcetrigger?t=c2wam7&amp;q=XNAS%3aBSGA&amp;form=skydnc</v>
    <v>Learn more on Bing</v>
  </rv>
  <rv s="1">
    <v>0</v>
    <v>Bitdeer Technologies Group (XNAS:BTDR)</v>
    <v>2</v>
    <v>3</v>
    <v>Finance</v>
    <v>4</v>
    <v>en-US</v>
    <v>c2wam7</v>
    <v>268435456</v>
    <v>1</v>
    <v>Powered by Refinitiv</v>
    <v>26.99</v>
    <v>5.4</v>
    <v>2.3239999999999998</v>
    <v>-0.54</v>
    <v>-3.9045999999999997E-2</v>
    <v>0.15</v>
    <v>1.1287E-2</v>
    <v>USD</v>
    <v>Bitdeer Technologies Group is a technology company for blockchain. It provides computing solutions for customers. The Company handles processes involved in computing, such as equipment procurement, transport logistics, datacenter design and construction, and equipment management. It primarily operates three business lines, namely self-mining, hash rate sharing, and hosting. Self-mining refers to cryptocurrency mining for its own account, which allows it to directly capture the high appreciation potential of cryptocurrency. It offers two types of hash rate sharing solutions, namely Cloud Hash Rate and Hash Rate Marketplace. Through Cloud Hash Rate, the Company sells its hash rate to customers. It offers hash rate subscription plans at a fixed price and shares mining income with them under certain arrangements. Its hosting services offer customers one-stop mining rig hosting solutions encompassing deployment, maintenance, and management services for efficient cryptocurrency mining.</v>
    <v>246</v>
    <v>Nasdaq Stock Market</v>
    <v>XNAS</v>
    <v>XNAS</v>
    <v>08 Kallang Avenue, Aperia Tower 1, #09-0, 339509 SG</v>
    <v>13.8</v>
    <v>Financial Technology (Fintech) &amp; Infrastructure</v>
    <v>Stock</v>
    <v>45820.888790277342</v>
    <v>7</v>
    <v>13.22</v>
    <v>2614756998</v>
    <v>Bitdeer Technologies Group</v>
    <v>Bitdeer Technologies Group</v>
    <v>13.435</v>
    <v>0</v>
    <v>13.83</v>
    <v>13.29</v>
    <v>13.44</v>
    <v>196746200</v>
    <v>BTDR</v>
    <v>Bitdeer Technologies Group (XNAS:BTDR)</v>
    <v>2003500</v>
    <v>4907259</v>
    <v>2021</v>
  </rv>
  <rv s="2">
    <v>8</v>
  </rv>
  <rv s="0">
    <v>https://www.bing.com/financeapi/forcetrigger?t=azetar&amp;q=XNAS%3aBTBT&amp;form=skydnc</v>
    <v>Learn more on Bing</v>
  </rv>
  <rv s="1">
    <v>0</v>
    <v>BIT DIGITAL, INC (XNAS:BTBT)</v>
    <v>2</v>
    <v>3</v>
    <v>Finance</v>
    <v>4</v>
    <v>en-US</v>
    <v>azetar</v>
    <v>268435456</v>
    <v>1</v>
    <v>Powered by Refinitiv</v>
    <v>5.74</v>
    <v>1.69</v>
    <v>5.3646000000000003</v>
    <v>-0.09</v>
    <v>-3.3457000000000001E-2</v>
    <v>-1.9900000000000001E-2</v>
    <v>-7.6539999999999993E-3</v>
    <v>USD</v>
    <v>Bit Digital, Inc. is a global platform for high performance computing (HPC) infrastructure and digital asset production company. The Company is a provider of HPC data centers and cloud-based HPC graphics processing units (GPU) services, which term cloud services, for customers such as artificial intelligence (AI) and machine learning (ML) developers. The Company designs, develops, and operates HPC data centers, through which it offers hosting and colocation services. The Company has four reportable segments: Digital asset mining, Cloud services, Colocation services, and ETH Staking. The Digital asset mining segment is engaged in bitcoin and mining activities. The Cloud services segment provides HPC services to support generative AI workstreams. The Colocation services segment provide customers with physical space, power and cooling within the data center facility. The ETH staking segment is engaged in both native staking and liquid staking.</v>
    <v>54</v>
    <v>Nasdaq Stock Market</v>
    <v>XNAS</v>
    <v>XNAS</v>
    <v>31 HUDSON YARDS, FLOOR 11, NEW YORK, NY, 10001 US</v>
    <v>2.69</v>
    <v>Financial Technology (Fintech) &amp; Infrastructure</v>
    <v>Stock</v>
    <v>45820.891214027346</v>
    <v>10</v>
    <v>2.57</v>
    <v>540230340</v>
    <v>BIT DIGITAL, INC</v>
    <v>BIT DIGITAL, INC</v>
    <v>2.62</v>
    <v>0</v>
    <v>2.69</v>
    <v>2.6</v>
    <v>2.5800999999999998</v>
    <v>207780900</v>
    <v>BTBT</v>
    <v>BIT DIGITAL, INC (XNAS:BTBT)</v>
    <v>11622815</v>
    <v>16893028</v>
    <v>2017</v>
  </rv>
  <rv s="2">
    <v>11</v>
  </rv>
  <rv s="0">
    <v>https://www.bing.com/financeapi/forcetrigger?t=a1vgur&amp;q=XNAS%3aWULF&amp;form=skydnc</v>
    <v>Learn more on Bing</v>
  </rv>
  <rv s="1">
    <v>0</v>
    <v>TERAWULF INC. (XNAS:WULF)</v>
    <v>2</v>
    <v>3</v>
    <v>Finance</v>
    <v>4</v>
    <v>en-US</v>
    <v>a1vgur</v>
    <v>268435456</v>
    <v>1</v>
    <v>Powered by Refinitiv</v>
    <v>9.3000000000000007</v>
    <v>2.06</v>
    <v>3.1143999999999998</v>
    <v>-0.15</v>
    <v>-3.4014000000000003E-2</v>
    <v>0</v>
    <v>0</v>
    <v>USD</v>
    <v>TeraWulf Inc. develops, owns, and operates environmentally sustainable data center infrastructure in the United States, specifically designed for bitcoin mining and hosting HPC workloads. The Company owns and operates the Lake Mariner facility situated on the expansive site of a retired coal plant in Western New York. Lake Mariner is designed for scalable growth, with the capacity to expand up to 500 megawatts (MW) in the near term and 750 MW with certain transmission upgrades. The Company provides hash computation services to a mining pool operator, facilitating transaction validation of transactions on the global bitcoin network using its fleet of application-specific integrated circuit miners. Its purpose-built infrastructure provides HPC hosting and colocation services for GPU-based workloads, artificial intelligence, machine learning, and cloud computing applications. It also specializes in development and operation of power generation assets and related electrical infrastructure.</v>
    <v>12</v>
    <v>Nasdaq Stock Market</v>
    <v>XNAS</v>
    <v>XNAS</v>
    <v>9 Federal Street, EASTON, MD, 21601 US</v>
    <v>4.47</v>
    <v>Financial Technology (Fintech) &amp; Infrastructure</v>
    <v>Stock</v>
    <v>45820.889139594532</v>
    <v>13</v>
    <v>4.24</v>
    <v>1632166602</v>
    <v>TERAWULF INC.</v>
    <v>TERAWULF INC.</v>
    <v>4.3600000000000003</v>
    <v>0</v>
    <v>4.41</v>
    <v>4.26</v>
    <v>4.26</v>
    <v>383137700</v>
    <v>WULF</v>
    <v>TERAWULF INC. (XNAS:WULF)</v>
    <v>29921111</v>
    <v>44140968</v>
    <v>2021</v>
  </rv>
  <rv s="2">
    <v>14</v>
  </rv>
  <rv s="0">
    <v>https://www.bing.com/financeapi/forcetrigger?t=a2cez2&amp;q=XNAS%3aCLSK&amp;form=skydnc</v>
    <v>Learn more on Bing</v>
  </rv>
  <rv s="1">
    <v>0</v>
    <v>CLEANSPARK, INC. (XNAS:CLSK)</v>
    <v>2</v>
    <v>3</v>
    <v>Finance</v>
    <v>4</v>
    <v>en-US</v>
    <v>a2cez2</v>
    <v>268435456</v>
    <v>1</v>
    <v>Powered by Refinitiv</v>
    <v>20.64</v>
    <v>6.452</v>
    <v>4.2397999999999998</v>
    <v>-0.26</v>
    <v>-2.6078E-2</v>
    <v>-3.9800000000000002E-2</v>
    <v>-4.0990000000000002E-3</v>
    <v>USD</v>
    <v>CleanSpark, Inc. is a bitcoin mining company. The Company independently owns and operates data centers across the United States with locations in Georgia, Mississippi, Tennessee and Wyoming for a total contracted power capacity of approximately 853 megawatts (MW). The Company designs its infrastructure to responsibly secure and support the bitcoin network. Its operating mining units are capable of producing over 40 exahashes per second (EH/s) of computing power. The Company operates approximately 188,500 bitcoin mining machines, with a hashrate capacity of approximately 27.6 EH/s and a fleetwide efficiency of 21.94 joules per terahash (J/TH). The Company's subsidiaries include ATL Data Centers LLC, CleanBlok, Inc., CleanSpark DW, LLC, CleanSpark GLP, LLC, CSRE Properties Washington, LLC, CSRE Properties Dalton, LLC, CSRE Property Management Company, LLC, and CSRE Properties Norcross, LLC, among others.</v>
    <v>256</v>
    <v>Nasdaq Stock Market</v>
    <v>XNAS</v>
    <v>XNAS</v>
    <v>10624 S. Eastern Ave., Suite A - 638, HENDERSON, NV, 89052 US</v>
    <v>10.06</v>
    <v>Financial Technology (Fintech) &amp; Infrastructure</v>
    <v>Stock</v>
    <v>45820.891392407029</v>
    <v>16</v>
    <v>9.51</v>
    <v>2727964298</v>
    <v>CLEANSPARK, INC.</v>
    <v>CLEANSPARK, INC.</v>
    <v>9.65</v>
    <v>0</v>
    <v>9.9700000000000006</v>
    <v>9.7100000000000009</v>
    <v>9.6701999999999995</v>
    <v>280943800</v>
    <v>CLSK</v>
    <v>CLEANSPARK, INC. (XNAS:CLSK)</v>
    <v>19358600</v>
    <v>28326923</v>
    <v>1987</v>
  </rv>
  <rv s="2">
    <v>17</v>
  </rv>
  <rv s="0">
    <v>https://www.bing.com/financeapi/forcetrigger?t=a1xadm&amp;q=XNAS%3aMARA&amp;form=skydnc</v>
    <v>Learn more on Bing</v>
  </rv>
  <rv s="1">
    <v>0</v>
    <v>MARA HOLDINGS, INC. (XNAS:MARA)</v>
    <v>2</v>
    <v>3</v>
    <v>Finance</v>
    <v>4</v>
    <v>en-US</v>
    <v>a1xadm</v>
    <v>268435456</v>
    <v>1</v>
    <v>Powered by Refinitiv</v>
    <v>30.28</v>
    <v>9.81</v>
    <v>6.6241000000000003</v>
    <v>-0.53</v>
    <v>-3.2416E-2</v>
    <v>-0.04</v>
    <v>-2.5280000000000003E-3</v>
    <v>USD</v>
    <v>MARA Holdings, Inc. is engaged in digital asset compute that develops and deploys technologies. The Company secures the blockchain ledger and supports energy transformation by converting clean, stranded, or otherwise underutilized energy into economic value. It also offers advanced technology solutions to optimize data center operations, including liquid immersion cooling and firmware for bitcoin miners. It is primarily focused on computing for, acquiring, and holding digital assets as a long-term investment. Its core business is bitcoin mining, and it produces, or mines, bitcoin using energy-efficient fleets of specialized computers while providing dispatchable compute as an optionality to the electric grid operators to balance electric demands on the grid. It is also engaged in the sale of data center infrastructure, such as immersion-cooled systems, to third parties operating in the bitcoin ecosystem and the artificial intelligence (AI) and high-performance compute (HPC) sectors.</v>
    <v>152</v>
    <v>Nasdaq Stock Market</v>
    <v>XNAS</v>
    <v>XNAS</v>
    <v>101 Ne Third Avenue,, Suite 1200, FORT LAUDERDALE, FL, 33301 US</v>
    <v>16.48</v>
    <v>Financial Technology (Fintech) &amp; Infrastructure</v>
    <v>Stock</v>
    <v>45820.891551747656</v>
    <v>19</v>
    <v>15.61</v>
    <v>5567497796</v>
    <v>MARA HOLDINGS, INC.</v>
    <v>MARA HOLDINGS, INC.</v>
    <v>15.85</v>
    <v>0</v>
    <v>16.350000000000001</v>
    <v>15.82</v>
    <v>15.78</v>
    <v>351927800</v>
    <v>MARA</v>
    <v>MARA HOLDINGS, INC. (XNAS:MARA)</v>
    <v>42531923</v>
    <v>49274203</v>
    <v>2010</v>
  </rv>
  <rv s="2">
    <v>20</v>
  </rv>
  <rv s="0">
    <v>https://www.bing.com/financeapi/forcetrigger?t=bx11w7&amp;q=XNAS%3aCIFR&amp;form=skydnc</v>
    <v>Learn more on Bing</v>
  </rv>
  <rv s="1">
    <v>0</v>
    <v>CIPHER MINING INC. (XNAS:CIFR)</v>
    <v>2</v>
    <v>3</v>
    <v>Finance</v>
    <v>4</v>
    <v>en-US</v>
    <v>bx11w7</v>
    <v>268435456</v>
    <v>1</v>
    <v>Powered by Refinitiv</v>
    <v>7.99</v>
    <v>1.86</v>
    <v>2.6120999999999999</v>
    <v>-0.24</v>
    <v>-5.8823999999999994E-2</v>
    <v>0.02</v>
    <v>5.2080000000000008E-3</v>
    <v>USD</v>
    <v>Cipher Mining Inc. is an industrial-scale data center construction and operations company. The Company is focused on the development and operation of industrial-scale data centers for bitcoin mining and high-performance computing (HPC) hosting. It operates approximately 327 MW of facilities across four bitcoin mining data centers in Texas, including one wholly owned data center and three partially owned data centers. The Company also has a pipeline of 2.8 GW across seven additional sites in Texas. It operates an aggregate hash rate capacity of 15.7 exahash per second (EH/s). Its operational data center is its Odessa data center, which is its wholly owned 207 MW facility located in Odessa, Texas. Its Alborz data center is located near Happy, Texas. Its Bear data center is located near Andrews, Texas. Its Black Pearl data center is in Winkler County, Texas. Its Barber Lake site is located near Colorado City, Texas. Stingray site is in West Texas. Its Reveille site is in Cotulla, Texas.</v>
    <v>43</v>
    <v>Nasdaq Stock Market</v>
    <v>XNAS</v>
    <v>XNAS</v>
    <v>1 Vanderbilt Avenue, Floor 54, NEW YORK, NY, 10017 US</v>
    <v>4.04</v>
    <v>Financial Technology (Fintech) &amp; Infrastructure</v>
    <v>Stock</v>
    <v>45820.89020489531</v>
    <v>22</v>
    <v>3.83</v>
    <v>1287444096</v>
    <v>CIPHER MINING INC.</v>
    <v>CIPHER MINING INC.</v>
    <v>3.91</v>
    <v>0</v>
    <v>4.08</v>
    <v>3.84</v>
    <v>3.86</v>
    <v>335271900</v>
    <v>CIFR</v>
    <v>CIPHER MINING INC. (XNAS:CIFR)</v>
    <v>19372223</v>
    <v>23191746</v>
    <v>2020</v>
  </rv>
  <rv s="2">
    <v>23</v>
  </rv>
  <rv s="0">
    <v>https://www.bing.com/financeapi/forcetrigger?t=a221pr&amp;q=XNAS%3aRIOT&amp;form=skydnc</v>
    <v>Learn more on Bing</v>
  </rv>
  <rv s="1">
    <v>0</v>
    <v>Riot Platforms, Inc. (XNAS:RIOT)</v>
    <v>2</v>
    <v>3</v>
    <v>Finance</v>
    <v>4</v>
    <v>en-US</v>
    <v>a221pr</v>
    <v>268435456</v>
    <v>1</v>
    <v>Powered by Refinitiv</v>
    <v>15.87</v>
    <v>6.19</v>
    <v>4.5506000000000002</v>
    <v>-0.34</v>
    <v>-3.2226999999999999E-2</v>
    <v>-0.02</v>
    <v>-1.9589999999999998E-3</v>
    <v>USD</v>
    <v>Riot Platforms, Inc. is a Bitcoin mining and digital infrastructure company. The Company has Bitcoin mining operations in central Texas and Kentucky, and electrical engineering and fabrication operations in Denver, Colorado, and Houston, Texas. It operates a Bitcoin-driven infrastructure platform. Its segments include Bitcoin Mining and Engineering. The Bitcoin Mining segment is engaged in Bitcoin mining activities. The Engineering segment designs and manufacturers power distribution equipment and custom engineered electrical products. This segment also provides electricity distribution product design, manufacturing, and installation services primarily focused on large-scale commercial and governmental customers and serves clients across a range of markets including data center, power generation, utility, water, industrial, and alternative energy. It is also focused on developing a portion of its power capacity for artificial intelligence (AI)/ high-performance computing (HPC) uses.</v>
    <v>783</v>
    <v>Nasdaq Stock Market</v>
    <v>XNAS</v>
    <v>XNAS</v>
    <v>3855 AMBROSIA STREET, SUITE 301, CASTLE ROCK, CO, 80109 US</v>
    <v>10.635</v>
    <v>Financial Technology (Fintech) &amp; Infrastructure</v>
    <v>Stock</v>
    <v>45820.891390543751</v>
    <v>25</v>
    <v>10.125</v>
    <v>3647662377</v>
    <v>Riot Platforms, Inc.</v>
    <v>Riot Platforms, Inc.</v>
    <v>10.23</v>
    <v>0</v>
    <v>10.55</v>
    <v>10.210000000000001</v>
    <v>10.19</v>
    <v>357263700</v>
    <v>RIOT</v>
    <v>Riot Platforms, Inc. (XNAS:RIOT)</v>
    <v>26317048</v>
    <v>35198905</v>
    <v>2017</v>
  </rv>
  <rv s="2">
    <v>26</v>
  </rv>
  <rv s="4">
    <v>9</v>
    <v>CORE SCIENTIFIC, INC. (XNAS:CORZ)</v>
    <v>10</v>
    <v>3</v>
    <v>Finance</v>
    <v>4</v>
    <v>en-US</v>
    <v>cc7rjc</v>
    <v>268435456</v>
    <v>1</v>
    <v>Powered by Refinitiv</v>
    <v>18.628799999999998</v>
    <v>6.2</v>
    <v>2.6819999999999999</v>
    <v>-0.11</v>
    <v>-8.9800000000000001E-3</v>
    <v>-1.6E-2</v>
    <v>-1.3179999999999999E-3</v>
    <v>USD</v>
    <v>Core Scientific, Inc. provides digital infrastructure for bitcoin mining and high-performance computing. The Company operates dedicated, purpose-built facilities for digital asset mining. It provides digital infrastructure, software solutions and services to its third-party customers. It employs its own fleet of computers (miners) to earn bitcoin for its own account and provides hosting services for bitcoin mining and high-performance computing customers at its eight operational data centers in Georgia (two), Kentucky (one), North Carolina (one), North Dakota (one) and Texas (three). Its segments include Digital Asset Self-Mining, Digital Asset Hosted Mining and HPC Hosting. Digital Asset Self-Mining segment consists of digital asset mining for its own account. Digital Asset Hosted Mining segment consists of its digital infrastructure and third-party hosting services for digital asset mining. HPC Hosting segment consists of its hosting services for high-performance compute operations.</v>
    <v>325</v>
    <v>Nasdaq Stock Market</v>
    <v>XNAS</v>
    <v>XNAS</v>
    <v>838 Walker Road, Suite 21-2105, DOVER, DE, 19904 US</v>
    <v>12.545</v>
    <v>Financial Technology (Fintech) &amp; Infrastructure</v>
    <v>Stock</v>
    <v>45820.884428853904</v>
    <v>12.02</v>
    <v>3615556652</v>
    <v>CORE SCIENTIFIC, INC.</v>
    <v>CORE SCIENTIFIC, INC.</v>
    <v>12.08</v>
    <v>0</v>
    <v>12.25</v>
    <v>12.14</v>
    <v>12.124000000000001</v>
    <v>297821800</v>
    <v>CORZ</v>
    <v>CORE SCIENTIFIC, INC. (XNAS:CORZ)</v>
    <v>4277701</v>
    <v>12302479</v>
    <v>2020</v>
  </rv>
  <rv s="2">
    <v>28</v>
  </rv>
  <rv s="0">
    <v>https://www.bing.com/financeapi/forcetrigger?t=ayd1dm&amp;q=XNAS%3aHIVE&amp;form=skydnc</v>
    <v>Learn more on Bing</v>
  </rv>
  <rv s="1">
    <v>0</v>
    <v>HIVE DIGITAL TECHNOLOGIES LTD. (XNAS:HIVE)</v>
    <v>2</v>
    <v>11</v>
    <v>Finance</v>
    <v>4</v>
    <v>en-US</v>
    <v>ayd1dm</v>
    <v>268435456</v>
    <v>1</v>
    <v>Powered by Refinitiv</v>
    <v>5.54</v>
    <v>1.26</v>
    <v>5.2961999999999998</v>
    <v>-0.05</v>
    <v>-2.5000000000000001E-2</v>
    <v>0.04</v>
    <v>2.0513E-2</v>
    <v>USD</v>
    <v>HIVE Digital Technologies Ltd. is a technology company advancing sustainable blockchain and artificial intelligence (AI) infrastructure powered by green energy. The Company is engaged in digital asset mining and AI computing. Its operations are focused on the mining of digital currencies to upgrade, expand and scale up its data center operations. It holds Bitcoin and monetizes other cryptocurrencies that it derives from its mining operations. It is engaged in building a bridge between the Bitcoin blockchain sector and traditional capital markets. Its cryptocurrency assets provide shareholders with exposure to the operating margins of digital currency mining as well as a portfolio of Bitcoin. It develops and expands its high-performance computing business, which implements the Company’s fleet of graphic processing units (GPUs) in enterprise-grade CPU servers, operating in tier three data centers. It operates green energy-powered data center facilities in Canada, Sweden, and Paraguay.</v>
    <v>18</v>
    <v>Nasdaq Stock Market</v>
    <v>XNAS</v>
    <v>XNAS</v>
    <v>370-1095 West Pender Street, VANCOUVER, BC, V6E 2M6 CA</v>
    <v>2.0099999999999998</v>
    <v>Financial Technology (Fintech) &amp; Infrastructure</v>
    <v>Stock</v>
    <v>45820.89114716406</v>
    <v>30</v>
    <v>1.92</v>
    <v>513033200</v>
    <v>HIVE DIGITAL TECHNOLOGIES LTD.</v>
    <v>HIVE DIGITAL TECHNOLOGIES LTD.</v>
    <v>1.98</v>
    <v>0</v>
    <v>2</v>
    <v>1.95</v>
    <v>1.99</v>
    <v>187238400</v>
    <v>HIVE</v>
    <v>HIVE DIGITAL TECHNOLOGIES LTD. (XNAS:HIVE)</v>
    <v>17314361</v>
    <v>16003086</v>
    <v>1987</v>
  </rv>
  <rv s="2">
    <v>31</v>
  </rv>
  <rv s="0">
    <v>https://www.bing.com/financeapi/forcetrigger?t=bra7oc&amp;q=XNAS%3aBITF&amp;form=skydnc</v>
    <v>Learn more on Bing</v>
  </rv>
  <rv s="1">
    <v>0</v>
    <v>BITFARMS LTD. (XNAS:BITF)</v>
    <v>2</v>
    <v>11</v>
    <v>Finance</v>
    <v>4</v>
    <v>en-US</v>
    <v>bra7oc</v>
    <v>268435456</v>
    <v>1</v>
    <v>Powered by Refinitiv</v>
    <v>3.28</v>
    <v>0.67300000000000004</v>
    <v>4.1547999999999998</v>
    <v>-2.58E-2</v>
    <v>-2.8801E-2</v>
    <v>2.5000000000000001E-3</v>
    <v>2.8739999999999998E-3</v>
    <v>USD</v>
    <v>Bitfarms Ltd. is a Canada-based global Bitcoin and vertically integrated data center company that sells its computational power to one or more mining pools from which it receives payment in Bitcoin. It develops, owns, and operates vertically integrated mining facilities with in-house management and Company-owned electrical engineering, installation service, and multiple onsite technical repair centers. Its proprietary data analytics system delivers operational performance and uptime. The Company operates through the cryptocurrency mining segment. The activities of the Company mainly consist of selling its computational power used for hashing calculations for the purpose of cryptocurrency mining in multiple jurisdictions. Volta, a wholly owned subsidiary of the Company, assists the Company in building and maintaining its data centers. The Company operates Bitcoin data centers in four countries: the United States, Canada, Paraguay, and Argentina.</v>
    <v>170</v>
    <v>Nasdaq Stock Market</v>
    <v>XNAS</v>
    <v>XNAS</v>
    <v>110 Yonge Street, Suite 1601, TORONTO, ON, M5C 1T4 CA</v>
    <v>0.88890000000000002</v>
    <v>Financial Technology (Fintech) &amp; Infrastructure</v>
    <v>Stock</v>
    <v>45820.88953743047</v>
    <v>33</v>
    <v>0.86009999999999998</v>
    <v>683832800</v>
    <v>BITFARMS LTD.</v>
    <v>BITFARMS LTD.</v>
    <v>0.87990000000000002</v>
    <v>0</v>
    <v>0.89580000000000004</v>
    <v>0.87</v>
    <v>0.87250000000000005</v>
    <v>555961600</v>
    <v>BITF</v>
    <v>BITFARMS LTD. (XNAS:BITF)</v>
    <v>8264622</v>
    <v>20658834</v>
    <v>2018</v>
  </rv>
  <rv s="2">
    <v>34</v>
  </rv>
  <rv s="0">
    <v>https://www.bing.com/financeapi/forcetrigger?t=ab3yrw&amp;q=XTSX%3aHIVE&amp;form=skydnc</v>
    <v>Learn more on Bing</v>
  </rv>
  <rv s="5">
    <v>12</v>
    <v>HIVE DIGITAL TECHNOLOGIES LTD. (XTSX:HIVE)</v>
    <v>2</v>
    <v>13</v>
    <v>Finance</v>
    <v>14</v>
    <v>en-US</v>
    <v>ab3yrw</v>
    <v>268435456</v>
    <v>1</v>
    <v>Powered by Refinitiv</v>
    <v>7.75</v>
    <v>1.8</v>
    <v>5.2961999999999998</v>
    <v>-0.08</v>
    <v>-2.9197000000000001E-2</v>
    <v>CAD</v>
    <v>HIVE Digital Technologies Ltd. is a technology company advancing sustainable blockchain and artificial intelligence (AI) infrastructure powered by green energy. The Company is engaged in digital asset mining and AI computing. Its operations are focused on the mining of digital currencies to upgrade, expand and scale up its data center operations. It holds Bitcoin and monetizes other cryptocurrencies that it derives from its mining operations. It is engaged in building a bridge between the Bitcoin blockchain sector and traditional capital markets. Its cryptocurrency assets provide shareholders with exposure to the operating margins of digital currency mining as well as a portfolio of Bitcoin. It develops and expands its high-performance computing business, which implements the Company’s fleet of graphic processing units (GPUs) in enterprise-grade CPU servers, operating in tier three data centers. It operates green energy-powered data center facilities in Canada, Sweden, and Paraguay.</v>
    <v>18</v>
    <v>TSX Venture Exchange</v>
    <v>XTSX</v>
    <v>XTSX</v>
    <v>370-1095 West Pender Street, VANCOUVER, BC, V6E 2M6 CA</v>
    <v>2.74</v>
    <v>Financial Technology (Fintech) &amp; Infrastructure</v>
    <v>Stock</v>
    <v>45820.833333333336</v>
    <v>36</v>
    <v>2.62</v>
    <v>498054144</v>
    <v>HIVE DIGITAL TECHNOLOGIES LTD.</v>
    <v>HIVE DIGITAL TECHNOLOGIES LTD.</v>
    <v>2.7</v>
    <v>0</v>
    <v>2.74</v>
    <v>2.66</v>
    <v>187238400</v>
    <v>HIVE</v>
    <v>HIVE DIGITAL TECHNOLOGIES LTD. (XTSX:HIVE)</v>
    <v>406775</v>
    <v>666470</v>
    <v>1987</v>
  </rv>
  <rv s="2">
    <v>37</v>
  </rv>
  <rv s="0">
    <v>https://www.bing.com/financeapi/forcetrigger?t=azal7w&amp;q=XNAS%3aHUT&amp;form=skydnc</v>
    <v>Learn more on Bing</v>
  </rv>
  <rv s="1">
    <v>0</v>
    <v>HUT 8 CORP. (XNAS:HUT)</v>
    <v>2</v>
    <v>3</v>
    <v>Finance</v>
    <v>4</v>
    <v>en-US</v>
    <v>azal7w</v>
    <v>268435456</v>
    <v>1</v>
    <v>Powered by Refinitiv</v>
    <v>31.95</v>
    <v>8.7308000000000003</v>
    <v>3.9586000000000001</v>
    <v>-0.16</v>
    <v>-8.6390000000000008E-3</v>
    <v>-9.9900000000000003E-2</v>
    <v>-5.4410000000000005E-3</v>
    <v>USD</v>
    <v>Hut 8 Corp. is an energy infrastructure platform. The Company's segments include Power, Digital Infrastructure, Compute, and Other. The Company's Power segment acquires, develops, and manages critical energy assets such as interconnects, powered land, and other electrical infrastructure to address the load demands of energy-intensive applications such as Bitcoin mining and high-performance computing. Its Power segment consists of power generation and managed services. Its Digital Infrastructure segment consists of CPU Colocation and ASIC Colocation services. The Company's Compute segment consists of Bitcoin Mining, GPU-as-a-Service, and Data Center Cloud operations. The Company, through its subsidiary, American Bitcoin Corp., is focused exclusively on industrial-scale Bitcoin mining and strategic Bitcoin reserve development. The Company's platform spans approximately 1,020 megawatts of energy capacity under management across 15 sites in the United States and Canada.</v>
    <v>222</v>
    <v>Nasdaq Stock Market</v>
    <v>XNAS</v>
    <v>XNAS</v>
    <v>1101 Brickell Avenue, Suite 1500, MIAMI, FL, 33131 US</v>
    <v>18.940000000000001</v>
    <v>Financial Technology (Fintech) &amp; Infrastructure</v>
    <v>Stock</v>
    <v>45820.889687753908</v>
    <v>39</v>
    <v>17.79</v>
    <v>1931409000</v>
    <v>HUT 8 CORP.</v>
    <v>HUT 8 CORP.</v>
    <v>17.829999999999998</v>
    <v>0</v>
    <v>18.52</v>
    <v>18.36</v>
    <v>18.260100000000001</v>
    <v>104169300</v>
    <v>HUT</v>
    <v>HUT 8 CORP. (XNAS:HUT)</v>
    <v>4019481</v>
    <v>7719018</v>
    <v>2023</v>
  </rv>
  <rv s="2">
    <v>40</v>
  </rv>
  <rv s="0">
    <v>https://www.bing.com/financeapi/forcetrigger?t=bh6yz2&amp;q=XTSX%3aCBIT&amp;form=skydnc</v>
    <v>Learn more on Bing</v>
  </rv>
  <rv s="6">
    <v>15</v>
    <v>Cathedra Bitcoin Inc. (XTSX:CBIT)</v>
    <v>2</v>
    <v>16</v>
    <v>Finance</v>
    <v>14</v>
    <v>en-US</v>
    <v>bh6yz2</v>
    <v>268435456</v>
    <v>1</v>
    <v>Powered by Refinitiv</v>
    <v>0.14000000000000001</v>
    <v>2.5000000000000001E-2</v>
    <v>5.4848999999999997</v>
    <v>1.4999999999999999E-2</v>
    <v>0.272727</v>
    <v>CAD</v>
    <v>Cathedra Bitcoin Inc. is a Canada-based bitcoin company. The Company develops and operates a high-density compute infrastructure across North America. It hosts bitcoin mining clients across its portfolio of three data centers (30 megawatts total) in Tennessee and Kentucky. The Company operates a fleet of proprietary bitcoin mining machines at its own and third-party data centers, producing approximately 400 Peta hashes per second (PH/s) of hash rate. It is focused on expanding its portfolio of data center infrastructure for high-density compute applications, including bitcoin mining and artificial intelligence.</v>
    <v>TSX Venture Exchange</v>
    <v>XTSX</v>
    <v>XTSX</v>
    <v>320-638 Broughton St, Vancouver, BC, V6G 3K3 CA</v>
    <v>7.0000000000000007E-2</v>
    <v>Financial Technology (Fintech) &amp; Infrastructure</v>
    <v>Stock</v>
    <v>45820.829976851855</v>
    <v>42</v>
    <v>0.05</v>
    <v>17177314</v>
    <v>Cathedra Bitcoin Inc.</v>
    <v>Cathedra Bitcoin Inc.</v>
    <v>5.5E-2</v>
    <v>0</v>
    <v>5.5E-2</v>
    <v>7.0000000000000007E-2</v>
    <v>245390200</v>
    <v>CBIT</v>
    <v>Cathedra Bitcoin Inc. (XTSX:CBIT)</v>
    <v>619502</v>
    <v>362050</v>
    <v>2018</v>
  </rv>
  <rv s="2">
    <v>43</v>
  </rv>
</rvData>
</file>

<file path=xl/richData/rdrichvaluestructure.xml><?xml version="1.0" encoding="utf-8"?>
<rvStructures xmlns="http://schemas.microsoft.com/office/spreadsheetml/2017/richdata" count="7">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From currency" t="s"/>
    <k n="High"/>
    <k n="Instrument type" t="s"/>
    <k n="Last trade time"/>
    <k n="Low"/>
    <k n="Name" t="s"/>
    <k n="Open"/>
    <k n="Previous close"/>
    <k n="Price"/>
    <k n="Ticker symbol" t="s"/>
    <k n="UniqueName"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5">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spbArrays>
  <spbData count="17">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5">
      <v>1</v>
      <v>Name</v>
    </spb>
    <spb s="6">
      <v>1</v>
      <v>1</v>
    </spb>
    <spb s="7">
      <v>1</v>
      <v>1</v>
      <v>3</v>
      <v>1</v>
      <v>1</v>
      <v>1</v>
      <v>5</v>
      <v>1</v>
      <v>1</v>
      <v>1</v>
      <v>7</v>
      <v>9</v>
    </spb>
    <spb s="8">
      <v>GMT</v>
    </spb>
    <spb s="5">
      <v>2</v>
      <v>Name</v>
    </spb>
    <spb s="9">
      <v>1</v>
      <v>1</v>
      <v>1</v>
    </spb>
    <spb s="3">
      <v>1</v>
      <v>2</v>
      <v>2</v>
      <v>1</v>
      <v>3</v>
      <v>1</v>
      <v>1</v>
      <v>1</v>
      <v>4</v>
      <v>4</v>
      <v>5</v>
      <v>10</v>
      <v>1</v>
      <v>1</v>
      <v>1</v>
      <v>4</v>
      <v>7</v>
      <v>8</v>
      <v>9</v>
      <v>4</v>
      <v>1</v>
      <v>1</v>
      <v>5</v>
    </spb>
    <spb s="0">
      <v>3</v>
      <v>Name</v>
      <v>LearnMoreOnLink</v>
    </spb>
    <spb s="10">
      <v>11</v>
      <v>2</v>
      <v>2</v>
      <v>11</v>
      <v>3</v>
      <v>11</v>
      <v>11</v>
      <v>11</v>
      <v>4</v>
      <v>4</v>
      <v>5</v>
      <v>10</v>
      <v>11</v>
      <v>11</v>
      <v>11</v>
      <v>4</v>
      <v>7</v>
      <v>8</v>
      <v>9</v>
      <v>4</v>
    </spb>
    <spb s="11">
      <v>Delayed 20 minutes</v>
      <v>from previous close</v>
      <v>from previous close</v>
      <v>GMT</v>
    </spb>
    <spb s="0">
      <v>4</v>
      <v>Name</v>
      <v>LearnMoreOnLink</v>
    </spb>
    <spb s="12">
      <v>11</v>
      <v>2</v>
      <v>2</v>
      <v>11</v>
      <v>3</v>
      <v>11</v>
      <v>11</v>
      <v>11</v>
      <v>4</v>
      <v>5</v>
      <v>10</v>
      <v>11</v>
      <v>11</v>
      <v>11</v>
      <v>4</v>
      <v>7</v>
      <v>8</v>
      <v>9</v>
      <v>4</v>
    </spb>
  </spbData>
</supportingPropertyBags>
</file>

<file path=xl/richData/rdsupportingpropertybagstructure.xml><?xml version="1.0" encoding="utf-8"?>
<spbStructures xmlns="http://schemas.microsoft.com/office/spreadsheetml/2017/richdata2" count="13">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_([$$-en-CA]* #,##0_);_([$$-en-CA]* (#,##0);_([$$-en-CA]* "-"_);_(@_)</rpv>
    </rSty>
    <rSty dxfid="1">
      <rpv i="0">_([$$-en-CA]* #,##0.00_);_([$$-en-CA]* (#,##0.00);_([$$-en-CA]* "-"??_);_(@_)</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var/folders/bq/v3pjr9ys0ggcsv0b_xd7_jg40000gn/T/com.apple.mail/com.apple.mail/com.apple.mail/com.apple.mail/Library/Containers/com.apple.mail/Data/Library/Library/Containers/com.apple.mail/Data/Library/Mail%20Downloads/BF485F68-2A85-410F-BC86-1388B7881EB3/CLSK.docx" TargetMode="External"/><Relationship Id="rId3" Type="http://schemas.openxmlformats.org/officeDocument/2006/relationships/hyperlink" Target="file:///var/folders/bq/v3pjr9ys0ggcsv0b_xd7_jg40000gn/T/com.apple.mail/com.apple.mail/com.apple.mail/com.apple.mail/com.apple.mail/com.apple.mail/compose/attach-T0x600000511480.tmp.KzWURz/BTDR.docx" TargetMode="External"/><Relationship Id="rId7" Type="http://schemas.openxmlformats.org/officeDocument/2006/relationships/hyperlink" Target="file:///var/folders/bq/v3pjr9ys0ggcsv0b_xd7_jg40000gn/T/com.apple.mail/com.apple.mail/com.apple.mail/com.apple.mail/com.apple.mail/com.apple.mail/compose/attach-T0x600000511480.tmp.KzWURz/RIOT.docx" TargetMode="External"/><Relationship Id="rId2" Type="http://schemas.openxmlformats.org/officeDocument/2006/relationships/hyperlink" Target="file:///var/folders/bq/v3pjr9ys0ggcsv0b_xd7_jg40000gn/T/com.apple.mail/com.apple.mail/com.apple.mail/com.apple.mail/com.apple.mail/com.apple.mail/Library/Containers/com.apple.mail/Data/Library/Mail%20Downloads/37617013-5802-464A-883F-52AECD07F2CE/MARA.docx" TargetMode="External"/><Relationship Id="rId1" Type="http://schemas.openxmlformats.org/officeDocument/2006/relationships/hyperlink" Target="file:///var/folders/bq/v3pjr9ys0ggcsv0b_xd7_jg40000gn/T/com.apple.mail/com.apple.mail/com.apple.mail/com.apple.mail/com.apple.mail/com.apple.mail/compose/attach-T0x600001d413c0.tmp.vZwwsm/IREN.docx" TargetMode="External"/><Relationship Id="rId6" Type="http://schemas.openxmlformats.org/officeDocument/2006/relationships/hyperlink" Target="file:///var/folders/bq/v3pjr9ys0ggcsv0b_xd7_jg40000gn/T/com.apple.mail/com.apple.mail/com.apple.mail/com.apple.mail/com.apple.mail/com.apple.mail/compose/attach-T0x600001d413c0.tmp.vZwwsm/CIFR.docx" TargetMode="External"/><Relationship Id="rId5" Type="http://schemas.openxmlformats.org/officeDocument/2006/relationships/hyperlink" Target="file:///var/folders/bq/v3pjr9ys0ggcsv0b_xd7_jg40000gn/T/com.apple.mail/com.apple.mail/com.apple.mail/com.apple.mail/com.apple.mail/com.apple.mail/Library/Containers/com.apple.mail/Data/Library/Mail%20Downloads/37617013-5802-464A-883F-52AECD07F2CE/WULF.docx" TargetMode="External"/><Relationship Id="rId4" Type="http://schemas.openxmlformats.org/officeDocument/2006/relationships/hyperlink" Target="file:///var/folders/bq/v3pjr9ys0ggcsv0b_xd7_jg40000gn/T/com.apple.mail/com.apple.mail/com.apple.mail/com.apple.mail/com.apple.mail/com.apple.mail/Library/Containers/com.apple.mail/Data/Library/Mail%20Downloads/37617013-5802-464A-883F-52AECD07F2CE/BTBT.docx"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var/folders/bq/v3pjr9ys0ggcsv0b_xd7_jg40000gn/T/com.apple.mail/com.apple.mail/com.apple.mail/com.apple.mail/Library/Containers/com.apple.mail/Data/Library/Library/Containers/com.apple.mail/Data/Library/Mail%20Downloads/BF485F68-2A85-410F-BC86-1388B7881EB3/BTDR.docx" TargetMode="External"/><Relationship Id="rId2" Type="http://schemas.openxmlformats.org/officeDocument/2006/relationships/hyperlink" Target="/var/folders/bq/v3pjr9ys0ggcsv0b_xd7_jg40000gn/T/com.apple.mail/com.apple.mail/com.apple.mail/com.apple.mail/Library/Containers/com.apple.mail/Data/Library/Library/Containers/com.apple.mail/Data/Library/Mail%20Downloads/BF485F68-2A85-410F-BC86-1388B7881EB3/IREN.docx" TargetMode="External"/><Relationship Id="rId1" Type="http://schemas.openxmlformats.org/officeDocument/2006/relationships/hyperlink" Target="/var/folders/bq/v3pjr9ys0ggcsv0b_xd7_jg40000gn/T/com.apple.mail/com.apple.mail/com.apple.mail/com.apple.mail/Library/Containers/com.apple.mail/Data/Library/Library/Containers/com.apple.mail/Data/Library/Mail%20Downloads/BF485F68-2A85-410F-BC86-1388B7881EB3/CLSK.docx" TargetMode="External"/><Relationship Id="rId6" Type="http://schemas.openxmlformats.org/officeDocument/2006/relationships/hyperlink" Target="file:///var/folders/bq/v3pjr9ys0ggcsv0b_xd7_jg40000gn/T/com.apple.mail/com.apple.mail/compose/attach/CORZ.docx" TargetMode="External"/><Relationship Id="rId5" Type="http://schemas.openxmlformats.org/officeDocument/2006/relationships/hyperlink" Target="/var/folders/bq/v3pjr9ys0ggcsv0b_xd7_jg40000gn/T/com.apple.mail/com.apple.mail/com.apple.mail/com.apple.mail/Library/Containers/com.apple.mail/Data/Library/Library/Containers/com.apple.mail/Data/Library/Mail%20Downloads/BF485F68-2A85-410F-BC86-1388B7881EB3/BTBT.docx" TargetMode="External"/><Relationship Id="rId4" Type="http://schemas.openxmlformats.org/officeDocument/2006/relationships/hyperlink" Target="/var/folders/bq/v3pjr9ys0ggcsv0b_xd7_jg40000gn/T/com.apple.mail/com.apple.mail/com.apple.mail/com.apple.mail/Library/Containers/com.apple.mail/Data/Library/Library/Containers/com.apple.mail/Data/Library/Mail%20Downloads/BF485F68-2A85-410F-BC86-1388B7881EB3/WULF.doc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var/folders/bq/v3pjr9ys0ggcsv0b_xd7_jg40000gn/T/com.apple.mail/com.apple.mail/com.apple.mail/com.apple.mail/Library/Containers/com.apple.mail/Data/Library/Library/Containers/com.apple.mail/Data/Library/Mail%20Downloads/BF485F68-2A85-410F-BC86-1388B7881EB3/WULF.docx"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var/folders/bq/v3pjr9ys0ggcsv0b_xd7_jg40000gn/T/com.apple.mail/com.apple.mail/com.apple.mail/com.apple.mail/Library/Containers/com.apple.mail/Data/Library/Library/Containers/com.apple.mail/Data/Library/Mail%20Downloads/BF485F68-2A85-410F-BC86-1388B7881EB3/WULF.docx" TargetMode="External"/><Relationship Id="rId1" Type="http://schemas.openxmlformats.org/officeDocument/2006/relationships/hyperlink" Target="/var/folders/bq/v3pjr9ys0ggcsv0b_xd7_jg40000gn/T/com.apple.mail/com.apple.mail/com.apple.mail/com.apple.mail/Library/Containers/com.apple.mail/Data/Library/Library/Containers/com.apple.mail/Data/Library/Mail%20Downloads/BF485F68-2A85-410F-BC86-1388B7881EB3/WULF.docx"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var/folders/bq/v3pjr9ys0ggcsv0b_xd7_jg40000gn/T/com.apple.mail/com.apple.mail/com.apple.mail/com.apple.mail/Library/Containers/com.apple.mail/Data/Library/Library/Containers/com.apple.mail/Data/Library/Mail%20Downloads/BF485F68-2A85-410F-BC86-1388B7881EB3/WULF.docx"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var/folders/bq/v3pjr9ys0ggcsv0b_xd7_jg40000gn/T/com.apple.mail/com.apple.mail/com.apple.mail/com.apple.mail/Library/Containers/com.apple.mail/Data/Library/Library/Containers/com.apple.mail/Data/Library/Mail%20Downloads/BF485F68-2A85-410F-BC86-1388B7881EB3/WULF.docx"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C957E-3F6F-6B44-B0EE-A05E1F5112B5}">
  <dimension ref="A1:F183"/>
  <sheetViews>
    <sheetView topLeftCell="A132" zoomScale="75" zoomScaleNormal="200" workbookViewId="0">
      <selection activeCell="D12" sqref="D12"/>
    </sheetView>
  </sheetViews>
  <sheetFormatPr baseColWidth="10" defaultRowHeight="16" x14ac:dyDescent="0.2"/>
  <cols>
    <col min="1" max="1" width="37.1640625" customWidth="1"/>
    <col min="2" max="2" width="22" bestFit="1" customWidth="1"/>
    <col min="3" max="3" width="30" customWidth="1"/>
    <col min="4" max="4" width="18.1640625" bestFit="1" customWidth="1"/>
    <col min="5" max="6" width="12.6640625" bestFit="1" customWidth="1"/>
  </cols>
  <sheetData>
    <row r="1" spans="1:6" x14ac:dyDescent="0.2">
      <c r="A1" s="29" t="s">
        <v>24</v>
      </c>
    </row>
    <row r="2" spans="1:6" x14ac:dyDescent="0.2">
      <c r="A2" s="3" t="e" vm="1">
        <v>#VALUE!</v>
      </c>
      <c r="B2" s="47">
        <v>45382</v>
      </c>
      <c r="D2" s="20" t="e" vm="2">
        <v>#VALUE!</v>
      </c>
      <c r="E2" s="21" cm="1">
        <f t="array" aca="1" ref="E2" ca="1">_FV(D2,"Price")</f>
        <v>106293.72</v>
      </c>
    </row>
    <row r="3" spans="1:6" x14ac:dyDescent="0.2">
      <c r="A3" t="s">
        <v>19</v>
      </c>
      <c r="B3" s="57" cm="1">
        <f t="array" aca="1" ref="B3" ca="1">_FV(A2,"Price")</f>
        <v>10.17</v>
      </c>
      <c r="D3" s="45" t="e" vm="3">
        <v>#VALUE!</v>
      </c>
      <c r="E3" s="21" cm="1">
        <f t="array" aca="1" ref="E3" ca="1">_FV(D3,"Price")</f>
        <v>2652.65</v>
      </c>
    </row>
    <row r="4" spans="1:6" x14ac:dyDescent="0.2">
      <c r="A4" t="s">
        <v>17</v>
      </c>
      <c r="B4" s="24" cm="1">
        <f t="array" aca="1" ref="B4" ca="1">_FV(A2,"Market cap",TRUE)</f>
        <v>2282747013</v>
      </c>
      <c r="C4" s="56"/>
      <c r="D4" s="1"/>
      <c r="E4" s="1"/>
    </row>
    <row r="5" spans="1:6" x14ac:dyDescent="0.2">
      <c r="A5" t="s">
        <v>20</v>
      </c>
      <c r="B5" s="59" cm="1">
        <f t="array" aca="1" ref="B5" ca="1">_FV(A2,"Shares outstanding",TRUE)</f>
        <v>224458900</v>
      </c>
      <c r="D5" s="1"/>
      <c r="E5" s="1"/>
    </row>
    <row r="6" spans="1:6" ht="17" x14ac:dyDescent="0.2">
      <c r="A6" t="s">
        <v>18</v>
      </c>
      <c r="B6" s="61">
        <v>677240000</v>
      </c>
      <c r="C6" s="10"/>
      <c r="E6" s="53"/>
      <c r="F6" s="23"/>
    </row>
    <row r="7" spans="1:6" ht="17" x14ac:dyDescent="0.2">
      <c r="A7" s="36" t="s">
        <v>70</v>
      </c>
      <c r="B7" s="48">
        <v>263120000</v>
      </c>
      <c r="C7" s="10"/>
      <c r="E7" s="53"/>
      <c r="F7" s="23"/>
    </row>
    <row r="8" spans="1:6" ht="17" x14ac:dyDescent="0.2">
      <c r="A8" s="49" t="s">
        <v>76</v>
      </c>
      <c r="B8" s="58">
        <v>0</v>
      </c>
      <c r="C8" s="10"/>
      <c r="E8" s="53"/>
      <c r="F8" s="23"/>
    </row>
    <row r="9" spans="1:6" ht="17" x14ac:dyDescent="0.2">
      <c r="A9" t="s">
        <v>21</v>
      </c>
      <c r="B9" s="22">
        <f ca="1">B6/B5</f>
        <v>3.0172116142420728</v>
      </c>
      <c r="D9" s="1"/>
      <c r="F9" s="23"/>
    </row>
    <row r="10" spans="1:6" ht="17" x14ac:dyDescent="0.2">
      <c r="A10" t="s">
        <v>22</v>
      </c>
      <c r="B10" s="26">
        <f ca="1">B3/B9</f>
        <v>3.3706618229874197</v>
      </c>
      <c r="D10" s="1"/>
      <c r="F10" s="23"/>
    </row>
    <row r="11" spans="1:6" x14ac:dyDescent="0.2">
      <c r="A11" s="16" t="s">
        <v>31</v>
      </c>
      <c r="B11" s="16">
        <v>0</v>
      </c>
      <c r="C11" s="41" t="s">
        <v>9</v>
      </c>
      <c r="D11" s="12"/>
    </row>
    <row r="12" spans="1:6" x14ac:dyDescent="0.2">
      <c r="A12" s="16" t="s">
        <v>13</v>
      </c>
      <c r="B12" s="16">
        <v>248</v>
      </c>
      <c r="C12" s="41" t="s">
        <v>40</v>
      </c>
      <c r="D12" s="12"/>
    </row>
    <row r="13" spans="1:6" x14ac:dyDescent="0.2">
      <c r="A13" s="16" t="s">
        <v>110</v>
      </c>
      <c r="B13" s="16">
        <f>816+B12</f>
        <v>1064</v>
      </c>
      <c r="C13" s="41"/>
      <c r="D13" s="12"/>
    </row>
    <row r="14" spans="1:6" x14ac:dyDescent="0.2">
      <c r="A14" s="16" t="s">
        <v>36</v>
      </c>
      <c r="B14" s="16"/>
      <c r="C14" s="11"/>
      <c r="D14" s="12"/>
    </row>
    <row r="15" spans="1:6" ht="17" x14ac:dyDescent="0.2">
      <c r="A15" s="17" t="s">
        <v>37</v>
      </c>
      <c r="B15" s="35" t="s">
        <v>39</v>
      </c>
      <c r="C15" s="11"/>
      <c r="D15" s="12"/>
      <c r="E15" s="23"/>
      <c r="F15" t="s">
        <v>65</v>
      </c>
    </row>
    <row r="16" spans="1:6" x14ac:dyDescent="0.2">
      <c r="A16" s="17" t="s">
        <v>38</v>
      </c>
      <c r="B16" s="34">
        <v>0.06</v>
      </c>
      <c r="C16" s="11"/>
      <c r="D16" s="12"/>
    </row>
    <row r="17" spans="1:6" x14ac:dyDescent="0.2">
      <c r="A17" s="16" t="s">
        <v>0</v>
      </c>
      <c r="B17" s="16">
        <v>10</v>
      </c>
    </row>
    <row r="18" spans="1:6" x14ac:dyDescent="0.2">
      <c r="A18" s="17" t="s">
        <v>30</v>
      </c>
      <c r="B18" s="17">
        <v>30</v>
      </c>
      <c r="C18" t="s">
        <v>92</v>
      </c>
    </row>
    <row r="19" spans="1:6" x14ac:dyDescent="0.2">
      <c r="A19" s="37" t="s">
        <v>32</v>
      </c>
      <c r="B19" s="38">
        <v>17000</v>
      </c>
    </row>
    <row r="20" spans="1:6" x14ac:dyDescent="0.2">
      <c r="A20" s="37" t="s">
        <v>33</v>
      </c>
      <c r="B20" s="55">
        <v>3.3</v>
      </c>
    </row>
    <row r="21" spans="1:6" x14ac:dyDescent="0.2">
      <c r="A21" s="16" t="s">
        <v>1</v>
      </c>
      <c r="B21" s="32">
        <v>76105</v>
      </c>
    </row>
    <row r="22" spans="1:6" x14ac:dyDescent="0.2">
      <c r="A22" s="2" t="s">
        <v>107</v>
      </c>
      <c r="B22" s="2">
        <v>260</v>
      </c>
    </row>
    <row r="23" spans="1:6" x14ac:dyDescent="0.2">
      <c r="A23" s="17" t="s">
        <v>8</v>
      </c>
      <c r="B23" s="17">
        <v>3000</v>
      </c>
    </row>
    <row r="24" spans="1:6" x14ac:dyDescent="0.2">
      <c r="A24" s="2" t="s">
        <v>35</v>
      </c>
      <c r="B24" s="8" t="s">
        <v>113</v>
      </c>
    </row>
    <row r="25" spans="1:6" x14ac:dyDescent="0.2">
      <c r="B25" s="13"/>
    </row>
    <row r="26" spans="1:6" x14ac:dyDescent="0.2">
      <c r="B26" s="13"/>
    </row>
    <row r="27" spans="1:6" x14ac:dyDescent="0.2">
      <c r="A27" s="29" t="s">
        <v>29</v>
      </c>
    </row>
    <row r="28" spans="1:6" x14ac:dyDescent="0.2">
      <c r="A28" s="3" t="e" vm="4">
        <v>#VALUE!</v>
      </c>
      <c r="B28" s="31">
        <v>45382</v>
      </c>
    </row>
    <row r="29" spans="1:6" x14ac:dyDescent="0.2">
      <c r="A29" t="s">
        <v>19</v>
      </c>
      <c r="B29" s="14" cm="1">
        <f t="array" aca="1" ref="B29" ca="1">_FV(A28,"Price")</f>
        <v>13.29</v>
      </c>
      <c r="D29" s="1"/>
    </row>
    <row r="30" spans="1:6" x14ac:dyDescent="0.2">
      <c r="A30" t="s">
        <v>17</v>
      </c>
      <c r="B30" s="28" cm="1">
        <f t="array" aca="1" ref="B30" ca="1">_FV(A28,"Market cap",TRUE)</f>
        <v>2614756998</v>
      </c>
      <c r="D30" s="1"/>
    </row>
    <row r="31" spans="1:6" x14ac:dyDescent="0.2">
      <c r="A31" t="s">
        <v>20</v>
      </c>
      <c r="B31" s="1" cm="1">
        <f t="array" aca="1" ref="B31" ca="1">_FV(A28,"Shares outstanding",TRUE)</f>
        <v>196746200</v>
      </c>
      <c r="D31" s="1"/>
    </row>
    <row r="32" spans="1:6" ht="17" x14ac:dyDescent="0.2">
      <c r="A32" t="s">
        <v>18</v>
      </c>
      <c r="B32" s="62">
        <v>391353000</v>
      </c>
      <c r="E32" s="27"/>
      <c r="F32" s="23"/>
    </row>
    <row r="33" spans="1:6" ht="17" x14ac:dyDescent="0.2">
      <c r="A33" s="36" t="s">
        <v>70</v>
      </c>
      <c r="B33" s="48">
        <v>118500000</v>
      </c>
      <c r="E33" s="27"/>
      <c r="F33" s="23"/>
    </row>
    <row r="34" spans="1:6" ht="17" x14ac:dyDescent="0.2">
      <c r="A34" s="49" t="s">
        <v>76</v>
      </c>
      <c r="B34" s="50">
        <v>22700000</v>
      </c>
      <c r="E34" s="27"/>
      <c r="F34" s="23"/>
    </row>
    <row r="35" spans="1:6" ht="17" x14ac:dyDescent="0.2">
      <c r="A35" t="s">
        <v>21</v>
      </c>
      <c r="B35" s="25">
        <f ca="1">B32/B31</f>
        <v>1.9891260923972103</v>
      </c>
      <c r="D35" s="1"/>
      <c r="E35" s="1"/>
      <c r="F35" s="23"/>
    </row>
    <row r="36" spans="1:6" ht="17" x14ac:dyDescent="0.2">
      <c r="A36" t="s">
        <v>22</v>
      </c>
      <c r="B36" s="26">
        <f ca="1">B29/B35</f>
        <v>6.6813260611263994</v>
      </c>
      <c r="D36" s="1"/>
      <c r="F36" s="23"/>
    </row>
    <row r="37" spans="1:6" ht="17" x14ac:dyDescent="0.2">
      <c r="A37" s="16" t="s">
        <v>31</v>
      </c>
      <c r="B37" s="32">
        <v>0</v>
      </c>
      <c r="C37" s="41" t="s">
        <v>50</v>
      </c>
      <c r="D37" s="1"/>
      <c r="F37" s="23"/>
    </row>
    <row r="38" spans="1:6" ht="17" x14ac:dyDescent="0.2">
      <c r="A38" s="17" t="s">
        <v>16</v>
      </c>
      <c r="B38" s="42">
        <v>0</v>
      </c>
      <c r="D38" s="1"/>
      <c r="F38" s="23"/>
    </row>
    <row r="39" spans="1:6" x14ac:dyDescent="0.2">
      <c r="A39" s="16" t="s">
        <v>0</v>
      </c>
      <c r="B39" s="16">
        <f>SUM(B40:B42)</f>
        <v>22.5</v>
      </c>
    </row>
    <row r="40" spans="1:6" x14ac:dyDescent="0.2">
      <c r="A40" s="17" t="s">
        <v>44</v>
      </c>
      <c r="B40" s="17">
        <v>6.7</v>
      </c>
    </row>
    <row r="41" spans="1:6" x14ac:dyDescent="0.2">
      <c r="A41" s="17" t="s">
        <v>45</v>
      </c>
      <c r="B41" s="17">
        <v>1.7</v>
      </c>
    </row>
    <row r="42" spans="1:6" x14ac:dyDescent="0.2">
      <c r="A42" s="17" t="s">
        <v>46</v>
      </c>
      <c r="B42" s="17">
        <v>14.1</v>
      </c>
    </row>
    <row r="43" spans="1:6" x14ac:dyDescent="0.2">
      <c r="A43" s="37" t="s">
        <v>32</v>
      </c>
      <c r="B43" s="54">
        <v>28803.51</v>
      </c>
      <c r="C43" s="41" t="s">
        <v>49</v>
      </c>
    </row>
    <row r="44" spans="1:6" x14ac:dyDescent="0.2">
      <c r="A44" s="37" t="s">
        <v>33</v>
      </c>
      <c r="B44" s="37">
        <v>4.3</v>
      </c>
    </row>
    <row r="45" spans="1:6" x14ac:dyDescent="0.2">
      <c r="A45" s="16" t="s">
        <v>41</v>
      </c>
      <c r="B45" s="32">
        <f>SUM(B46:B47)</f>
        <v>226000</v>
      </c>
    </row>
    <row r="46" spans="1:6" x14ac:dyDescent="0.2">
      <c r="A46" s="17" t="s">
        <v>43</v>
      </c>
      <c r="B46" s="40">
        <v>86000</v>
      </c>
    </row>
    <row r="47" spans="1:6" x14ac:dyDescent="0.2">
      <c r="A47" s="17" t="s">
        <v>42</v>
      </c>
      <c r="B47" s="40">
        <v>140000</v>
      </c>
    </row>
    <row r="48" spans="1:6" x14ac:dyDescent="0.2">
      <c r="A48" s="2" t="s">
        <v>106</v>
      </c>
      <c r="B48" s="2">
        <v>895</v>
      </c>
    </row>
    <row r="49" spans="1:2" x14ac:dyDescent="0.2">
      <c r="A49" s="17" t="s">
        <v>109</v>
      </c>
      <c r="B49" s="17">
        <v>206</v>
      </c>
    </row>
    <row r="50" spans="1:2" x14ac:dyDescent="0.2">
      <c r="A50" s="17" t="s">
        <v>47</v>
      </c>
      <c r="B50" s="40">
        <v>1524</v>
      </c>
    </row>
    <row r="51" spans="1:2" x14ac:dyDescent="0.2">
      <c r="A51" s="2" t="s">
        <v>48</v>
      </c>
      <c r="B51" s="33" t="s">
        <v>6</v>
      </c>
    </row>
    <row r="52" spans="1:2" x14ac:dyDescent="0.2">
      <c r="B52" s="7"/>
    </row>
    <row r="54" spans="1:2" x14ac:dyDescent="0.2">
      <c r="A54" s="29" t="s">
        <v>27</v>
      </c>
    </row>
    <row r="55" spans="1:2" x14ac:dyDescent="0.2">
      <c r="A55" s="3" t="e" vm="5">
        <v>#VALUE!</v>
      </c>
      <c r="B55" s="47">
        <v>45382</v>
      </c>
    </row>
    <row r="56" spans="1:2" x14ac:dyDescent="0.2">
      <c r="A56" t="s">
        <v>19</v>
      </c>
      <c r="B56" s="14" cm="1">
        <f t="array" aca="1" ref="B56" ca="1">_FV(A55,"Price")</f>
        <v>2.6</v>
      </c>
    </row>
    <row r="57" spans="1:2" x14ac:dyDescent="0.2">
      <c r="A57" t="s">
        <v>17</v>
      </c>
      <c r="B57" s="28" cm="1">
        <f t="array" aca="1" ref="B57" ca="1">_FV(A55,"Market cap",TRUE)</f>
        <v>540230340</v>
      </c>
    </row>
    <row r="58" spans="1:2" x14ac:dyDescent="0.2">
      <c r="A58" t="s">
        <v>20</v>
      </c>
      <c r="B58" s="1" cm="1">
        <f t="array" aca="1" ref="B58" ca="1">_FV(A55,"Shares outstanding",TRUE)</f>
        <v>207780900</v>
      </c>
    </row>
    <row r="59" spans="1:2" x14ac:dyDescent="0.2">
      <c r="A59" t="s">
        <v>18</v>
      </c>
      <c r="B59" s="24">
        <v>265189539</v>
      </c>
    </row>
    <row r="60" spans="1:2" x14ac:dyDescent="0.2">
      <c r="A60" s="36" t="s">
        <v>70</v>
      </c>
      <c r="B60" s="48">
        <v>35500000</v>
      </c>
    </row>
    <row r="61" spans="1:2" x14ac:dyDescent="0.2">
      <c r="A61" s="49" t="s">
        <v>76</v>
      </c>
      <c r="B61" s="50">
        <v>0</v>
      </c>
    </row>
    <row r="62" spans="1:2" x14ac:dyDescent="0.2">
      <c r="A62" t="s">
        <v>21</v>
      </c>
      <c r="B62" s="25">
        <f ca="1">B59/B58</f>
        <v>1.2762941107676404</v>
      </c>
    </row>
    <row r="63" spans="1:2" x14ac:dyDescent="0.2">
      <c r="A63" t="s">
        <v>22</v>
      </c>
      <c r="B63" s="26">
        <f ca="1">B56/B62</f>
        <v>2.0371480037906018</v>
      </c>
    </row>
    <row r="64" spans="1:2" x14ac:dyDescent="0.2">
      <c r="A64" s="16" t="s">
        <v>31</v>
      </c>
      <c r="B64" s="16">
        <v>956</v>
      </c>
    </row>
    <row r="65" spans="1:3" x14ac:dyDescent="0.2">
      <c r="A65" s="17" t="s">
        <v>16</v>
      </c>
      <c r="B65" s="42">
        <f ca="1">(B64*E2)</f>
        <v>101616796.32000001</v>
      </c>
    </row>
    <row r="66" spans="1:3" x14ac:dyDescent="0.2">
      <c r="A66" s="16" t="s">
        <v>57</v>
      </c>
      <c r="B66" s="32">
        <v>16031</v>
      </c>
    </row>
    <row r="67" spans="1:3" x14ac:dyDescent="0.2">
      <c r="A67" s="17" t="s">
        <v>16</v>
      </c>
      <c r="B67" s="42">
        <f ca="1">(B66*E3)</f>
        <v>42524632.149999999</v>
      </c>
    </row>
    <row r="68" spans="1:3" x14ac:dyDescent="0.2">
      <c r="A68" s="16" t="s">
        <v>0</v>
      </c>
      <c r="B68" s="16">
        <v>4.2</v>
      </c>
    </row>
    <row r="69" spans="1:3" x14ac:dyDescent="0.2">
      <c r="A69" s="17" t="s">
        <v>59</v>
      </c>
      <c r="B69" s="17">
        <v>6</v>
      </c>
    </row>
    <row r="70" spans="1:3" x14ac:dyDescent="0.2">
      <c r="A70" s="37" t="s">
        <v>32</v>
      </c>
      <c r="B70" s="38">
        <v>31659</v>
      </c>
      <c r="C70" s="41" t="s">
        <v>60</v>
      </c>
    </row>
    <row r="71" spans="1:3" x14ac:dyDescent="0.2">
      <c r="A71" s="37" t="s">
        <v>33</v>
      </c>
      <c r="B71" s="37">
        <v>5</v>
      </c>
    </row>
    <row r="72" spans="1:3" x14ac:dyDescent="0.2">
      <c r="A72" s="16" t="s">
        <v>1</v>
      </c>
      <c r="B72" s="32">
        <v>48898</v>
      </c>
    </row>
    <row r="73" spans="1:3" x14ac:dyDescent="0.2">
      <c r="A73" s="16" t="s">
        <v>58</v>
      </c>
      <c r="B73" s="32">
        <v>2048</v>
      </c>
    </row>
    <row r="74" spans="1:3" x14ac:dyDescent="0.2">
      <c r="A74" s="2" t="s">
        <v>61</v>
      </c>
      <c r="B74" s="2">
        <v>90</v>
      </c>
      <c r="C74" s="41" t="s">
        <v>79</v>
      </c>
    </row>
    <row r="75" spans="1:3" x14ac:dyDescent="0.2">
      <c r="A75" s="2" t="s">
        <v>35</v>
      </c>
      <c r="B75" s="8" t="s">
        <v>6</v>
      </c>
      <c r="C75" s="11"/>
    </row>
    <row r="76" spans="1:3" x14ac:dyDescent="0.2">
      <c r="C76" s="11"/>
    </row>
    <row r="78" spans="1:3" x14ac:dyDescent="0.2">
      <c r="A78" s="3" t="e" vm="6">
        <v>#VALUE!</v>
      </c>
      <c r="B78" s="47">
        <v>45382</v>
      </c>
    </row>
    <row r="79" spans="1:3" x14ac:dyDescent="0.2">
      <c r="A79" t="s">
        <v>19</v>
      </c>
      <c r="B79" s="14" cm="1">
        <f t="array" aca="1" ref="B79" ca="1">_FV(A78,"Price")</f>
        <v>4.26</v>
      </c>
    </row>
    <row r="80" spans="1:3" x14ac:dyDescent="0.2">
      <c r="A80" t="s">
        <v>17</v>
      </c>
      <c r="B80" s="28" cm="1">
        <f t="array" aca="1" ref="B80" ca="1">_FV(A78,"Market cap",TRUE)</f>
        <v>1632166602</v>
      </c>
    </row>
    <row r="81" spans="1:6" ht="17" x14ac:dyDescent="0.2">
      <c r="A81" t="s">
        <v>20</v>
      </c>
      <c r="B81" s="1" cm="1">
        <f t="array" aca="1" ref="B81" ca="1">_FV(A78,"Shares outstanding",TRUE)</f>
        <v>383137700</v>
      </c>
      <c r="E81" s="27"/>
      <c r="F81" s="23"/>
    </row>
    <row r="82" spans="1:6" ht="17" x14ac:dyDescent="0.2">
      <c r="A82" t="s">
        <v>18</v>
      </c>
      <c r="B82" s="24">
        <v>272343000</v>
      </c>
      <c r="E82" s="1"/>
      <c r="F82" s="23"/>
    </row>
    <row r="83" spans="1:6" ht="17" x14ac:dyDescent="0.2">
      <c r="A83" s="36" t="s">
        <v>70</v>
      </c>
      <c r="B83" s="48">
        <v>45800000</v>
      </c>
      <c r="E83" s="1"/>
      <c r="F83" s="23"/>
    </row>
    <row r="84" spans="1:6" ht="17" x14ac:dyDescent="0.2">
      <c r="A84" s="49" t="s">
        <v>71</v>
      </c>
      <c r="B84" s="50">
        <v>75800000</v>
      </c>
      <c r="E84" s="1"/>
      <c r="F84" s="23"/>
    </row>
    <row r="85" spans="1:6" ht="17" x14ac:dyDescent="0.2">
      <c r="A85" t="s">
        <v>21</v>
      </c>
      <c r="B85" s="25">
        <f ca="1">B82/B81</f>
        <v>0.71082276685379697</v>
      </c>
      <c r="F85" s="23"/>
    </row>
    <row r="86" spans="1:6" x14ac:dyDescent="0.2">
      <c r="A86" t="s">
        <v>22</v>
      </c>
      <c r="B86" s="26">
        <f ca="1">B79/B85</f>
        <v>5.9930550886198652</v>
      </c>
    </row>
    <row r="87" spans="1:6" x14ac:dyDescent="0.2">
      <c r="A87" s="16" t="s">
        <v>2</v>
      </c>
      <c r="B87" s="16">
        <v>0</v>
      </c>
      <c r="C87" s="41" t="s">
        <v>64</v>
      </c>
    </row>
    <row r="88" spans="1:6" x14ac:dyDescent="0.2">
      <c r="A88" s="17" t="s">
        <v>16</v>
      </c>
      <c r="B88" s="17">
        <v>0</v>
      </c>
    </row>
    <row r="89" spans="1:6" x14ac:dyDescent="0.2">
      <c r="A89" s="16" t="s">
        <v>0</v>
      </c>
      <c r="B89" s="16">
        <v>8</v>
      </c>
      <c r="E89" s="1"/>
    </row>
    <row r="90" spans="1:6" x14ac:dyDescent="0.2">
      <c r="A90" s="17" t="s">
        <v>52</v>
      </c>
      <c r="B90" s="17">
        <v>10.199999999999999</v>
      </c>
      <c r="E90" s="1"/>
    </row>
    <row r="91" spans="1:6" ht="17" x14ac:dyDescent="0.2">
      <c r="A91" s="37" t="s">
        <v>32</v>
      </c>
      <c r="B91" s="38">
        <v>15501</v>
      </c>
      <c r="E91" s="1"/>
      <c r="F91" s="23"/>
    </row>
    <row r="92" spans="1:6" x14ac:dyDescent="0.2">
      <c r="A92" s="37" t="s">
        <v>33</v>
      </c>
      <c r="B92" s="37">
        <v>4.0999999999999996</v>
      </c>
      <c r="E92" s="1"/>
    </row>
    <row r="93" spans="1:6" x14ac:dyDescent="0.2">
      <c r="A93" s="16" t="s">
        <v>7</v>
      </c>
      <c r="B93" s="32">
        <v>66900</v>
      </c>
      <c r="E93" s="1"/>
    </row>
    <row r="94" spans="1:6" x14ac:dyDescent="0.2">
      <c r="A94" s="2" t="s">
        <v>3</v>
      </c>
      <c r="B94" s="2">
        <v>212</v>
      </c>
    </row>
    <row r="95" spans="1:6" x14ac:dyDescent="0.2">
      <c r="A95" s="17" t="s">
        <v>63</v>
      </c>
      <c r="B95" s="17">
        <v>295</v>
      </c>
    </row>
    <row r="96" spans="1:6" x14ac:dyDescent="0.2">
      <c r="A96" s="17" t="s">
        <v>62</v>
      </c>
      <c r="B96" s="17">
        <v>300</v>
      </c>
    </row>
    <row r="97" spans="1:2" x14ac:dyDescent="0.2">
      <c r="A97" s="17" t="s">
        <v>78</v>
      </c>
      <c r="B97" s="17">
        <f>SUM(B96,B95)</f>
        <v>595</v>
      </c>
    </row>
    <row r="98" spans="1:2" x14ac:dyDescent="0.2">
      <c r="A98" s="2" t="s">
        <v>35</v>
      </c>
      <c r="B98" s="8" t="s">
        <v>6</v>
      </c>
    </row>
    <row r="101" spans="1:2" x14ac:dyDescent="0.2">
      <c r="A101" s="29" t="s">
        <v>26</v>
      </c>
    </row>
    <row r="102" spans="1:2" x14ac:dyDescent="0.2">
      <c r="A102" s="3" t="e" vm="7">
        <v>#VALUE!</v>
      </c>
      <c r="B102" s="47">
        <v>45330</v>
      </c>
    </row>
    <row r="103" spans="1:2" x14ac:dyDescent="0.2">
      <c r="A103" t="s">
        <v>19</v>
      </c>
      <c r="B103" s="14" cm="1">
        <f t="array" aca="1" ref="B103" ca="1">_FV(A102,"Price")</f>
        <v>9.7100000000000009</v>
      </c>
    </row>
    <row r="104" spans="1:2" x14ac:dyDescent="0.2">
      <c r="A104" t="s">
        <v>17</v>
      </c>
      <c r="B104" s="28" cm="1">
        <f t="array" aca="1" ref="B104" ca="1">_FV(A102,"Market cap",TRUE)</f>
        <v>2727964298</v>
      </c>
    </row>
    <row r="105" spans="1:2" x14ac:dyDescent="0.2">
      <c r="A105" t="s">
        <v>20</v>
      </c>
      <c r="B105" s="1" cm="1">
        <f t="array" aca="1" ref="B105" ca="1">_FV(A102,"Shares outstanding",TRUE)</f>
        <v>280943800</v>
      </c>
    </row>
    <row r="106" spans="1:2" x14ac:dyDescent="0.2">
      <c r="A106" t="s">
        <v>18</v>
      </c>
      <c r="B106" s="24">
        <v>1462917000</v>
      </c>
    </row>
    <row r="107" spans="1:2" x14ac:dyDescent="0.2">
      <c r="A107" s="36" t="s">
        <v>70</v>
      </c>
      <c r="B107" s="48">
        <v>328400000</v>
      </c>
    </row>
    <row r="108" spans="1:2" x14ac:dyDescent="0.2">
      <c r="A108" s="49" t="s">
        <v>71</v>
      </c>
      <c r="B108" s="50">
        <v>12900000</v>
      </c>
    </row>
    <row r="109" spans="1:2" x14ac:dyDescent="0.2">
      <c r="A109" t="s">
        <v>21</v>
      </c>
      <c r="B109" s="25">
        <f ca="1">B106/B105</f>
        <v>5.2071517506348242</v>
      </c>
    </row>
    <row r="110" spans="1:2" x14ac:dyDescent="0.2">
      <c r="A110" t="s">
        <v>22</v>
      </c>
      <c r="B110" s="26">
        <f ca="1">B103/B109</f>
        <v>1.8647430428383842</v>
      </c>
    </row>
    <row r="111" spans="1:2" x14ac:dyDescent="0.2">
      <c r="A111" s="16" t="s">
        <v>31</v>
      </c>
      <c r="B111" s="32">
        <v>5739</v>
      </c>
    </row>
    <row r="112" spans="1:2" x14ac:dyDescent="0.2">
      <c r="A112" s="17" t="s">
        <v>16</v>
      </c>
      <c r="B112" s="42">
        <f ca="1">B111*E2</f>
        <v>610019659.08000004</v>
      </c>
    </row>
    <row r="113" spans="1:6" ht="17" x14ac:dyDescent="0.2">
      <c r="A113" s="16" t="s">
        <v>0</v>
      </c>
      <c r="B113" s="16">
        <v>17.3</v>
      </c>
      <c r="E113" s="1"/>
      <c r="F113" s="23"/>
    </row>
    <row r="114" spans="1:6" ht="17" x14ac:dyDescent="0.2">
      <c r="A114" s="17" t="s">
        <v>72</v>
      </c>
      <c r="B114" s="17">
        <v>50</v>
      </c>
      <c r="C114" s="41" t="s">
        <v>68</v>
      </c>
      <c r="E114" s="1"/>
      <c r="F114" s="23"/>
    </row>
    <row r="115" spans="1:6" ht="17" x14ac:dyDescent="0.2">
      <c r="A115" s="16" t="s">
        <v>66</v>
      </c>
      <c r="B115" s="32">
        <v>136496</v>
      </c>
      <c r="F115" s="23"/>
    </row>
    <row r="116" spans="1:6" ht="17" x14ac:dyDescent="0.2">
      <c r="A116" s="17" t="s">
        <v>67</v>
      </c>
      <c r="B116" s="40">
        <v>215000</v>
      </c>
      <c r="C116" s="41" t="s">
        <v>69</v>
      </c>
      <c r="F116" s="23"/>
    </row>
    <row r="117" spans="1:6" ht="17" x14ac:dyDescent="0.2">
      <c r="A117" s="37" t="s">
        <v>77</v>
      </c>
      <c r="B117" s="38">
        <v>14692</v>
      </c>
      <c r="C117" s="41"/>
      <c r="F117" s="23"/>
    </row>
    <row r="118" spans="1:6" ht="17" x14ac:dyDescent="0.2">
      <c r="A118" s="37" t="s">
        <v>33</v>
      </c>
      <c r="B118" s="37">
        <v>4.4000000000000004</v>
      </c>
      <c r="C118" s="41"/>
      <c r="F118" s="23"/>
    </row>
    <row r="119" spans="1:6" x14ac:dyDescent="0.2">
      <c r="A119" s="2" t="s">
        <v>3</v>
      </c>
      <c r="B119" s="2">
        <v>380</v>
      </c>
    </row>
    <row r="120" spans="1:6" x14ac:dyDescent="0.2">
      <c r="A120" s="5" t="s">
        <v>73</v>
      </c>
      <c r="B120" s="5">
        <f>B119*0.83</f>
        <v>315.39999999999998</v>
      </c>
      <c r="C120" s="10"/>
    </row>
    <row r="121" spans="1:6" x14ac:dyDescent="0.2">
      <c r="A121" s="5" t="s">
        <v>74</v>
      </c>
      <c r="B121" s="5">
        <f>B119*0.17</f>
        <v>64.600000000000009</v>
      </c>
      <c r="C121" s="10"/>
    </row>
    <row r="122" spans="1:6" x14ac:dyDescent="0.2">
      <c r="A122" s="2" t="s">
        <v>35</v>
      </c>
      <c r="B122" s="8" t="s">
        <v>6</v>
      </c>
    </row>
    <row r="124" spans="1:6" s="51" customFormat="1" ht="15" customHeight="1" x14ac:dyDescent="0.2">
      <c r="A124" s="52" t="s">
        <v>75</v>
      </c>
    </row>
    <row r="126" spans="1:6" x14ac:dyDescent="0.2">
      <c r="A126" s="29" t="s">
        <v>28</v>
      </c>
    </row>
    <row r="127" spans="1:6" x14ac:dyDescent="0.2">
      <c r="A127" s="3" t="e" vm="8">
        <v>#VALUE!</v>
      </c>
      <c r="B127" s="9">
        <v>45382</v>
      </c>
    </row>
    <row r="128" spans="1:6" x14ac:dyDescent="0.2">
      <c r="A128" t="s">
        <v>19</v>
      </c>
      <c r="B128" s="14" cm="1">
        <f t="array" aca="1" ref="B128" ca="1">_FV(A127,"Price")</f>
        <v>15.82</v>
      </c>
    </row>
    <row r="129" spans="1:2" x14ac:dyDescent="0.2">
      <c r="A129" t="s">
        <v>17</v>
      </c>
      <c r="B129" s="28" cm="1">
        <f t="array" aca="1" ref="B129" ca="1">_FV(A127,"Market cap",TRUE)</f>
        <v>5567497796</v>
      </c>
    </row>
    <row r="130" spans="1:2" x14ac:dyDescent="0.2">
      <c r="A130" t="s">
        <v>20</v>
      </c>
      <c r="B130" s="1" cm="1">
        <f t="array" aca="1" ref="B130" ca="1">_FV(A127,"Shares outstanding",TRUE)</f>
        <v>351927800</v>
      </c>
    </row>
    <row r="131" spans="1:2" x14ac:dyDescent="0.2">
      <c r="A131" t="s">
        <v>18</v>
      </c>
      <c r="B131" s="22">
        <v>2476893000</v>
      </c>
    </row>
    <row r="132" spans="1:2" x14ac:dyDescent="0.2">
      <c r="A132" t="s">
        <v>21</v>
      </c>
      <c r="B132" s="25">
        <f ca="1">B131/B130</f>
        <v>7.0380714453362305</v>
      </c>
    </row>
    <row r="133" spans="1:2" x14ac:dyDescent="0.2">
      <c r="A133" t="s">
        <v>22</v>
      </c>
      <c r="B133" s="26">
        <f ca="1">B128/B132</f>
        <v>2.2477748518002194</v>
      </c>
    </row>
    <row r="134" spans="1:2" x14ac:dyDescent="0.2">
      <c r="A134" t="s">
        <v>5</v>
      </c>
      <c r="B134" s="6" t="s">
        <v>6</v>
      </c>
    </row>
    <row r="135" spans="1:2" x14ac:dyDescent="0.2">
      <c r="A135" t="s">
        <v>0</v>
      </c>
      <c r="B135">
        <v>28.7</v>
      </c>
    </row>
    <row r="136" spans="1:2" x14ac:dyDescent="0.2">
      <c r="A136" t="s">
        <v>1</v>
      </c>
      <c r="B136" s="1">
        <v>230000</v>
      </c>
    </row>
    <row r="137" spans="1:2" x14ac:dyDescent="0.2">
      <c r="A137" s="16" t="s">
        <v>2</v>
      </c>
      <c r="B137" s="16">
        <v>16930</v>
      </c>
    </row>
    <row r="138" spans="1:2" x14ac:dyDescent="0.2">
      <c r="A138" s="17" t="s">
        <v>16</v>
      </c>
      <c r="B138" s="18">
        <f ca="1">B137*E2</f>
        <v>1799552679.5999999</v>
      </c>
    </row>
    <row r="139" spans="1:2" x14ac:dyDescent="0.2">
      <c r="A139" s="2" t="s">
        <v>3</v>
      </c>
      <c r="B139" s="2">
        <v>730</v>
      </c>
    </row>
    <row r="140" spans="1:2" x14ac:dyDescent="0.2">
      <c r="A140" s="5" t="s">
        <v>14</v>
      </c>
      <c r="B140" s="5">
        <v>708</v>
      </c>
    </row>
    <row r="141" spans="1:2" x14ac:dyDescent="0.2">
      <c r="A141" s="5" t="s">
        <v>4</v>
      </c>
      <c r="B141" s="5">
        <v>22</v>
      </c>
    </row>
    <row r="142" spans="1:2" x14ac:dyDescent="0.2">
      <c r="A142" t="s">
        <v>15</v>
      </c>
      <c r="B142">
        <v>180</v>
      </c>
    </row>
    <row r="143" spans="1:2" x14ac:dyDescent="0.2">
      <c r="A143" s="2" t="s">
        <v>11</v>
      </c>
      <c r="B143" s="19" t="s">
        <v>12</v>
      </c>
    </row>
    <row r="145" spans="1:3" x14ac:dyDescent="0.2">
      <c r="B145" s="13"/>
    </row>
    <row r="146" spans="1:3" x14ac:dyDescent="0.2">
      <c r="A146" s="29" t="s">
        <v>25</v>
      </c>
      <c r="B146" s="4"/>
    </row>
    <row r="147" spans="1:3" x14ac:dyDescent="0.2">
      <c r="A147" s="3" t="e" vm="9">
        <v>#VALUE!</v>
      </c>
      <c r="B147" s="9">
        <v>45382</v>
      </c>
    </row>
    <row r="148" spans="1:3" x14ac:dyDescent="0.2">
      <c r="A148" t="s">
        <v>19</v>
      </c>
      <c r="B148" s="14" cm="1">
        <f t="array" aca="1" ref="B148" ca="1">_FV(A147,"Price")</f>
        <v>3.84</v>
      </c>
    </row>
    <row r="149" spans="1:3" x14ac:dyDescent="0.2">
      <c r="A149" t="s">
        <v>17</v>
      </c>
      <c r="B149" s="28" cm="1">
        <f t="array" aca="1" ref="B149" ca="1">_FV(A147,"Market cap",TRUE)</f>
        <v>1287444096</v>
      </c>
    </row>
    <row r="150" spans="1:3" x14ac:dyDescent="0.2">
      <c r="A150" t="s">
        <v>20</v>
      </c>
      <c r="B150" s="1" cm="1">
        <f t="array" aca="1" ref="B150" ca="1">_FV(A147,"Shares outstanding",TRUE)</f>
        <v>335271900</v>
      </c>
    </row>
    <row r="151" spans="1:3" x14ac:dyDescent="0.2">
      <c r="A151" t="s">
        <v>18</v>
      </c>
      <c r="B151" s="30">
        <v>600924000</v>
      </c>
    </row>
    <row r="152" spans="1:3" x14ac:dyDescent="0.2">
      <c r="A152" t="s">
        <v>21</v>
      </c>
      <c r="B152" s="25">
        <f ca="1">B151/B150</f>
        <v>1.7923482403386624</v>
      </c>
    </row>
    <row r="153" spans="1:3" x14ac:dyDescent="0.2">
      <c r="A153" t="s">
        <v>22</v>
      </c>
      <c r="B153" s="26">
        <f ca="1">B148/B152</f>
        <v>2.1424408011662042</v>
      </c>
    </row>
    <row r="154" spans="1:3" x14ac:dyDescent="0.2">
      <c r="A154" s="16" t="s">
        <v>31</v>
      </c>
      <c r="B154" s="43">
        <v>2033</v>
      </c>
      <c r="C154" t="s">
        <v>10</v>
      </c>
    </row>
    <row r="155" spans="1:3" x14ac:dyDescent="0.2">
      <c r="A155" s="17" t="s">
        <v>16</v>
      </c>
      <c r="B155" s="18">
        <f ca="1">(B154*E2)</f>
        <v>216095132.75999999</v>
      </c>
    </row>
    <row r="156" spans="1:3" x14ac:dyDescent="0.2">
      <c r="A156" s="16" t="s">
        <v>0</v>
      </c>
      <c r="B156" s="16">
        <v>7.7</v>
      </c>
    </row>
    <row r="157" spans="1:3" x14ac:dyDescent="0.2">
      <c r="A157" s="17" t="s">
        <v>52</v>
      </c>
      <c r="B157" s="17">
        <v>9.3000000000000007</v>
      </c>
    </row>
    <row r="158" spans="1:3" x14ac:dyDescent="0.2">
      <c r="A158" s="17" t="s">
        <v>53</v>
      </c>
      <c r="B158" s="17">
        <v>25.1</v>
      </c>
    </row>
    <row r="159" spans="1:3" x14ac:dyDescent="0.2">
      <c r="A159" s="37" t="s">
        <v>32</v>
      </c>
      <c r="B159" s="44">
        <v>11912</v>
      </c>
    </row>
    <row r="160" spans="1:3" x14ac:dyDescent="0.2">
      <c r="A160" s="37" t="s">
        <v>33</v>
      </c>
      <c r="B160" s="20">
        <v>2.7</v>
      </c>
      <c r="C160" s="41" t="s">
        <v>55</v>
      </c>
    </row>
    <row r="161" spans="1:3" x14ac:dyDescent="0.2">
      <c r="A161" s="16" t="s">
        <v>56</v>
      </c>
      <c r="B161" s="32">
        <v>72000</v>
      </c>
    </row>
    <row r="162" spans="1:3" x14ac:dyDescent="0.2">
      <c r="A162" s="2" t="s">
        <v>3</v>
      </c>
      <c r="B162" s="2">
        <v>236</v>
      </c>
    </row>
    <row r="163" spans="1:3" x14ac:dyDescent="0.2">
      <c r="A163" s="5" t="s">
        <v>54</v>
      </c>
      <c r="B163" s="5">
        <v>566</v>
      </c>
    </row>
    <row r="164" spans="1:3" x14ac:dyDescent="0.2">
      <c r="A164" s="2" t="s">
        <v>51</v>
      </c>
      <c r="B164" s="8" t="s">
        <v>6</v>
      </c>
    </row>
    <row r="167" spans="1:3" x14ac:dyDescent="0.2">
      <c r="A167" s="29" t="s">
        <v>23</v>
      </c>
    </row>
    <row r="168" spans="1:3" x14ac:dyDescent="0.2">
      <c r="A168" s="3" t="e" vm="10">
        <v>#VALUE!</v>
      </c>
      <c r="B168" s="31">
        <v>45375</v>
      </c>
      <c r="C168" s="15"/>
    </row>
    <row r="169" spans="1:3" x14ac:dyDescent="0.2">
      <c r="A169" t="s">
        <v>19</v>
      </c>
      <c r="B169" s="14" cm="1">
        <f t="array" aca="1" ref="B169" ca="1">_FV(A168,"Price")</f>
        <v>10.210000000000001</v>
      </c>
    </row>
    <row r="170" spans="1:3" x14ac:dyDescent="0.2">
      <c r="A170" t="s">
        <v>17</v>
      </c>
      <c r="B170" s="28" cm="1">
        <f t="array" aca="1" ref="B170" ca="1">_FV(A168,"Market cap",TRUE)</f>
        <v>3647662377</v>
      </c>
    </row>
    <row r="171" spans="1:3" x14ac:dyDescent="0.2">
      <c r="A171" t="s">
        <v>20</v>
      </c>
      <c r="B171" s="1" cm="1">
        <f t="array" aca="1" ref="B171" ca="1">_FV(A168,"Shares outstanding",TRUE)</f>
        <v>357263700</v>
      </c>
    </row>
    <row r="172" spans="1:3" x14ac:dyDescent="0.2">
      <c r="A172" t="s">
        <v>18</v>
      </c>
      <c r="B172" s="30">
        <v>2475404000</v>
      </c>
      <c r="C172" s="10"/>
    </row>
    <row r="173" spans="1:3" x14ac:dyDescent="0.2">
      <c r="A173" t="s">
        <v>21</v>
      </c>
      <c r="B173" s="25">
        <f ca="1">B172/B171</f>
        <v>6.9287867757065715</v>
      </c>
    </row>
    <row r="174" spans="1:3" x14ac:dyDescent="0.2">
      <c r="A174" t="s">
        <v>22</v>
      </c>
      <c r="B174" s="26">
        <f ca="1">B169/B173</f>
        <v>1.4735624475843137</v>
      </c>
    </row>
    <row r="175" spans="1:3" x14ac:dyDescent="0.2">
      <c r="A175" s="16" t="s">
        <v>0</v>
      </c>
      <c r="B175" s="16">
        <v>12.4</v>
      </c>
    </row>
    <row r="176" spans="1:3" x14ac:dyDescent="0.2">
      <c r="A176" s="17" t="s">
        <v>30</v>
      </c>
      <c r="B176" s="17">
        <v>31.5</v>
      </c>
    </row>
    <row r="177" spans="1:2" x14ac:dyDescent="0.2">
      <c r="A177" s="37" t="s">
        <v>32</v>
      </c>
      <c r="B177" s="46">
        <v>23034</v>
      </c>
    </row>
    <row r="178" spans="1:2" x14ac:dyDescent="0.2">
      <c r="A178" s="37" t="s">
        <v>33</v>
      </c>
      <c r="B178" s="39">
        <v>3.8</v>
      </c>
    </row>
    <row r="179" spans="1:2" x14ac:dyDescent="0.2">
      <c r="A179" s="16" t="s">
        <v>31</v>
      </c>
      <c r="B179" s="32">
        <v>8490</v>
      </c>
    </row>
    <row r="180" spans="1:2" x14ac:dyDescent="0.2">
      <c r="A180" s="17" t="s">
        <v>16</v>
      </c>
      <c r="B180" s="18">
        <f ca="1">B179*E2</f>
        <v>902433682.79999995</v>
      </c>
    </row>
    <row r="181" spans="1:2" x14ac:dyDescent="0.2">
      <c r="A181" s="2" t="s">
        <v>3</v>
      </c>
      <c r="B181" s="2">
        <v>1100</v>
      </c>
    </row>
    <row r="182" spans="1:2" x14ac:dyDescent="0.2">
      <c r="A182" s="17" t="s">
        <v>8</v>
      </c>
      <c r="B182" s="17">
        <v>300</v>
      </c>
    </row>
    <row r="183" spans="1:2" x14ac:dyDescent="0.2">
      <c r="A183" s="2" t="s">
        <v>34</v>
      </c>
      <c r="B183" s="33" t="s">
        <v>6</v>
      </c>
    </row>
  </sheetData>
  <hyperlinks>
    <hyperlink ref="B24" r:id="rId1" display="PPA details" xr:uid="{1A7EECC4-1F67-0742-A68D-E1443273D962}"/>
    <hyperlink ref="B134" r:id="rId2" xr:uid="{7676F559-EEA1-8E4A-B26E-99F5E4D26A08}"/>
    <hyperlink ref="B51" r:id="rId3" xr:uid="{7E1C4F6D-3388-B542-9F5C-9533987D9477}"/>
    <hyperlink ref="B75" r:id="rId4" xr:uid="{36B270B8-C139-0C4E-AE9D-A88D61DD21BB}"/>
    <hyperlink ref="B98" r:id="rId5" xr:uid="{A71E0B16-DDA0-6D46-94CC-6EBE3EEE16F9}"/>
    <hyperlink ref="B164" r:id="rId6" xr:uid="{A54C7BC8-9E38-5B4F-863F-EA0BC9594B65}"/>
    <hyperlink ref="B183" r:id="rId7" xr:uid="{D443436E-A6DA-0147-B23A-2B99E8504268}"/>
    <hyperlink ref="B122" r:id="rId8" xr:uid="{D299AFA4-97BF-734C-8A5C-2F9E24E69AE0}"/>
  </hyperlinks>
  <pageMargins left="0.7" right="0.7" top="0.75" bottom="0.75" header="0.3" footer="0.3"/>
  <ignoredErrors>
    <ignoredError sqref="B45" formulaRange="1"/>
  </ignoredErrors>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99A63-1CB8-9D44-B8BB-C489EA570ECD}">
  <dimension ref="A1:T58"/>
  <sheetViews>
    <sheetView zoomScale="70" zoomScaleNormal="70" workbookViewId="0">
      <selection activeCell="M7" sqref="M7:M9"/>
    </sheetView>
  </sheetViews>
  <sheetFormatPr baseColWidth="10" defaultRowHeight="16" x14ac:dyDescent="0.2"/>
  <cols>
    <col min="1" max="1" width="48.5" customWidth="1"/>
    <col min="2" max="2" width="18.1640625" customWidth="1"/>
    <col min="3" max="3" width="20.33203125" customWidth="1"/>
    <col min="4" max="4" width="17.6640625" bestFit="1" customWidth="1"/>
    <col min="5" max="5" width="16.83203125" bestFit="1" customWidth="1"/>
    <col min="6" max="6" width="15.1640625" customWidth="1"/>
    <col min="7" max="7" width="23.33203125" customWidth="1"/>
    <col min="8" max="8" width="14.33203125" customWidth="1"/>
    <col min="9" max="10" width="14.6640625" bestFit="1" customWidth="1"/>
    <col min="11" max="11" width="14.83203125" bestFit="1" customWidth="1"/>
    <col min="12" max="12" width="15.33203125" customWidth="1"/>
    <col min="13" max="13" width="15.5" bestFit="1" customWidth="1"/>
    <col min="14" max="14" width="16.83203125" customWidth="1"/>
    <col min="15" max="15" width="12" bestFit="1" customWidth="1"/>
    <col min="16" max="16" width="27.83203125" customWidth="1"/>
    <col min="17" max="17" width="11.5" bestFit="1" customWidth="1"/>
    <col min="20" max="20" width="11.33203125" customWidth="1"/>
  </cols>
  <sheetData>
    <row r="1" spans="1:20" x14ac:dyDescent="0.2">
      <c r="A1" s="79" t="s">
        <v>116</v>
      </c>
    </row>
    <row r="2" spans="1:20" ht="24" x14ac:dyDescent="0.3">
      <c r="A2" s="72" t="s">
        <v>81</v>
      </c>
      <c r="B2" s="72"/>
      <c r="C2" s="72"/>
      <c r="D2" s="72"/>
      <c r="E2" s="72"/>
      <c r="F2" s="72"/>
      <c r="G2" s="97"/>
      <c r="H2" s="97"/>
      <c r="I2" s="97"/>
    </row>
    <row r="3" spans="1:20" ht="19" x14ac:dyDescent="0.25">
      <c r="A3" s="64"/>
      <c r="B3" s="77" t="s">
        <v>80</v>
      </c>
      <c r="C3" s="77" t="s">
        <v>19</v>
      </c>
      <c r="D3" s="71" t="s">
        <v>20</v>
      </c>
      <c r="E3" s="77" t="s">
        <v>70</v>
      </c>
      <c r="F3" s="77" t="s">
        <v>71</v>
      </c>
      <c r="G3" s="98"/>
      <c r="H3" s="98"/>
      <c r="I3" s="98"/>
      <c r="L3" s="20" t="e" vm="2">
        <v>#VALUE!</v>
      </c>
      <c r="M3" s="21" cm="1">
        <f t="array" aca="1" ref="M3" ca="1">_FV(L3,"Price")</f>
        <v>106293.72</v>
      </c>
      <c r="O3" s="83"/>
      <c r="P3" s="81" t="s">
        <v>111</v>
      </c>
      <c r="Q3" s="79"/>
    </row>
    <row r="4" spans="1:20" x14ac:dyDescent="0.2">
      <c r="A4" s="60" t="e" vm="1">
        <v>#VALUE!</v>
      </c>
      <c r="B4" s="15" cm="1">
        <f t="array" aca="1" ref="B4" ca="1">_FV(A4,"Market cap",TRUE)</f>
        <v>2282747013</v>
      </c>
      <c r="C4" s="14" cm="1">
        <f t="array" aca="1" ref="C4" ca="1">_FV(A4,"Price")</f>
        <v>10.17</v>
      </c>
      <c r="D4" s="1" cm="1">
        <f t="array" aca="1" ref="D4" ca="1">_FV(A4,"Shares outstanding",TRUE)</f>
        <v>224458900</v>
      </c>
      <c r="E4" s="48">
        <v>425300000</v>
      </c>
      <c r="F4" s="58">
        <v>0</v>
      </c>
      <c r="G4" s="63"/>
      <c r="H4" s="99"/>
      <c r="I4" s="66"/>
      <c r="L4" s="45" t="e" vm="3">
        <v>#VALUE!</v>
      </c>
      <c r="M4" s="21" cm="1">
        <f t="array" aca="1" ref="M4" ca="1">_FV(L4,"Price")</f>
        <v>2652.65</v>
      </c>
      <c r="O4" s="67"/>
      <c r="P4" s="16" t="s">
        <v>124</v>
      </c>
      <c r="Q4" s="90">
        <v>30000</v>
      </c>
    </row>
    <row r="5" spans="1:20" x14ac:dyDescent="0.2">
      <c r="A5" s="60" t="e" vm="4">
        <v>#VALUE!</v>
      </c>
      <c r="B5" s="15" cm="1">
        <f t="array" aca="1" ref="B5" ca="1">_FV(A5,"Market cap",TRUE)</f>
        <v>2614756998</v>
      </c>
      <c r="C5" s="14" cm="1">
        <f t="array" aca="1" ref="C5" ca="1">_FV(A5,"Price")</f>
        <v>13.29</v>
      </c>
      <c r="D5" s="1" cm="1">
        <f t="array" aca="1" ref="D5" ca="1">_FV(A5,"Shares outstanding",TRUE)</f>
        <v>196746200</v>
      </c>
      <c r="E5" s="48">
        <v>203900000</v>
      </c>
      <c r="F5" s="50">
        <v>37800000</v>
      </c>
      <c r="G5" s="63"/>
      <c r="H5" s="65"/>
      <c r="I5" s="66"/>
      <c r="O5" s="67"/>
      <c r="P5" s="16" t="s">
        <v>118</v>
      </c>
      <c r="Q5" s="90">
        <v>300000</v>
      </c>
      <c r="R5" s="90"/>
    </row>
    <row r="6" spans="1:20" ht="19" x14ac:dyDescent="0.25">
      <c r="A6" s="60" t="e" vm="5">
        <v>#VALUE!</v>
      </c>
      <c r="B6" s="15" cm="1">
        <f t="array" aca="1" ref="B6" ca="1">_FV(A6,"Market cap",TRUE)</f>
        <v>540230340</v>
      </c>
      <c r="C6" s="14" cm="1">
        <f t="array" aca="1" ref="C6" ca="1">_FV(A6,"Price")</f>
        <v>2.6</v>
      </c>
      <c r="D6" s="1" cm="1">
        <f t="array" aca="1" ref="D6" ca="1">_FV(A6,"Shares outstanding",TRUE)</f>
        <v>207780900</v>
      </c>
      <c r="E6" s="48">
        <v>35500000</v>
      </c>
      <c r="F6" s="50">
        <v>0</v>
      </c>
      <c r="G6" s="24"/>
      <c r="H6" s="65"/>
      <c r="I6" s="66"/>
      <c r="L6" s="81" t="s">
        <v>101</v>
      </c>
      <c r="M6" s="81"/>
      <c r="N6" s="83"/>
      <c r="O6" s="67"/>
      <c r="P6" s="16" t="s">
        <v>119</v>
      </c>
      <c r="Q6" s="90">
        <v>750000</v>
      </c>
      <c r="R6" s="90"/>
    </row>
    <row r="7" spans="1:20" x14ac:dyDescent="0.2">
      <c r="A7" s="60" t="e" vm="6">
        <v>#VALUE!</v>
      </c>
      <c r="B7" s="15" cm="1">
        <f t="array" aca="1" ref="B7" ca="1">_FV(A7,"Market cap",TRUE)</f>
        <v>1632166602</v>
      </c>
      <c r="C7" s="14" cm="1">
        <f t="array" aca="1" ref="C7" ca="1">_FV(A7,"Price")</f>
        <v>4.26</v>
      </c>
      <c r="D7" s="1" cm="1">
        <f t="array" aca="1" ref="D7" ca="1">_FV(A7,"Shares outstanding",TRUE)</f>
        <v>383137700</v>
      </c>
      <c r="E7" s="48">
        <v>104100000</v>
      </c>
      <c r="F7" s="50">
        <v>27400000</v>
      </c>
      <c r="G7" s="24"/>
      <c r="H7" s="65"/>
      <c r="I7" s="66"/>
      <c r="L7" s="16" t="s">
        <v>102</v>
      </c>
      <c r="M7" s="82">
        <v>17.91</v>
      </c>
      <c r="O7" s="96"/>
      <c r="P7" s="93" t="s">
        <v>120</v>
      </c>
      <c r="Q7" s="95"/>
      <c r="R7" s="95"/>
      <c r="S7" s="16"/>
      <c r="T7" s="90">
        <v>1500000</v>
      </c>
    </row>
    <row r="8" spans="1:20" x14ac:dyDescent="0.2">
      <c r="A8" s="60" t="e" vm="7">
        <v>#VALUE!</v>
      </c>
      <c r="B8" s="15" cm="1">
        <f t="array" aca="1" ref="B8" ca="1">_FV(A8,"Market cap",TRUE)</f>
        <v>2727964298</v>
      </c>
      <c r="C8" s="14" cm="1">
        <f t="array" aca="1" ref="C8" ca="1">_FV(A8,"Price")</f>
        <v>9.7100000000000009</v>
      </c>
      <c r="D8" s="1" cm="1">
        <f t="array" aca="1" ref="D8" ca="1">_FV(A8,"Shares outstanding",TRUE)</f>
        <v>280943800</v>
      </c>
      <c r="E8" s="48">
        <v>328400000</v>
      </c>
      <c r="F8" s="50">
        <v>73400000</v>
      </c>
      <c r="G8" s="24"/>
      <c r="H8" s="65"/>
      <c r="I8" s="66"/>
      <c r="L8" s="16" t="s">
        <v>103</v>
      </c>
      <c r="M8" s="82">
        <v>11.9</v>
      </c>
      <c r="O8" s="67"/>
      <c r="P8" s="16" t="s">
        <v>121</v>
      </c>
      <c r="Q8" s="90">
        <v>2500000</v>
      </c>
    </row>
    <row r="9" spans="1:20" x14ac:dyDescent="0.2">
      <c r="A9" s="60" t="e" vm="11">
        <v>#VALUE!</v>
      </c>
      <c r="B9" s="15" cm="1">
        <f t="array" aca="1" ref="B9" ca="1">_FV(A9,"Market cap",TRUE)</f>
        <v>3615556652</v>
      </c>
      <c r="C9" s="14" cm="1">
        <f t="array" aca="1" ref="C9" ca="1">_FV(A9,"Price")</f>
        <v>12.14</v>
      </c>
      <c r="D9" s="1" cm="1">
        <f t="array" aca="1" ref="D9" ca="1">_FV(A9,"Shares outstanding",TRUE)</f>
        <v>297821800</v>
      </c>
      <c r="E9" s="48">
        <v>98000000</v>
      </c>
      <c r="F9" s="50">
        <v>318000000</v>
      </c>
      <c r="G9" s="24"/>
      <c r="H9" s="65"/>
      <c r="I9" s="66"/>
      <c r="L9" s="16" t="s">
        <v>104</v>
      </c>
      <c r="M9" s="82">
        <v>2.75</v>
      </c>
      <c r="O9" s="67"/>
      <c r="P9" s="90"/>
    </row>
    <row r="10" spans="1:20" x14ac:dyDescent="0.2">
      <c r="A10" s="60" t="e" vm="12">
        <v>#VALUE!</v>
      </c>
      <c r="B10" s="15" cm="1">
        <f t="array" aca="1" ref="B10" ca="1">_FV(A10,"Market cap",TRUE)</f>
        <v>513033200</v>
      </c>
      <c r="C10" s="14" cm="1">
        <f t="array" aca="1" ref="C10" ca="1">_FV(A10,"Price")</f>
        <v>1.95</v>
      </c>
      <c r="D10" s="1" cm="1">
        <f t="array" aca="1" ref="D10" ca="1">_FV(A10,"Shares outstanding",TRUE)</f>
        <v>187238400</v>
      </c>
      <c r="E10" s="48">
        <v>9600000</v>
      </c>
      <c r="F10" s="50">
        <v>36540000</v>
      </c>
      <c r="G10" s="24"/>
      <c r="H10" s="65"/>
      <c r="I10" s="66"/>
      <c r="L10" s="67"/>
      <c r="M10" s="82"/>
      <c r="O10" s="67"/>
      <c r="P10" s="90"/>
    </row>
    <row r="11" spans="1:20" x14ac:dyDescent="0.2">
      <c r="A11" s="60" t="e" vm="9">
        <v>#VALUE!</v>
      </c>
      <c r="B11" s="15" cm="1">
        <f t="array" aca="1" ref="B11" ca="1">_FV(A11,"Market cap",TRUE)</f>
        <v>1287444096</v>
      </c>
      <c r="C11" s="14" cm="1">
        <f t="array" aca="1" ref="C11" ca="1">_FV(A11,"Price")</f>
        <v>3.84</v>
      </c>
      <c r="D11" s="1" cm="1">
        <f t="array" aca="1" ref="D11" ca="1">_FV(A11,"Shares outstanding",TRUE)</f>
        <v>335271900</v>
      </c>
      <c r="E11" s="48">
        <v>96000000</v>
      </c>
      <c r="F11" s="50">
        <v>96900000</v>
      </c>
    </row>
    <row r="12" spans="1:20" x14ac:dyDescent="0.2">
      <c r="A12" s="60" t="e" vm="13">
        <v>#VALUE!</v>
      </c>
      <c r="B12" s="15" cm="1">
        <f t="array" aca="1" ref="B12" ca="1">_FV(A12,"Market cap",TRUE)</f>
        <v>683832800</v>
      </c>
      <c r="C12" s="14" cm="1">
        <f t="array" aca="1" ref="C12" ca="1">_FV(A12,"Price")</f>
        <v>0.87</v>
      </c>
      <c r="D12" s="1" cm="1">
        <f t="array" aca="1" ref="D12" ca="1">_FV(A12,"Shares outstanding",TRUE)</f>
        <v>555961600</v>
      </c>
      <c r="E12" s="48">
        <v>66000000</v>
      </c>
      <c r="F12" s="50">
        <v>0</v>
      </c>
    </row>
    <row r="14" spans="1:20" ht="24" x14ac:dyDescent="0.3">
      <c r="A14" s="70" t="s">
        <v>88</v>
      </c>
      <c r="B14" s="70"/>
      <c r="C14" s="70"/>
      <c r="D14" s="70"/>
      <c r="E14" s="70"/>
      <c r="F14" s="70"/>
      <c r="O14" s="67"/>
      <c r="P14" s="90"/>
    </row>
    <row r="15" spans="1:20" x14ac:dyDescent="0.2">
      <c r="B15" s="77" t="s">
        <v>82</v>
      </c>
      <c r="C15" s="77" t="s">
        <v>83</v>
      </c>
      <c r="D15" s="77" t="s">
        <v>84</v>
      </c>
      <c r="E15" s="71" t="s">
        <v>108</v>
      </c>
      <c r="F15" s="77" t="s">
        <v>78</v>
      </c>
      <c r="G15" s="41"/>
      <c r="H15" s="41"/>
    </row>
    <row r="16" spans="1:20" x14ac:dyDescent="0.2">
      <c r="A16" s="60" t="e" vm="7">
        <v>#VALUE!</v>
      </c>
      <c r="B16">
        <v>7082</v>
      </c>
      <c r="C16" s="24">
        <f ca="1">B16*$M$3</f>
        <v>752772125.03999996</v>
      </c>
      <c r="D16" s="74">
        <f ca="1">C16/B4</f>
        <v>0.32976590079980095</v>
      </c>
      <c r="E16">
        <v>400</v>
      </c>
      <c r="F16" s="68">
        <v>1000</v>
      </c>
    </row>
    <row r="17" spans="1:13" x14ac:dyDescent="0.2">
      <c r="A17" s="60" t="e" vm="1">
        <v>#VALUE!</v>
      </c>
      <c r="B17">
        <v>0</v>
      </c>
      <c r="C17" s="24">
        <f t="shared" ref="C17:C19" ca="1" si="0">B17*$M$3</f>
        <v>0</v>
      </c>
      <c r="D17" s="74">
        <f ca="1">C17/B5</f>
        <v>0</v>
      </c>
      <c r="E17">
        <v>265</v>
      </c>
      <c r="F17">
        <v>3150</v>
      </c>
      <c r="I17" s="78"/>
      <c r="L17" s="90"/>
    </row>
    <row r="18" spans="1:13" x14ac:dyDescent="0.2">
      <c r="A18" s="60" t="e" vm="4">
        <v>#VALUE!</v>
      </c>
      <c r="B18">
        <v>419</v>
      </c>
      <c r="C18" s="24">
        <f ca="1">B18*$M$3</f>
        <v>44537068.68</v>
      </c>
      <c r="D18" s="74">
        <v>0</v>
      </c>
      <c r="E18">
        <v>206</v>
      </c>
      <c r="F18" s="68">
        <v>2094</v>
      </c>
      <c r="K18" t="s">
        <v>139</v>
      </c>
      <c r="M18" s="90"/>
    </row>
    <row r="19" spans="1:13" x14ac:dyDescent="0.2">
      <c r="A19" s="60" t="e" vm="6">
        <v>#VALUE!</v>
      </c>
      <c r="B19">
        <v>0</v>
      </c>
      <c r="C19" s="24">
        <f t="shared" ca="1" si="0"/>
        <v>0</v>
      </c>
      <c r="D19" s="74">
        <v>0</v>
      </c>
      <c r="E19">
        <v>195</v>
      </c>
      <c r="F19" s="78">
        <v>600</v>
      </c>
      <c r="M19" s="90"/>
    </row>
    <row r="20" spans="1:13" x14ac:dyDescent="0.2">
      <c r="A20" s="60" t="e" vm="5">
        <v>#VALUE!</v>
      </c>
      <c r="B20">
        <v>956</v>
      </c>
      <c r="C20" s="24">
        <f t="shared" ref="C20:C24" ca="1" si="1">B20*$M$3</f>
        <v>101616796.32000001</v>
      </c>
      <c r="D20" s="74">
        <f ca="1">C20/B6</f>
        <v>0.18809901776342292</v>
      </c>
      <c r="E20" s="68">
        <v>90</v>
      </c>
      <c r="F20">
        <v>0</v>
      </c>
      <c r="M20" s="90"/>
    </row>
    <row r="21" spans="1:13" x14ac:dyDescent="0.2">
      <c r="A21" s="60" t="e" vm="11">
        <v>#VALUE!</v>
      </c>
      <c r="B21">
        <v>0</v>
      </c>
      <c r="C21" s="24">
        <f t="shared" ca="1" si="1"/>
        <v>0</v>
      </c>
      <c r="D21" s="74">
        <f ca="1">C21/B7</f>
        <v>0</v>
      </c>
      <c r="E21" s="68">
        <v>562</v>
      </c>
      <c r="F21">
        <v>1198</v>
      </c>
      <c r="G21" s="79" t="s">
        <v>117</v>
      </c>
      <c r="H21" s="79"/>
      <c r="I21" s="79">
        <v>750</v>
      </c>
      <c r="M21" s="90"/>
    </row>
    <row r="22" spans="1:13" x14ac:dyDescent="0.2">
      <c r="A22" s="60" t="e" vm="14">
        <v>#VALUE!</v>
      </c>
      <c r="B22">
        <v>2496</v>
      </c>
      <c r="C22" s="24">
        <f t="shared" ca="1" si="1"/>
        <v>265309125.12</v>
      </c>
      <c r="D22" s="74">
        <f ca="1">C22/B10</f>
        <v>0.51713831603880611</v>
      </c>
      <c r="E22" s="68">
        <v>142</v>
      </c>
      <c r="F22">
        <v>246</v>
      </c>
      <c r="M22" s="90"/>
    </row>
    <row r="23" spans="1:13" x14ac:dyDescent="0.2">
      <c r="A23" s="60" t="e" vm="9">
        <v>#VALUE!</v>
      </c>
      <c r="B23">
        <v>2033</v>
      </c>
      <c r="C23" s="24">
        <f t="shared" ca="1" si="1"/>
        <v>216095132.75999999</v>
      </c>
      <c r="D23" s="74">
        <f ca="1">C23/B11</f>
        <v>0.16784816787881715</v>
      </c>
      <c r="E23" s="68">
        <v>236</v>
      </c>
      <c r="F23">
        <v>566</v>
      </c>
    </row>
    <row r="24" spans="1:13" x14ac:dyDescent="0.2">
      <c r="A24" s="60" t="e" vm="13">
        <v>#VALUE!</v>
      </c>
      <c r="B24">
        <v>905</v>
      </c>
      <c r="C24" s="24">
        <f t="shared" ca="1" si="1"/>
        <v>96195816.599999994</v>
      </c>
      <c r="D24" s="74">
        <f ca="1">C24/B12</f>
        <v>0.14067154514963306</v>
      </c>
      <c r="E24" s="68">
        <v>240</v>
      </c>
      <c r="F24">
        <v>648</v>
      </c>
    </row>
    <row r="25" spans="1:13" x14ac:dyDescent="0.2">
      <c r="A25" s="67"/>
      <c r="E25" s="68"/>
    </row>
    <row r="26" spans="1:13" ht="24" x14ac:dyDescent="0.3">
      <c r="A26" s="73" t="s">
        <v>89</v>
      </c>
      <c r="B26" s="73"/>
      <c r="C26" s="73"/>
      <c r="D26" s="73"/>
      <c r="E26" s="73"/>
      <c r="F26" s="73"/>
      <c r="G26" s="73"/>
      <c r="H26" s="73"/>
    </row>
    <row r="27" spans="1:13" x14ac:dyDescent="0.2">
      <c r="A27" s="68"/>
      <c r="B27" s="71" t="s">
        <v>85</v>
      </c>
      <c r="C27" s="71" t="s">
        <v>90</v>
      </c>
      <c r="D27" s="77" t="s">
        <v>33</v>
      </c>
      <c r="E27" s="77" t="s">
        <v>86</v>
      </c>
      <c r="F27" s="85" t="s">
        <v>105</v>
      </c>
      <c r="G27" s="77" t="s">
        <v>87</v>
      </c>
      <c r="H27" s="77" t="s">
        <v>91</v>
      </c>
    </row>
    <row r="28" spans="1:13" x14ac:dyDescent="0.2">
      <c r="A28" s="60" t="s">
        <v>115</v>
      </c>
      <c r="B28" s="89">
        <f t="shared" ref="B28:B36" si="2">(E16*1000000)/(G28*1000000)</f>
        <v>20</v>
      </c>
      <c r="C28" s="75">
        <v>14692</v>
      </c>
      <c r="D28" s="69">
        <v>4.4000000000000004</v>
      </c>
      <c r="E28" s="1">
        <v>152505</v>
      </c>
      <c r="F28" s="84">
        <f>(G28*1000000)/E28</f>
        <v>131.14324120520638</v>
      </c>
      <c r="G28">
        <v>20</v>
      </c>
      <c r="H28">
        <v>50</v>
      </c>
    </row>
    <row r="29" spans="1:13" x14ac:dyDescent="0.2">
      <c r="A29" s="60" t="e" vm="1">
        <v>#VALUE!</v>
      </c>
      <c r="B29" s="89">
        <f t="shared" si="2"/>
        <v>17.666666666666668</v>
      </c>
      <c r="C29" s="75">
        <v>35475</v>
      </c>
      <c r="D29" s="76">
        <v>5</v>
      </c>
      <c r="E29" s="1">
        <v>76105</v>
      </c>
      <c r="F29" s="84">
        <f t="shared" ref="F29:F31" si="3">(G29*1000000)/E29</f>
        <v>197.09611720649104</v>
      </c>
      <c r="G29" s="67">
        <v>15</v>
      </c>
      <c r="H29">
        <v>30</v>
      </c>
    </row>
    <row r="30" spans="1:13" x14ac:dyDescent="0.2">
      <c r="A30" s="60" t="e" vm="4">
        <v>#VALUE!</v>
      </c>
      <c r="B30" s="89">
        <f t="shared" si="2"/>
        <v>28.219178082191782</v>
      </c>
      <c r="C30" s="75">
        <v>28803.51</v>
      </c>
      <c r="D30" s="69">
        <v>4.3</v>
      </c>
      <c r="E30" s="1">
        <v>86000</v>
      </c>
      <c r="F30" s="84">
        <f>(G30*1000000)/E30</f>
        <v>84.883720930232556</v>
      </c>
      <c r="G30">
        <v>7.3</v>
      </c>
      <c r="H30">
        <v>11.8</v>
      </c>
    </row>
    <row r="31" spans="1:13" x14ac:dyDescent="0.2">
      <c r="A31" s="60" t="e" vm="6">
        <v>#VALUE!</v>
      </c>
      <c r="B31" s="89">
        <f t="shared" si="2"/>
        <v>22.15909090909091</v>
      </c>
      <c r="C31" s="75">
        <v>22954</v>
      </c>
      <c r="D31" s="69">
        <v>3.7</v>
      </c>
      <c r="E31" s="1">
        <v>59890</v>
      </c>
      <c r="F31" s="84">
        <f t="shared" si="3"/>
        <v>146.9360494239439</v>
      </c>
      <c r="G31">
        <v>8.8000000000000007</v>
      </c>
      <c r="H31">
        <v>10</v>
      </c>
    </row>
    <row r="32" spans="1:13" x14ac:dyDescent="0.2">
      <c r="A32" s="60" t="e" vm="5">
        <v>#VALUE!</v>
      </c>
      <c r="B32" s="89">
        <f t="shared" si="2"/>
        <v>33.333333333333336</v>
      </c>
      <c r="C32" s="75">
        <v>31659</v>
      </c>
      <c r="D32" s="69">
        <v>5</v>
      </c>
      <c r="E32" s="1">
        <v>28000</v>
      </c>
      <c r="F32" s="84">
        <f t="shared" ref="F32:F36" si="4">(G32*1000000)/E32</f>
        <v>96.428571428571431</v>
      </c>
      <c r="G32">
        <v>2.7</v>
      </c>
      <c r="H32">
        <v>6</v>
      </c>
    </row>
    <row r="33" spans="1:15" x14ac:dyDescent="0.2">
      <c r="A33" s="60" t="e" vm="11">
        <v>#VALUE!</v>
      </c>
      <c r="B33" s="89">
        <f t="shared" si="2"/>
        <v>29.119170984455959</v>
      </c>
      <c r="C33" s="75">
        <v>29879</v>
      </c>
      <c r="D33" s="69">
        <v>4.3</v>
      </c>
      <c r="E33" s="1">
        <v>163000</v>
      </c>
      <c r="F33" s="84">
        <f t="shared" si="4"/>
        <v>118.40490797546012</v>
      </c>
      <c r="G33">
        <v>19.3</v>
      </c>
      <c r="H33">
        <v>20</v>
      </c>
    </row>
    <row r="34" spans="1:15" x14ac:dyDescent="0.2">
      <c r="A34" s="60" t="e" vm="12">
        <v>#VALUE!</v>
      </c>
      <c r="B34" s="89">
        <f t="shared" si="2"/>
        <v>28.4</v>
      </c>
      <c r="C34" s="75">
        <v>26000</v>
      </c>
      <c r="D34" s="69">
        <v>4.5</v>
      </c>
      <c r="E34" s="1">
        <v>49000</v>
      </c>
      <c r="F34" s="84">
        <f t="shared" si="4"/>
        <v>102.04081632653062</v>
      </c>
      <c r="G34">
        <v>5</v>
      </c>
      <c r="H34">
        <v>8</v>
      </c>
    </row>
    <row r="35" spans="1:15" x14ac:dyDescent="0.2">
      <c r="A35" s="60" t="e" vm="9">
        <v>#VALUE!</v>
      </c>
      <c r="B35" s="89">
        <f t="shared" si="2"/>
        <v>30.649350649350648</v>
      </c>
      <c r="C35" s="90">
        <v>11912</v>
      </c>
      <c r="D35">
        <v>4</v>
      </c>
      <c r="E35" s="1">
        <v>72000</v>
      </c>
      <c r="F35" s="84">
        <f t="shared" si="4"/>
        <v>106.94444444444444</v>
      </c>
      <c r="G35">
        <v>7.7</v>
      </c>
      <c r="H35" s="101">
        <v>25</v>
      </c>
    </row>
    <row r="36" spans="1:15" x14ac:dyDescent="0.2">
      <c r="A36" s="60" t="e" vm="13">
        <v>#VALUE!</v>
      </c>
      <c r="B36" s="89">
        <f t="shared" si="2"/>
        <v>23.076923076923077</v>
      </c>
      <c r="C36" s="90">
        <v>30600</v>
      </c>
      <c r="D36">
        <v>4</v>
      </c>
      <c r="E36" s="1">
        <v>100000</v>
      </c>
      <c r="F36" s="84">
        <f t="shared" si="4"/>
        <v>104</v>
      </c>
      <c r="G36">
        <v>10.4</v>
      </c>
      <c r="H36" s="101">
        <v>35</v>
      </c>
    </row>
    <row r="37" spans="1:15" x14ac:dyDescent="0.2">
      <c r="B37" s="89"/>
      <c r="E37" s="1"/>
      <c r="F37" s="84"/>
      <c r="H37" s="101"/>
    </row>
    <row r="38" spans="1:15" ht="26" customHeight="1" x14ac:dyDescent="0.3">
      <c r="A38" s="80" t="s">
        <v>93</v>
      </c>
      <c r="B38" s="80"/>
      <c r="C38" s="80"/>
      <c r="D38" s="80"/>
      <c r="E38" s="80"/>
      <c r="F38" s="80"/>
      <c r="G38" s="80"/>
      <c r="H38" s="80"/>
      <c r="I38" s="80"/>
      <c r="J38" s="80"/>
      <c r="K38" s="80"/>
      <c r="L38" s="80"/>
      <c r="M38" s="80"/>
      <c r="N38" s="80"/>
      <c r="O38" s="80"/>
    </row>
    <row r="39" spans="1:15" ht="54" customHeight="1" x14ac:dyDescent="0.3">
      <c r="A39" s="88"/>
      <c r="B39" s="86" t="s">
        <v>94</v>
      </c>
      <c r="C39" s="86" t="s">
        <v>95</v>
      </c>
      <c r="D39" s="87" t="s">
        <v>122</v>
      </c>
      <c r="E39" s="94" t="s">
        <v>123</v>
      </c>
      <c r="F39" s="94" t="s">
        <v>125</v>
      </c>
      <c r="G39" s="94" t="s">
        <v>120</v>
      </c>
      <c r="H39" s="86" t="s">
        <v>96</v>
      </c>
      <c r="I39" s="86" t="s">
        <v>114</v>
      </c>
      <c r="J39" s="87" t="s">
        <v>112</v>
      </c>
      <c r="K39" s="86" t="s">
        <v>97</v>
      </c>
      <c r="L39" s="87" t="s">
        <v>70</v>
      </c>
      <c r="M39" s="86" t="s">
        <v>98</v>
      </c>
      <c r="N39" s="87" t="s">
        <v>99</v>
      </c>
      <c r="O39" s="86" t="s">
        <v>100</v>
      </c>
    </row>
    <row r="40" spans="1:15" x14ac:dyDescent="0.2">
      <c r="A40" s="60" t="e" vm="7">
        <v>#VALUE!</v>
      </c>
      <c r="B40" s="90">
        <f>(F28*M7)*E28</f>
        <v>358200000</v>
      </c>
      <c r="C40" s="90">
        <v>0</v>
      </c>
      <c r="D40" s="90">
        <f>E16*$Q$6</f>
        <v>300000000</v>
      </c>
      <c r="E40" s="90">
        <v>0</v>
      </c>
      <c r="F40" s="90">
        <f>(F16-E16)*$Q$5</f>
        <v>180000000</v>
      </c>
      <c r="G40" s="100">
        <f>100*T7</f>
        <v>150000000</v>
      </c>
      <c r="H40" s="90">
        <v>100000000</v>
      </c>
      <c r="I40" s="91" t="s">
        <v>6</v>
      </c>
      <c r="J40" s="90">
        <f ca="1">C16</f>
        <v>752772125.03999996</v>
      </c>
      <c r="K40" s="90">
        <v>0</v>
      </c>
      <c r="L40" s="24">
        <v>129200000</v>
      </c>
      <c r="M40" s="46">
        <f t="shared" ref="M40:M45" ca="1" si="5">SUM(B40:L40)</f>
        <v>1970172125.04</v>
      </c>
      <c r="N40" s="50">
        <f>F8</f>
        <v>73400000</v>
      </c>
      <c r="O40" s="66">
        <f ca="1">(M40-N40)/B8</f>
        <v>0.69530679944404461</v>
      </c>
    </row>
    <row r="41" spans="1:15" x14ac:dyDescent="0.2">
      <c r="A41" s="60" t="e" vm="1">
        <v>#VALUE!</v>
      </c>
      <c r="B41" s="90">
        <f>(F29*M7)*E29</f>
        <v>268650000</v>
      </c>
      <c r="C41" s="90">
        <f>depth!B13*30000</f>
        <v>31920000</v>
      </c>
      <c r="D41" s="90">
        <f>E17*$Q$6</f>
        <v>198750000</v>
      </c>
      <c r="E41" s="90">
        <v>0</v>
      </c>
      <c r="F41" s="90">
        <f>(F17-E17)*$Q$5</f>
        <v>865500000</v>
      </c>
      <c r="G41" s="90">
        <f>(E17-0)*$T$7</f>
        <v>397500000</v>
      </c>
      <c r="H41" s="90">
        <v>100000000</v>
      </c>
      <c r="I41" s="91" t="s">
        <v>6</v>
      </c>
      <c r="J41" s="90">
        <f t="shared" ref="J41:J43" ca="1" si="6">C17</f>
        <v>0</v>
      </c>
      <c r="K41" s="90">
        <v>0</v>
      </c>
      <c r="L41" s="24">
        <f>E4</f>
        <v>425300000</v>
      </c>
      <c r="M41" s="46">
        <f t="shared" ca="1" si="5"/>
        <v>2287620000</v>
      </c>
      <c r="N41" s="50">
        <f>F4</f>
        <v>0</v>
      </c>
      <c r="O41" s="66">
        <f ca="1">(M41-N41)/B4</f>
        <v>1.0021347030451684</v>
      </c>
    </row>
    <row r="42" spans="1:15" x14ac:dyDescent="0.2">
      <c r="A42" s="60" t="e" vm="4">
        <v>#VALUE!</v>
      </c>
      <c r="B42" s="90">
        <f>(F30*M8)*E30</f>
        <v>86870000</v>
      </c>
      <c r="C42" s="90">
        <v>0</v>
      </c>
      <c r="D42" s="90">
        <f>E18*$Q$6</f>
        <v>154500000</v>
      </c>
      <c r="E42" s="90">
        <v>0</v>
      </c>
      <c r="F42" s="90">
        <f>(F18-E18)*$Q$5</f>
        <v>566400000</v>
      </c>
      <c r="G42" s="100">
        <v>0</v>
      </c>
      <c r="H42" s="90">
        <v>100000000</v>
      </c>
      <c r="I42" s="91" t="s">
        <v>6</v>
      </c>
      <c r="J42" s="90">
        <f t="shared" ca="1" si="6"/>
        <v>44537068.68</v>
      </c>
      <c r="K42" s="90">
        <v>0</v>
      </c>
      <c r="L42" s="24">
        <f>E5</f>
        <v>203900000</v>
      </c>
      <c r="M42" s="46">
        <f t="shared" ca="1" si="5"/>
        <v>1156207068.6799998</v>
      </c>
      <c r="N42" s="50">
        <f>F5</f>
        <v>37800000</v>
      </c>
      <c r="O42" s="66">
        <f ca="1">(M42-N42)/B5</f>
        <v>0.42772887481913524</v>
      </c>
    </row>
    <row r="43" spans="1:15" x14ac:dyDescent="0.2">
      <c r="A43" s="60" t="e" vm="6">
        <v>#VALUE!</v>
      </c>
      <c r="B43" s="90">
        <f>(F31*M7)*E31</f>
        <v>157608000</v>
      </c>
      <c r="C43" s="90">
        <v>0</v>
      </c>
      <c r="D43" s="90">
        <f>E19*$Q$6</f>
        <v>146250000</v>
      </c>
      <c r="E43" s="90">
        <v>0</v>
      </c>
      <c r="F43" s="90">
        <f>(F19-E19)*$Q$5</f>
        <v>121500000</v>
      </c>
      <c r="G43" s="90">
        <v>0</v>
      </c>
      <c r="H43" s="90">
        <v>100000000</v>
      </c>
      <c r="I43" s="91" t="s">
        <v>6</v>
      </c>
      <c r="J43" s="90">
        <f t="shared" ca="1" si="6"/>
        <v>0</v>
      </c>
      <c r="K43" s="90">
        <v>0</v>
      </c>
      <c r="L43" s="24">
        <f>E7</f>
        <v>104100000</v>
      </c>
      <c r="M43" s="46">
        <f t="shared" ca="1" si="5"/>
        <v>629458000</v>
      </c>
      <c r="N43" s="50">
        <f>F7</f>
        <v>27400000</v>
      </c>
      <c r="O43" s="66">
        <f ca="1">(M43-N43)/B7</f>
        <v>0.36887043225995381</v>
      </c>
    </row>
    <row r="44" spans="1:15" x14ac:dyDescent="0.2">
      <c r="A44" s="60" t="e" vm="5">
        <v>#VALUE!</v>
      </c>
      <c r="B44" s="90">
        <f>(F32*M8)*E32</f>
        <v>32130000</v>
      </c>
      <c r="C44" s="90">
        <f>2048*Q4</f>
        <v>61440000</v>
      </c>
      <c r="D44" s="90">
        <v>0</v>
      </c>
      <c r="E44" s="90">
        <v>0</v>
      </c>
      <c r="F44" s="90">
        <v>0</v>
      </c>
      <c r="G44" s="90">
        <v>0</v>
      </c>
      <c r="H44" s="90">
        <v>0</v>
      </c>
      <c r="I44" s="91" t="s">
        <v>6</v>
      </c>
      <c r="J44" s="90">
        <f ca="1">C20</f>
        <v>101616796.32000001</v>
      </c>
      <c r="K44" s="90">
        <f ca="1">depth!B67</f>
        <v>42524632.149999999</v>
      </c>
      <c r="L44" s="24">
        <f>E6</f>
        <v>35500000</v>
      </c>
      <c r="M44" s="46">
        <f t="shared" ca="1" si="5"/>
        <v>273211428.47000003</v>
      </c>
      <c r="N44" s="50">
        <f>F6</f>
        <v>0</v>
      </c>
      <c r="O44" s="66">
        <f ca="1">(M44-N44)/B6</f>
        <v>0.50573136723494649</v>
      </c>
    </row>
    <row r="45" spans="1:15" x14ac:dyDescent="0.2">
      <c r="A45" s="60" t="e" vm="11">
        <v>#VALUE!</v>
      </c>
      <c r="B45" s="90">
        <f>(F33*M8)*E33</f>
        <v>229670000</v>
      </c>
      <c r="C45" s="90">
        <v>0</v>
      </c>
      <c r="D45" s="90">
        <f>E21*$Q$6</f>
        <v>421500000</v>
      </c>
      <c r="E45" s="100">
        <f>240*Q8</f>
        <v>600000000</v>
      </c>
      <c r="F45" s="90">
        <f>(F21-E21)*$Q$5</f>
        <v>190800000</v>
      </c>
      <c r="G45" s="90">
        <f>220*$T$7</f>
        <v>330000000</v>
      </c>
      <c r="H45" s="90">
        <v>100000000</v>
      </c>
      <c r="I45" s="92" t="s">
        <v>6</v>
      </c>
      <c r="J45">
        <v>0</v>
      </c>
      <c r="K45" s="90">
        <v>0</v>
      </c>
      <c r="L45" s="24">
        <f>E9</f>
        <v>98000000</v>
      </c>
      <c r="M45" s="46">
        <f t="shared" si="5"/>
        <v>1969970000</v>
      </c>
      <c r="N45" s="50">
        <v>383000000</v>
      </c>
      <c r="O45" s="66">
        <f ca="1">(M45-N45)/B7</f>
        <v>0.97230883051729056</v>
      </c>
    </row>
    <row r="46" spans="1:15" ht="18" customHeight="1" x14ac:dyDescent="0.2">
      <c r="A46" s="60" t="e" vm="14">
        <v>#VALUE!</v>
      </c>
      <c r="B46" s="90">
        <f>(F34*$M$8)*E34</f>
        <v>59500000.000000007</v>
      </c>
      <c r="C46" s="90">
        <v>66000000</v>
      </c>
      <c r="D46" s="90">
        <f>E22*$Q$6</f>
        <v>106500000</v>
      </c>
      <c r="E46" s="100" t="s">
        <v>126</v>
      </c>
      <c r="F46" s="90">
        <f>(F22-E22)*$Q$5</f>
        <v>31200000</v>
      </c>
      <c r="G46" s="100">
        <v>0</v>
      </c>
      <c r="H46" s="100">
        <v>100000000</v>
      </c>
      <c r="I46" s="100" t="s">
        <v>126</v>
      </c>
      <c r="J46" s="90">
        <f ca="1">C22</f>
        <v>265309125.12</v>
      </c>
      <c r="K46" s="90">
        <v>0</v>
      </c>
      <c r="L46" s="24">
        <f>E10</f>
        <v>9600000</v>
      </c>
      <c r="M46" s="46">
        <f ca="1">SUM(B46:L46)</f>
        <v>638109125.12</v>
      </c>
      <c r="N46" s="50">
        <f>F10</f>
        <v>36540000</v>
      </c>
      <c r="O46" s="66">
        <f ca="1">(M46-N46)/B10</f>
        <v>1.1725734808585488</v>
      </c>
    </row>
    <row r="47" spans="1:15" x14ac:dyDescent="0.2">
      <c r="A47" s="60" t="e" vm="9">
        <v>#VALUE!</v>
      </c>
      <c r="B47" s="90">
        <f>(F35*$M$8)*E35</f>
        <v>91630000</v>
      </c>
      <c r="C47" s="100">
        <v>0</v>
      </c>
      <c r="D47" s="90">
        <f>29*$Q$6</f>
        <v>21750000</v>
      </c>
      <c r="E47" s="102" t="s">
        <v>126</v>
      </c>
      <c r="F47" s="90">
        <f>(F23-E23)*$Q$5</f>
        <v>99000000</v>
      </c>
      <c r="G47" s="100">
        <v>0</v>
      </c>
      <c r="H47" s="90">
        <v>100000000</v>
      </c>
      <c r="I47" s="100" t="s">
        <v>126</v>
      </c>
      <c r="J47" s="90">
        <f ca="1">C23</f>
        <v>216095132.75999999</v>
      </c>
      <c r="K47" s="90">
        <v>0</v>
      </c>
      <c r="L47" s="24">
        <f>E11</f>
        <v>96000000</v>
      </c>
      <c r="M47" s="46">
        <f ca="1">SUM(B47:L47)</f>
        <v>624475132.75999999</v>
      </c>
      <c r="N47" s="50">
        <f>F11</f>
        <v>96900000</v>
      </c>
      <c r="O47" s="66">
        <f ca="1">(M47-N47)/B11</f>
        <v>0.40978488650430689</v>
      </c>
    </row>
    <row r="48" spans="1:15" x14ac:dyDescent="0.2">
      <c r="A48" s="60" t="e" vm="13">
        <v>#VALUE!</v>
      </c>
      <c r="B48" s="90">
        <f>(F36*$M$8)*E36</f>
        <v>123760000.00000001</v>
      </c>
      <c r="C48" s="90">
        <v>0</v>
      </c>
      <c r="D48" s="90">
        <f>36*Q6</f>
        <v>27000000</v>
      </c>
      <c r="E48" s="90">
        <f>120*Q8</f>
        <v>300000000</v>
      </c>
      <c r="F48" s="90">
        <v>0</v>
      </c>
      <c r="G48" s="100">
        <v>0</v>
      </c>
      <c r="H48" s="90">
        <v>100000000</v>
      </c>
      <c r="I48" s="100" t="s">
        <v>126</v>
      </c>
      <c r="J48" s="90">
        <f ca="1">C24</f>
        <v>96195816.599999994</v>
      </c>
      <c r="K48" s="90">
        <v>0</v>
      </c>
      <c r="L48" s="24">
        <f>E12</f>
        <v>66000000</v>
      </c>
      <c r="M48" s="46">
        <f ca="1">SUM(B48:L48)</f>
        <v>712955816.60000002</v>
      </c>
      <c r="N48" s="50">
        <f>F12</f>
        <v>0</v>
      </c>
      <c r="O48" s="66">
        <f ca="1">(M48-N48)/B12</f>
        <v>1.0425879200295745</v>
      </c>
    </row>
    <row r="49" spans="7:10" x14ac:dyDescent="0.2">
      <c r="J49" s="90"/>
    </row>
    <row r="58" spans="7:10" x14ac:dyDescent="0.2">
      <c r="G58" s="90"/>
    </row>
  </sheetData>
  <sortState xmlns:xlrd2="http://schemas.microsoft.com/office/spreadsheetml/2017/richdata2" ref="A16:D20">
    <sortCondition descending="1" ref="B16:B20"/>
  </sortState>
  <conditionalFormatting sqref="F16:F25">
    <cfRule type="colorScale" priority="26">
      <colorScale>
        <cfvo type="min"/>
        <cfvo type="percentile" val="50"/>
        <cfvo type="max"/>
        <color rgb="FFF8696B"/>
        <color rgb="FFFCFCFF"/>
        <color rgb="FF63BE7B"/>
      </colorScale>
    </cfRule>
    <cfRule type="colorScale" priority="27">
      <colorScale>
        <cfvo type="min"/>
        <cfvo type="max"/>
        <color theme="5"/>
        <color theme="9"/>
      </colorScale>
    </cfRule>
  </conditionalFormatting>
  <conditionalFormatting sqref="I4:I10">
    <cfRule type="colorScale" priority="11">
      <colorScale>
        <cfvo type="min"/>
        <cfvo type="percentile" val="50"/>
        <cfvo type="max"/>
        <color rgb="FF63BE7B"/>
        <color rgb="FFFCFCFF"/>
        <color rgb="FFF8696B"/>
      </colorScale>
    </cfRule>
    <cfRule type="colorScale" priority="16">
      <colorScale>
        <cfvo type="min"/>
        <cfvo type="max"/>
        <color theme="9"/>
        <color theme="5" tint="-0.249977111117893"/>
      </colorScale>
    </cfRule>
  </conditionalFormatting>
  <conditionalFormatting sqref="L7:L13">
    <cfRule type="colorScale" priority="28">
      <colorScale>
        <cfvo type="min"/>
        <cfvo type="percentile" val="50"/>
        <cfvo type="max"/>
        <color rgb="FFF8696B"/>
        <color rgb="FFFCFCFF"/>
        <color rgb="FF63BE7B"/>
      </colorScale>
    </cfRule>
  </conditionalFormatting>
  <conditionalFormatting sqref="O40:O48">
    <cfRule type="colorScale" priority="23">
      <colorScale>
        <cfvo type="min"/>
        <cfvo type="percentile" val="50"/>
        <cfvo type="max"/>
        <color rgb="FFF8696B"/>
        <color rgb="FFFCFCFF"/>
        <color rgb="FF63BE7B"/>
      </colorScale>
    </cfRule>
    <cfRule type="colorScale" priority="24">
      <colorScale>
        <cfvo type="min"/>
        <cfvo type="max"/>
        <color rgb="FFFF7128"/>
        <color rgb="FFFFEF9C"/>
      </colorScale>
    </cfRule>
    <cfRule type="colorScale" priority="25">
      <colorScale>
        <cfvo type="min"/>
        <cfvo type="max"/>
        <color rgb="FFFCFCFF"/>
        <color rgb="FF63BE7B"/>
      </colorScale>
    </cfRule>
  </conditionalFormatting>
  <hyperlinks>
    <hyperlink ref="I40" r:id="rId1" xr:uid="{A968BB43-EE7A-AE44-9FB2-4CA5064CC6B4}"/>
    <hyperlink ref="I41" r:id="rId2" xr:uid="{D78279A8-F3D9-8944-AC13-486FED1F4DA3}"/>
    <hyperlink ref="I42" r:id="rId3" xr:uid="{40DD01E6-10C6-B04B-9FAA-44D5FE30A23A}"/>
    <hyperlink ref="I43" r:id="rId4" xr:uid="{99219C32-6F47-D84E-A00C-5A62DF489AC7}"/>
    <hyperlink ref="I44" r:id="rId5" xr:uid="{C49834F6-2D0E-4042-8F50-8A5FDBFD8A52}"/>
    <hyperlink ref="I45" r:id="rId6" xr:uid="{05CA1695-6BEE-124E-A646-83486A0E407D}"/>
  </hyperlinks>
  <pageMargins left="0.7" right="0.7" top="0.75" bottom="0.75" header="0.3" footer="0.3"/>
  <ignoredErrors>
    <ignoredError sqref="O42"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95EAD-D44F-934E-AFC0-66D6B351F5BE}">
  <dimension ref="A1:Q21"/>
  <sheetViews>
    <sheetView zoomScale="90" zoomScaleNormal="90" workbookViewId="0">
      <selection activeCell="M7" sqref="M7:M9"/>
    </sheetView>
  </sheetViews>
  <sheetFormatPr baseColWidth="10" defaultRowHeight="16" x14ac:dyDescent="0.2"/>
  <cols>
    <col min="1" max="1" width="42.5" customWidth="1"/>
    <col min="2" max="2" width="18.33203125" bestFit="1" customWidth="1"/>
    <col min="3" max="3" width="17.83203125" bestFit="1" customWidth="1"/>
    <col min="4" max="4" width="16.83203125" bestFit="1" customWidth="1"/>
    <col min="5" max="5" width="14" bestFit="1" customWidth="1"/>
    <col min="6" max="6" width="13.5" bestFit="1" customWidth="1"/>
    <col min="7" max="7" width="16.33203125" customWidth="1"/>
    <col min="8" max="8" width="15.5" customWidth="1"/>
    <col min="9" max="9" width="11" customWidth="1"/>
    <col min="10" max="10" width="13.6640625" bestFit="1" customWidth="1"/>
    <col min="12" max="12" width="18.1640625" bestFit="1" customWidth="1"/>
    <col min="13" max="14" width="13.6640625" bestFit="1" customWidth="1"/>
    <col min="15" max="15" width="10.83203125" customWidth="1"/>
    <col min="16" max="16" width="60.5" bestFit="1" customWidth="1"/>
    <col min="17" max="17" width="12.6640625" bestFit="1" customWidth="1"/>
  </cols>
  <sheetData>
    <row r="1" spans="1:17" ht="24" x14ac:dyDescent="0.3">
      <c r="A1" s="72" t="s">
        <v>81</v>
      </c>
      <c r="B1" s="72"/>
      <c r="C1" s="72"/>
      <c r="D1" s="72"/>
      <c r="E1" s="72"/>
      <c r="F1" s="72"/>
    </row>
    <row r="2" spans="1:17" x14ac:dyDescent="0.2">
      <c r="A2" s="64"/>
      <c r="B2" s="77" t="s">
        <v>80</v>
      </c>
      <c r="C2" s="77" t="s">
        <v>19</v>
      </c>
      <c r="D2" s="71" t="s">
        <v>20</v>
      </c>
      <c r="E2" s="77" t="s">
        <v>70</v>
      </c>
      <c r="F2" s="77" t="s">
        <v>71</v>
      </c>
    </row>
    <row r="3" spans="1:17" ht="19" x14ac:dyDescent="0.25">
      <c r="A3" s="60" t="e" vm="12">
        <v>#VALUE!</v>
      </c>
      <c r="B3" s="24" cm="1">
        <f t="array" aca="1" ref="B3" ca="1">_FV(A3,"Market cap",TRUE)</f>
        <v>513033200</v>
      </c>
      <c r="C3" s="57" cm="1">
        <f t="array" aca="1" ref="C3" ca="1">_FV(A3,"Price")</f>
        <v>1.95</v>
      </c>
      <c r="D3" s="1" cm="1">
        <f t="array" aca="1" ref="D3" ca="1">_FV(A3,"Shares outstanding",TRUE)</f>
        <v>187238400</v>
      </c>
      <c r="E3" s="48">
        <v>25600000</v>
      </c>
      <c r="F3" s="50">
        <v>46401000</v>
      </c>
      <c r="L3" s="20" t="e" vm="2">
        <v>#VALUE!</v>
      </c>
      <c r="M3" s="21" cm="1">
        <f t="array" aca="1" ref="M3" ca="1">_FV(L3,"Price")</f>
        <v>106293.72</v>
      </c>
      <c r="P3" s="81" t="s">
        <v>111</v>
      </c>
      <c r="Q3" s="79"/>
    </row>
    <row r="4" spans="1:17" x14ac:dyDescent="0.2">
      <c r="B4" s="15"/>
      <c r="C4" s="14"/>
      <c r="D4" s="1"/>
      <c r="L4" s="45" t="e" vm="3">
        <v>#VALUE!</v>
      </c>
      <c r="M4" s="21" cm="1">
        <f t="array" aca="1" ref="M4" ca="1">_FV(L4,"Price")</f>
        <v>2652.65</v>
      </c>
      <c r="P4" s="16" t="s">
        <v>124</v>
      </c>
      <c r="Q4" s="90">
        <v>30000</v>
      </c>
    </row>
    <row r="5" spans="1:17" x14ac:dyDescent="0.2">
      <c r="P5" s="16" t="s">
        <v>118</v>
      </c>
      <c r="Q5" s="90">
        <v>300000</v>
      </c>
    </row>
    <row r="6" spans="1:17" ht="24" x14ac:dyDescent="0.3">
      <c r="A6" s="103" t="s">
        <v>88</v>
      </c>
      <c r="B6" s="103"/>
      <c r="C6" s="103"/>
      <c r="D6" s="103"/>
      <c r="E6" s="103"/>
      <c r="F6" s="103"/>
      <c r="L6" s="81" t="s">
        <v>101</v>
      </c>
      <c r="M6" s="81"/>
      <c r="P6" s="16" t="s">
        <v>119</v>
      </c>
      <c r="Q6" s="90">
        <v>750000</v>
      </c>
    </row>
    <row r="7" spans="1:17" x14ac:dyDescent="0.2">
      <c r="B7" s="77" t="s">
        <v>82</v>
      </c>
      <c r="C7" s="77" t="s">
        <v>83</v>
      </c>
      <c r="D7" s="77" t="s">
        <v>84</v>
      </c>
      <c r="E7" s="71" t="s">
        <v>108</v>
      </c>
      <c r="F7" s="77" t="s">
        <v>78</v>
      </c>
      <c r="L7" s="16" t="s">
        <v>102</v>
      </c>
      <c r="M7" s="82">
        <v>17.91</v>
      </c>
      <c r="P7" s="93" t="s">
        <v>120</v>
      </c>
      <c r="Q7" s="90">
        <v>1500000</v>
      </c>
    </row>
    <row r="8" spans="1:17" x14ac:dyDescent="0.2">
      <c r="A8" s="60" t="e" vm="14">
        <v>#VALUE!</v>
      </c>
      <c r="B8">
        <v>2533</v>
      </c>
      <c r="C8" s="90">
        <f t="shared" ref="C8" ca="1" si="0">B8*$M$3</f>
        <v>269241992.75999999</v>
      </c>
      <c r="D8" s="105">
        <f ca="1">C8/B3</f>
        <v>0.52480422857624032</v>
      </c>
      <c r="E8" s="68">
        <v>142</v>
      </c>
      <c r="F8">
        <v>346</v>
      </c>
      <c r="L8" s="16" t="s">
        <v>103</v>
      </c>
      <c r="M8" s="82">
        <v>11.9</v>
      </c>
      <c r="P8" s="16" t="s">
        <v>121</v>
      </c>
      <c r="Q8" s="90">
        <v>2500000</v>
      </c>
    </row>
    <row r="9" spans="1:17" x14ac:dyDescent="0.2">
      <c r="L9" s="16" t="s">
        <v>104</v>
      </c>
      <c r="M9" s="82">
        <v>2.75</v>
      </c>
    </row>
    <row r="11" spans="1:17" ht="24" x14ac:dyDescent="0.3">
      <c r="A11" s="73" t="s">
        <v>89</v>
      </c>
      <c r="B11" s="73"/>
      <c r="C11" s="73"/>
      <c r="D11" s="73"/>
      <c r="E11" s="73"/>
      <c r="F11" s="73"/>
      <c r="G11" s="73"/>
    </row>
    <row r="12" spans="1:17" x14ac:dyDescent="0.2">
      <c r="A12" s="68"/>
      <c r="B12" s="71" t="s">
        <v>85</v>
      </c>
      <c r="C12" s="77" t="s">
        <v>33</v>
      </c>
      <c r="D12" s="77" t="s">
        <v>86</v>
      </c>
      <c r="E12" s="85" t="s">
        <v>105</v>
      </c>
      <c r="F12" s="77" t="s">
        <v>87</v>
      </c>
      <c r="G12" s="77" t="s">
        <v>91</v>
      </c>
    </row>
    <row r="13" spans="1:17" x14ac:dyDescent="0.2">
      <c r="A13" s="60" t="e" vm="12">
        <v>#VALUE!</v>
      </c>
      <c r="B13" s="89">
        <f>(E8*1000000)/(F13*1000000)</f>
        <v>28.979591836734695</v>
      </c>
      <c r="C13" s="69">
        <v>4.5</v>
      </c>
      <c r="D13" s="1">
        <v>38000</v>
      </c>
      <c r="E13" s="84">
        <f t="shared" ref="E13" si="1">(F13*1000000)/D13</f>
        <v>128.94736842105263</v>
      </c>
      <c r="F13">
        <v>4.9000000000000004</v>
      </c>
      <c r="G13">
        <v>12</v>
      </c>
    </row>
    <row r="16" spans="1:17" ht="24" x14ac:dyDescent="0.3">
      <c r="A16" s="80" t="s">
        <v>93</v>
      </c>
      <c r="B16" s="80"/>
      <c r="C16" s="80"/>
      <c r="D16" s="80"/>
      <c r="E16" s="80"/>
      <c r="F16" s="80"/>
      <c r="G16" s="80"/>
      <c r="H16" s="80"/>
      <c r="I16" s="80"/>
      <c r="J16" s="80"/>
      <c r="K16" s="80"/>
      <c r="L16" s="80"/>
      <c r="M16" s="80"/>
      <c r="N16" s="80"/>
      <c r="O16" s="80"/>
    </row>
    <row r="17" spans="1:15" ht="66" customHeight="1" x14ac:dyDescent="0.3">
      <c r="A17" s="88"/>
      <c r="B17" s="86" t="s">
        <v>94</v>
      </c>
      <c r="C17" s="86" t="s">
        <v>95</v>
      </c>
      <c r="D17" s="87" t="s">
        <v>122</v>
      </c>
      <c r="E17" s="94" t="s">
        <v>128</v>
      </c>
      <c r="F17" s="94" t="s">
        <v>125</v>
      </c>
      <c r="G17" s="94" t="s">
        <v>129</v>
      </c>
      <c r="H17" s="86" t="s">
        <v>96</v>
      </c>
      <c r="I17" s="86" t="s">
        <v>114</v>
      </c>
      <c r="J17" s="87" t="s">
        <v>112</v>
      </c>
      <c r="K17" s="86" t="s">
        <v>97</v>
      </c>
      <c r="L17" s="87" t="s">
        <v>70</v>
      </c>
      <c r="M17" s="86" t="s">
        <v>98</v>
      </c>
      <c r="N17" s="87" t="s">
        <v>99</v>
      </c>
      <c r="O17" s="86" t="s">
        <v>100</v>
      </c>
    </row>
    <row r="18" spans="1:15" x14ac:dyDescent="0.2">
      <c r="A18" s="60" t="e" vm="14">
        <v>#VALUE!</v>
      </c>
      <c r="B18" s="90">
        <f>(E13*$M$8)*D13</f>
        <v>58310000</v>
      </c>
      <c r="C18" s="90">
        <v>69800000</v>
      </c>
      <c r="D18" s="90">
        <f>E8*$Q$6</f>
        <v>106500000</v>
      </c>
      <c r="E18" s="100">
        <f>32*Q8</f>
        <v>80000000</v>
      </c>
      <c r="F18" s="90">
        <f>(F8-E8)*$Q$5</f>
        <v>61200000</v>
      </c>
      <c r="G18" s="100">
        <f>30*Q7</f>
        <v>45000000</v>
      </c>
      <c r="H18" s="100">
        <v>100000000</v>
      </c>
      <c r="I18" s="100" t="s">
        <v>126</v>
      </c>
      <c r="J18" s="90">
        <f ca="1">C8</f>
        <v>269241992.75999999</v>
      </c>
      <c r="K18" s="90">
        <v>0</v>
      </c>
      <c r="L18" s="24">
        <f>E3</f>
        <v>25600000</v>
      </c>
      <c r="M18" s="46">
        <f ca="1">SUM(B18:L18)</f>
        <v>815651992.75999999</v>
      </c>
      <c r="N18" s="50">
        <f>F3</f>
        <v>46401000</v>
      </c>
      <c r="O18" s="66">
        <f ca="1">(M18-N18)/B3</f>
        <v>1.4994175674400798</v>
      </c>
    </row>
    <row r="21" spans="1:15" x14ac:dyDescent="0.2">
      <c r="A21" t="s">
        <v>127</v>
      </c>
      <c r="B21" s="104"/>
      <c r="C21" s="104"/>
      <c r="D21" s="104"/>
      <c r="E21" s="104"/>
      <c r="F21" s="104"/>
      <c r="G21" s="104"/>
      <c r="H21" s="104"/>
    </row>
  </sheetData>
  <conditionalFormatting sqref="F8">
    <cfRule type="colorScale" priority="5">
      <colorScale>
        <cfvo type="min"/>
        <cfvo type="percentile" val="50"/>
        <cfvo type="max"/>
        <color rgb="FFF8696B"/>
        <color rgb="FFFCFCFF"/>
        <color rgb="FF63BE7B"/>
      </colorScale>
    </cfRule>
    <cfRule type="colorScale" priority="6">
      <colorScale>
        <cfvo type="min"/>
        <cfvo type="max"/>
        <color theme="5"/>
        <color theme="9"/>
      </colorScale>
    </cfRule>
  </conditionalFormatting>
  <conditionalFormatting sqref="L7:L9">
    <cfRule type="colorScale" priority="4">
      <colorScale>
        <cfvo type="min"/>
        <cfvo type="percentile" val="50"/>
        <cfvo type="max"/>
        <color rgb="FFF8696B"/>
        <color rgb="FFFCFCFF"/>
        <color rgb="FF63BE7B"/>
      </colorScale>
    </cfRule>
  </conditionalFormatting>
  <conditionalFormatting sqref="O18">
    <cfRule type="colorScale" priority="1">
      <colorScale>
        <cfvo type="min"/>
        <cfvo type="percentile" val="50"/>
        <cfvo type="max"/>
        <color rgb="FFF8696B"/>
        <color rgb="FFFCFCFF"/>
        <color rgb="FF63BE7B"/>
      </colorScale>
    </cfRule>
    <cfRule type="colorScale" priority="2">
      <colorScale>
        <cfvo type="min"/>
        <cfvo type="max"/>
        <color rgb="FFFF7128"/>
        <color rgb="FFFFEF9C"/>
      </colorScale>
    </cfRule>
    <cfRule type="colorScale" priority="3">
      <colorScale>
        <cfvo type="min"/>
        <cfvo type="max"/>
        <color rgb="FFFCFCFF"/>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F7A2A-07CB-B74F-AD71-88F9DC1E5742}">
  <dimension ref="A1:Q18"/>
  <sheetViews>
    <sheetView zoomScale="90" zoomScaleNormal="90" workbookViewId="0">
      <selection activeCell="M7" sqref="M7:M9"/>
    </sheetView>
  </sheetViews>
  <sheetFormatPr baseColWidth="10" defaultRowHeight="16" x14ac:dyDescent="0.2"/>
  <cols>
    <col min="1" max="1" width="44.6640625" bestFit="1" customWidth="1"/>
    <col min="2" max="2" width="18.33203125" bestFit="1" customWidth="1"/>
    <col min="3" max="3" width="17.83203125" bestFit="1" customWidth="1"/>
    <col min="4" max="4" width="16.83203125" bestFit="1" customWidth="1"/>
    <col min="5" max="5" width="18.5" customWidth="1"/>
    <col min="6" max="6" width="14.6640625" bestFit="1" customWidth="1"/>
    <col min="7" max="7" width="20.5" customWidth="1"/>
    <col min="8" max="8" width="13.5" bestFit="1" customWidth="1"/>
    <col min="9" max="9" width="9.5" bestFit="1" customWidth="1"/>
    <col min="10" max="10" width="13.5" bestFit="1" customWidth="1"/>
    <col min="12" max="12" width="18.1640625" bestFit="1" customWidth="1"/>
    <col min="13" max="13" width="15.1640625" bestFit="1" customWidth="1"/>
    <col min="14" max="14" width="14.6640625" bestFit="1" customWidth="1"/>
    <col min="15" max="15" width="11.6640625" bestFit="1" customWidth="1"/>
  </cols>
  <sheetData>
    <row r="1" spans="1:17" ht="24" x14ac:dyDescent="0.3">
      <c r="A1" s="72" t="s">
        <v>81</v>
      </c>
      <c r="B1" s="72"/>
      <c r="C1" s="72"/>
      <c r="D1" s="72"/>
      <c r="E1" s="72"/>
      <c r="F1" s="72"/>
    </row>
    <row r="2" spans="1:17" x14ac:dyDescent="0.2">
      <c r="A2" s="64"/>
      <c r="B2" s="77" t="s">
        <v>80</v>
      </c>
      <c r="C2" s="77" t="s">
        <v>19</v>
      </c>
      <c r="D2" s="71" t="s">
        <v>20</v>
      </c>
      <c r="E2" s="77" t="s">
        <v>70</v>
      </c>
      <c r="F2" s="77" t="s">
        <v>71</v>
      </c>
    </row>
    <row r="3" spans="1:17" ht="19" x14ac:dyDescent="0.25">
      <c r="A3" s="60" t="e" vm="15">
        <v>#VALUE!</v>
      </c>
      <c r="B3" s="90" cm="1">
        <f t="array" aca="1" ref="B3" ca="1">_FV(A3,"Market cap",TRUE)</f>
        <v>1931409000</v>
      </c>
      <c r="C3" s="82" cm="1">
        <f t="array" aca="1" ref="C3" ca="1">_FV(A3,"Price")</f>
        <v>18.36</v>
      </c>
      <c r="D3" s="1" cm="1">
        <f t="array" aca="1" ref="D3" ca="1">_FV(A3,"Shares outstanding",TRUE)</f>
        <v>104169300</v>
      </c>
      <c r="E3" s="48">
        <v>175476000</v>
      </c>
      <c r="F3" s="50">
        <v>418655000</v>
      </c>
      <c r="L3" s="20" t="e" vm="2">
        <v>#VALUE!</v>
      </c>
      <c r="M3" s="21" cm="1">
        <f t="array" aca="1" ref="M3" ca="1">_FV(L3,"Price")</f>
        <v>106293.72</v>
      </c>
      <c r="P3" s="81" t="s">
        <v>111</v>
      </c>
      <c r="Q3" s="79"/>
    </row>
    <row r="4" spans="1:17" x14ac:dyDescent="0.2">
      <c r="B4" s="15"/>
      <c r="C4" s="14"/>
      <c r="D4" s="1"/>
      <c r="L4" s="45" t="e" vm="3">
        <v>#VALUE!</v>
      </c>
      <c r="M4" s="21" cm="1">
        <f t="array" aca="1" ref="M4" ca="1">_FV(L4,"Price")</f>
        <v>2652.65</v>
      </c>
      <c r="P4" s="16" t="s">
        <v>124</v>
      </c>
      <c r="Q4" s="90">
        <v>30000</v>
      </c>
    </row>
    <row r="5" spans="1:17" x14ac:dyDescent="0.2">
      <c r="P5" s="16" t="s">
        <v>118</v>
      </c>
      <c r="Q5" s="90">
        <v>300000</v>
      </c>
    </row>
    <row r="6" spans="1:17" ht="24" x14ac:dyDescent="0.3">
      <c r="A6" s="103" t="s">
        <v>88</v>
      </c>
      <c r="B6" s="103"/>
      <c r="C6" s="103"/>
      <c r="D6" s="103"/>
      <c r="E6" s="103"/>
      <c r="F6" s="103"/>
      <c r="L6" s="81" t="s">
        <v>101</v>
      </c>
      <c r="M6" s="81"/>
      <c r="P6" s="16" t="s">
        <v>119</v>
      </c>
      <c r="Q6" s="90">
        <v>750000</v>
      </c>
    </row>
    <row r="7" spans="1:17" x14ac:dyDescent="0.2">
      <c r="B7" s="77" t="s">
        <v>82</v>
      </c>
      <c r="C7" s="77" t="s">
        <v>83</v>
      </c>
      <c r="D7" s="77" t="s">
        <v>84</v>
      </c>
      <c r="E7" s="71" t="s">
        <v>135</v>
      </c>
      <c r="F7" s="77" t="s">
        <v>78</v>
      </c>
      <c r="G7" s="71" t="s">
        <v>134</v>
      </c>
      <c r="L7" s="16" t="s">
        <v>102</v>
      </c>
      <c r="M7" s="82">
        <v>17.91</v>
      </c>
      <c r="P7" s="93" t="s">
        <v>120</v>
      </c>
      <c r="Q7" s="90">
        <v>1500000</v>
      </c>
    </row>
    <row r="8" spans="1:17" x14ac:dyDescent="0.2">
      <c r="A8" s="60" t="e" vm="15">
        <v>#VALUE!</v>
      </c>
      <c r="B8">
        <v>9102</v>
      </c>
      <c r="C8" s="14">
        <f ca="1">B8*$M$3</f>
        <v>967485439.44000006</v>
      </c>
      <c r="D8" s="106">
        <f ca="1">C8/B3</f>
        <v>0.50092209337328342</v>
      </c>
      <c r="E8">
        <v>182</v>
      </c>
      <c r="F8" s="20">
        <v>1075</v>
      </c>
      <c r="G8">
        <v>582</v>
      </c>
      <c r="L8" s="16" t="s">
        <v>103</v>
      </c>
      <c r="M8" s="82">
        <v>11.9</v>
      </c>
      <c r="P8" s="16" t="s">
        <v>121</v>
      </c>
      <c r="Q8" s="90">
        <v>2500000</v>
      </c>
    </row>
    <row r="9" spans="1:17" x14ac:dyDescent="0.2">
      <c r="L9" s="16" t="s">
        <v>104</v>
      </c>
      <c r="M9" s="82">
        <v>2.75</v>
      </c>
    </row>
    <row r="11" spans="1:17" ht="24" x14ac:dyDescent="0.3">
      <c r="A11" s="73" t="s">
        <v>89</v>
      </c>
      <c r="B11" s="73"/>
      <c r="C11" s="73"/>
      <c r="D11" s="73"/>
      <c r="E11" s="73"/>
      <c r="F11" s="73"/>
      <c r="G11" s="73"/>
    </row>
    <row r="12" spans="1:17" x14ac:dyDescent="0.2">
      <c r="A12" s="68"/>
      <c r="B12" s="71" t="s">
        <v>85</v>
      </c>
      <c r="C12" s="77" t="s">
        <v>33</v>
      </c>
      <c r="D12" s="77" t="s">
        <v>86</v>
      </c>
      <c r="E12" s="85" t="s">
        <v>105</v>
      </c>
      <c r="F12" s="77" t="s">
        <v>87</v>
      </c>
      <c r="G12" s="77" t="s">
        <v>91</v>
      </c>
    </row>
    <row r="13" spans="1:17" x14ac:dyDescent="0.2">
      <c r="A13" s="60" t="e" vm="15">
        <f>A8</f>
        <v>#VALUE!</v>
      </c>
      <c r="B13" s="107">
        <f>(E8*1000000)/(F13*1000000)</f>
        <v>33.090909090909093</v>
      </c>
      <c r="C13">
        <v>3.2</v>
      </c>
      <c r="D13">
        <v>58200</v>
      </c>
      <c r="E13" s="66">
        <f t="shared" ref="E13" si="0">(F13*1000000)/D13</f>
        <v>94.501718213058425</v>
      </c>
      <c r="F13">
        <v>5.5</v>
      </c>
      <c r="G13">
        <v>7.5</v>
      </c>
    </row>
    <row r="16" spans="1:17" ht="23" customHeight="1" x14ac:dyDescent="0.3">
      <c r="A16" s="80" t="s">
        <v>93</v>
      </c>
      <c r="B16" s="80"/>
      <c r="C16" s="80"/>
      <c r="D16" s="80"/>
      <c r="E16" s="80"/>
      <c r="F16" s="80"/>
      <c r="G16" s="80"/>
      <c r="H16" s="80"/>
      <c r="I16" s="80"/>
      <c r="J16" s="80"/>
      <c r="K16" s="80"/>
      <c r="L16" s="80"/>
      <c r="M16" s="80"/>
      <c r="N16" s="80"/>
      <c r="O16" s="80"/>
    </row>
    <row r="17" spans="1:15" ht="49" customHeight="1" x14ac:dyDescent="0.3">
      <c r="A17" s="88"/>
      <c r="B17" s="86" t="s">
        <v>94</v>
      </c>
      <c r="C17" s="86" t="s">
        <v>95</v>
      </c>
      <c r="D17" s="87" t="s">
        <v>136</v>
      </c>
      <c r="E17" s="94" t="s">
        <v>128</v>
      </c>
      <c r="F17" s="94" t="s">
        <v>125</v>
      </c>
      <c r="G17" s="94" t="s">
        <v>131</v>
      </c>
      <c r="H17" s="86" t="s">
        <v>96</v>
      </c>
      <c r="I17" s="86" t="s">
        <v>114</v>
      </c>
      <c r="J17" s="87" t="s">
        <v>112</v>
      </c>
      <c r="K17" s="86" t="s">
        <v>97</v>
      </c>
      <c r="L17" s="87" t="s">
        <v>70</v>
      </c>
      <c r="M17" s="86" t="s">
        <v>98</v>
      </c>
      <c r="N17" s="87" t="s">
        <v>99</v>
      </c>
      <c r="O17" s="86" t="s">
        <v>100</v>
      </c>
    </row>
    <row r="18" spans="1:15" x14ac:dyDescent="0.2">
      <c r="A18" s="60" t="e" vm="15">
        <f>A13</f>
        <v>#VALUE!</v>
      </c>
      <c r="B18" s="90">
        <f>(E13*$M$8)*D13</f>
        <v>65450000.000000007</v>
      </c>
      <c r="C18" s="90" t="s">
        <v>138</v>
      </c>
      <c r="D18" s="90">
        <f>E8*$Q$6</f>
        <v>136500000</v>
      </c>
      <c r="E18" s="100">
        <v>0</v>
      </c>
      <c r="F18" s="90">
        <f>(F8-E8)*$Q$5</f>
        <v>267900000</v>
      </c>
      <c r="G18" s="100">
        <v>0</v>
      </c>
      <c r="H18" s="100">
        <v>100000000</v>
      </c>
      <c r="I18" s="100" t="s">
        <v>126</v>
      </c>
      <c r="J18" s="90">
        <f ca="1">C8</f>
        <v>967485439.44000006</v>
      </c>
      <c r="K18" s="90">
        <v>0</v>
      </c>
      <c r="L18" s="24">
        <f>E3</f>
        <v>175476000</v>
      </c>
      <c r="M18" s="46">
        <f ca="1">SUM(B18:L18)</f>
        <v>1712811439.4400001</v>
      </c>
      <c r="N18" s="50">
        <f>F3</f>
        <v>418655000</v>
      </c>
      <c r="O18" s="66">
        <f ca="1">(M18-N18)/B3</f>
        <v>0.67005820074360223</v>
      </c>
    </row>
  </sheetData>
  <conditionalFormatting sqref="F8">
    <cfRule type="colorScale" priority="5">
      <colorScale>
        <cfvo type="min"/>
        <cfvo type="percentile" val="50"/>
        <cfvo type="max"/>
        <color rgb="FFF8696B"/>
        <color rgb="FFFCFCFF"/>
        <color rgb="FF63BE7B"/>
      </colorScale>
    </cfRule>
    <cfRule type="colorScale" priority="6">
      <colorScale>
        <cfvo type="min"/>
        <cfvo type="max"/>
        <color theme="5"/>
        <color theme="9"/>
      </colorScale>
    </cfRule>
  </conditionalFormatting>
  <conditionalFormatting sqref="L7:L9">
    <cfRule type="colorScale" priority="4">
      <colorScale>
        <cfvo type="min"/>
        <cfvo type="percentile" val="50"/>
        <cfvo type="max"/>
        <color rgb="FFF8696B"/>
        <color rgb="FFFCFCFF"/>
        <color rgb="FF63BE7B"/>
      </colorScale>
    </cfRule>
  </conditionalFormatting>
  <conditionalFormatting sqref="O18">
    <cfRule type="colorScale" priority="1">
      <colorScale>
        <cfvo type="min"/>
        <cfvo type="percentile" val="50"/>
        <cfvo type="max"/>
        <color rgb="FFF8696B"/>
        <color rgb="FFFCFCFF"/>
        <color rgb="FF63BE7B"/>
      </colorScale>
    </cfRule>
    <cfRule type="colorScale" priority="2">
      <colorScale>
        <cfvo type="min"/>
        <cfvo type="max"/>
        <color rgb="FFFF7128"/>
        <color rgb="FFFFEF9C"/>
      </colorScale>
    </cfRule>
    <cfRule type="colorScale" priority="3">
      <colorScale>
        <cfvo type="min"/>
        <cfvo type="max"/>
        <color rgb="FFFCFCFF"/>
        <color rgb="FF63BE7B"/>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CE4D1-721C-2B40-B63C-4F0B85216344}">
  <dimension ref="A1:Z31"/>
  <sheetViews>
    <sheetView zoomScale="90" zoomScaleNormal="90" workbookViewId="0">
      <selection activeCell="I6" sqref="I6:I9"/>
    </sheetView>
  </sheetViews>
  <sheetFormatPr baseColWidth="10" defaultRowHeight="16" x14ac:dyDescent="0.2"/>
  <cols>
    <col min="1" max="1" width="28.83203125" bestFit="1" customWidth="1"/>
    <col min="2" max="2" width="17.33203125" customWidth="1"/>
    <col min="3" max="3" width="17.83203125" bestFit="1" customWidth="1"/>
    <col min="4" max="4" width="16.83203125" bestFit="1" customWidth="1"/>
    <col min="5" max="5" width="14.6640625" bestFit="1" customWidth="1"/>
    <col min="6" max="6" width="13.5" bestFit="1" customWidth="1"/>
    <col min="7" max="7" width="20" bestFit="1" customWidth="1"/>
    <col min="8" max="8" width="13.5" customWidth="1"/>
    <col min="9" max="9" width="12" bestFit="1" customWidth="1"/>
    <col min="10" max="10" width="12.6640625" customWidth="1"/>
    <col min="11" max="11" width="17.6640625" customWidth="1"/>
    <col min="12" max="12" width="14.6640625" bestFit="1" customWidth="1"/>
    <col min="13" max="13" width="13.5" bestFit="1" customWidth="1"/>
    <col min="14" max="14" width="11.1640625" customWidth="1"/>
    <col min="16" max="16" width="58.5" customWidth="1"/>
  </cols>
  <sheetData>
    <row r="1" spans="1:26" ht="21" customHeight="1" x14ac:dyDescent="0.3">
      <c r="A1" s="72" t="s">
        <v>81</v>
      </c>
      <c r="B1" s="72"/>
      <c r="C1" s="72"/>
      <c r="D1" s="72"/>
      <c r="E1" s="72"/>
      <c r="F1" s="72"/>
      <c r="H1" s="20" t="e" vm="2">
        <v>#VALUE!</v>
      </c>
      <c r="I1" s="21" cm="1">
        <f t="array" aca="1" ref="I1" ca="1">_FV(H1,"Price")</f>
        <v>106293.72</v>
      </c>
      <c r="K1" s="81" t="s">
        <v>111</v>
      </c>
      <c r="L1" s="79"/>
    </row>
    <row r="2" spans="1:26" x14ac:dyDescent="0.2">
      <c r="A2" s="64"/>
      <c r="B2" s="77" t="s">
        <v>80</v>
      </c>
      <c r="C2" s="77" t="s">
        <v>19</v>
      </c>
      <c r="D2" s="71" t="s">
        <v>20</v>
      </c>
      <c r="E2" s="77" t="s">
        <v>70</v>
      </c>
      <c r="F2" s="77" t="s">
        <v>71</v>
      </c>
      <c r="H2" s="45" t="e" vm="3">
        <v>#VALUE!</v>
      </c>
      <c r="I2" s="21" cm="1">
        <f t="array" aca="1" ref="I2" ca="1">_FV(H2,"Price")</f>
        <v>2652.65</v>
      </c>
      <c r="K2" s="16" t="s">
        <v>124</v>
      </c>
      <c r="L2" s="90">
        <v>30000</v>
      </c>
    </row>
    <row r="3" spans="1:26" x14ac:dyDescent="0.2">
      <c r="A3" s="60" t="e" vm="6">
        <v>#VALUE!</v>
      </c>
      <c r="B3" s="15" cm="1">
        <f t="array" aca="1" ref="B3" ca="1">_FV(A3,"Market cap",TRUE)</f>
        <v>1632166602</v>
      </c>
      <c r="C3" s="14" cm="1">
        <f t="array" aca="1" ref="C3" ca="1">_FV(A3,"Price")</f>
        <v>4.26</v>
      </c>
      <c r="D3" s="1" cm="1">
        <f t="array" aca="1" ref="D3" ca="1">_FV(A3,"Shares outstanding",TRUE)</f>
        <v>383137700</v>
      </c>
      <c r="E3" s="48">
        <v>104100000</v>
      </c>
      <c r="F3" s="50">
        <v>0</v>
      </c>
      <c r="H3" s="45"/>
      <c r="I3" s="21"/>
      <c r="K3" s="16"/>
      <c r="L3" s="90"/>
      <c r="O3" s="90"/>
      <c r="R3" s="90"/>
      <c r="S3" s="90"/>
      <c r="T3" s="91"/>
      <c r="U3" s="90"/>
      <c r="V3" s="90"/>
      <c r="W3" s="24"/>
      <c r="Z3" s="66"/>
    </row>
    <row r="4" spans="1:26" x14ac:dyDescent="0.2">
      <c r="K4" s="16" t="s">
        <v>142</v>
      </c>
      <c r="L4" s="90">
        <v>300000</v>
      </c>
    </row>
    <row r="5" spans="1:26" ht="19" x14ac:dyDescent="0.25">
      <c r="H5" s="81" t="s">
        <v>101</v>
      </c>
      <c r="I5" s="81"/>
      <c r="K5" s="16" t="s">
        <v>141</v>
      </c>
      <c r="L5" s="90">
        <v>750000</v>
      </c>
    </row>
    <row r="6" spans="1:26" ht="24" x14ac:dyDescent="0.3">
      <c r="A6" s="70" t="s">
        <v>88</v>
      </c>
      <c r="B6" s="70"/>
      <c r="C6" s="70"/>
      <c r="D6" s="70"/>
      <c r="E6" s="70"/>
      <c r="F6" s="70"/>
      <c r="H6" s="16" t="s">
        <v>102</v>
      </c>
      <c r="I6" s="82">
        <v>17.91</v>
      </c>
      <c r="K6" s="93" t="s">
        <v>143</v>
      </c>
      <c r="L6" s="90">
        <v>1500000</v>
      </c>
    </row>
    <row r="7" spans="1:26" x14ac:dyDescent="0.2">
      <c r="B7" s="77" t="s">
        <v>82</v>
      </c>
      <c r="C7" s="77" t="s">
        <v>83</v>
      </c>
      <c r="D7" s="77" t="s">
        <v>84</v>
      </c>
      <c r="E7" s="71" t="s">
        <v>108</v>
      </c>
      <c r="F7" s="77" t="s">
        <v>78</v>
      </c>
      <c r="H7" s="16" t="s">
        <v>103</v>
      </c>
      <c r="I7" s="82">
        <v>11.9</v>
      </c>
      <c r="K7" s="16" t="s">
        <v>121</v>
      </c>
      <c r="L7" s="90">
        <v>2500000</v>
      </c>
    </row>
    <row r="8" spans="1:26" x14ac:dyDescent="0.2">
      <c r="A8" s="60" t="e" vm="6">
        <v>#VALUE!</v>
      </c>
      <c r="B8">
        <v>0</v>
      </c>
      <c r="C8" s="24">
        <f t="shared" ref="C8" si="0">B8*$M$3</f>
        <v>0</v>
      </c>
      <c r="D8" s="74">
        <v>0</v>
      </c>
      <c r="E8">
        <v>245</v>
      </c>
      <c r="F8" s="78">
        <v>600</v>
      </c>
      <c r="H8" s="16"/>
      <c r="I8" s="82"/>
    </row>
    <row r="9" spans="1:26" x14ac:dyDescent="0.2">
      <c r="C9" s="24"/>
      <c r="D9" s="74"/>
      <c r="F9" s="78"/>
      <c r="H9" s="16" t="s">
        <v>104</v>
      </c>
      <c r="I9" s="82">
        <v>2.75</v>
      </c>
    </row>
    <row r="10" spans="1:26" x14ac:dyDescent="0.2">
      <c r="C10" s="24"/>
      <c r="D10" s="74"/>
      <c r="F10" s="78"/>
    </row>
    <row r="11" spans="1:26" ht="24" x14ac:dyDescent="0.3">
      <c r="A11" s="73" t="s">
        <v>89</v>
      </c>
      <c r="B11" s="73"/>
      <c r="C11" s="73"/>
      <c r="D11" s="73"/>
      <c r="E11" s="73"/>
      <c r="F11" s="73"/>
      <c r="G11" s="73"/>
    </row>
    <row r="12" spans="1:26" x14ac:dyDescent="0.2">
      <c r="B12" s="71" t="s">
        <v>85</v>
      </c>
      <c r="C12" s="77" t="s">
        <v>33</v>
      </c>
      <c r="D12" s="77" t="s">
        <v>86</v>
      </c>
      <c r="E12" s="85" t="s">
        <v>105</v>
      </c>
      <c r="F12" s="77" t="s">
        <v>87</v>
      </c>
      <c r="G12" s="77" t="s">
        <v>140</v>
      </c>
    </row>
    <row r="13" spans="1:26" x14ac:dyDescent="0.2">
      <c r="A13" s="60" t="e" vm="6">
        <v>#VALUE!</v>
      </c>
      <c r="B13" s="89">
        <f>(E8*1000000)/(F13*1000000)</f>
        <v>24.5</v>
      </c>
      <c r="C13" s="69">
        <v>3.7</v>
      </c>
      <c r="D13" s="1">
        <v>59890</v>
      </c>
      <c r="E13" s="84">
        <f>(F13*1000000)/D13</f>
        <v>166.97278343629989</v>
      </c>
      <c r="F13">
        <v>10</v>
      </c>
      <c r="G13">
        <v>16</v>
      </c>
    </row>
    <row r="16" spans="1:26" ht="24" x14ac:dyDescent="0.3">
      <c r="A16" s="80" t="s">
        <v>93</v>
      </c>
      <c r="B16" s="80"/>
      <c r="C16" s="80"/>
      <c r="D16" s="80"/>
      <c r="E16" s="80"/>
      <c r="F16" s="80"/>
      <c r="G16" s="80"/>
      <c r="H16" s="80"/>
      <c r="I16" s="80"/>
      <c r="J16" s="80"/>
      <c r="K16" s="80"/>
      <c r="L16" s="80"/>
      <c r="M16" s="80"/>
      <c r="N16" s="80"/>
    </row>
    <row r="17" spans="1:14" ht="50" customHeight="1" x14ac:dyDescent="0.3">
      <c r="A17" s="88"/>
      <c r="B17" s="86" t="s">
        <v>94</v>
      </c>
      <c r="C17" s="86" t="s">
        <v>95</v>
      </c>
      <c r="D17" s="87" t="s">
        <v>122</v>
      </c>
      <c r="E17" s="94" t="s">
        <v>128</v>
      </c>
      <c r="F17" s="94" t="s">
        <v>125</v>
      </c>
      <c r="G17" s="94" t="s">
        <v>131</v>
      </c>
      <c r="H17" s="86" t="s">
        <v>96</v>
      </c>
      <c r="I17" s="86" t="s">
        <v>114</v>
      </c>
      <c r="J17" s="87" t="s">
        <v>112</v>
      </c>
      <c r="K17" s="87" t="s">
        <v>70</v>
      </c>
      <c r="L17" s="86" t="s">
        <v>98</v>
      </c>
      <c r="M17" s="87" t="s">
        <v>99</v>
      </c>
      <c r="N17" s="86" t="s">
        <v>100</v>
      </c>
    </row>
    <row r="18" spans="1:14" x14ac:dyDescent="0.2">
      <c r="A18" s="60" t="e" vm="6">
        <v>#VALUE!</v>
      </c>
      <c r="B18" s="90">
        <f>(E13*I6)*D13</f>
        <v>179100000</v>
      </c>
      <c r="C18" s="90">
        <f>128*L2</f>
        <v>3840000</v>
      </c>
      <c r="D18" s="90">
        <f>E8*L5</f>
        <v>183750000</v>
      </c>
      <c r="E18" s="90">
        <f>2.5*L7</f>
        <v>6250000</v>
      </c>
      <c r="F18" s="90">
        <f>(F8-E8)*L4</f>
        <v>106500000</v>
      </c>
      <c r="G18" s="90">
        <f>70*L6</f>
        <v>105000000</v>
      </c>
      <c r="H18" s="90">
        <v>100000000</v>
      </c>
      <c r="I18" s="91" t="s">
        <v>6</v>
      </c>
      <c r="J18" s="90">
        <f>B8</f>
        <v>0</v>
      </c>
      <c r="K18" s="24">
        <f>E3+92000000</f>
        <v>196100000</v>
      </c>
      <c r="L18" s="46">
        <f>SUM(B18:K18)</f>
        <v>880540000</v>
      </c>
      <c r="M18" s="50">
        <f>F3</f>
        <v>0</v>
      </c>
      <c r="N18" s="66">
        <f ca="1">(L18-M18)/B3</f>
        <v>0.53949149487620751</v>
      </c>
    </row>
    <row r="21" spans="1:14" ht="27" customHeight="1" x14ac:dyDescent="0.2"/>
    <row r="31" spans="1:14" x14ac:dyDescent="0.2">
      <c r="J31" s="90"/>
    </row>
  </sheetData>
  <conditionalFormatting sqref="F8:F10">
    <cfRule type="colorScale" priority="13">
      <colorScale>
        <cfvo type="min"/>
        <cfvo type="percentile" val="50"/>
        <cfvo type="max"/>
        <color rgb="FFF8696B"/>
        <color rgb="FFFCFCFF"/>
        <color rgb="FF63BE7B"/>
      </colorScale>
    </cfRule>
    <cfRule type="colorScale" priority="14">
      <colorScale>
        <cfvo type="min"/>
        <cfvo type="max"/>
        <color theme="5"/>
        <color theme="9"/>
      </colorScale>
    </cfRule>
  </conditionalFormatting>
  <conditionalFormatting sqref="H6:H9">
    <cfRule type="colorScale" priority="5">
      <colorScale>
        <cfvo type="min"/>
        <cfvo type="percentile" val="50"/>
        <cfvo type="max"/>
        <color rgb="FFF8696B"/>
        <color rgb="FFFCFCFF"/>
        <color rgb="FF63BE7B"/>
      </colorScale>
    </cfRule>
  </conditionalFormatting>
  <conditionalFormatting sqref="L8:L10 K11">
    <cfRule type="colorScale" priority="6">
      <colorScale>
        <cfvo type="min"/>
        <cfvo type="percentile" val="50"/>
        <cfvo type="max"/>
        <color rgb="FFF8696B"/>
        <color rgb="FFFCFCFF"/>
        <color rgb="FF63BE7B"/>
      </colorScale>
    </cfRule>
  </conditionalFormatting>
  <conditionalFormatting sqref="N18">
    <cfRule type="colorScale" priority="1">
      <colorScale>
        <cfvo type="min"/>
        <cfvo type="percentile" val="50"/>
        <cfvo type="max"/>
        <color rgb="FF63BE7B"/>
        <color rgb="FFFCFCFF"/>
        <color rgb="FFF8696B"/>
      </colorScale>
    </cfRule>
    <cfRule type="colorScale" priority="2">
      <colorScale>
        <cfvo type="min"/>
        <cfvo type="max"/>
        <color rgb="FF63BE7B"/>
        <color rgb="FFFFEF9C"/>
      </colorScale>
    </cfRule>
    <cfRule type="colorScale" priority="12">
      <colorScale>
        <cfvo type="min"/>
        <cfvo type="max"/>
        <color rgb="FFFCFCFF"/>
        <color rgb="FF63BE7B"/>
      </colorScale>
    </cfRule>
  </conditionalFormatting>
  <conditionalFormatting sqref="Z3">
    <cfRule type="colorScale" priority="7">
      <colorScale>
        <cfvo type="min"/>
        <cfvo type="percentile" val="50"/>
        <cfvo type="max"/>
        <color rgb="FFF8696B"/>
        <color rgb="FFFCFCFF"/>
        <color rgb="FF63BE7B"/>
      </colorScale>
    </cfRule>
    <cfRule type="colorScale" priority="8">
      <colorScale>
        <cfvo type="min"/>
        <cfvo type="max"/>
        <color rgb="FFFF7128"/>
        <color rgb="FFFFEF9C"/>
      </colorScale>
    </cfRule>
    <cfRule type="colorScale" priority="9">
      <colorScale>
        <cfvo type="min"/>
        <cfvo type="max"/>
        <color rgb="FFFCFCFF"/>
        <color rgb="FF63BE7B"/>
      </colorScale>
    </cfRule>
  </conditionalFormatting>
  <hyperlinks>
    <hyperlink ref="I18" r:id="rId1" xr:uid="{85D8FC6F-AA92-B642-A8A7-ED5B9124492B}"/>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E14F-E687-434C-8ACC-1A17047A8DEA}">
  <dimension ref="A1:N47"/>
  <sheetViews>
    <sheetView zoomScale="90" zoomScaleNormal="90" workbookViewId="0">
      <selection activeCell="I6" sqref="I6:I9"/>
    </sheetView>
  </sheetViews>
  <sheetFormatPr baseColWidth="10" defaultRowHeight="16" x14ac:dyDescent="0.2"/>
  <cols>
    <col min="1" max="1" width="44.6640625" bestFit="1" customWidth="1"/>
    <col min="2" max="2" width="18.33203125" bestFit="1" customWidth="1"/>
    <col min="3" max="3" width="17.83203125" bestFit="1" customWidth="1"/>
    <col min="4" max="4" width="16.83203125" bestFit="1" customWidth="1"/>
    <col min="5" max="5" width="15.83203125" bestFit="1" customWidth="1"/>
    <col min="6" max="6" width="13.5" bestFit="1" customWidth="1"/>
    <col min="7" max="7" width="16" bestFit="1" customWidth="1"/>
    <col min="8" max="8" width="16.83203125" customWidth="1"/>
    <col min="9" max="9" width="12.6640625" bestFit="1" customWidth="1"/>
    <col min="10" max="10" width="13.5" bestFit="1" customWidth="1"/>
    <col min="11" max="11" width="21.1640625" customWidth="1"/>
    <col min="12" max="12" width="15" bestFit="1" customWidth="1"/>
    <col min="13" max="13" width="13.5" bestFit="1" customWidth="1"/>
  </cols>
  <sheetData>
    <row r="1" spans="1:14" ht="24" x14ac:dyDescent="0.3">
      <c r="A1" s="72" t="s">
        <v>81</v>
      </c>
      <c r="B1" s="72"/>
      <c r="C1" s="72"/>
      <c r="D1" s="72"/>
      <c r="E1" s="72"/>
      <c r="F1" s="72"/>
      <c r="H1" s="20" t="e" vm="2">
        <v>#VALUE!</v>
      </c>
      <c r="I1" s="21" cm="1">
        <f t="array" aca="1" ref="I1" ca="1">_FV(H1,"Price")</f>
        <v>106293.72</v>
      </c>
      <c r="K1" s="81" t="s">
        <v>111</v>
      </c>
      <c r="L1" s="79"/>
    </row>
    <row r="2" spans="1:14" x14ac:dyDescent="0.2">
      <c r="A2" s="64"/>
      <c r="B2" s="77" t="s">
        <v>80</v>
      </c>
      <c r="C2" s="77" t="s">
        <v>19</v>
      </c>
      <c r="D2" s="71" t="s">
        <v>20</v>
      </c>
      <c r="E2" s="77" t="s">
        <v>70</v>
      </c>
      <c r="F2" s="77" t="s">
        <v>71</v>
      </c>
      <c r="H2" s="45" t="e" vm="3">
        <v>#VALUE!</v>
      </c>
      <c r="I2" s="21" cm="1">
        <f t="array" aca="1" ref="I2" ca="1">_FV(H2,"Price")</f>
        <v>2652.65</v>
      </c>
      <c r="K2" s="16" t="s">
        <v>124</v>
      </c>
      <c r="L2" s="90">
        <v>30000</v>
      </c>
    </row>
    <row r="3" spans="1:14" x14ac:dyDescent="0.2">
      <c r="A3" s="60" t="e" vm="9">
        <v>#VALUE!</v>
      </c>
      <c r="B3" s="15" cm="1">
        <f t="array" aca="1" ref="B3" ca="1">_FV(A3,"Market cap",TRUE)</f>
        <v>1287444096</v>
      </c>
      <c r="C3" s="14" cm="1">
        <f t="array" aca="1" ref="C3" ca="1">_FV(A3,"Price")</f>
        <v>3.84</v>
      </c>
      <c r="D3" s="1" cm="1">
        <f t="array" aca="1" ref="D3" ca="1">_FV(A3,"Shares outstanding",TRUE)</f>
        <v>335271900</v>
      </c>
      <c r="E3" s="48">
        <v>122557000</v>
      </c>
      <c r="F3" s="50">
        <v>84821000</v>
      </c>
      <c r="K3" s="16"/>
      <c r="L3" s="90"/>
    </row>
    <row r="4" spans="1:14" x14ac:dyDescent="0.2">
      <c r="K4" s="16" t="s">
        <v>142</v>
      </c>
      <c r="L4" s="90">
        <v>300000</v>
      </c>
    </row>
    <row r="5" spans="1:14" ht="19" x14ac:dyDescent="0.25">
      <c r="H5" s="81" t="s">
        <v>101</v>
      </c>
      <c r="I5" s="81"/>
      <c r="K5" s="16" t="s">
        <v>141</v>
      </c>
      <c r="L5" s="90">
        <v>750000</v>
      </c>
    </row>
    <row r="6" spans="1:14" ht="24" x14ac:dyDescent="0.3">
      <c r="A6" s="70" t="s">
        <v>88</v>
      </c>
      <c r="B6" s="70"/>
      <c r="C6" s="70"/>
      <c r="D6" s="70"/>
      <c r="E6" s="70"/>
      <c r="F6" s="70"/>
      <c r="H6" s="16" t="s">
        <v>102</v>
      </c>
      <c r="I6" s="82">
        <v>17.91</v>
      </c>
      <c r="K6" s="93" t="s">
        <v>143</v>
      </c>
      <c r="L6" s="90">
        <v>1500000</v>
      </c>
    </row>
    <row r="7" spans="1:14" x14ac:dyDescent="0.2">
      <c r="B7" s="77" t="s">
        <v>82</v>
      </c>
      <c r="C7" s="77" t="s">
        <v>83</v>
      </c>
      <c r="D7" s="77" t="s">
        <v>84</v>
      </c>
      <c r="E7" s="71" t="s">
        <v>108</v>
      </c>
      <c r="F7" s="77" t="s">
        <v>78</v>
      </c>
      <c r="H7" s="16" t="s">
        <v>103</v>
      </c>
      <c r="I7" s="82">
        <v>11.9</v>
      </c>
      <c r="K7" s="16" t="s">
        <v>121</v>
      </c>
      <c r="L7" s="90">
        <v>2500000</v>
      </c>
    </row>
    <row r="8" spans="1:14" x14ac:dyDescent="0.2">
      <c r="A8" s="60" t="e" vm="9">
        <v>#VALUE!</v>
      </c>
      <c r="B8">
        <v>2270</v>
      </c>
      <c r="C8" s="24">
        <f ca="1">B8*I1</f>
        <v>241286744.40000001</v>
      </c>
      <c r="D8" s="74">
        <f ca="1">C8/B3</f>
        <v>0.18741531779877765</v>
      </c>
      <c r="E8" s="68">
        <v>266</v>
      </c>
      <c r="F8">
        <v>2500</v>
      </c>
      <c r="H8" s="16"/>
      <c r="I8" s="82"/>
    </row>
    <row r="9" spans="1:14" x14ac:dyDescent="0.2">
      <c r="H9" s="16" t="s">
        <v>104</v>
      </c>
      <c r="I9" s="82">
        <v>2.75</v>
      </c>
    </row>
    <row r="11" spans="1:14" ht="24" x14ac:dyDescent="0.3">
      <c r="A11" s="73" t="s">
        <v>89</v>
      </c>
      <c r="B11" s="73"/>
      <c r="C11" s="73"/>
      <c r="D11" s="73"/>
      <c r="E11" s="73"/>
      <c r="F11" s="73"/>
      <c r="G11" s="73"/>
      <c r="H11" s="73"/>
    </row>
    <row r="12" spans="1:14" x14ac:dyDescent="0.2">
      <c r="A12" s="68"/>
      <c r="B12" s="71" t="s">
        <v>85</v>
      </c>
      <c r="C12" s="71" t="s">
        <v>90</v>
      </c>
      <c r="D12" s="77" t="s">
        <v>33</v>
      </c>
      <c r="E12" s="77" t="s">
        <v>86</v>
      </c>
      <c r="F12" s="85" t="s">
        <v>105</v>
      </c>
      <c r="G12" s="77" t="s">
        <v>87</v>
      </c>
      <c r="H12" s="77" t="s">
        <v>145</v>
      </c>
    </row>
    <row r="13" spans="1:14" x14ac:dyDescent="0.2">
      <c r="A13" s="60" t="e" vm="9">
        <v>#VALUE!</v>
      </c>
      <c r="B13" s="89">
        <f>(E8*1000000)/(G13*1000000)</f>
        <v>30.574712643678161</v>
      </c>
      <c r="C13" s="90">
        <v>15000</v>
      </c>
      <c r="D13">
        <v>2.7</v>
      </c>
      <c r="E13" s="1">
        <v>75000</v>
      </c>
      <c r="F13" s="84">
        <f>(G13*1000000)/E13</f>
        <v>116</v>
      </c>
      <c r="G13">
        <v>8.6999999999999993</v>
      </c>
      <c r="H13" s="101">
        <v>13.5</v>
      </c>
    </row>
    <row r="16" spans="1:14" ht="24" x14ac:dyDescent="0.3">
      <c r="A16" s="80" t="s">
        <v>93</v>
      </c>
      <c r="B16" s="80"/>
      <c r="C16" s="80"/>
      <c r="D16" s="80"/>
      <c r="E16" s="80"/>
      <c r="F16" s="80"/>
      <c r="G16" s="80"/>
      <c r="H16" s="80"/>
      <c r="I16" s="80"/>
      <c r="J16" s="80"/>
      <c r="K16" s="80"/>
      <c r="L16" s="80"/>
      <c r="M16" s="80"/>
      <c r="N16" s="80"/>
    </row>
    <row r="17" spans="1:14" ht="47" customHeight="1" x14ac:dyDescent="0.3">
      <c r="A17" s="88"/>
      <c r="B17" s="86" t="s">
        <v>94</v>
      </c>
      <c r="C17" s="86" t="s">
        <v>95</v>
      </c>
      <c r="D17" s="87" t="s">
        <v>122</v>
      </c>
      <c r="E17" s="94" t="s">
        <v>123</v>
      </c>
      <c r="F17" s="94" t="s">
        <v>125</v>
      </c>
      <c r="G17" s="94" t="s">
        <v>131</v>
      </c>
      <c r="H17" s="86" t="s">
        <v>96</v>
      </c>
      <c r="I17" s="86" t="s">
        <v>114</v>
      </c>
      <c r="J17" s="87" t="s">
        <v>112</v>
      </c>
      <c r="K17" s="87" t="s">
        <v>70</v>
      </c>
      <c r="L17" s="86" t="s">
        <v>98</v>
      </c>
      <c r="M17" s="87" t="s">
        <v>99</v>
      </c>
      <c r="N17" s="86" t="s">
        <v>100</v>
      </c>
    </row>
    <row r="18" spans="1:14" x14ac:dyDescent="0.2">
      <c r="A18" s="60" t="e" vm="9">
        <v>#VALUE!</v>
      </c>
      <c r="B18" s="90">
        <f>(F13*I7)*E13</f>
        <v>103530000</v>
      </c>
      <c r="C18" s="100">
        <v>0</v>
      </c>
      <c r="D18" s="90">
        <f>266*L5</f>
        <v>199500000</v>
      </c>
      <c r="E18" s="102" t="s">
        <v>126</v>
      </c>
      <c r="F18" s="90">
        <f>(F8-E8)*L4</f>
        <v>670200000</v>
      </c>
      <c r="G18" s="100">
        <v>0</v>
      </c>
      <c r="H18" s="90">
        <v>100000000</v>
      </c>
      <c r="I18" s="100" t="s">
        <v>126</v>
      </c>
      <c r="J18" s="90">
        <f ca="1">C8</f>
        <v>241286744.40000001</v>
      </c>
      <c r="K18" s="24">
        <f>E3</f>
        <v>122557000</v>
      </c>
      <c r="L18" s="46">
        <f ca="1">SUM(B18:K18)</f>
        <v>1437073744.4000001</v>
      </c>
      <c r="M18" s="50">
        <f>F3</f>
        <v>84821000</v>
      </c>
      <c r="N18" s="66">
        <f ca="1">(L18-M18)/B3</f>
        <v>1.0503390000399677</v>
      </c>
    </row>
    <row r="47" spans="1:1" x14ac:dyDescent="0.2">
      <c r="A47" s="108"/>
    </row>
  </sheetData>
  <conditionalFormatting sqref="F8">
    <cfRule type="colorScale" priority="5">
      <colorScale>
        <cfvo type="min"/>
        <cfvo type="percentile" val="50"/>
        <cfvo type="max"/>
        <color rgb="FFF8696B"/>
        <color rgb="FFFCFCFF"/>
        <color rgb="FF63BE7B"/>
      </colorScale>
    </cfRule>
    <cfRule type="colorScale" priority="6">
      <colorScale>
        <cfvo type="min"/>
        <cfvo type="max"/>
        <color theme="5"/>
        <color theme="9"/>
      </colorScale>
    </cfRule>
  </conditionalFormatting>
  <conditionalFormatting sqref="H6:H9">
    <cfRule type="colorScale" priority="1">
      <colorScale>
        <cfvo type="min"/>
        <cfvo type="percentile" val="50"/>
        <cfvo type="max"/>
        <color rgb="FFF8696B"/>
        <color rgb="FFFCFCFF"/>
        <color rgb="FF63BE7B"/>
      </colorScale>
    </cfRule>
  </conditionalFormatting>
  <conditionalFormatting sqref="N18">
    <cfRule type="colorScale" priority="2">
      <colorScale>
        <cfvo type="min"/>
        <cfvo type="percentile" val="50"/>
        <cfvo type="max"/>
        <color rgb="FFF8696B"/>
        <color rgb="FFFCFCFF"/>
        <color rgb="FF63BE7B"/>
      </colorScale>
    </cfRule>
    <cfRule type="colorScale" priority="3">
      <colorScale>
        <cfvo type="min"/>
        <cfvo type="max"/>
        <color rgb="FFFF7128"/>
        <color rgb="FFFFEF9C"/>
      </colorScale>
    </cfRule>
    <cfRule type="colorScale" priority="4">
      <colorScale>
        <cfvo type="min"/>
        <cfvo type="max"/>
        <color rgb="FFFCFCFF"/>
        <color rgb="FF63BE7B"/>
      </colorScale>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1A69F-4DC1-CD41-A414-B2B0EDF16B96}">
  <dimension ref="A1:U66"/>
  <sheetViews>
    <sheetView topLeftCell="A26" zoomScale="108" zoomScaleNormal="144" workbookViewId="0">
      <selection activeCell="A44" sqref="A44"/>
    </sheetView>
  </sheetViews>
  <sheetFormatPr baseColWidth="10" defaultRowHeight="16" x14ac:dyDescent="0.2"/>
  <cols>
    <col min="1" max="1" width="30.1640625" customWidth="1"/>
    <col min="2" max="2" width="18.33203125" bestFit="1" customWidth="1"/>
    <col min="3" max="3" width="16.33203125" bestFit="1" customWidth="1"/>
    <col min="4" max="4" width="17.33203125" bestFit="1" customWidth="1"/>
    <col min="5" max="5" width="16.33203125" bestFit="1" customWidth="1"/>
    <col min="6" max="6" width="14.83203125" bestFit="1" customWidth="1"/>
    <col min="7" max="7" width="23" customWidth="1"/>
    <col min="8" max="8" width="15.5" customWidth="1"/>
    <col min="9" max="9" width="13.5" bestFit="1" customWidth="1"/>
    <col min="10" max="10" width="15.1640625" bestFit="1" customWidth="1"/>
    <col min="11" max="11" width="21.5" customWidth="1"/>
    <col min="12" max="14" width="15.1640625" bestFit="1" customWidth="1"/>
    <col min="15" max="15" width="13" bestFit="1" customWidth="1"/>
    <col min="16" max="16" width="25.33203125" bestFit="1" customWidth="1"/>
    <col min="17" max="17" width="16.1640625" bestFit="1" customWidth="1"/>
    <col min="18" max="18" width="12.33203125" bestFit="1" customWidth="1"/>
    <col min="19" max="19" width="14" bestFit="1" customWidth="1"/>
    <col min="20" max="20" width="19.83203125" bestFit="1" customWidth="1"/>
    <col min="21" max="21" width="11.33203125" bestFit="1" customWidth="1"/>
  </cols>
  <sheetData>
    <row r="1" spans="1:15" ht="24" x14ac:dyDescent="0.3">
      <c r="A1" s="72" t="s">
        <v>81</v>
      </c>
      <c r="B1" s="72"/>
      <c r="C1" s="72"/>
      <c r="D1" s="72"/>
      <c r="E1" s="72"/>
      <c r="F1" s="72"/>
      <c r="G1" s="72"/>
      <c r="H1" s="20" t="e" vm="2">
        <v>#VALUE!</v>
      </c>
      <c r="I1" s="21" cm="1">
        <f t="array" aca="1" ref="I1" ca="1">_FV(H1,"Price")</f>
        <v>106293.72</v>
      </c>
      <c r="K1" s="81" t="s">
        <v>111</v>
      </c>
      <c r="L1" s="79"/>
    </row>
    <row r="2" spans="1:15" x14ac:dyDescent="0.2">
      <c r="A2" s="71"/>
      <c r="B2" s="77" t="s">
        <v>80</v>
      </c>
      <c r="C2" s="77" t="s">
        <v>19</v>
      </c>
      <c r="D2" s="71" t="s">
        <v>20</v>
      </c>
      <c r="E2" s="77" t="s">
        <v>70</v>
      </c>
      <c r="F2" s="77" t="s">
        <v>71</v>
      </c>
      <c r="G2" s="77" t="s">
        <v>161</v>
      </c>
      <c r="H2" s="45" t="e" vm="3">
        <v>#VALUE!</v>
      </c>
      <c r="I2" s="21" cm="1">
        <f t="array" aca="1" ref="I2" ca="1">_FV(H2,"Price")</f>
        <v>2652.65</v>
      </c>
      <c r="K2" s="16" t="s">
        <v>124</v>
      </c>
      <c r="L2" s="90">
        <v>30000</v>
      </c>
    </row>
    <row r="3" spans="1:15" x14ac:dyDescent="0.2">
      <c r="A3" s="60" t="e" vm="10">
        <v>#VALUE!</v>
      </c>
      <c r="B3" s="15" cm="1">
        <f t="array" aca="1" ref="B3" ca="1">_FV(A3,"Market cap",TRUE)</f>
        <v>3647662377</v>
      </c>
      <c r="C3" s="14" cm="1">
        <f t="array" aca="1" ref="C3" ca="1">_FV(A3,"Price")</f>
        <v>10.210000000000001</v>
      </c>
      <c r="D3" s="1" cm="1">
        <f t="array" aca="1" ref="D3" ca="1">_FV(A3,"Shares outstanding",TRUE)</f>
        <v>357263700</v>
      </c>
      <c r="E3" s="48">
        <v>355000000</v>
      </c>
      <c r="F3" s="50">
        <v>173000000</v>
      </c>
      <c r="G3" s="28">
        <f ca="1">C41*B41</f>
        <v>78396493.439999998</v>
      </c>
      <c r="K3" s="16" t="s">
        <v>142</v>
      </c>
      <c r="L3" s="90">
        <v>300000</v>
      </c>
    </row>
    <row r="4" spans="1:15" x14ac:dyDescent="0.2">
      <c r="K4" s="16" t="s">
        <v>141</v>
      </c>
      <c r="L4" s="90">
        <v>750000</v>
      </c>
    </row>
    <row r="5" spans="1:15" ht="19" x14ac:dyDescent="0.25">
      <c r="H5" s="81" t="s">
        <v>101</v>
      </c>
      <c r="I5" s="81"/>
      <c r="K5" s="93" t="s">
        <v>143</v>
      </c>
      <c r="L5" s="90">
        <v>1500000</v>
      </c>
    </row>
    <row r="6" spans="1:15" ht="24" x14ac:dyDescent="0.3">
      <c r="A6" s="70" t="s">
        <v>88</v>
      </c>
      <c r="B6" s="70"/>
      <c r="C6" s="70"/>
      <c r="D6" s="70"/>
      <c r="E6" s="70"/>
      <c r="F6" s="70"/>
      <c r="G6" s="70"/>
      <c r="H6" s="16" t="s">
        <v>102</v>
      </c>
      <c r="I6" s="82">
        <v>17.489999999999998</v>
      </c>
      <c r="K6" s="16" t="s">
        <v>121</v>
      </c>
      <c r="L6" s="90">
        <v>2500000</v>
      </c>
    </row>
    <row r="7" spans="1:15" x14ac:dyDescent="0.2">
      <c r="A7" s="71"/>
      <c r="B7" s="77" t="s">
        <v>82</v>
      </c>
      <c r="C7" s="77" t="s">
        <v>83</v>
      </c>
      <c r="D7" s="77" t="s">
        <v>84</v>
      </c>
      <c r="E7" s="77" t="s">
        <v>162</v>
      </c>
      <c r="F7" s="71" t="s">
        <v>108</v>
      </c>
      <c r="G7" s="77" t="s">
        <v>78</v>
      </c>
      <c r="H7" s="16" t="s">
        <v>103</v>
      </c>
      <c r="I7" s="82">
        <v>12.68</v>
      </c>
    </row>
    <row r="8" spans="1:15" x14ac:dyDescent="0.2">
      <c r="A8" s="60" t="e" vm="10">
        <v>#VALUE!</v>
      </c>
      <c r="B8" s="1">
        <v>17722</v>
      </c>
      <c r="C8" s="24">
        <f ca="1">B8*I1</f>
        <v>1883737305.8399999</v>
      </c>
      <c r="D8" s="74">
        <f ca="1">C8/B3</f>
        <v>0.51642315300827524</v>
      </c>
      <c r="E8">
        <v>800</v>
      </c>
      <c r="F8">
        <v>1160</v>
      </c>
      <c r="G8" s="78">
        <v>1810</v>
      </c>
      <c r="H8" s="16" t="s">
        <v>104</v>
      </c>
      <c r="I8" s="82">
        <v>3.37</v>
      </c>
    </row>
    <row r="9" spans="1:15" x14ac:dyDescent="0.2">
      <c r="C9" s="24"/>
      <c r="D9" s="74"/>
      <c r="F9" s="78"/>
    </row>
    <row r="10" spans="1:15" x14ac:dyDescent="0.2">
      <c r="C10" s="24"/>
      <c r="D10" s="74"/>
      <c r="F10" s="78"/>
    </row>
    <row r="11" spans="1:15" ht="24" x14ac:dyDescent="0.3">
      <c r="A11" s="73" t="s">
        <v>89</v>
      </c>
      <c r="B11" s="73"/>
      <c r="C11" s="73"/>
      <c r="D11" s="73"/>
      <c r="E11" s="73"/>
      <c r="F11" s="73"/>
      <c r="G11" s="73"/>
    </row>
    <row r="12" spans="1:15" x14ac:dyDescent="0.2">
      <c r="A12" s="71"/>
      <c r="B12" s="71" t="s">
        <v>85</v>
      </c>
      <c r="C12" s="77" t="s">
        <v>33</v>
      </c>
      <c r="D12" s="77" t="s">
        <v>86</v>
      </c>
      <c r="E12" s="85" t="s">
        <v>105</v>
      </c>
      <c r="F12" s="77" t="s">
        <v>87</v>
      </c>
      <c r="G12" s="77" t="s">
        <v>140</v>
      </c>
    </row>
    <row r="13" spans="1:15" x14ac:dyDescent="0.2">
      <c r="A13" s="60" t="e" vm="10">
        <v>#VALUE!</v>
      </c>
      <c r="B13" s="89">
        <f>(E8*1000000)/(F13*1000000)</f>
        <v>25.396825396825395</v>
      </c>
      <c r="C13" s="69">
        <v>3.1</v>
      </c>
      <c r="D13" s="1">
        <v>210000</v>
      </c>
      <c r="E13" s="84">
        <f>(F13*1000000)/D13</f>
        <v>150</v>
      </c>
      <c r="F13">
        <v>31.5</v>
      </c>
      <c r="G13">
        <v>46.7</v>
      </c>
      <c r="M13" s="114">
        <f ca="1">L18-M18</f>
        <v>3860068799.2800002</v>
      </c>
    </row>
    <row r="16" spans="1:15" ht="24" x14ac:dyDescent="0.3">
      <c r="A16" s="80" t="s">
        <v>93</v>
      </c>
      <c r="B16" s="80"/>
      <c r="C16" s="80"/>
      <c r="D16" s="80"/>
      <c r="E16" s="80"/>
      <c r="F16" s="80"/>
      <c r="G16" s="80"/>
      <c r="H16" s="80"/>
      <c r="I16" s="80"/>
      <c r="J16" s="80"/>
      <c r="K16" s="80"/>
      <c r="L16" s="80"/>
      <c r="M16" s="80"/>
      <c r="N16" s="80"/>
      <c r="O16" s="80"/>
    </row>
    <row r="17" spans="1:15" ht="49" customHeight="1" x14ac:dyDescent="0.2">
      <c r="A17" s="115"/>
      <c r="B17" s="86" t="s">
        <v>94</v>
      </c>
      <c r="C17" s="86" t="s">
        <v>95</v>
      </c>
      <c r="D17" s="87" t="s">
        <v>122</v>
      </c>
      <c r="E17" s="94" t="s">
        <v>128</v>
      </c>
      <c r="F17" s="94" t="s">
        <v>125</v>
      </c>
      <c r="G17" s="94" t="s">
        <v>131</v>
      </c>
      <c r="H17" s="86" t="s">
        <v>96</v>
      </c>
      <c r="I17" s="86" t="s">
        <v>114</v>
      </c>
      <c r="J17" s="87" t="s">
        <v>112</v>
      </c>
      <c r="K17" s="87" t="s">
        <v>70</v>
      </c>
      <c r="L17" s="86" t="s">
        <v>98</v>
      </c>
      <c r="M17" s="87" t="s">
        <v>99</v>
      </c>
      <c r="N17" s="86" t="s">
        <v>100</v>
      </c>
      <c r="O17" s="87" t="s">
        <v>159</v>
      </c>
    </row>
    <row r="18" spans="1:15" x14ac:dyDescent="0.2">
      <c r="A18" s="60" t="e" vm="10">
        <v>#VALUE!</v>
      </c>
      <c r="B18" s="90">
        <f>(E13*I6)*D13</f>
        <v>550934999.99999988</v>
      </c>
      <c r="C18" s="90">
        <v>0</v>
      </c>
      <c r="D18" s="90">
        <f>F8*L4</f>
        <v>870000000</v>
      </c>
      <c r="E18" s="90">
        <v>0</v>
      </c>
      <c r="F18" s="90">
        <f>(G8-F8)*L3</f>
        <v>195000000</v>
      </c>
      <c r="G18" s="90">
        <v>0</v>
      </c>
      <c r="H18" s="90">
        <v>100000000</v>
      </c>
      <c r="I18" s="91" t="s">
        <v>6</v>
      </c>
      <c r="J18" s="90">
        <f ca="1">B8*I1</f>
        <v>1883737305.8399999</v>
      </c>
      <c r="K18" s="24">
        <f>E3</f>
        <v>355000000</v>
      </c>
      <c r="L18" s="46">
        <f ca="1">(SUM(B18:K18))+G3</f>
        <v>4033068799.2800002</v>
      </c>
      <c r="M18" s="50">
        <f>F3</f>
        <v>173000000</v>
      </c>
      <c r="N18" s="117">
        <f ca="1">(L18-M18)/B3</f>
        <v>1.0582308339772095</v>
      </c>
      <c r="O18" s="117">
        <f ca="1">M13/D3</f>
        <v>10.804536814907308</v>
      </c>
    </row>
    <row r="40" spans="1:21" x14ac:dyDescent="0.2">
      <c r="A40" s="71"/>
      <c r="B40" s="77" t="s">
        <v>19</v>
      </c>
      <c r="C40" s="77" t="s">
        <v>148</v>
      </c>
      <c r="D40" s="77" t="s">
        <v>160</v>
      </c>
    </row>
    <row r="41" spans="1:21" x14ac:dyDescent="0.2">
      <c r="A41" s="60" t="e" vm="13">
        <v>#VALUE!</v>
      </c>
      <c r="B41" s="14" cm="1">
        <f t="array" aca="1" ref="B41" ca="1">_FV(A41,"Price")</f>
        <v>0.87</v>
      </c>
      <c r="C41" s="1">
        <v>90110912</v>
      </c>
      <c r="D41" s="116">
        <f ca="1">C41*B41</f>
        <v>78396493.439999998</v>
      </c>
    </row>
    <row r="42" spans="1:21" s="112" customFormat="1" x14ac:dyDescent="0.2"/>
    <row r="44" spans="1:21" x14ac:dyDescent="0.2">
      <c r="A44" s="121" t="s">
        <v>171</v>
      </c>
      <c r="P44" s="120"/>
    </row>
    <row r="45" spans="1:21" ht="24" x14ac:dyDescent="0.3">
      <c r="A45" s="72" t="s">
        <v>163</v>
      </c>
      <c r="B45" s="72"/>
      <c r="C45" s="72"/>
      <c r="D45" s="72"/>
      <c r="E45" s="72"/>
      <c r="F45" s="72"/>
      <c r="G45" s="72"/>
      <c r="H45" s="20" t="e" vm="2">
        <v>#VALUE!</v>
      </c>
      <c r="I45" s="21" cm="1">
        <f t="array" aca="1" ref="I45" ca="1">_FV(H45,"Price")</f>
        <v>106293.72</v>
      </c>
      <c r="K45" s="81" t="s">
        <v>111</v>
      </c>
      <c r="L45" s="79"/>
      <c r="P45" s="56" t="s">
        <v>170</v>
      </c>
      <c r="Q45" s="122" t="s">
        <v>168</v>
      </c>
      <c r="R45" s="56" t="s">
        <v>169</v>
      </c>
      <c r="S45" s="56"/>
      <c r="T45" s="56"/>
      <c r="U45" s="56"/>
    </row>
    <row r="46" spans="1:21" x14ac:dyDescent="0.2">
      <c r="A46" s="71"/>
      <c r="B46" s="77" t="s">
        <v>80</v>
      </c>
      <c r="C46" s="77" t="s">
        <v>19</v>
      </c>
      <c r="D46" s="71" t="s">
        <v>20</v>
      </c>
      <c r="E46" s="77" t="s">
        <v>70</v>
      </c>
      <c r="F46" s="77" t="s">
        <v>71</v>
      </c>
      <c r="G46" s="77" t="s">
        <v>161</v>
      </c>
      <c r="H46" s="45" t="e" vm="3">
        <v>#VALUE!</v>
      </c>
      <c r="I46" s="21" cm="1">
        <f t="array" aca="1" ref="I46" ca="1">_FV(H46,"Price")</f>
        <v>2652.65</v>
      </c>
      <c r="K46" s="16" t="s">
        <v>124</v>
      </c>
      <c r="L46" s="90">
        <v>30000</v>
      </c>
      <c r="P46" t="s">
        <v>167</v>
      </c>
      <c r="Q46" s="90">
        <v>500000000</v>
      </c>
      <c r="R46" s="119">
        <f ca="1">Q46/$C$47</f>
        <v>48971596.474045053</v>
      </c>
      <c r="S46" s="1"/>
      <c r="T46" s="66"/>
    </row>
    <row r="47" spans="1:21" x14ac:dyDescent="0.2">
      <c r="A47" s="60" t="e" vm="10">
        <v>#VALUE!</v>
      </c>
      <c r="B47" s="15" cm="1">
        <f t="array" aca="1" ref="B47" ca="1">_FV(A47,"Market cap",TRUE)</f>
        <v>3647662377</v>
      </c>
      <c r="C47" s="14" cm="1">
        <f t="array" aca="1" ref="C47" ca="1">_FV(A47,"Price")</f>
        <v>10.210000000000001</v>
      </c>
      <c r="D47" s="1" cm="1">
        <f t="array" aca="1" ref="D47" ca="1">_FV(A47,"Shares outstanding",TRUE) + IF(A44="None", 0, VLOOKUP(A44, P46:R49, 3, FALSE))</f>
        <v>357263700</v>
      </c>
      <c r="E47" s="48">
        <f>355000000</f>
        <v>355000000</v>
      </c>
      <c r="F47" s="50">
        <v>173000000</v>
      </c>
      <c r="G47" s="28">
        <f ca="1">B41*C41</f>
        <v>78396493.439999998</v>
      </c>
      <c r="K47" s="16" t="s">
        <v>142</v>
      </c>
      <c r="L47" s="90">
        <v>300000</v>
      </c>
      <c r="P47" t="s">
        <v>166</v>
      </c>
      <c r="Q47" s="90">
        <v>1000000000</v>
      </c>
      <c r="R47" s="119">
        <f t="shared" ref="R47" ca="1" si="0">Q47/$C$47</f>
        <v>97943192.948090106</v>
      </c>
      <c r="S47" s="1"/>
      <c r="T47" s="66"/>
    </row>
    <row r="48" spans="1:21" x14ac:dyDescent="0.2">
      <c r="K48" s="16" t="s">
        <v>141</v>
      </c>
      <c r="L48" s="90">
        <v>750000</v>
      </c>
      <c r="P48" t="s">
        <v>165</v>
      </c>
      <c r="Q48" s="90">
        <v>1500000000</v>
      </c>
      <c r="R48" s="119">
        <f ca="1">Q48/$C$47</f>
        <v>146914789.42213514</v>
      </c>
      <c r="S48" s="1"/>
      <c r="T48" s="66"/>
    </row>
    <row r="49" spans="1:18" ht="19" x14ac:dyDescent="0.25">
      <c r="I49" s="81" t="s">
        <v>101</v>
      </c>
      <c r="J49" s="81"/>
      <c r="K49" s="93" t="s">
        <v>143</v>
      </c>
      <c r="L49" s="90">
        <v>1500000</v>
      </c>
      <c r="P49" t="s">
        <v>171</v>
      </c>
      <c r="Q49" s="90">
        <v>0</v>
      </c>
      <c r="R49">
        <v>0</v>
      </c>
    </row>
    <row r="50" spans="1:18" ht="24" x14ac:dyDescent="0.3">
      <c r="A50" s="70" t="s">
        <v>88</v>
      </c>
      <c r="B50" s="70"/>
      <c r="C50" s="70"/>
      <c r="D50" s="70"/>
      <c r="E50" s="70"/>
      <c r="F50" s="70"/>
      <c r="G50" s="70"/>
      <c r="H50" s="70"/>
      <c r="I50" s="16" t="s">
        <v>102</v>
      </c>
      <c r="J50" s="82">
        <v>17.489999999999998</v>
      </c>
      <c r="K50" s="16" t="s">
        <v>121</v>
      </c>
      <c r="L50" s="90">
        <v>2500000</v>
      </c>
    </row>
    <row r="51" spans="1:18" x14ac:dyDescent="0.2">
      <c r="A51" s="71"/>
      <c r="B51" s="77" t="s">
        <v>82</v>
      </c>
      <c r="C51" s="77" t="s">
        <v>83</v>
      </c>
      <c r="D51" s="77" t="s">
        <v>84</v>
      </c>
      <c r="E51" s="77" t="s">
        <v>162</v>
      </c>
      <c r="F51" s="71" t="s">
        <v>108</v>
      </c>
      <c r="G51" s="77" t="s">
        <v>78</v>
      </c>
      <c r="H51" s="77" t="s">
        <v>164</v>
      </c>
      <c r="I51" s="16" t="s">
        <v>103</v>
      </c>
      <c r="J51" s="82">
        <v>12.68</v>
      </c>
    </row>
    <row r="52" spans="1:18" x14ac:dyDescent="0.2">
      <c r="A52" s="60" t="e" vm="10">
        <v>#VALUE!</v>
      </c>
      <c r="B52" s="1">
        <v>17722</v>
      </c>
      <c r="C52" s="24">
        <f ca="1">B52*I45</f>
        <v>1883737305.8399999</v>
      </c>
      <c r="D52" s="74">
        <f ca="1">C52/B47</f>
        <v>0.51642315300827524</v>
      </c>
      <c r="E52">
        <v>800</v>
      </c>
      <c r="F52">
        <v>1160</v>
      </c>
      <c r="G52" s="78">
        <v>1810</v>
      </c>
      <c r="H52" s="79">
        <v>600</v>
      </c>
      <c r="I52" s="16" t="s">
        <v>104</v>
      </c>
      <c r="J52" s="82">
        <v>3.37</v>
      </c>
    </row>
    <row r="53" spans="1:18" x14ac:dyDescent="0.2">
      <c r="C53" s="24"/>
      <c r="D53" s="74"/>
      <c r="F53" s="78"/>
    </row>
    <row r="54" spans="1:18" x14ac:dyDescent="0.2">
      <c r="C54" s="24"/>
      <c r="D54" s="74"/>
      <c r="F54" s="78"/>
    </row>
    <row r="55" spans="1:18" ht="24" x14ac:dyDescent="0.3">
      <c r="A55" s="73" t="s">
        <v>89</v>
      </c>
      <c r="B55" s="73"/>
      <c r="C55" s="73"/>
      <c r="D55" s="73"/>
      <c r="E55" s="73"/>
      <c r="F55" s="73"/>
      <c r="G55" s="73"/>
    </row>
    <row r="56" spans="1:18" x14ac:dyDescent="0.2">
      <c r="A56" s="71"/>
      <c r="B56" s="71" t="s">
        <v>85</v>
      </c>
      <c r="C56" s="77" t="s">
        <v>33</v>
      </c>
      <c r="D56" s="77" t="s">
        <v>86</v>
      </c>
      <c r="E56" s="85" t="s">
        <v>105</v>
      </c>
      <c r="F56" s="77" t="s">
        <v>87</v>
      </c>
      <c r="G56" s="77" t="s">
        <v>140</v>
      </c>
    </row>
    <row r="57" spans="1:18" x14ac:dyDescent="0.2">
      <c r="A57" s="60" t="e" vm="10">
        <v>#VALUE!</v>
      </c>
      <c r="B57" s="89">
        <f>(E52*1000000)/(F57*1000000)</f>
        <v>25.396825396825395</v>
      </c>
      <c r="C57" s="69">
        <v>3.1</v>
      </c>
      <c r="D57" s="1">
        <v>210000</v>
      </c>
      <c r="E57" s="84">
        <f>(F57*1000000)/D57</f>
        <v>150</v>
      </c>
      <c r="F57">
        <v>31.5</v>
      </c>
      <c r="G57">
        <v>46.7</v>
      </c>
    </row>
    <row r="60" spans="1:18" ht="24" x14ac:dyDescent="0.3">
      <c r="A60" s="80" t="s">
        <v>93</v>
      </c>
      <c r="B60" s="80"/>
      <c r="C60" s="80"/>
      <c r="D60" s="80"/>
      <c r="E60" s="80"/>
      <c r="F60" s="80"/>
      <c r="G60" s="80"/>
      <c r="H60" s="80"/>
      <c r="I60" s="80"/>
      <c r="J60" s="80"/>
      <c r="K60" s="80"/>
      <c r="L60" s="80"/>
      <c r="M60" s="80"/>
      <c r="N60" s="80"/>
      <c r="O60" s="80"/>
    </row>
    <row r="61" spans="1:18" ht="51" x14ac:dyDescent="0.2">
      <c r="A61" s="115"/>
      <c r="B61" s="86" t="s">
        <v>94</v>
      </c>
      <c r="C61" s="86" t="s">
        <v>95</v>
      </c>
      <c r="D61" s="87" t="s">
        <v>122</v>
      </c>
      <c r="E61" s="94" t="s">
        <v>128</v>
      </c>
      <c r="F61" s="94" t="s">
        <v>125</v>
      </c>
      <c r="G61" s="94" t="s">
        <v>131</v>
      </c>
      <c r="H61" s="86" t="s">
        <v>96</v>
      </c>
      <c r="I61" s="86" t="s">
        <v>114</v>
      </c>
      <c r="J61" s="87" t="s">
        <v>112</v>
      </c>
      <c r="K61" s="87" t="s">
        <v>70</v>
      </c>
      <c r="L61" s="86" t="s">
        <v>98</v>
      </c>
      <c r="M61" s="87" t="s">
        <v>99</v>
      </c>
      <c r="N61" s="86" t="s">
        <v>100</v>
      </c>
      <c r="O61" s="87" t="s">
        <v>159</v>
      </c>
    </row>
    <row r="62" spans="1:18" x14ac:dyDescent="0.2">
      <c r="A62" s="60" t="e" vm="10">
        <v>#VALUE!</v>
      </c>
      <c r="B62" s="90">
        <f>(E57*J50)*D57</f>
        <v>550934999.99999988</v>
      </c>
      <c r="C62" s="90">
        <v>0</v>
      </c>
      <c r="D62" s="90">
        <f>F52*L48</f>
        <v>870000000</v>
      </c>
      <c r="E62" s="118">
        <f>H52*L50</f>
        <v>1500000000</v>
      </c>
      <c r="F62" s="90">
        <f>(G52-F52)*L47</f>
        <v>195000000</v>
      </c>
      <c r="G62" s="90">
        <v>0</v>
      </c>
      <c r="H62" s="90">
        <v>100000000</v>
      </c>
      <c r="I62" s="91" t="s">
        <v>6</v>
      </c>
      <c r="J62" s="90">
        <f ca="1">B52*I45</f>
        <v>1883737305.8399999</v>
      </c>
      <c r="K62" s="24">
        <f>E47</f>
        <v>355000000</v>
      </c>
      <c r="L62" s="46">
        <f ca="1">(SUM(B62:K62))+G47</f>
        <v>5533068799.2799997</v>
      </c>
      <c r="M62" s="50">
        <f>F47</f>
        <v>173000000</v>
      </c>
      <c r="N62" s="117">
        <f ca="1">(L62-M62)/B47</f>
        <v>1.4694531031921763</v>
      </c>
      <c r="O62" s="117">
        <f ca="1">N66/D47</f>
        <v>15.00311618359212</v>
      </c>
    </row>
    <row r="66" spans="14:14" x14ac:dyDescent="0.2">
      <c r="N66" s="114">
        <f ca="1">L62-M62</f>
        <v>5360068799.2799997</v>
      </c>
    </row>
  </sheetData>
  <conditionalFormatting sqref="F9:F10 G8">
    <cfRule type="colorScale" priority="23">
      <colorScale>
        <cfvo type="min"/>
        <cfvo type="percentile" val="50"/>
        <cfvo type="max"/>
        <color rgb="FFF8696B"/>
        <color rgb="FFFCFCFF"/>
        <color rgb="FF63BE7B"/>
      </colorScale>
    </cfRule>
    <cfRule type="colorScale" priority="24">
      <colorScale>
        <cfvo type="min"/>
        <cfvo type="max"/>
        <color theme="5"/>
        <color theme="9"/>
      </colorScale>
    </cfRule>
  </conditionalFormatting>
  <conditionalFormatting sqref="F53:F54 G52">
    <cfRule type="colorScale" priority="53">
      <colorScale>
        <cfvo type="min"/>
        <cfvo type="percentile" val="50"/>
        <cfvo type="max"/>
        <color rgb="FFF8696B"/>
        <color rgb="FFFCFCFF"/>
        <color rgb="FF63BE7B"/>
      </colorScale>
    </cfRule>
    <cfRule type="colorScale" priority="54">
      <colorScale>
        <cfvo type="min"/>
        <cfvo type="max"/>
        <color theme="5"/>
        <color theme="9"/>
      </colorScale>
    </cfRule>
  </conditionalFormatting>
  <conditionalFormatting sqref="H6:H8">
    <cfRule type="colorScale" priority="55">
      <colorScale>
        <cfvo type="min"/>
        <cfvo type="percentile" val="50"/>
        <cfvo type="max"/>
        <color rgb="FFF8696B"/>
        <color rgb="FFFCFCFF"/>
        <color rgb="FF63BE7B"/>
      </colorScale>
    </cfRule>
  </conditionalFormatting>
  <conditionalFormatting sqref="I50:I52">
    <cfRule type="colorScale" priority="56">
      <colorScale>
        <cfvo type="min"/>
        <cfvo type="percentile" val="50"/>
        <cfvo type="max"/>
        <color rgb="FFF8696B"/>
        <color rgb="FFFCFCFF"/>
        <color rgb="FF63BE7B"/>
      </colorScale>
    </cfRule>
  </conditionalFormatting>
  <conditionalFormatting sqref="L7:L9 K10">
    <cfRule type="colorScale" priority="21">
      <colorScale>
        <cfvo type="min"/>
        <cfvo type="percentile" val="50"/>
        <cfvo type="max"/>
        <color rgb="FFF8696B"/>
        <color rgb="FFFCFCFF"/>
        <color rgb="FF63BE7B"/>
      </colorScale>
    </cfRule>
  </conditionalFormatting>
  <conditionalFormatting sqref="M51:M53 K54">
    <cfRule type="colorScale" priority="10">
      <colorScale>
        <cfvo type="min"/>
        <cfvo type="percentile" val="50"/>
        <cfvo type="max"/>
        <color rgb="FFF8696B"/>
        <color rgb="FFFCFCFF"/>
        <color rgb="FF63BE7B"/>
      </colorScale>
    </cfRule>
  </conditionalFormatting>
  <conditionalFormatting sqref="N18">
    <cfRule type="colorScale" priority="4">
      <colorScale>
        <cfvo type="min"/>
        <cfvo type="percentile" val="50"/>
        <cfvo type="max"/>
        <color rgb="FFF8696B"/>
        <color rgb="FFFFEB84"/>
        <color rgb="FF63BE7B"/>
      </colorScale>
    </cfRule>
  </conditionalFormatting>
  <conditionalFormatting sqref="N62">
    <cfRule type="colorScale" priority="7">
      <colorScale>
        <cfvo type="min"/>
        <cfvo type="percentile" val="50"/>
        <cfvo type="max"/>
        <color rgb="FFF8696B"/>
        <color rgb="FFFCFCFF"/>
        <color rgb="FF63BE7B"/>
      </colorScale>
    </cfRule>
    <cfRule type="colorScale" priority="8">
      <colorScale>
        <cfvo type="min"/>
        <cfvo type="max"/>
        <color rgb="FF63BE7B"/>
        <color rgb="FFFFEF9C"/>
      </colorScale>
    </cfRule>
    <cfRule type="colorScale" priority="11">
      <colorScale>
        <cfvo type="min"/>
        <cfvo type="max"/>
        <color rgb="FFFCFCFF"/>
        <color rgb="FF63BE7B"/>
      </colorScale>
    </cfRule>
  </conditionalFormatting>
  <conditionalFormatting sqref="N18:O18">
    <cfRule type="colorScale" priority="14">
      <colorScale>
        <cfvo type="min"/>
        <cfvo type="percentile" val="50"/>
        <cfvo type="max"/>
        <color rgb="FFF8696B"/>
        <color rgb="FFFCFCFF"/>
        <color rgb="FF63BE7B"/>
      </colorScale>
    </cfRule>
    <cfRule type="colorScale" priority="15">
      <colorScale>
        <cfvo type="min"/>
        <cfvo type="max"/>
        <color rgb="FF63BE7B"/>
        <color rgb="FFFFEF9C"/>
      </colorScale>
    </cfRule>
    <cfRule type="colorScale" priority="22">
      <colorScale>
        <cfvo type="min"/>
        <cfvo type="max"/>
        <color rgb="FFFCFCFF"/>
        <color rgb="FF63BE7B"/>
      </colorScale>
    </cfRule>
  </conditionalFormatting>
  <conditionalFormatting sqref="O62">
    <cfRule type="colorScale" priority="1">
      <colorScale>
        <cfvo type="min"/>
        <cfvo type="percentile" val="50"/>
        <cfvo type="max"/>
        <color rgb="FFF8696B"/>
        <color rgb="FFFCFCFF"/>
        <color rgb="FF63BE7B"/>
      </colorScale>
    </cfRule>
    <cfRule type="colorScale" priority="2">
      <colorScale>
        <cfvo type="min"/>
        <cfvo type="max"/>
        <color rgb="FF63BE7B"/>
        <color rgb="FFFFEF9C"/>
      </colorScale>
    </cfRule>
    <cfRule type="colorScale" priority="3">
      <colorScale>
        <cfvo type="min"/>
        <cfvo type="max"/>
        <color rgb="FFFCFCFF"/>
        <color rgb="FF63BE7B"/>
      </colorScale>
    </cfRule>
  </conditionalFormatting>
  <dataValidations count="1">
    <dataValidation type="list" allowBlank="1" showInputMessage="1" showErrorMessage="1" sqref="A44" xr:uid="{AD90851F-924C-DA49-92AC-0D4352634DD9}">
      <formula1>$P$46:$P$49</formula1>
    </dataValidation>
  </dataValidations>
  <hyperlinks>
    <hyperlink ref="I18" r:id="rId1" xr:uid="{58A20F27-0C41-1849-800C-C552CAD85DC5}"/>
    <hyperlink ref="I62" r:id="rId2" xr:uid="{62757ACE-F761-2D4D-A162-6F88C398238F}"/>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911E8-57A6-CB44-8AD4-C1D490A2590F}">
  <dimension ref="A1:W45"/>
  <sheetViews>
    <sheetView tabSelected="1" zoomScale="98" zoomScaleNormal="98" workbookViewId="0">
      <selection activeCell="B18" sqref="B18"/>
    </sheetView>
  </sheetViews>
  <sheetFormatPr baseColWidth="10" defaultRowHeight="16" x14ac:dyDescent="0.2"/>
  <cols>
    <col min="1" max="1" width="44.6640625" bestFit="1" customWidth="1"/>
    <col min="2" max="2" width="17.33203125" customWidth="1"/>
    <col min="3" max="3" width="13.6640625" bestFit="1" customWidth="1"/>
    <col min="4" max="4" width="23.83203125" bestFit="1" customWidth="1"/>
    <col min="5" max="5" width="16.5" bestFit="1" customWidth="1"/>
    <col min="6" max="6" width="15.5" bestFit="1" customWidth="1"/>
    <col min="7" max="7" width="22.33203125" customWidth="1"/>
    <col min="8" max="8" width="12.6640625" customWidth="1"/>
    <col min="9" max="10" width="13.83203125" bestFit="1" customWidth="1"/>
    <col min="11" max="11" width="21.83203125" customWidth="1"/>
    <col min="12" max="12" width="15.5" bestFit="1" customWidth="1"/>
    <col min="13" max="13" width="16.5" bestFit="1" customWidth="1"/>
    <col min="14" max="14" width="15.5" bestFit="1" customWidth="1"/>
    <col min="15" max="15" width="15.5" customWidth="1"/>
  </cols>
  <sheetData>
    <row r="1" spans="1:16" ht="24" x14ac:dyDescent="0.3">
      <c r="A1" s="124" t="s">
        <v>81</v>
      </c>
      <c r="B1" s="29"/>
      <c r="C1" s="29"/>
      <c r="D1" s="29"/>
      <c r="E1" s="29"/>
      <c r="F1" s="29"/>
      <c r="H1" s="20" t="e" vm="2">
        <v>#VALUE!</v>
      </c>
      <c r="I1" s="21" cm="1">
        <f t="array" aca="1" ref="I1" ca="1">_FV(H1,"Price")</f>
        <v>106293.72</v>
      </c>
      <c r="K1" s="81" t="s">
        <v>111</v>
      </c>
      <c r="L1" s="79"/>
    </row>
    <row r="2" spans="1:16" x14ac:dyDescent="0.2">
      <c r="A2" s="64"/>
      <c r="B2" s="77" t="s">
        <v>80</v>
      </c>
      <c r="C2" s="77" t="s">
        <v>19</v>
      </c>
      <c r="D2" s="77" t="s">
        <v>20</v>
      </c>
      <c r="E2" s="77" t="s">
        <v>70</v>
      </c>
      <c r="F2" s="77" t="s">
        <v>71</v>
      </c>
      <c r="H2" s="45" t="e" vm="3">
        <v>#VALUE!</v>
      </c>
      <c r="I2" s="21" cm="1">
        <f t="array" aca="1" ref="I2" ca="1">_FV(H2,"Price")</f>
        <v>2652.65</v>
      </c>
      <c r="K2" s="16" t="s">
        <v>124</v>
      </c>
      <c r="L2" s="90">
        <v>30000</v>
      </c>
      <c r="P2" s="90"/>
    </row>
    <row r="3" spans="1:16" x14ac:dyDescent="0.2">
      <c r="A3" s="60" t="e" vm="1">
        <v>#VALUE!</v>
      </c>
      <c r="B3" s="28">
        <f ca="1">C3*D3</f>
        <v>2282747013</v>
      </c>
      <c r="C3" s="14" cm="1">
        <f t="array" aca="1" ref="C3" ca="1">_FV(A3,"Price")</f>
        <v>10.17</v>
      </c>
      <c r="D3" s="1" cm="1">
        <f t="array" aca="1" ref="D3" ca="1">_FV(A3,"Shares outstanding",TRUE)</f>
        <v>224458900</v>
      </c>
      <c r="E3" s="48">
        <v>184000000</v>
      </c>
      <c r="F3" s="58">
        <v>1056000000</v>
      </c>
      <c r="G3" s="24"/>
      <c r="K3" s="16" t="s">
        <v>142</v>
      </c>
      <c r="L3" s="90">
        <v>300000</v>
      </c>
    </row>
    <row r="4" spans="1:16" x14ac:dyDescent="0.2">
      <c r="B4" s="14"/>
      <c r="K4" s="16" t="s">
        <v>141</v>
      </c>
      <c r="L4" s="90">
        <v>750000</v>
      </c>
    </row>
    <row r="5" spans="1:16" ht="19" x14ac:dyDescent="0.25">
      <c r="H5" s="81" t="s">
        <v>101</v>
      </c>
      <c r="I5" s="81"/>
      <c r="K5" s="93" t="s">
        <v>143</v>
      </c>
      <c r="L5" s="90">
        <v>1500000</v>
      </c>
    </row>
    <row r="6" spans="1:16" ht="24" x14ac:dyDescent="0.3">
      <c r="A6" s="70" t="s">
        <v>88</v>
      </c>
      <c r="B6" s="70"/>
      <c r="C6" s="70"/>
      <c r="D6" s="70"/>
      <c r="E6" s="70"/>
      <c r="F6" s="70"/>
      <c r="G6" s="70"/>
      <c r="H6" s="16" t="s">
        <v>102</v>
      </c>
      <c r="I6" s="82">
        <v>17.77</v>
      </c>
      <c r="K6" s="16" t="s">
        <v>121</v>
      </c>
      <c r="L6" s="90">
        <v>2500000</v>
      </c>
    </row>
    <row r="7" spans="1:16" x14ac:dyDescent="0.2">
      <c r="B7" s="77" t="s">
        <v>82</v>
      </c>
      <c r="C7" s="77" t="s">
        <v>83</v>
      </c>
      <c r="D7" s="77" t="s">
        <v>84</v>
      </c>
      <c r="E7" s="71" t="s">
        <v>173</v>
      </c>
      <c r="F7" s="77" t="s">
        <v>78</v>
      </c>
      <c r="G7" s="77" t="s">
        <v>147</v>
      </c>
      <c r="H7" s="16" t="s">
        <v>103</v>
      </c>
      <c r="I7" s="82">
        <v>8.85</v>
      </c>
    </row>
    <row r="8" spans="1:16" x14ac:dyDescent="0.2">
      <c r="A8" s="60" t="e" vm="1">
        <v>#VALUE!</v>
      </c>
      <c r="B8">
        <v>0</v>
      </c>
      <c r="C8" s="24">
        <f t="shared" ref="C8" si="0">B8*$M$3</f>
        <v>0</v>
      </c>
      <c r="D8" s="74">
        <f ca="1">C8/B3</f>
        <v>0</v>
      </c>
      <c r="E8">
        <v>660</v>
      </c>
      <c r="F8">
        <v>3150</v>
      </c>
      <c r="G8" s="16">
        <v>2310</v>
      </c>
      <c r="H8" s="16" t="s">
        <v>104</v>
      </c>
      <c r="I8" s="82">
        <v>3.02</v>
      </c>
    </row>
    <row r="9" spans="1:16" x14ac:dyDescent="0.2">
      <c r="C9" s="24"/>
      <c r="D9" s="74"/>
      <c r="F9" s="78"/>
      <c r="H9" s="67"/>
      <c r="I9" s="82"/>
    </row>
    <row r="10" spans="1:16" x14ac:dyDescent="0.2">
      <c r="C10" s="24"/>
      <c r="D10" s="74"/>
      <c r="F10" s="78"/>
    </row>
    <row r="11" spans="1:16" ht="24" x14ac:dyDescent="0.3">
      <c r="A11" s="73" t="s">
        <v>89</v>
      </c>
      <c r="B11" s="73"/>
      <c r="C11" s="73"/>
      <c r="D11" s="73"/>
      <c r="E11" s="73"/>
      <c r="F11" s="73"/>
      <c r="G11" s="73"/>
    </row>
    <row r="12" spans="1:16" x14ac:dyDescent="0.2">
      <c r="B12" s="71" t="s">
        <v>85</v>
      </c>
      <c r="C12" s="77" t="s">
        <v>33</v>
      </c>
      <c r="D12" s="77" t="s">
        <v>86</v>
      </c>
      <c r="E12" s="85" t="s">
        <v>105</v>
      </c>
      <c r="F12" s="77" t="s">
        <v>87</v>
      </c>
      <c r="G12" s="77" t="s">
        <v>158</v>
      </c>
    </row>
    <row r="13" spans="1:16" x14ac:dyDescent="0.2">
      <c r="A13" s="60" t="e" vm="1">
        <v>#VALUE!</v>
      </c>
      <c r="B13" s="89">
        <f>(E8*1000000)/(F13*1000000)</f>
        <v>16.097560975609756</v>
      </c>
      <c r="C13" s="69">
        <v>3.3</v>
      </c>
      <c r="D13" s="1">
        <v>92900</v>
      </c>
      <c r="E13" s="84">
        <f>(F13*1000000)/D13</f>
        <v>441.33476856835307</v>
      </c>
      <c r="F13">
        <v>41</v>
      </c>
      <c r="G13">
        <v>50</v>
      </c>
    </row>
    <row r="16" spans="1:16" ht="24" x14ac:dyDescent="0.3">
      <c r="A16" s="80" t="s">
        <v>93</v>
      </c>
      <c r="B16" s="80"/>
      <c r="C16" s="80"/>
      <c r="D16" s="80"/>
      <c r="E16" s="80"/>
      <c r="F16" s="80"/>
      <c r="G16" s="80"/>
      <c r="H16" s="80"/>
      <c r="I16" s="80"/>
      <c r="J16" s="80"/>
      <c r="K16" s="80"/>
      <c r="L16" s="80"/>
      <c r="M16" s="80"/>
      <c r="N16" s="80"/>
    </row>
    <row r="17" spans="1:15" ht="55" customHeight="1" x14ac:dyDescent="0.3">
      <c r="A17" s="88"/>
      <c r="B17" s="86" t="s">
        <v>94</v>
      </c>
      <c r="C17" s="86" t="s">
        <v>95</v>
      </c>
      <c r="D17" s="87" t="s">
        <v>122</v>
      </c>
      <c r="E17" s="94" t="s">
        <v>128</v>
      </c>
      <c r="F17" s="94" t="s">
        <v>125</v>
      </c>
      <c r="G17" s="94" t="s">
        <v>131</v>
      </c>
      <c r="H17" s="86" t="s">
        <v>114</v>
      </c>
      <c r="I17" s="87" t="s">
        <v>112</v>
      </c>
      <c r="J17" s="87" t="s">
        <v>70</v>
      </c>
      <c r="K17" s="86" t="s">
        <v>98</v>
      </c>
      <c r="L17" s="87" t="s">
        <v>99</v>
      </c>
      <c r="M17" s="86" t="s">
        <v>100</v>
      </c>
      <c r="N17" s="87" t="s">
        <v>159</v>
      </c>
    </row>
    <row r="18" spans="1:15" x14ac:dyDescent="0.2">
      <c r="A18" s="60" t="e" vm="1">
        <v>#VALUE!</v>
      </c>
      <c r="B18" s="90">
        <f>(E13*I6)*D13</f>
        <v>728570000</v>
      </c>
      <c r="C18" s="90">
        <f>1896*L2</f>
        <v>56880000</v>
      </c>
      <c r="D18" s="90">
        <f>E8*L4</f>
        <v>495000000</v>
      </c>
      <c r="E18" s="90">
        <f>50*L6</f>
        <v>125000000</v>
      </c>
      <c r="F18" s="90">
        <f>(F8-E8)*L3</f>
        <v>747000000</v>
      </c>
      <c r="G18" s="90">
        <f>(E8)*L5</f>
        <v>990000000</v>
      </c>
      <c r="H18" s="91" t="s">
        <v>6</v>
      </c>
      <c r="I18" s="90">
        <f ca="1">B8*I1</f>
        <v>0</v>
      </c>
      <c r="J18" s="24">
        <f>E3</f>
        <v>184000000</v>
      </c>
      <c r="K18" s="46">
        <f ca="1">SUM(B18:J18)</f>
        <v>3326450000</v>
      </c>
      <c r="L18" s="50">
        <f>F3</f>
        <v>1056000000</v>
      </c>
      <c r="M18" s="113">
        <f ca="1">(K18-L18)/B3</f>
        <v>0.99461306358962698</v>
      </c>
      <c r="N18" s="57">
        <f ca="1">N21/D3</f>
        <v>10.115214856706507</v>
      </c>
    </row>
    <row r="21" spans="1:15" x14ac:dyDescent="0.2">
      <c r="N21" s="114">
        <f ca="1">K18-L18</f>
        <v>2270450000</v>
      </c>
    </row>
    <row r="22" spans="1:15" x14ac:dyDescent="0.2">
      <c r="O22" s="82"/>
    </row>
    <row r="43" spans="4:23" x14ac:dyDescent="0.2">
      <c r="D43" s="123"/>
    </row>
    <row r="44" spans="4:23" x14ac:dyDescent="0.2">
      <c r="D44" s="123"/>
    </row>
    <row r="45" spans="4:23" x14ac:dyDescent="0.2">
      <c r="W45" t="s">
        <v>172</v>
      </c>
    </row>
  </sheetData>
  <mergeCells count="1">
    <mergeCell ref="D43:D44"/>
  </mergeCells>
  <phoneticPr fontId="16" type="noConversion"/>
  <conditionalFormatting sqref="F8">
    <cfRule type="colorScale" priority="49">
      <colorScale>
        <cfvo type="min"/>
        <cfvo type="percentile" val="50"/>
        <cfvo type="max"/>
        <color rgb="FFF8696B"/>
        <color rgb="FFFCFCFF"/>
        <color rgb="FF63BE7B"/>
      </colorScale>
    </cfRule>
    <cfRule type="colorScale" priority="50">
      <colorScale>
        <cfvo type="min"/>
        <cfvo type="max"/>
        <color theme="5"/>
        <color theme="9"/>
      </colorScale>
    </cfRule>
  </conditionalFormatting>
  <conditionalFormatting sqref="F9:F10">
    <cfRule type="colorScale" priority="23">
      <colorScale>
        <cfvo type="min"/>
        <cfvo type="percentile" val="50"/>
        <cfvo type="max"/>
        <color rgb="FFF8696B"/>
        <color rgb="FFFCFCFF"/>
        <color rgb="FF63BE7B"/>
      </colorScale>
    </cfRule>
    <cfRule type="colorScale" priority="24">
      <colorScale>
        <cfvo type="min"/>
        <cfvo type="max"/>
        <color theme="5"/>
        <color theme="9"/>
      </colorScale>
    </cfRule>
  </conditionalFormatting>
  <conditionalFormatting sqref="F50">
    <cfRule type="colorScale" priority="11">
      <colorScale>
        <cfvo type="min"/>
        <cfvo type="percentile" val="50"/>
        <cfvo type="max"/>
        <color rgb="FFF8696B"/>
        <color rgb="FFFCFCFF"/>
        <color rgb="FF63BE7B"/>
      </colorScale>
    </cfRule>
    <cfRule type="colorScale" priority="12">
      <colorScale>
        <cfvo type="min"/>
        <cfvo type="max"/>
        <color theme="5"/>
        <color theme="9"/>
      </colorScale>
    </cfRule>
  </conditionalFormatting>
  <conditionalFormatting sqref="F51:F52">
    <cfRule type="colorScale" priority="9">
      <colorScale>
        <cfvo type="min"/>
        <cfvo type="percentile" val="50"/>
        <cfvo type="max"/>
        <color rgb="FFF8696B"/>
        <color rgb="FFFCFCFF"/>
        <color rgb="FF63BE7B"/>
      </colorScale>
    </cfRule>
    <cfRule type="colorScale" priority="10">
      <colorScale>
        <cfvo type="min"/>
        <cfvo type="max"/>
        <color theme="5"/>
        <color theme="9"/>
      </colorScale>
    </cfRule>
  </conditionalFormatting>
  <conditionalFormatting sqref="H6:H8">
    <cfRule type="colorScale" priority="1">
      <colorScale>
        <cfvo type="min"/>
        <cfvo type="percentile" val="50"/>
        <cfvo type="max"/>
        <color rgb="FFF8696B"/>
        <color rgb="FFFCFCFF"/>
        <color rgb="FF63BE7B"/>
      </colorScale>
    </cfRule>
  </conditionalFormatting>
  <conditionalFormatting sqref="H9 G8">
    <cfRule type="colorScale" priority="20">
      <colorScale>
        <cfvo type="min"/>
        <cfvo type="percentile" val="50"/>
        <cfvo type="max"/>
        <color rgb="FFF8696B"/>
        <color rgb="FFFCFCFF"/>
        <color rgb="FF63BE7B"/>
      </colorScale>
    </cfRule>
  </conditionalFormatting>
  <conditionalFormatting sqref="H48:H50">
    <cfRule type="colorScale" priority="2">
      <colorScale>
        <cfvo type="min"/>
        <cfvo type="percentile" val="50"/>
        <cfvo type="max"/>
        <color rgb="FFF8696B"/>
        <color rgb="FFFCFCFF"/>
        <color rgb="FF63BE7B"/>
      </colorScale>
    </cfRule>
  </conditionalFormatting>
  <conditionalFormatting sqref="H51 G50">
    <cfRule type="colorScale" priority="6">
      <colorScale>
        <cfvo type="min"/>
        <cfvo type="percentile" val="50"/>
        <cfvo type="max"/>
        <color rgb="FFF8696B"/>
        <color rgb="FFFCFCFF"/>
        <color rgb="FF63BE7B"/>
      </colorScale>
    </cfRule>
  </conditionalFormatting>
  <conditionalFormatting sqref="L7:L9 K10">
    <cfRule type="colorScale" priority="21">
      <colorScale>
        <cfvo type="min"/>
        <cfvo type="percentile" val="50"/>
        <cfvo type="max"/>
        <color rgb="FFF8696B"/>
        <color rgb="FFFCFCFF"/>
        <color rgb="FF63BE7B"/>
      </colorScale>
    </cfRule>
  </conditionalFormatting>
  <conditionalFormatting sqref="L49:L51 K52">
    <cfRule type="colorScale" priority="7">
      <colorScale>
        <cfvo type="min"/>
        <cfvo type="percentile" val="50"/>
        <cfvo type="max"/>
        <color rgb="FFF8696B"/>
        <color rgb="FFFCFCFF"/>
        <color rgb="FF63BE7B"/>
      </colorScale>
    </cfRule>
  </conditionalFormatting>
  <conditionalFormatting sqref="M18">
    <cfRule type="colorScale" priority="13">
      <colorScale>
        <cfvo type="min"/>
        <cfvo type="max"/>
        <color rgb="FFFCFCFF"/>
        <color rgb="FF63BE7B"/>
      </colorScale>
    </cfRule>
    <cfRule type="colorScale" priority="14">
      <colorScale>
        <cfvo type="min"/>
        <cfvo type="percentile" val="50"/>
        <cfvo type="max"/>
        <color rgb="FF63BE7B"/>
        <color rgb="FFFCFCFF"/>
        <color rgb="FFF8696B"/>
      </colorScale>
    </cfRule>
  </conditionalFormatting>
  <conditionalFormatting sqref="N60">
    <cfRule type="colorScale" priority="3">
      <colorScale>
        <cfvo type="min"/>
        <cfvo type="max"/>
        <color rgb="FFFCFCFF"/>
        <color rgb="FF63BE7B"/>
      </colorScale>
    </cfRule>
  </conditionalFormatting>
  <conditionalFormatting sqref="M18:N18">
    <cfRule type="colorScale" priority="18">
      <colorScale>
        <cfvo type="min"/>
        <cfvo type="percentile" val="50"/>
        <cfvo type="max"/>
        <color rgb="FFF8696B"/>
        <color rgb="FFFCFCFF"/>
        <color rgb="FF63BE7B"/>
      </colorScale>
    </cfRule>
    <cfRule type="colorScale" priority="19">
      <colorScale>
        <cfvo type="min"/>
        <cfvo type="max"/>
        <color rgb="FF63BE7B"/>
        <color rgb="FFFFEF9C"/>
      </colorScale>
    </cfRule>
    <cfRule type="colorScale" priority="22">
      <colorScale>
        <cfvo type="min"/>
        <cfvo type="max"/>
        <color rgb="FFFCFCFF"/>
        <color rgb="FF63BE7B"/>
      </colorScale>
    </cfRule>
  </conditionalFormatting>
  <conditionalFormatting sqref="N60:O60">
    <cfRule type="colorScale" priority="4">
      <colorScale>
        <cfvo type="min"/>
        <cfvo type="percentile" val="50"/>
        <cfvo type="max"/>
        <color rgb="FFF8696B"/>
        <color rgb="FFFCFCFF"/>
        <color rgb="FF63BE7B"/>
      </colorScale>
    </cfRule>
    <cfRule type="colorScale" priority="5">
      <colorScale>
        <cfvo type="min"/>
        <cfvo type="max"/>
        <color rgb="FF63BE7B"/>
        <color rgb="FFFFEF9C"/>
      </colorScale>
    </cfRule>
    <cfRule type="colorScale" priority="8">
      <colorScale>
        <cfvo type="min"/>
        <cfvo type="max"/>
        <color rgb="FFFCFCFF"/>
        <color rgb="FF63BE7B"/>
      </colorScale>
    </cfRule>
  </conditionalFormatting>
  <hyperlinks>
    <hyperlink ref="H18" r:id="rId1" xr:uid="{AF295A39-A2BD-D143-8662-676FC1FF04B4}"/>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E0FC-1703-DC4E-9D70-0B9D05F67F28}">
  <dimension ref="A1:N21"/>
  <sheetViews>
    <sheetView zoomScale="90" zoomScaleNormal="90" workbookViewId="0">
      <selection activeCell="K13" sqref="K13"/>
    </sheetView>
  </sheetViews>
  <sheetFormatPr baseColWidth="10" defaultRowHeight="16" x14ac:dyDescent="0.2"/>
  <cols>
    <col min="1" max="1" width="33.1640625" customWidth="1"/>
    <col min="2" max="2" width="18.33203125" bestFit="1" customWidth="1"/>
    <col min="3" max="3" width="12.5" bestFit="1" customWidth="1"/>
    <col min="4" max="4" width="16.83203125" bestFit="1" customWidth="1"/>
    <col min="5" max="5" width="15.1640625" customWidth="1"/>
    <col min="6" max="6" width="14.83203125" customWidth="1"/>
    <col min="7" max="7" width="20.6640625" bestFit="1" customWidth="1"/>
    <col min="8" max="8" width="18.1640625" bestFit="1" customWidth="1"/>
    <col min="9" max="9" width="19.1640625" bestFit="1" customWidth="1"/>
    <col min="10" max="10" width="12.33203125" bestFit="1" customWidth="1"/>
    <col min="11" max="11" width="15.5" customWidth="1"/>
    <col min="12" max="12" width="14.5" customWidth="1"/>
    <col min="13" max="13" width="13.5" bestFit="1" customWidth="1"/>
  </cols>
  <sheetData>
    <row r="1" spans="1:14" ht="24" x14ac:dyDescent="0.3">
      <c r="A1" s="72" t="s">
        <v>81</v>
      </c>
      <c r="B1" s="72"/>
      <c r="C1" s="72"/>
      <c r="D1" s="72"/>
      <c r="E1" s="72"/>
      <c r="F1" s="72"/>
      <c r="H1" s="20" t="e" vm="2">
        <v>#VALUE!</v>
      </c>
      <c r="I1" s="21" cm="1">
        <f t="array" aca="1" ref="I1" ca="1">_FV(H1,"Price")</f>
        <v>106293.72</v>
      </c>
      <c r="K1" s="81" t="s">
        <v>111</v>
      </c>
      <c r="L1" s="79"/>
    </row>
    <row r="2" spans="1:14" x14ac:dyDescent="0.2">
      <c r="A2" s="64"/>
      <c r="B2" s="77" t="s">
        <v>80</v>
      </c>
      <c r="C2" s="77" t="s">
        <v>19</v>
      </c>
      <c r="D2" s="71" t="s">
        <v>20</v>
      </c>
      <c r="E2" s="77" t="s">
        <v>70</v>
      </c>
      <c r="F2" s="77" t="s">
        <v>71</v>
      </c>
      <c r="H2" s="45" t="e" vm="3">
        <v>#VALUE!</v>
      </c>
      <c r="I2" s="21" cm="1">
        <f t="array" aca="1" ref="I2" ca="1">_FV(H2,"Price")</f>
        <v>2652.65</v>
      </c>
      <c r="K2" s="16" t="s">
        <v>124</v>
      </c>
      <c r="L2" s="90">
        <v>30000</v>
      </c>
    </row>
    <row r="3" spans="1:14" x14ac:dyDescent="0.2">
      <c r="A3" s="60" t="e" vm="5">
        <v>#VALUE!</v>
      </c>
      <c r="B3" s="15" cm="1">
        <f t="array" aca="1" ref="B3" ca="1">_FV(A3,"Market cap",TRUE)</f>
        <v>540230340</v>
      </c>
      <c r="C3" s="14" cm="1">
        <f t="array" aca="1" ref="C3" ca="1">_FV(A3,"Price")</f>
        <v>2.6</v>
      </c>
      <c r="D3" s="1" cm="1">
        <f t="array" aca="1" ref="D3" ca="1">_FV(A3,"Shares outstanding",TRUE)</f>
        <v>207780900</v>
      </c>
      <c r="E3" s="48">
        <v>59000000</v>
      </c>
      <c r="F3" s="58">
        <v>20215643</v>
      </c>
      <c r="K3" s="16" t="s">
        <v>142</v>
      </c>
      <c r="L3" s="90">
        <v>300000</v>
      </c>
    </row>
    <row r="4" spans="1:14" x14ac:dyDescent="0.2">
      <c r="K4" s="16" t="s">
        <v>141</v>
      </c>
      <c r="L4" s="90">
        <v>750000</v>
      </c>
    </row>
    <row r="5" spans="1:14" ht="19" x14ac:dyDescent="0.25">
      <c r="H5" s="83"/>
      <c r="I5" s="81" t="s">
        <v>101</v>
      </c>
      <c r="J5" s="79"/>
      <c r="K5" s="93" t="s">
        <v>143</v>
      </c>
      <c r="L5" s="90">
        <v>1500000</v>
      </c>
    </row>
    <row r="6" spans="1:14" ht="21" customHeight="1" x14ac:dyDescent="0.3">
      <c r="A6" s="70" t="s">
        <v>88</v>
      </c>
      <c r="B6" s="70"/>
      <c r="C6" s="70"/>
      <c r="D6" s="70"/>
      <c r="E6" s="70"/>
      <c r="F6" s="70"/>
      <c r="G6" s="70"/>
      <c r="I6" s="16" t="s">
        <v>102</v>
      </c>
      <c r="J6" s="82">
        <v>17.91</v>
      </c>
      <c r="K6" s="16" t="s">
        <v>121</v>
      </c>
      <c r="L6" s="90">
        <v>2500000</v>
      </c>
    </row>
    <row r="7" spans="1:14" ht="32" customHeight="1" x14ac:dyDescent="0.2">
      <c r="B7" s="77" t="s">
        <v>149</v>
      </c>
      <c r="C7" s="77" t="s">
        <v>82</v>
      </c>
      <c r="D7" s="77" t="s">
        <v>83</v>
      </c>
      <c r="E7" s="94" t="s">
        <v>152</v>
      </c>
      <c r="F7" s="110" t="s">
        <v>108</v>
      </c>
      <c r="G7" s="77" t="s">
        <v>78</v>
      </c>
      <c r="I7" s="16" t="s">
        <v>103</v>
      </c>
      <c r="J7" s="82">
        <v>11.9</v>
      </c>
    </row>
    <row r="8" spans="1:14" x14ac:dyDescent="0.2">
      <c r="A8" s="60" t="e" vm="5">
        <v>#VALUE!</v>
      </c>
      <c r="B8">
        <v>27227</v>
      </c>
      <c r="C8">
        <v>586</v>
      </c>
      <c r="D8" s="24">
        <f ca="1">C8*I1</f>
        <v>62288119.920000002</v>
      </c>
      <c r="E8" s="74">
        <f ca="1">F9+B9</f>
        <v>0.1336905690080272</v>
      </c>
      <c r="F8" s="68">
        <v>75</v>
      </c>
      <c r="G8">
        <v>0</v>
      </c>
      <c r="I8" s="16" t="s">
        <v>104</v>
      </c>
      <c r="J8" s="82">
        <v>2.75</v>
      </c>
    </row>
    <row r="9" spans="1:14" x14ac:dyDescent="0.2">
      <c r="B9" s="74">
        <f ca="1">I18/B3</f>
        <v>0.1336905690080272</v>
      </c>
      <c r="C9" s="74">
        <f ca="1">$D$8/$B$3</f>
        <v>0.11529918871272576</v>
      </c>
      <c r="D9" s="74"/>
      <c r="F9" s="74"/>
    </row>
    <row r="10" spans="1:14" x14ac:dyDescent="0.2">
      <c r="C10" s="24"/>
      <c r="D10" s="74"/>
      <c r="F10" s="78"/>
    </row>
    <row r="11" spans="1:14" ht="24" x14ac:dyDescent="0.3">
      <c r="A11" s="73" t="s">
        <v>89</v>
      </c>
      <c r="B11" s="73"/>
      <c r="C11" s="73"/>
      <c r="D11" s="73"/>
      <c r="E11" s="73"/>
      <c r="F11" s="73"/>
      <c r="G11" s="73"/>
      <c r="H11" s="73"/>
    </row>
    <row r="12" spans="1:14" x14ac:dyDescent="0.2">
      <c r="B12" s="71" t="s">
        <v>85</v>
      </c>
      <c r="C12" s="71" t="s">
        <v>90</v>
      </c>
      <c r="D12" s="77" t="s">
        <v>33</v>
      </c>
      <c r="E12" s="77" t="s">
        <v>86</v>
      </c>
      <c r="F12" s="85" t="s">
        <v>105</v>
      </c>
      <c r="G12" s="77" t="s">
        <v>87</v>
      </c>
      <c r="H12" s="77" t="s">
        <v>151</v>
      </c>
    </row>
    <row r="13" spans="1:14" x14ac:dyDescent="0.2">
      <c r="A13" s="60" t="e" vm="5">
        <v>#VALUE!</v>
      </c>
      <c r="B13" s="89">
        <f>(F8*1000000)/(G13*1000000)</f>
        <v>28.846153846153847</v>
      </c>
      <c r="C13" s="75">
        <v>30200</v>
      </c>
      <c r="D13" s="69">
        <v>4.7</v>
      </c>
      <c r="E13" s="1">
        <v>50000</v>
      </c>
      <c r="F13" s="84">
        <f>(G13*1000000)/E13</f>
        <v>52</v>
      </c>
      <c r="G13">
        <v>2.6</v>
      </c>
      <c r="H13">
        <v>6</v>
      </c>
    </row>
    <row r="16" spans="1:14" ht="24" x14ac:dyDescent="0.3">
      <c r="A16" s="80" t="s">
        <v>93</v>
      </c>
      <c r="B16" s="80"/>
      <c r="C16" s="80"/>
      <c r="D16" s="80"/>
      <c r="E16" s="80"/>
      <c r="F16" s="80"/>
      <c r="G16" s="80"/>
      <c r="H16" s="80"/>
      <c r="I16" s="80"/>
      <c r="J16" s="80"/>
      <c r="K16" s="80"/>
      <c r="L16" s="80"/>
      <c r="M16" s="80"/>
      <c r="N16" s="80"/>
    </row>
    <row r="17" spans="1:14" ht="51" customHeight="1" x14ac:dyDescent="0.3">
      <c r="A17" s="88"/>
      <c r="B17" s="86" t="s">
        <v>94</v>
      </c>
      <c r="C17" s="86" t="s">
        <v>95</v>
      </c>
      <c r="D17" s="87" t="s">
        <v>122</v>
      </c>
      <c r="E17" s="94" t="s">
        <v>128</v>
      </c>
      <c r="F17" s="94" t="s">
        <v>125</v>
      </c>
      <c r="G17" s="94" t="s">
        <v>131</v>
      </c>
      <c r="H17" s="86" t="s">
        <v>96</v>
      </c>
      <c r="I17" s="87" t="s">
        <v>150</v>
      </c>
      <c r="J17" s="87" t="s">
        <v>112</v>
      </c>
      <c r="K17" s="87" t="s">
        <v>70</v>
      </c>
      <c r="L17" s="86" t="s">
        <v>98</v>
      </c>
      <c r="M17" s="87" t="s">
        <v>99</v>
      </c>
      <c r="N17" s="86" t="s">
        <v>100</v>
      </c>
    </row>
    <row r="18" spans="1:14" x14ac:dyDescent="0.2">
      <c r="A18" s="60" t="e" vm="5">
        <v>#VALUE!</v>
      </c>
      <c r="B18" s="90">
        <f>(F13*J7)*E13</f>
        <v>30940000.000000004</v>
      </c>
      <c r="C18" s="90">
        <f>1280*L2</f>
        <v>38400000</v>
      </c>
      <c r="D18" s="90">
        <f>0*L4</f>
        <v>0</v>
      </c>
      <c r="E18" s="90">
        <v>0</v>
      </c>
      <c r="F18" s="90">
        <v>0</v>
      </c>
      <c r="G18" s="90">
        <v>0</v>
      </c>
      <c r="H18" s="90">
        <v>100000000</v>
      </c>
      <c r="I18" s="28">
        <f ca="1">B8*I2</f>
        <v>72223701.549999997</v>
      </c>
      <c r="J18" s="90">
        <f ca="1">C8*I1</f>
        <v>62288119.920000002</v>
      </c>
      <c r="K18" s="24">
        <f>E3</f>
        <v>59000000</v>
      </c>
      <c r="L18" s="46">
        <f ca="1">SUM(B18:K18)</f>
        <v>362851821.47000003</v>
      </c>
      <c r="M18" s="50">
        <f>F3</f>
        <v>20215643</v>
      </c>
      <c r="N18" s="66">
        <f ca="1">(L18-M18)/B3</f>
        <v>0.63424090263053357</v>
      </c>
    </row>
    <row r="21" spans="1:14" ht="21" x14ac:dyDescent="0.25">
      <c r="E21" s="111" t="s">
        <v>155</v>
      </c>
    </row>
  </sheetData>
  <conditionalFormatting sqref="F10">
    <cfRule type="colorScale" priority="11">
      <colorScale>
        <cfvo type="min"/>
        <cfvo type="percentile" val="50"/>
        <cfvo type="max"/>
        <color rgb="FFF8696B"/>
        <color rgb="FFFCFCFF"/>
        <color rgb="FF63BE7B"/>
      </colorScale>
    </cfRule>
    <cfRule type="colorScale" priority="12">
      <colorScale>
        <cfvo type="min"/>
        <cfvo type="max"/>
        <color theme="5"/>
        <color theme="9"/>
      </colorScale>
    </cfRule>
  </conditionalFormatting>
  <conditionalFormatting sqref="G8">
    <cfRule type="colorScale" priority="1">
      <colorScale>
        <cfvo type="min"/>
        <cfvo type="max"/>
        <color rgb="FFFCFCFF"/>
        <color rgb="FFF8696B"/>
      </colorScale>
    </cfRule>
    <cfRule type="colorScale" priority="2">
      <colorScale>
        <cfvo type="min"/>
        <cfvo type="percentile" val="50"/>
        <cfvo type="max"/>
        <color rgb="FFF8696B"/>
        <color rgb="FFFCFCFF"/>
        <color rgb="FF63BE7B"/>
      </colorScale>
    </cfRule>
  </conditionalFormatting>
  <conditionalFormatting sqref="I6:I7 H8:I8">
    <cfRule type="colorScale" priority="36">
      <colorScale>
        <cfvo type="min"/>
        <cfvo type="percentile" val="50"/>
        <cfvo type="max"/>
        <color rgb="FFF8696B"/>
        <color rgb="FFFCFCFF"/>
        <color rgb="FF63BE7B"/>
      </colorScale>
    </cfRule>
  </conditionalFormatting>
  <conditionalFormatting sqref="M7:M9 K10">
    <cfRule type="colorScale" priority="9">
      <colorScale>
        <cfvo type="min"/>
        <cfvo type="percentile" val="50"/>
        <cfvo type="max"/>
        <color rgb="FFF8696B"/>
        <color rgb="FFFCFCFF"/>
        <color rgb="FF63BE7B"/>
      </colorScale>
    </cfRule>
  </conditionalFormatting>
  <conditionalFormatting sqref="N18">
    <cfRule type="colorScale" priority="6">
      <colorScale>
        <cfvo type="min"/>
        <cfvo type="percentile" val="50"/>
        <cfvo type="max"/>
        <color rgb="FFF8696B"/>
        <color rgb="FFFCFCFF"/>
        <color rgb="FF63BE7B"/>
      </colorScale>
    </cfRule>
    <cfRule type="colorScale" priority="7">
      <colorScale>
        <cfvo type="min"/>
        <cfvo type="max"/>
        <color rgb="FF63BE7B"/>
        <color rgb="FFFFEF9C"/>
      </colorScale>
    </cfRule>
    <cfRule type="colorScale" priority="10">
      <colorScale>
        <cfvo type="min"/>
        <cfvo type="max"/>
        <color rgb="FFFCFCFF"/>
        <color rgb="FF63BE7B"/>
      </colorScale>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B2C81-D833-1543-88C9-0D355B38143A}">
  <dimension ref="A1:S21"/>
  <sheetViews>
    <sheetView zoomScale="90" zoomScaleNormal="90" workbookViewId="0">
      <selection activeCell="I6" sqref="I6:I9"/>
    </sheetView>
  </sheetViews>
  <sheetFormatPr baseColWidth="10" defaultRowHeight="16" x14ac:dyDescent="0.2"/>
  <cols>
    <col min="1" max="1" width="33.83203125" customWidth="1"/>
    <col min="2" max="2" width="18.33203125" bestFit="1" customWidth="1"/>
    <col min="3" max="3" width="12.1640625" bestFit="1" customWidth="1"/>
    <col min="4" max="4" width="16.83203125" bestFit="1" customWidth="1"/>
    <col min="5" max="5" width="14" bestFit="1" customWidth="1"/>
    <col min="6" max="6" width="13" bestFit="1" customWidth="1"/>
    <col min="7" max="7" width="20.6640625" bestFit="1" customWidth="1"/>
    <col min="8" max="8" width="18.1640625" bestFit="1" customWidth="1"/>
    <col min="9" max="9" width="13.33203125" customWidth="1"/>
    <col min="10" max="10" width="15.6640625" bestFit="1" customWidth="1"/>
    <col min="11" max="11" width="16.83203125" customWidth="1"/>
    <col min="12" max="12" width="13.6640625" bestFit="1" customWidth="1"/>
    <col min="13" max="13" width="12.33203125" bestFit="1" customWidth="1"/>
    <col min="16" max="16" width="12" bestFit="1" customWidth="1"/>
  </cols>
  <sheetData>
    <row r="1" spans="1:18" ht="24" x14ac:dyDescent="0.3">
      <c r="A1" s="72" t="s">
        <v>81</v>
      </c>
      <c r="B1" s="72"/>
      <c r="C1" s="72"/>
      <c r="D1" s="72"/>
      <c r="E1" s="72"/>
      <c r="F1" s="72"/>
      <c r="H1" s="20" t="e" vm="2">
        <v>#VALUE!</v>
      </c>
      <c r="I1" s="21" cm="1">
        <f t="array" aca="1" ref="I1" ca="1">_FV(H1,"Price")</f>
        <v>106293.72</v>
      </c>
      <c r="K1" s="81" t="s">
        <v>111</v>
      </c>
      <c r="L1" s="79"/>
    </row>
    <row r="2" spans="1:18" ht="21" x14ac:dyDescent="0.25">
      <c r="A2" s="64"/>
      <c r="B2" s="77" t="s">
        <v>80</v>
      </c>
      <c r="C2" s="77" t="s">
        <v>19</v>
      </c>
      <c r="D2" s="71" t="s">
        <v>20</v>
      </c>
      <c r="E2" s="77" t="s">
        <v>70</v>
      </c>
      <c r="F2" s="77" t="s">
        <v>71</v>
      </c>
      <c r="H2" s="45" t="e" vm="3">
        <v>#VALUE!</v>
      </c>
      <c r="I2" s="21" cm="1">
        <f t="array" aca="1" ref="I2" ca="1">_FV(H2,"Price")</f>
        <v>2652.65</v>
      </c>
      <c r="K2" s="16" t="s">
        <v>124</v>
      </c>
      <c r="L2" s="90">
        <v>30000</v>
      </c>
      <c r="P2" s="111" t="s">
        <v>156</v>
      </c>
      <c r="Q2" s="79"/>
      <c r="R2" s="79"/>
    </row>
    <row r="3" spans="1:18" x14ac:dyDescent="0.2">
      <c r="A3" s="60" t="e" vm="16">
        <v>#VALUE!</v>
      </c>
      <c r="B3" s="15" cm="1">
        <f t="array" aca="1" ref="B3" ca="1">_FV(A3,"Market cap",TRUE)</f>
        <v>17177314</v>
      </c>
      <c r="C3" s="109" cm="1">
        <f t="array" aca="1" ref="C3" ca="1">_FV(A3,"Price")</f>
        <v>7.0000000000000007E-2</v>
      </c>
      <c r="D3" s="1" cm="1">
        <f t="array" aca="1" ref="D3" ca="1">_FV(A3,"Shares outstanding",TRUE)</f>
        <v>245390200</v>
      </c>
      <c r="E3" s="48">
        <v>1024293</v>
      </c>
      <c r="F3" s="58">
        <v>9196593</v>
      </c>
      <c r="K3" s="16" t="s">
        <v>142</v>
      </c>
      <c r="L3" s="90">
        <v>300000</v>
      </c>
    </row>
    <row r="4" spans="1:18" x14ac:dyDescent="0.2">
      <c r="K4" s="16" t="s">
        <v>141</v>
      </c>
      <c r="L4" s="90">
        <v>750000</v>
      </c>
    </row>
    <row r="5" spans="1:18" ht="19" x14ac:dyDescent="0.25">
      <c r="H5" s="81" t="s">
        <v>101</v>
      </c>
      <c r="I5" s="81"/>
      <c r="K5" s="93" t="s">
        <v>143</v>
      </c>
      <c r="L5" s="90">
        <v>1500000</v>
      </c>
    </row>
    <row r="6" spans="1:18" ht="24" x14ac:dyDescent="0.3">
      <c r="A6" s="70" t="s">
        <v>88</v>
      </c>
      <c r="B6" s="70"/>
      <c r="C6" s="70"/>
      <c r="D6" s="70"/>
      <c r="E6" s="70"/>
      <c r="F6" s="70"/>
      <c r="H6" s="16" t="s">
        <v>102</v>
      </c>
      <c r="I6" s="82">
        <v>17.91</v>
      </c>
      <c r="K6" s="16" t="s">
        <v>121</v>
      </c>
      <c r="L6" s="90">
        <v>2500000</v>
      </c>
    </row>
    <row r="7" spans="1:18" x14ac:dyDescent="0.2">
      <c r="B7" s="77" t="s">
        <v>82</v>
      </c>
      <c r="C7" s="77" t="s">
        <v>83</v>
      </c>
      <c r="D7" s="77" t="s">
        <v>84</v>
      </c>
      <c r="E7" s="71" t="s">
        <v>108</v>
      </c>
      <c r="F7" s="77" t="s">
        <v>78</v>
      </c>
      <c r="H7" s="16" t="s">
        <v>103</v>
      </c>
      <c r="I7" s="82">
        <v>11.9</v>
      </c>
    </row>
    <row r="8" spans="1:18" x14ac:dyDescent="0.2">
      <c r="A8" s="60" t="e" vm="16">
        <v>#VALUE!</v>
      </c>
      <c r="B8">
        <v>47</v>
      </c>
      <c r="C8" s="24">
        <f ca="1">B8*I1</f>
        <v>4995804.84</v>
      </c>
      <c r="D8" s="74">
        <f ca="1">C8/B3</f>
        <v>0.29083737073211796</v>
      </c>
      <c r="E8">
        <v>9.4</v>
      </c>
      <c r="F8">
        <v>45</v>
      </c>
      <c r="H8" s="16"/>
      <c r="I8" s="82"/>
    </row>
    <row r="9" spans="1:18" x14ac:dyDescent="0.2">
      <c r="C9" s="24"/>
      <c r="D9" s="74"/>
      <c r="F9" s="78"/>
      <c r="H9" s="16" t="s">
        <v>104</v>
      </c>
      <c r="I9" s="82">
        <v>2.75</v>
      </c>
    </row>
    <row r="10" spans="1:18" x14ac:dyDescent="0.2">
      <c r="C10" s="24"/>
      <c r="D10" s="74"/>
      <c r="F10" s="78"/>
    </row>
    <row r="11" spans="1:18" ht="24" x14ac:dyDescent="0.3">
      <c r="A11" s="73" t="s">
        <v>89</v>
      </c>
      <c r="B11" s="73"/>
      <c r="C11" s="73"/>
      <c r="D11" s="73"/>
      <c r="E11" s="73"/>
      <c r="F11" s="73"/>
      <c r="G11" s="73"/>
    </row>
    <row r="12" spans="1:18" x14ac:dyDescent="0.2">
      <c r="B12" s="71" t="s">
        <v>85</v>
      </c>
      <c r="C12" s="77" t="s">
        <v>33</v>
      </c>
      <c r="D12" s="77" t="s">
        <v>86</v>
      </c>
      <c r="E12" s="85" t="s">
        <v>105</v>
      </c>
      <c r="F12" s="77" t="s">
        <v>87</v>
      </c>
      <c r="G12" s="77" t="s">
        <v>145</v>
      </c>
    </row>
    <row r="13" spans="1:18" x14ac:dyDescent="0.2">
      <c r="A13" s="60" t="e" vm="16">
        <v>#VALUE!</v>
      </c>
      <c r="B13" s="89">
        <f>(E8*1000000)/(F13*1000000)</f>
        <v>26.857142857142858</v>
      </c>
      <c r="C13" s="69">
        <v>4.3</v>
      </c>
      <c r="D13" s="1">
        <v>4364</v>
      </c>
      <c r="E13" s="84">
        <f>(F13*1000000)/D13</f>
        <v>80.201649862511459</v>
      </c>
      <c r="F13">
        <v>0.35</v>
      </c>
      <c r="G13" t="s">
        <v>153</v>
      </c>
    </row>
    <row r="16" spans="1:18" ht="24" x14ac:dyDescent="0.3">
      <c r="A16" s="80" t="s">
        <v>93</v>
      </c>
      <c r="B16" s="80"/>
      <c r="C16" s="80"/>
      <c r="D16" s="80"/>
      <c r="E16" s="80"/>
      <c r="F16" s="80"/>
      <c r="G16" s="80"/>
      <c r="H16" s="80"/>
      <c r="I16" s="80"/>
      <c r="J16" s="80"/>
      <c r="K16" s="80"/>
      <c r="L16" s="80"/>
      <c r="M16" s="80"/>
      <c r="N16" s="80"/>
    </row>
    <row r="17" spans="1:19" ht="59" customHeight="1" x14ac:dyDescent="0.3">
      <c r="A17" s="88"/>
      <c r="B17" s="86" t="s">
        <v>94</v>
      </c>
      <c r="C17" s="86" t="s">
        <v>95</v>
      </c>
      <c r="D17" s="87" t="s">
        <v>122</v>
      </c>
      <c r="E17" s="94" t="s">
        <v>128</v>
      </c>
      <c r="F17" s="94" t="s">
        <v>125</v>
      </c>
      <c r="G17" s="94" t="s">
        <v>131</v>
      </c>
      <c r="H17" s="86" t="s">
        <v>96</v>
      </c>
      <c r="I17" s="86" t="s">
        <v>114</v>
      </c>
      <c r="J17" s="87" t="s">
        <v>112</v>
      </c>
      <c r="K17" s="87" t="s">
        <v>70</v>
      </c>
      <c r="L17" s="86" t="s">
        <v>98</v>
      </c>
      <c r="M17" s="87" t="s">
        <v>99</v>
      </c>
      <c r="N17" s="86" t="s">
        <v>100</v>
      </c>
    </row>
    <row r="18" spans="1:19" x14ac:dyDescent="0.2">
      <c r="A18" s="60" t="e" vm="16">
        <v>#VALUE!</v>
      </c>
      <c r="B18" s="90">
        <f>(E13*I7)*D13</f>
        <v>4165000.0000000005</v>
      </c>
      <c r="C18" s="90">
        <v>0</v>
      </c>
      <c r="D18" s="90">
        <f>E8*L4</f>
        <v>7050000</v>
      </c>
      <c r="E18" s="90">
        <v>0</v>
      </c>
      <c r="F18" s="90">
        <f>(F8-E8)*L3</f>
        <v>10680000</v>
      </c>
      <c r="G18" s="90">
        <v>0</v>
      </c>
      <c r="H18" s="90">
        <v>0</v>
      </c>
      <c r="I18" s="91" t="s">
        <v>6</v>
      </c>
      <c r="J18" s="90">
        <f ca="1">B8*I1</f>
        <v>4995804.84</v>
      </c>
      <c r="K18" s="24">
        <f>E3</f>
        <v>1024293</v>
      </c>
      <c r="L18" s="46">
        <f ca="1">SUM(B18:K18)</f>
        <v>27915097.84</v>
      </c>
      <c r="M18" s="50">
        <f>F3</f>
        <v>9196593</v>
      </c>
      <c r="N18" s="66">
        <f ca="1">(L18-M18)/B3</f>
        <v>1.0897224583540825</v>
      </c>
    </row>
    <row r="20" spans="1:19" ht="21" x14ac:dyDescent="0.25">
      <c r="P20" s="111" t="s">
        <v>157</v>
      </c>
      <c r="Q20" s="79"/>
      <c r="R20" s="79"/>
      <c r="S20" s="79"/>
    </row>
    <row r="21" spans="1:19" ht="21" x14ac:dyDescent="0.25">
      <c r="B21" s="111" t="s">
        <v>154</v>
      </c>
    </row>
  </sheetData>
  <conditionalFormatting sqref="F8">
    <cfRule type="colorScale" priority="11">
      <colorScale>
        <cfvo type="min"/>
        <cfvo type="percentile" val="50"/>
        <cfvo type="max"/>
        <color rgb="FFF8696B"/>
        <color rgb="FFFCFCFF"/>
        <color rgb="FF63BE7B"/>
      </colorScale>
    </cfRule>
    <cfRule type="colorScale" priority="12">
      <colorScale>
        <cfvo type="min"/>
        <cfvo type="max"/>
        <color theme="5"/>
        <color theme="9"/>
      </colorScale>
    </cfRule>
  </conditionalFormatting>
  <conditionalFormatting sqref="F9:F10">
    <cfRule type="colorScale" priority="9">
      <colorScale>
        <cfvo type="min"/>
        <cfvo type="percentile" val="50"/>
        <cfvo type="max"/>
        <color rgb="FFF8696B"/>
        <color rgb="FFFCFCFF"/>
        <color rgb="FF63BE7B"/>
      </colorScale>
    </cfRule>
    <cfRule type="colorScale" priority="10">
      <colorScale>
        <cfvo type="min"/>
        <cfvo type="max"/>
        <color theme="5"/>
        <color theme="9"/>
      </colorScale>
    </cfRule>
  </conditionalFormatting>
  <conditionalFormatting sqref="H6:H9 G8">
    <cfRule type="colorScale" priority="6">
      <colorScale>
        <cfvo type="min"/>
        <cfvo type="percentile" val="50"/>
        <cfvo type="max"/>
        <color rgb="FFF8696B"/>
        <color rgb="FFFCFCFF"/>
        <color rgb="FF63BE7B"/>
      </colorScale>
    </cfRule>
  </conditionalFormatting>
  <conditionalFormatting sqref="L7:L9 K10">
    <cfRule type="colorScale" priority="7">
      <colorScale>
        <cfvo type="min"/>
        <cfvo type="percentile" val="50"/>
        <cfvo type="max"/>
        <color rgb="FFF8696B"/>
        <color rgb="FFFCFCFF"/>
        <color rgb="FF63BE7B"/>
      </colorScale>
    </cfRule>
  </conditionalFormatting>
  <conditionalFormatting sqref="N18">
    <cfRule type="colorScale" priority="1">
      <colorScale>
        <cfvo type="min"/>
        <cfvo type="percentile" val="50"/>
        <cfvo type="max"/>
        <color rgb="FFF8696B"/>
        <color rgb="FFFCFCFF"/>
        <color rgb="FF63BE7B"/>
      </colorScale>
    </cfRule>
    <cfRule type="colorScale" priority="2">
      <colorScale>
        <cfvo type="min"/>
        <cfvo type="max"/>
        <color rgb="FF63BE7B"/>
        <color rgb="FFFFEF9C"/>
      </colorScale>
    </cfRule>
    <cfRule type="colorScale" priority="3">
      <colorScale>
        <cfvo type="min"/>
        <cfvo type="max"/>
        <color rgb="FFFCFCFF"/>
        <color rgb="FF63BE7B"/>
      </colorScale>
    </cfRule>
  </conditionalFormatting>
  <hyperlinks>
    <hyperlink ref="I18" r:id="rId1" xr:uid="{4806AF53-2D6A-CF45-8901-6054CF734491}"/>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39D07-9CE4-4547-8AAF-982CD8A8A363}">
  <dimension ref="A1:Q54"/>
  <sheetViews>
    <sheetView topLeftCell="A23" zoomScale="110" zoomScaleNormal="110" workbookViewId="0">
      <selection activeCell="A49" sqref="A49"/>
    </sheetView>
  </sheetViews>
  <sheetFormatPr baseColWidth="10" defaultRowHeight="16" x14ac:dyDescent="0.2"/>
  <sheetData>
    <row r="1" spans="1:7" x14ac:dyDescent="0.2">
      <c r="A1" t="s">
        <v>132</v>
      </c>
    </row>
    <row r="2" spans="1:7" x14ac:dyDescent="0.2">
      <c r="A2" t="s">
        <v>137</v>
      </c>
    </row>
    <row r="3" spans="1:7" x14ac:dyDescent="0.2">
      <c r="A3" s="104">
        <v>45292</v>
      </c>
      <c r="B3" s="104">
        <v>45323</v>
      </c>
      <c r="C3" s="104">
        <v>45352</v>
      </c>
      <c r="D3" s="104">
        <v>45383</v>
      </c>
      <c r="E3" s="104">
        <v>45413</v>
      </c>
      <c r="F3" s="104">
        <v>45444</v>
      </c>
      <c r="G3" s="104">
        <v>45474</v>
      </c>
    </row>
    <row r="4" spans="1:7" x14ac:dyDescent="0.2">
      <c r="A4">
        <v>4.0999999999999996</v>
      </c>
      <c r="B4">
        <v>4.2</v>
      </c>
      <c r="C4">
        <v>4.7</v>
      </c>
      <c r="D4">
        <v>5</v>
      </c>
      <c r="E4">
        <v>5</v>
      </c>
      <c r="F4">
        <v>4.9000000000000004</v>
      </c>
      <c r="G4">
        <v>4.7</v>
      </c>
    </row>
    <row r="5" spans="1:7" x14ac:dyDescent="0.2">
      <c r="A5" t="s">
        <v>130</v>
      </c>
    </row>
    <row r="6" spans="1:7" x14ac:dyDescent="0.2">
      <c r="A6" s="104">
        <v>45292</v>
      </c>
      <c r="B6" s="104">
        <v>45323</v>
      </c>
      <c r="C6" s="104">
        <v>45352</v>
      </c>
      <c r="D6" s="104">
        <v>45383</v>
      </c>
      <c r="E6" s="104">
        <v>45413</v>
      </c>
      <c r="F6" s="104">
        <v>45444</v>
      </c>
      <c r="G6" s="104">
        <v>45474</v>
      </c>
    </row>
    <row r="7" spans="1:7" x14ac:dyDescent="0.2">
      <c r="A7" s="82">
        <v>2.5</v>
      </c>
      <c r="B7" s="82">
        <v>2.9</v>
      </c>
      <c r="C7" s="82">
        <v>3.4</v>
      </c>
      <c r="D7" s="82">
        <v>2.65</v>
      </c>
      <c r="E7" s="82">
        <v>1.65</v>
      </c>
      <c r="F7" s="82">
        <v>1.59</v>
      </c>
      <c r="G7" s="82">
        <v>1.59</v>
      </c>
    </row>
    <row r="8" spans="1:7" x14ac:dyDescent="0.2">
      <c r="A8" t="s">
        <v>82</v>
      </c>
    </row>
    <row r="9" spans="1:7" x14ac:dyDescent="0.2">
      <c r="A9" s="104">
        <v>45292</v>
      </c>
      <c r="B9" s="104">
        <v>45323</v>
      </c>
      <c r="C9" s="104">
        <v>45352</v>
      </c>
      <c r="D9" s="104">
        <v>45383</v>
      </c>
      <c r="E9" s="104">
        <v>45413</v>
      </c>
      <c r="F9" s="104">
        <v>45444</v>
      </c>
      <c r="G9" s="104">
        <v>45474</v>
      </c>
    </row>
    <row r="10" spans="1:7" x14ac:dyDescent="0.2">
      <c r="A10">
        <v>1939</v>
      </c>
      <c r="B10">
        <v>2131</v>
      </c>
      <c r="C10">
        <v>2287</v>
      </c>
      <c r="D10">
        <v>2377</v>
      </c>
      <c r="E10">
        <v>2451</v>
      </c>
      <c r="F10">
        <v>2496</v>
      </c>
      <c r="G10">
        <v>2533</v>
      </c>
    </row>
    <row r="12" spans="1:7" x14ac:dyDescent="0.2">
      <c r="A12" t="s">
        <v>133</v>
      </c>
    </row>
    <row r="13" spans="1:7" x14ac:dyDescent="0.2">
      <c r="A13" t="s">
        <v>137</v>
      </c>
    </row>
    <row r="14" spans="1:7" x14ac:dyDescent="0.2">
      <c r="A14" s="104">
        <v>45292</v>
      </c>
      <c r="B14" s="104">
        <v>45323</v>
      </c>
      <c r="C14" s="104">
        <v>45352</v>
      </c>
      <c r="D14" s="104">
        <v>45383</v>
      </c>
      <c r="E14" s="104">
        <v>45413</v>
      </c>
      <c r="F14" s="104">
        <v>45444</v>
      </c>
      <c r="G14" s="104">
        <v>45474</v>
      </c>
    </row>
    <row r="15" spans="1:7" x14ac:dyDescent="0.2">
      <c r="A15">
        <v>7.2</v>
      </c>
      <c r="B15">
        <v>7.2</v>
      </c>
      <c r="C15">
        <v>7.2</v>
      </c>
      <c r="D15">
        <v>7.2</v>
      </c>
      <c r="E15">
        <v>5.5</v>
      </c>
      <c r="F15">
        <v>5.7</v>
      </c>
      <c r="G15">
        <v>4.7</v>
      </c>
    </row>
    <row r="16" spans="1:7" x14ac:dyDescent="0.2">
      <c r="A16" t="s">
        <v>130</v>
      </c>
    </row>
    <row r="17" spans="1:7" x14ac:dyDescent="0.2">
      <c r="A17" s="104">
        <v>45292</v>
      </c>
      <c r="B17" s="104">
        <v>45323</v>
      </c>
      <c r="C17" s="104">
        <v>45352</v>
      </c>
      <c r="D17" s="104">
        <v>45383</v>
      </c>
      <c r="E17" s="104">
        <v>45413</v>
      </c>
      <c r="F17" s="104">
        <v>45444</v>
      </c>
      <c r="G17" s="104">
        <v>45474</v>
      </c>
    </row>
    <row r="18" spans="1:7" x14ac:dyDescent="0.2">
      <c r="A18" s="82">
        <v>2</v>
      </c>
      <c r="B18" s="82">
        <v>2.5</v>
      </c>
      <c r="C18" s="82">
        <v>3.1</v>
      </c>
      <c r="D18" s="82">
        <v>1.25</v>
      </c>
      <c r="E18" s="82">
        <v>1</v>
      </c>
      <c r="F18" s="82">
        <v>1.2</v>
      </c>
      <c r="G18" s="82">
        <v>1.2</v>
      </c>
    </row>
    <row r="19" spans="1:7" x14ac:dyDescent="0.2">
      <c r="A19" t="s">
        <v>82</v>
      </c>
    </row>
    <row r="20" spans="1:7" x14ac:dyDescent="0.2">
      <c r="A20" s="104">
        <v>45292</v>
      </c>
      <c r="B20" s="104">
        <v>45323</v>
      </c>
      <c r="C20" s="104">
        <v>45352</v>
      </c>
      <c r="D20" s="104">
        <v>45383</v>
      </c>
      <c r="E20" s="104">
        <v>45413</v>
      </c>
      <c r="F20" s="104">
        <v>45444</v>
      </c>
      <c r="G20" s="104">
        <v>45474</v>
      </c>
    </row>
    <row r="21" spans="1:7" x14ac:dyDescent="0.2">
      <c r="A21">
        <v>9195</v>
      </c>
      <c r="B21">
        <v>9110</v>
      </c>
      <c r="C21">
        <v>9102</v>
      </c>
      <c r="D21">
        <v>9109</v>
      </c>
      <c r="E21">
        <v>9103</v>
      </c>
      <c r="F21">
        <v>9105</v>
      </c>
      <c r="G21">
        <v>9102</v>
      </c>
    </row>
    <row r="23" spans="1:7" x14ac:dyDescent="0.2">
      <c r="A23" t="s">
        <v>144</v>
      </c>
    </row>
    <row r="24" spans="1:7" x14ac:dyDescent="0.2">
      <c r="A24" t="s">
        <v>137</v>
      </c>
    </row>
    <row r="25" spans="1:7" x14ac:dyDescent="0.2">
      <c r="A25" s="104">
        <v>45292</v>
      </c>
      <c r="B25" s="104">
        <v>45323</v>
      </c>
      <c r="C25" s="104">
        <v>45352</v>
      </c>
      <c r="D25" s="104">
        <v>45383</v>
      </c>
      <c r="E25" s="104">
        <v>45413</v>
      </c>
      <c r="F25" s="104">
        <v>45444</v>
      </c>
      <c r="G25" s="104">
        <v>45474</v>
      </c>
    </row>
    <row r="26" spans="1:7" x14ac:dyDescent="0.2">
      <c r="A26">
        <v>7.1</v>
      </c>
      <c r="B26">
        <v>7.9</v>
      </c>
      <c r="C26">
        <v>8</v>
      </c>
      <c r="D26">
        <v>8</v>
      </c>
      <c r="E26">
        <v>8</v>
      </c>
      <c r="F26">
        <v>8.8000000000000007</v>
      </c>
      <c r="G26">
        <v>10</v>
      </c>
    </row>
    <row r="27" spans="1:7" x14ac:dyDescent="0.2">
      <c r="A27" t="s">
        <v>130</v>
      </c>
    </row>
    <row r="28" spans="1:7" x14ac:dyDescent="0.2">
      <c r="A28" s="104">
        <v>45292</v>
      </c>
      <c r="B28" s="104">
        <v>45323</v>
      </c>
      <c r="C28" s="104">
        <v>45352</v>
      </c>
      <c r="D28" s="104">
        <v>45383</v>
      </c>
      <c r="E28" s="104">
        <v>45413</v>
      </c>
      <c r="F28" s="104">
        <v>45444</v>
      </c>
      <c r="G28" s="104">
        <v>45474</v>
      </c>
    </row>
    <row r="29" spans="1:7" x14ac:dyDescent="0.2">
      <c r="A29" s="82">
        <v>2.2000000000000002</v>
      </c>
      <c r="B29" s="82">
        <v>2.4</v>
      </c>
      <c r="C29" s="82">
        <v>3.4</v>
      </c>
      <c r="D29" s="82">
        <v>2.88</v>
      </c>
      <c r="E29" s="82">
        <v>1.51</v>
      </c>
      <c r="F29" s="82">
        <v>1.31</v>
      </c>
      <c r="G29" s="82">
        <v>1.26</v>
      </c>
    </row>
    <row r="31" spans="1:7" x14ac:dyDescent="0.2">
      <c r="A31" t="s">
        <v>23</v>
      </c>
    </row>
    <row r="32" spans="1:7" x14ac:dyDescent="0.2">
      <c r="A32" t="s">
        <v>137</v>
      </c>
    </row>
    <row r="33" spans="1:17" x14ac:dyDescent="0.2">
      <c r="A33" s="104">
        <v>45292</v>
      </c>
      <c r="B33" s="104">
        <v>45323</v>
      </c>
      <c r="C33" s="104">
        <v>45352</v>
      </c>
      <c r="D33" s="104">
        <v>45383</v>
      </c>
      <c r="E33" s="104">
        <v>45413</v>
      </c>
      <c r="F33" s="104">
        <v>45444</v>
      </c>
      <c r="G33" s="104">
        <v>45474</v>
      </c>
      <c r="H33" s="104">
        <v>45505</v>
      </c>
      <c r="I33" s="104">
        <v>45536</v>
      </c>
      <c r="J33" s="104">
        <v>45566</v>
      </c>
      <c r="K33" s="104">
        <v>45597</v>
      </c>
      <c r="L33" s="104">
        <v>45627</v>
      </c>
    </row>
    <row r="34" spans="1:17" x14ac:dyDescent="0.2">
      <c r="A34">
        <v>12.4</v>
      </c>
      <c r="B34">
        <v>12.4</v>
      </c>
      <c r="C34">
        <v>12.4</v>
      </c>
      <c r="D34">
        <v>12.4</v>
      </c>
      <c r="E34">
        <v>14.7</v>
      </c>
      <c r="F34">
        <v>22</v>
      </c>
      <c r="G34">
        <v>15.5</v>
      </c>
      <c r="H34">
        <v>14.5</v>
      </c>
      <c r="I34">
        <v>28.2</v>
      </c>
      <c r="J34">
        <v>29.4</v>
      </c>
      <c r="K34">
        <v>29.4</v>
      </c>
      <c r="L34">
        <v>31.5</v>
      </c>
    </row>
    <row r="35" spans="1:17" x14ac:dyDescent="0.2">
      <c r="A35" t="s">
        <v>130</v>
      </c>
    </row>
    <row r="36" spans="1:17" x14ac:dyDescent="0.2">
      <c r="A36" s="104">
        <v>45292</v>
      </c>
      <c r="B36" s="104">
        <v>45323</v>
      </c>
      <c r="C36" s="104">
        <v>45352</v>
      </c>
      <c r="D36" s="104">
        <v>45383</v>
      </c>
      <c r="E36" s="104">
        <v>45413</v>
      </c>
      <c r="F36" s="104">
        <v>45444</v>
      </c>
      <c r="G36" s="104">
        <v>45474</v>
      </c>
      <c r="H36" s="104">
        <v>45505</v>
      </c>
      <c r="I36" s="104">
        <v>45536</v>
      </c>
      <c r="J36" s="104">
        <v>45566</v>
      </c>
      <c r="K36" s="104">
        <v>45597</v>
      </c>
      <c r="L36" s="104">
        <v>45627</v>
      </c>
    </row>
    <row r="37" spans="1:17" x14ac:dyDescent="0.2">
      <c r="A37" s="82">
        <v>2.1</v>
      </c>
      <c r="B37" s="82">
        <v>2.2000000000000002</v>
      </c>
      <c r="C37" s="82">
        <v>2.6</v>
      </c>
      <c r="D37" s="82">
        <v>1.97</v>
      </c>
      <c r="E37" s="82">
        <v>1.48</v>
      </c>
      <c r="F37" s="82">
        <v>1.06</v>
      </c>
      <c r="G37" s="82">
        <v>1.17</v>
      </c>
      <c r="H37">
        <v>1.08</v>
      </c>
      <c r="I37" s="82">
        <v>1.08</v>
      </c>
      <c r="J37" s="82">
        <v>1.24</v>
      </c>
      <c r="K37" s="82">
        <v>1.6</v>
      </c>
      <c r="L37" s="82">
        <v>1.56</v>
      </c>
    </row>
    <row r="38" spans="1:17" x14ac:dyDescent="0.2">
      <c r="A38" t="s">
        <v>82</v>
      </c>
    </row>
    <row r="39" spans="1:17" x14ac:dyDescent="0.2">
      <c r="A39" s="104">
        <v>45292</v>
      </c>
      <c r="B39" s="104">
        <v>45323</v>
      </c>
      <c r="C39" s="104">
        <v>45352</v>
      </c>
      <c r="D39" s="104">
        <v>45383</v>
      </c>
      <c r="E39" s="104">
        <v>45413</v>
      </c>
      <c r="F39" s="104">
        <v>45444</v>
      </c>
      <c r="G39" s="104">
        <v>45474</v>
      </c>
      <c r="H39" s="104">
        <v>45505</v>
      </c>
      <c r="I39" s="104">
        <v>45536</v>
      </c>
      <c r="J39" s="104">
        <v>45566</v>
      </c>
      <c r="K39" s="104">
        <v>45597</v>
      </c>
      <c r="L39" s="104">
        <v>45627</v>
      </c>
    </row>
    <row r="40" spans="1:17" x14ac:dyDescent="0.2">
      <c r="A40">
        <v>7648</v>
      </c>
      <c r="B40">
        <v>8067</v>
      </c>
      <c r="C40">
        <v>8490</v>
      </c>
      <c r="D40">
        <v>8872</v>
      </c>
      <c r="E40">
        <v>9084</v>
      </c>
      <c r="F40">
        <v>9334</v>
      </c>
      <c r="G40">
        <v>9704</v>
      </c>
      <c r="H40">
        <v>10019</v>
      </c>
      <c r="I40">
        <v>10427</v>
      </c>
      <c r="J40">
        <v>10928</v>
      </c>
      <c r="K40">
        <v>11425</v>
      </c>
      <c r="L40">
        <v>17722</v>
      </c>
    </row>
    <row r="41" spans="1:17" x14ac:dyDescent="0.2">
      <c r="A41" t="s">
        <v>146</v>
      </c>
    </row>
    <row r="42" spans="1:17" x14ac:dyDescent="0.2">
      <c r="A42" s="104">
        <v>45292</v>
      </c>
      <c r="B42" s="104">
        <v>45323</v>
      </c>
      <c r="C42" s="104">
        <v>45352</v>
      </c>
      <c r="D42" s="104">
        <v>45383</v>
      </c>
      <c r="E42" s="104">
        <v>45413</v>
      </c>
      <c r="F42" s="104">
        <v>45444</v>
      </c>
      <c r="G42" s="104">
        <v>45474</v>
      </c>
      <c r="H42" s="104">
        <v>45505</v>
      </c>
      <c r="I42" s="104">
        <v>45536</v>
      </c>
      <c r="J42" s="104">
        <v>45566</v>
      </c>
      <c r="K42" s="104">
        <v>45597</v>
      </c>
      <c r="L42" s="104">
        <v>45627</v>
      </c>
    </row>
    <row r="43" spans="1:17" x14ac:dyDescent="0.2">
      <c r="A43">
        <v>41.9</v>
      </c>
      <c r="B43">
        <v>33.700000000000003</v>
      </c>
      <c r="C43">
        <v>49.4</v>
      </c>
      <c r="D43">
        <v>42.6</v>
      </c>
      <c r="E43">
        <v>24.4</v>
      </c>
      <c r="F43">
        <v>22.4</v>
      </c>
      <c r="G43">
        <v>23.9</v>
      </c>
      <c r="H43">
        <v>22.2</v>
      </c>
      <c r="I43">
        <v>21.1</v>
      </c>
      <c r="J43">
        <v>22.2</v>
      </c>
      <c r="K43">
        <v>19.2</v>
      </c>
      <c r="L43">
        <v>18.8</v>
      </c>
    </row>
    <row r="45" spans="1:17" x14ac:dyDescent="0.2">
      <c r="A45" t="s">
        <v>24</v>
      </c>
    </row>
    <row r="46" spans="1:17" x14ac:dyDescent="0.2">
      <c r="A46" t="s">
        <v>137</v>
      </c>
    </row>
    <row r="47" spans="1:17" x14ac:dyDescent="0.2">
      <c r="A47" s="104">
        <v>45292</v>
      </c>
      <c r="B47" s="104">
        <v>45323</v>
      </c>
      <c r="C47" s="104">
        <v>45352</v>
      </c>
      <c r="D47" s="104">
        <v>45383</v>
      </c>
      <c r="E47" s="104">
        <v>45413</v>
      </c>
      <c r="F47" s="104">
        <v>45444</v>
      </c>
      <c r="G47" s="104">
        <v>45474</v>
      </c>
      <c r="H47" s="104">
        <v>45505</v>
      </c>
      <c r="I47" s="104">
        <v>45536</v>
      </c>
      <c r="J47" s="104">
        <v>45566</v>
      </c>
      <c r="K47" s="104">
        <v>45597</v>
      </c>
      <c r="L47" s="104">
        <v>45627</v>
      </c>
      <c r="M47" s="104">
        <v>45658</v>
      </c>
      <c r="N47" s="104">
        <v>45689</v>
      </c>
      <c r="O47" s="104">
        <v>45717</v>
      </c>
      <c r="P47" s="104">
        <v>45748</v>
      </c>
      <c r="Q47" s="104">
        <v>45778</v>
      </c>
    </row>
    <row r="48" spans="1:17" x14ac:dyDescent="0.2">
      <c r="A48">
        <v>6.2</v>
      </c>
      <c r="B48">
        <v>7</v>
      </c>
      <c r="C48">
        <v>8</v>
      </c>
      <c r="D48">
        <v>9.4</v>
      </c>
      <c r="E48">
        <v>10</v>
      </c>
      <c r="F48">
        <v>10</v>
      </c>
      <c r="G48">
        <v>9</v>
      </c>
      <c r="H48">
        <v>16</v>
      </c>
      <c r="I48">
        <v>21</v>
      </c>
      <c r="J48">
        <v>21</v>
      </c>
      <c r="K48">
        <v>21</v>
      </c>
      <c r="L48">
        <v>31</v>
      </c>
      <c r="M48">
        <v>31</v>
      </c>
      <c r="N48">
        <v>31</v>
      </c>
      <c r="O48">
        <v>37</v>
      </c>
      <c r="P48">
        <v>40</v>
      </c>
      <c r="Q48">
        <v>41</v>
      </c>
    </row>
    <row r="49" spans="1:17" x14ac:dyDescent="0.2">
      <c r="A49" t="s">
        <v>130</v>
      </c>
    </row>
    <row r="50" spans="1:17" x14ac:dyDescent="0.2">
      <c r="A50" s="104">
        <v>45292</v>
      </c>
      <c r="B50" s="104">
        <v>45323</v>
      </c>
      <c r="C50" s="104">
        <v>45352</v>
      </c>
      <c r="D50" s="104">
        <v>45383</v>
      </c>
      <c r="E50" s="104">
        <v>45413</v>
      </c>
      <c r="F50" s="104">
        <v>45444</v>
      </c>
      <c r="G50" s="104">
        <v>45474</v>
      </c>
      <c r="H50" s="104">
        <v>45528</v>
      </c>
      <c r="I50" s="104">
        <v>45559</v>
      </c>
      <c r="J50" s="104">
        <v>45589</v>
      </c>
      <c r="K50" s="104">
        <v>45620</v>
      </c>
      <c r="L50" s="104">
        <v>45650</v>
      </c>
      <c r="M50" s="104">
        <v>45681</v>
      </c>
      <c r="N50" s="104">
        <v>45712</v>
      </c>
      <c r="O50" s="104">
        <v>45740</v>
      </c>
      <c r="P50" s="104">
        <v>45771</v>
      </c>
      <c r="Q50" s="104">
        <v>45801</v>
      </c>
    </row>
    <row r="51" spans="1:17" x14ac:dyDescent="0.2">
      <c r="A51" s="82">
        <v>2.5</v>
      </c>
      <c r="B51" s="82">
        <v>2.4</v>
      </c>
      <c r="C51" s="82">
        <v>3.3</v>
      </c>
      <c r="D51" s="82">
        <v>2.68</v>
      </c>
      <c r="E51" s="82">
        <v>1.55</v>
      </c>
      <c r="F51" s="82">
        <v>1.57</v>
      </c>
      <c r="G51" s="82">
        <v>1.37</v>
      </c>
      <c r="H51" s="82">
        <v>1.37</v>
      </c>
      <c r="I51" s="82">
        <v>1.37</v>
      </c>
      <c r="J51" s="82">
        <v>1.52</v>
      </c>
      <c r="K51" s="82">
        <v>1.5</v>
      </c>
      <c r="L51" s="82">
        <v>1.6</v>
      </c>
      <c r="M51" s="82">
        <v>1.7</v>
      </c>
      <c r="N51" s="82">
        <v>1.3</v>
      </c>
      <c r="O51" s="82">
        <v>1.4</v>
      </c>
      <c r="P51" s="82">
        <v>1.6</v>
      </c>
      <c r="Q51" s="82">
        <v>1.6</v>
      </c>
    </row>
    <row r="52" spans="1:17" x14ac:dyDescent="0.2">
      <c r="A52" t="s">
        <v>146</v>
      </c>
    </row>
    <row r="53" spans="1:17" x14ac:dyDescent="0.2">
      <c r="A53" s="104">
        <v>45292</v>
      </c>
      <c r="B53" s="104">
        <v>45323</v>
      </c>
      <c r="C53" s="104">
        <v>45352</v>
      </c>
      <c r="D53" s="104">
        <v>45383</v>
      </c>
      <c r="E53" s="104">
        <v>45413</v>
      </c>
      <c r="F53" s="104">
        <v>45444</v>
      </c>
      <c r="G53" s="104">
        <v>45474</v>
      </c>
      <c r="H53" s="104">
        <v>45528</v>
      </c>
      <c r="I53" s="104">
        <v>45559</v>
      </c>
      <c r="J53" s="104">
        <v>45589</v>
      </c>
      <c r="K53" s="104">
        <v>45620</v>
      </c>
      <c r="L53" s="104">
        <v>45650</v>
      </c>
      <c r="M53" s="104">
        <v>45681</v>
      </c>
      <c r="N53" s="104">
        <v>45712</v>
      </c>
      <c r="O53" s="104">
        <v>45740</v>
      </c>
      <c r="P53" s="104">
        <v>45771</v>
      </c>
      <c r="Q53" s="104">
        <v>45801</v>
      </c>
    </row>
    <row r="54" spans="1:17" x14ac:dyDescent="0.2">
      <c r="A54">
        <v>60.4</v>
      </c>
      <c r="B54">
        <v>49.2</v>
      </c>
      <c r="C54">
        <v>49.7</v>
      </c>
      <c r="D54">
        <v>43.5</v>
      </c>
      <c r="E54">
        <v>24.4</v>
      </c>
      <c r="F54">
        <v>25</v>
      </c>
      <c r="G54">
        <v>24.6</v>
      </c>
      <c r="H54">
        <v>22.4</v>
      </c>
      <c r="I54">
        <v>21</v>
      </c>
      <c r="J54">
        <v>22.1</v>
      </c>
      <c r="K54">
        <v>19.2</v>
      </c>
      <c r="L54">
        <v>18.8</v>
      </c>
      <c r="M54">
        <v>18</v>
      </c>
      <c r="N54">
        <v>16</v>
      </c>
      <c r="O54">
        <v>17.600000000000001</v>
      </c>
      <c r="P54">
        <v>15.8</v>
      </c>
      <c r="Q54">
        <v>16.3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depth</vt:lpstr>
      <vt:lpstr>snapshot</vt:lpstr>
      <vt:lpstr>Hive </vt:lpstr>
      <vt:lpstr>Hut8</vt:lpstr>
      <vt:lpstr>Wulf</vt:lpstr>
      <vt:lpstr>Cipher</vt:lpstr>
      <vt:lpstr>RIOT</vt:lpstr>
      <vt:lpstr>IREN</vt:lpstr>
      <vt:lpstr>BTBT</vt:lpstr>
      <vt:lpstr>Cathedra</vt:lpstr>
      <vt:lpstr>monthly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Preston P Acosta</dc:creator>
  <cp:lastModifiedBy>Preston Acosta</cp:lastModifiedBy>
  <dcterms:created xsi:type="dcterms:W3CDTF">2024-03-17T14:56:44Z</dcterms:created>
  <dcterms:modified xsi:type="dcterms:W3CDTF">2025-06-12T21:28:52Z</dcterms:modified>
</cp:coreProperties>
</file>