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e\CardGenerator\CardFormatter\Data\GrabTheLoot\"/>
    </mc:Choice>
  </mc:AlternateContent>
  <xr:revisionPtr revIDLastSave="0" documentId="13_ncr:1_{68505829-0191-499F-A16A-16472E6867C4}" xr6:coauthVersionLast="47" xr6:coauthVersionMax="47" xr10:uidLastSave="{00000000-0000-0000-0000-000000000000}"/>
  <bookViews>
    <workbookView xWindow="-120" yWindow="-120" windowWidth="29040" windowHeight="15840" xr2:uid="{79725DE3-6D53-49B9-814B-782ED499B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R8" i="1"/>
  <c r="I8" i="1"/>
  <c r="N8" i="1"/>
  <c r="H7" i="1"/>
  <c r="R18" i="1"/>
  <c r="M18" i="1"/>
  <c r="S18" i="1"/>
  <c r="N18" i="1"/>
  <c r="H18" i="1"/>
  <c r="I18" i="1"/>
  <c r="S17" i="1"/>
  <c r="R17" i="1"/>
  <c r="N17" i="1"/>
  <c r="M17" i="1"/>
  <c r="I17" i="1"/>
  <c r="H17" i="1"/>
  <c r="H13" i="1"/>
  <c r="I13" i="1"/>
  <c r="R10" i="1"/>
  <c r="S10" i="1"/>
  <c r="R9" i="1"/>
  <c r="N9" i="1"/>
  <c r="M9" i="1"/>
  <c r="S9" i="1"/>
  <c r="R7" i="1"/>
  <c r="S7" i="1"/>
  <c r="R6" i="1"/>
  <c r="S6" i="1"/>
  <c r="M6" i="1"/>
  <c r="N6" i="1"/>
  <c r="H6" i="1"/>
  <c r="I6" i="1"/>
  <c r="M4" i="1"/>
  <c r="R4" i="1"/>
  <c r="S4" i="1"/>
  <c r="R2" i="1"/>
  <c r="S2" i="1"/>
  <c r="N10" i="1"/>
  <c r="N2" i="1"/>
  <c r="N7" i="1"/>
  <c r="R21" i="1"/>
  <c r="R19" i="1"/>
  <c r="M21" i="1"/>
  <c r="M20" i="1"/>
  <c r="M19" i="1"/>
  <c r="R16" i="1"/>
  <c r="S16" i="1"/>
  <c r="M16" i="1"/>
  <c r="N16" i="1"/>
  <c r="S15" i="1"/>
  <c r="R15" i="1"/>
  <c r="M15" i="1"/>
  <c r="N15" i="1"/>
  <c r="H15" i="1"/>
  <c r="I14" i="1"/>
  <c r="R13" i="1"/>
  <c r="S13" i="1"/>
  <c r="N13" i="1"/>
  <c r="M13" i="1"/>
  <c r="H14" i="1"/>
  <c r="R14" i="1"/>
  <c r="S14" i="1"/>
  <c r="M14" i="1"/>
  <c r="N14" i="1"/>
  <c r="N12" i="1"/>
  <c r="M12" i="1"/>
  <c r="S11" i="1"/>
  <c r="N11" i="1"/>
  <c r="I11" i="1"/>
  <c r="M10" i="1"/>
  <c r="N21" i="1" l="1"/>
  <c r="L21" i="1" s="1"/>
  <c r="N19" i="1"/>
  <c r="L19" i="1" s="1"/>
  <c r="H10" i="1"/>
  <c r="M7" i="1"/>
  <c r="K16" i="1"/>
  <c r="K15" i="1"/>
  <c r="K13" i="1"/>
  <c r="K12" i="1"/>
  <c r="K11" i="1"/>
  <c r="K9" i="1"/>
  <c r="P20" i="1"/>
  <c r="P12" i="1"/>
  <c r="P3" i="1"/>
  <c r="I5" i="1"/>
  <c r="N4" i="1"/>
  <c r="K4" i="1" s="1"/>
  <c r="K2" i="1"/>
  <c r="M2" i="1"/>
  <c r="L6" i="1"/>
  <c r="H21" i="1"/>
  <c r="H19" i="1"/>
  <c r="H9" i="1"/>
  <c r="F9" i="1" s="1"/>
  <c r="I9" i="1"/>
  <c r="F8" i="1"/>
  <c r="F17" i="1"/>
  <c r="R3" i="1"/>
  <c r="S3" i="1"/>
  <c r="M3" i="1"/>
  <c r="N3" i="1"/>
  <c r="K3" i="1" s="1"/>
  <c r="I3" i="1"/>
  <c r="H3" i="1"/>
  <c r="F3" i="1" s="1"/>
  <c r="F14" i="1"/>
  <c r="F11" i="1"/>
  <c r="F20" i="1"/>
  <c r="I4" i="1"/>
  <c r="F4" i="1" s="1"/>
  <c r="B21" i="1"/>
  <c r="B24" i="1"/>
  <c r="B23" i="1"/>
  <c r="B22" i="1"/>
  <c r="L20" i="1"/>
  <c r="G20" i="1"/>
  <c r="P16" i="1"/>
  <c r="H16" i="1"/>
  <c r="F16" i="1" s="1"/>
  <c r="P15" i="1"/>
  <c r="S12" i="1"/>
  <c r="Q12" i="1" s="1"/>
  <c r="Q20" i="1"/>
  <c r="R12" i="1"/>
  <c r="N5" i="1"/>
  <c r="K5" i="1" s="1"/>
  <c r="K20" i="1"/>
  <c r="M8" i="1"/>
  <c r="K8" i="1" s="1"/>
  <c r="K18" i="1"/>
  <c r="I16" i="1"/>
  <c r="I15" i="1"/>
  <c r="F15" i="1" s="1"/>
  <c r="I12" i="1"/>
  <c r="F12" i="1" s="1"/>
  <c r="I10" i="1"/>
  <c r="P10" i="1" s="1"/>
  <c r="I7" i="1"/>
  <c r="F7" i="1" s="1"/>
  <c r="I2" i="1"/>
  <c r="F2" i="1" s="1"/>
  <c r="H12" i="1"/>
  <c r="K21" i="1" l="1"/>
  <c r="S19" i="1"/>
  <c r="P19" i="1" s="1"/>
  <c r="F6" i="1"/>
  <c r="K7" i="1"/>
  <c r="I21" i="1"/>
  <c r="K19" i="1"/>
  <c r="F10" i="1"/>
  <c r="K6" i="1"/>
  <c r="P6" i="1"/>
  <c r="F5" i="1"/>
  <c r="I19" i="1"/>
  <c r="P13" i="1"/>
  <c r="F13" i="1"/>
  <c r="P14" i="1"/>
  <c r="F18" i="1"/>
  <c r="P17" i="1"/>
  <c r="G17" i="1"/>
  <c r="Q10" i="1"/>
  <c r="G3" i="1"/>
  <c r="G8" i="1"/>
  <c r="K10" i="1"/>
  <c r="G15" i="1"/>
  <c r="G16" i="1"/>
  <c r="G4" i="1"/>
  <c r="G5" i="1"/>
  <c r="L9" i="1"/>
  <c r="P4" i="1"/>
  <c r="G6" i="1"/>
  <c r="G18" i="1"/>
  <c r="G7" i="1"/>
  <c r="L12" i="1"/>
  <c r="P18" i="1"/>
  <c r="G10" i="1"/>
  <c r="L2" i="1"/>
  <c r="S5" i="1"/>
  <c r="P5" i="1" s="1"/>
  <c r="G11" i="1"/>
  <c r="L3" i="1"/>
  <c r="L15" i="1"/>
  <c r="P2" i="1"/>
  <c r="G9" i="1"/>
  <c r="G12" i="1"/>
  <c r="L4" i="1"/>
  <c r="L16" i="1"/>
  <c r="G13" i="1"/>
  <c r="L5" i="1"/>
  <c r="G2" i="1"/>
  <c r="G14" i="1"/>
  <c r="L18" i="1"/>
  <c r="P7" i="1"/>
  <c r="P9" i="1"/>
  <c r="K14" i="1"/>
  <c r="P11" i="1"/>
  <c r="K17" i="1"/>
  <c r="P8" i="1" l="1"/>
  <c r="S21" i="1"/>
  <c r="Q19" i="1"/>
  <c r="L10" i="1"/>
  <c r="Q6" i="1"/>
  <c r="Q13" i="1"/>
  <c r="Q14" i="1"/>
  <c r="Q17" i="1"/>
  <c r="Q15" i="1"/>
  <c r="Q5" i="1"/>
  <c r="Q8" i="1"/>
  <c r="Q16" i="1"/>
  <c r="Q9" i="1"/>
  <c r="Q4" i="1"/>
  <c r="L11" i="1"/>
  <c r="Q2" i="1"/>
  <c r="Q7" i="1"/>
  <c r="Q18" i="1"/>
  <c r="Q11" i="1"/>
  <c r="Q3" i="1"/>
  <c r="L17" i="1"/>
  <c r="L14" i="1"/>
  <c r="L7" i="1"/>
  <c r="L13" i="1"/>
  <c r="L8" i="1"/>
  <c r="F19" i="1"/>
  <c r="F21" i="1"/>
  <c r="G19" i="1"/>
  <c r="Q21" i="1" l="1"/>
  <c r="P21" i="1"/>
  <c r="G21" i="1"/>
</calcChain>
</file>

<file path=xl/sharedStrings.xml><?xml version="1.0" encoding="utf-8"?>
<sst xmlns="http://schemas.openxmlformats.org/spreadsheetml/2006/main" count="105" uniqueCount="103">
  <si>
    <t>You Pick Gain Treasure Values:</t>
  </si>
  <si>
    <t>Opponent Give Treasure Values:</t>
  </si>
  <si>
    <t>You Pick Lose Treasure Values:</t>
  </si>
  <si>
    <t>Opponent Pick Lose Treasure Values:</t>
  </si>
  <si>
    <t>Anyone move to/from Captain's Loot:</t>
  </si>
  <si>
    <t>You Pick Opponent Gain Treasure Values:</t>
  </si>
  <si>
    <t>Opponent Pick And Gain Treasure Values:</t>
  </si>
  <si>
    <t>You Pick Opponent Lose Treasure Values:</t>
  </si>
  <si>
    <t>Opponent Pick and Lose Treasure Values:</t>
  </si>
  <si>
    <t>You Pick You Bury Treasure Values:</t>
  </si>
  <si>
    <t>You Pick Opponent Bury Treasure Values:</t>
  </si>
  <si>
    <t>Opponent Pick You Bury Treasure Values:</t>
  </si>
  <si>
    <t>Opponent Pick Opponent Bury Treasure Values:</t>
  </si>
  <si>
    <t>Look at cards from the greed deck:</t>
  </si>
  <si>
    <t>???</t>
  </si>
  <si>
    <t>reveal behavior cards:</t>
  </si>
  <si>
    <t>add or remove captain cube:</t>
  </si>
  <si>
    <t>gain an item:</t>
  </si>
  <si>
    <t>swap an item:</t>
  </si>
  <si>
    <t>bury a treasure:</t>
  </si>
  <si>
    <t>gain a coin:</t>
  </si>
  <si>
    <t>name</t>
  </si>
  <si>
    <t>coin</t>
  </si>
  <si>
    <t>item</t>
  </si>
  <si>
    <t>treasure</t>
  </si>
  <si>
    <t>generic actions</t>
  </si>
  <si>
    <t>rule1of3</t>
  </si>
  <si>
    <t>shouldCost1</t>
  </si>
  <si>
    <t>1cost</t>
  </si>
  <si>
    <t>1value</t>
  </si>
  <si>
    <t>rule2of3</t>
  </si>
  <si>
    <t>shouldCost2</t>
  </si>
  <si>
    <t>2cost</t>
  </si>
  <si>
    <t>2value</t>
  </si>
  <si>
    <t>rule3of3</t>
  </si>
  <si>
    <t>shouldCost3</t>
  </si>
  <si>
    <t>3cost</t>
  </si>
  <si>
    <t>3value</t>
  </si>
  <si>
    <t>: Gain an item.</t>
  </si>
  <si>
    <t>Lose 1 item: +5{coin}.</t>
  </si>
  <si>
    <t>: +3{coin}.</t>
  </si>
  <si>
    <t>: +4{coin}.</t>
  </si>
  <si>
    <t>-1{coin}: Gain an item, Swap an item.</t>
  </si>
  <si>
    <t>-2{coin}: Gain an item, Swap 2 items.</t>
  </si>
  <si>
    <t>-3{coin}: Gain an item, Swap 3 items.</t>
  </si>
  <si>
    <t>Give a player 1{coin}: they give you an item.</t>
  </si>
  <si>
    <t>: look at the bottom card of the Greed deck.</t>
  </si>
  <si>
    <t>-1{coin}: look at the bottom 2 cards of the Greed deck.</t>
  </si>
  <si>
    <t>diff1</t>
  </si>
  <si>
    <t>diff3</t>
  </si>
  <si>
    <t>diff2</t>
  </si>
  <si>
    <t>: Bury an item then Swap a treasure</t>
  </si>
  <si>
    <t>: +2{coin}. Choose a player. Trade a treasure with that player.</t>
  </si>
  <si>
    <t>Lose 2 item: +7{coin}.</t>
  </si>
  <si>
    <t>Lose 3 items: +9{coin}.</t>
  </si>
  <si>
    <t>You Pick Add/remove Greed Values:</t>
  </si>
  <si>
    <t>Opponent Add/remove Greed Values:</t>
  </si>
  <si>
    <t>: Add 2 treasure from the Captain's loot to the Greed.</t>
  </si>
  <si>
    <t>Give a player 2{coin}: Add 2 treasures from their loot to the Greed.</t>
  </si>
  <si>
    <t>-1{coin}: reveal the next behavior card. Take another turn.</t>
  </si>
  <si>
    <t>-1{coin}: Add or Remove a Captain cube then take another turn.</t>
  </si>
  <si>
    <t>-3{coin}: Gain 2 items.</t>
  </si>
  <si>
    <t>: +2{coin}.</t>
  </si>
  <si>
    <t>Put 6{coin} in the Greed: Gain 2 treasures from the Greed.</t>
  </si>
  <si>
    <t>-1{coin}: Add 3 treasures from the Captain's loot to the Greed.</t>
  </si>
  <si>
    <t>Give a player 1{coin}: Take an item from them.</t>
  </si>
  <si>
    <t>Give a player 4{coin}: Take 2 items from them.</t>
  </si>
  <si>
    <t>:+2{coin}. Choose a player. Trade 2 treasures with that player.</t>
  </si>
  <si>
    <t>:+2{coin}. Choose a player. Trade 3 treasures with that player.</t>
  </si>
  <si>
    <t>Add 1 treasure to the Greed: Bury 3 treasure.</t>
  </si>
  <si>
    <t>-6{coin}:Swap 2 treasures with 2 in the Greed.</t>
  </si>
  <si>
    <t>-10{coin}:Swap 3 treasures with 3 in the Greed.</t>
  </si>
  <si>
    <t>-2{coin}:Swap a treasure with 1 in the Greed.</t>
  </si>
  <si>
    <t>Add 2 treasure to the Greed: Bury 3 treasure.</t>
  </si>
  <si>
    <t>A player may bury 2 items: Take 3{coin}s from that player.</t>
  </si>
  <si>
    <t>A player may bury {coin}: Take 2{coin}s from that player.</t>
  </si>
  <si>
    <t>A player may bury 4 treasures: Take 4{coin}s from that player.</t>
  </si>
  <si>
    <t>Give a player 3{coin}s: they give you 2 items.</t>
  </si>
  <si>
    <t>Give a player 5{coin}s: they give you 3 items.</t>
  </si>
  <si>
    <t>Add 1 treasure to the Greed: +3{coin}.</t>
  </si>
  <si>
    <t>Add 2 treasure to the Greed: +3{coin}.</t>
  </si>
  <si>
    <t>-2{coin}: reveal the next 2 behavior cards. Take another turn.</t>
  </si>
  <si>
    <t>-2{coin}: Add or remove 2 Captain cubes then take another turn.</t>
  </si>
  <si>
    <t>-3{coin}: reveal the next 3 behavior cards. Take another turn.</t>
  </si>
  <si>
    <t>-2{coin}: look at the bottom 3 cards of the Greed deck.</t>
  </si>
  <si>
    <t>-3{coin}: Add or remove 3 Captain cubes then take another turn.</t>
  </si>
  <si>
    <t>-6{coin}: Gain 3 items.</t>
  </si>
  <si>
    <t>-4{coin}: Swap 3 treasures.</t>
  </si>
  <si>
    <t>-2{coin}: Swap 2 treasures.</t>
  </si>
  <si>
    <t>A player may bury {coin}: Swap 2 items with them.</t>
  </si>
  <si>
    <t>Give a player a {coin}: Swap 3 items with them.</t>
  </si>
  <si>
    <t>Give a player 2 {coin}s: Swap 4 items with them.</t>
  </si>
  <si>
    <t>Put 10{coin} in the Greed: Gain 3 treasures from the Greed.</t>
  </si>
  <si>
    <t>Give a player 4{coin}: Add 3 treasures from their loot to the Greed.</t>
  </si>
  <si>
    <t>Give a player 6{coin}: Add 4 treasures from their loot to the Greed.</t>
  </si>
  <si>
    <t>Give a player 7{coin}: Take 3 items from them.</t>
  </si>
  <si>
    <t>: Bury 3 treasure.</t>
  </si>
  <si>
    <t>-1{coin}: Bury 4 treasures.</t>
  </si>
  <si>
    <t>-2{coin}: Bury 5 treasures.</t>
  </si>
  <si>
    <t>-3{coin}: Bury 6 treasures.</t>
  </si>
  <si>
    <t>Add 3 treasure to the Greed: +3{coin}.</t>
  </si>
  <si>
    <t>Put 2{coin} in the Greed: Gain a treasure from the Greed.</t>
  </si>
  <si>
    <t>-2{coin}: Add 4 treasures from the Captain's loot to the Greed.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</si>
</sst>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0" fontId="0" fillId="0" borderId="10" xfId="0" quotePrefix="1" applyBorder="1"/>
    <xf numFmtId="0" fontId="0" fillId="0" borderId="11" xfId="0" applyBorder="1"/>
    <xf numFmtId="0" fontId="0" fillId="0" borderId="10" xfId="0" quotePrefix="1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B5E7-FDF5-450F-99CB-093B6C3B4E0E}">
  <dimension ref="A1:S24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O8" sqref="O8"/>
    </sheetView>
  </sheetViews>
  <sheetFormatPr defaultRowHeight="15" x14ac:dyDescent="0.25"/>
  <cols>
    <col min="1" max="1" width="30" customWidth="1"/>
    <col min="2" max="2" width="4.7109375" customWidth="1"/>
    <col min="3" max="3" width="5.42578125" customWidth="1"/>
    <col min="4" max="4" width="5.28515625" customWidth="1"/>
    <col min="5" max="5" width="67.7109375" style="3" bestFit="1" customWidth="1"/>
    <col min="6" max="6" width="6.42578125" style="4" customWidth="1"/>
    <col min="7" max="7" width="6.140625" style="4" customWidth="1"/>
    <col min="8" max="8" width="5.42578125" style="4" bestFit="1" customWidth="1"/>
    <col min="9" max="9" width="6.7109375" style="7" bestFit="1" customWidth="1"/>
    <col min="10" max="10" width="62.85546875" style="3" customWidth="1"/>
    <col min="11" max="11" width="5.5703125" style="4" customWidth="1"/>
    <col min="12" max="12" width="6.28515625" style="4" bestFit="1" customWidth="1"/>
    <col min="13" max="13" width="5.5703125" style="4" bestFit="1" customWidth="1"/>
    <col min="14" max="14" width="6.85546875" style="7" bestFit="1" customWidth="1"/>
    <col min="15" max="15" width="55.28515625" customWidth="1"/>
    <col min="16" max="16" width="6.140625" customWidth="1"/>
    <col min="17" max="17" width="6.7109375" style="2" bestFit="1" customWidth="1"/>
    <col min="18" max="18" width="5.5703125" bestFit="1" customWidth="1"/>
    <col min="19" max="19" width="6.85546875" style="7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s="3" t="s">
        <v>26</v>
      </c>
      <c r="F1" s="4" t="s">
        <v>27</v>
      </c>
      <c r="G1" s="4" t="s">
        <v>48</v>
      </c>
      <c r="H1" s="4" t="s">
        <v>28</v>
      </c>
      <c r="I1" s="7" t="s">
        <v>29</v>
      </c>
      <c r="J1" s="3" t="s">
        <v>30</v>
      </c>
      <c r="K1" s="4" t="s">
        <v>31</v>
      </c>
      <c r="L1" s="4" t="s">
        <v>50</v>
      </c>
      <c r="M1" s="4" t="s">
        <v>32</v>
      </c>
      <c r="N1" s="7" t="s">
        <v>33</v>
      </c>
      <c r="O1" s="2" t="s">
        <v>34</v>
      </c>
      <c r="P1" s="2" t="s">
        <v>35</v>
      </c>
      <c r="Q1" s="2" t="s">
        <v>49</v>
      </c>
      <c r="R1" s="2" t="s">
        <v>36</v>
      </c>
      <c r="S1" s="7" t="s">
        <v>37</v>
      </c>
    </row>
    <row r="2" spans="1:19" x14ac:dyDescent="0.25">
      <c r="A2" t="s">
        <v>0</v>
      </c>
      <c r="B2">
        <v>1</v>
      </c>
      <c r="C2">
        <v>3</v>
      </c>
      <c r="D2">
        <v>3.2</v>
      </c>
      <c r="E2" s="3" t="s">
        <v>38</v>
      </c>
      <c r="F2" s="5">
        <f>I2-3-H2</f>
        <v>0</v>
      </c>
      <c r="G2" s="4">
        <f>I2-H2</f>
        <v>3</v>
      </c>
      <c r="H2" s="4">
        <v>0</v>
      </c>
      <c r="I2" s="7">
        <f>$C$2</f>
        <v>3</v>
      </c>
      <c r="J2" s="6" t="s">
        <v>61</v>
      </c>
      <c r="K2" s="5">
        <f>N2-3-M2</f>
        <v>0</v>
      </c>
      <c r="L2" s="4">
        <f>N2-M2</f>
        <v>3</v>
      </c>
      <c r="M2" s="4">
        <f>$B$4*3*-1</f>
        <v>3</v>
      </c>
      <c r="N2" s="7">
        <f>$I$2*2</f>
        <v>6</v>
      </c>
      <c r="O2" s="8" t="s">
        <v>86</v>
      </c>
      <c r="P2" s="5">
        <f>S2-3-R2</f>
        <v>0</v>
      </c>
      <c r="Q2" s="2">
        <f>S2-R2</f>
        <v>3</v>
      </c>
      <c r="R2" s="4">
        <f>$B$4*6*-1</f>
        <v>6</v>
      </c>
      <c r="S2" s="7">
        <f>$I$2*3</f>
        <v>9</v>
      </c>
    </row>
    <row r="3" spans="1:19" x14ac:dyDescent="0.25">
      <c r="A3" t="s">
        <v>1</v>
      </c>
      <c r="B3">
        <v>1</v>
      </c>
      <c r="C3">
        <v>2</v>
      </c>
      <c r="D3">
        <v>0.8</v>
      </c>
      <c r="E3" s="3" t="s">
        <v>39</v>
      </c>
      <c r="F3" s="5">
        <f t="shared" ref="F2:F21" si="0">I3-3-H3</f>
        <v>0</v>
      </c>
      <c r="G3" s="4">
        <f t="shared" ref="G3:G21" si="1">I3-H3</f>
        <v>3</v>
      </c>
      <c r="H3" s="4">
        <f>$C$4*-1</f>
        <v>2</v>
      </c>
      <c r="I3" s="7">
        <f>5*$B$2</f>
        <v>5</v>
      </c>
      <c r="J3" s="3" t="s">
        <v>53</v>
      </c>
      <c r="K3" s="5">
        <f t="shared" ref="K2:K21" si="2">N3-3-M3</f>
        <v>0</v>
      </c>
      <c r="L3" s="4">
        <f t="shared" ref="L3:L21" si="3">N3-M3</f>
        <v>3</v>
      </c>
      <c r="M3" s="4">
        <f>$C$4*-1*2</f>
        <v>4</v>
      </c>
      <c r="N3" s="7">
        <f>7*$B$2</f>
        <v>7</v>
      </c>
      <c r="O3" s="2" t="s">
        <v>54</v>
      </c>
      <c r="P3" s="5">
        <f t="shared" ref="P3:P21" si="4">S3-3-R3</f>
        <v>0</v>
      </c>
      <c r="Q3" s="2">
        <f t="shared" ref="Q3:Q21" si="5">S3-R3</f>
        <v>3</v>
      </c>
      <c r="R3" s="2">
        <f>$C$4*-1*3</f>
        <v>6</v>
      </c>
      <c r="S3" s="7">
        <f>9*$B$2</f>
        <v>9</v>
      </c>
    </row>
    <row r="4" spans="1:19" x14ac:dyDescent="0.25">
      <c r="A4" t="s">
        <v>2</v>
      </c>
      <c r="B4">
        <v>-1</v>
      </c>
      <c r="C4">
        <v>-2</v>
      </c>
      <c r="D4">
        <v>-0.8</v>
      </c>
      <c r="E4" s="3" t="s">
        <v>51</v>
      </c>
      <c r="F4" s="5">
        <f t="shared" si="0"/>
        <v>4.4408920985006262E-16</v>
      </c>
      <c r="G4" s="4">
        <f t="shared" si="1"/>
        <v>3.0000000000000004</v>
      </c>
      <c r="H4" s="4">
        <v>0</v>
      </c>
      <c r="I4" s="7">
        <f>$D$2+$D$4+$C$13</f>
        <v>3.0000000000000004</v>
      </c>
      <c r="J4" s="6" t="s">
        <v>88</v>
      </c>
      <c r="K4" s="5">
        <f t="shared" si="2"/>
        <v>-0.19999999999999929</v>
      </c>
      <c r="L4" s="4">
        <f t="shared" si="3"/>
        <v>2.8000000000000007</v>
      </c>
      <c r="M4" s="4">
        <f>$B$4*2*-1</f>
        <v>2</v>
      </c>
      <c r="N4" s="7">
        <f>($D$2+$D$4)*2</f>
        <v>4.8000000000000007</v>
      </c>
      <c r="O4" s="8" t="s">
        <v>87</v>
      </c>
      <c r="P4" s="5">
        <f t="shared" si="4"/>
        <v>0.20000000000000107</v>
      </c>
      <c r="Q4" s="2">
        <f t="shared" si="5"/>
        <v>3.2000000000000011</v>
      </c>
      <c r="R4" s="4">
        <f>$B$4*4*-1</f>
        <v>4</v>
      </c>
      <c r="S4" s="7">
        <f>($D$2+$D$4)*3</f>
        <v>7.2000000000000011</v>
      </c>
    </row>
    <row r="5" spans="1:19" x14ac:dyDescent="0.25">
      <c r="A5" t="s">
        <v>3</v>
      </c>
      <c r="B5">
        <v>-1</v>
      </c>
      <c r="C5">
        <v>-3</v>
      </c>
      <c r="D5">
        <v>-3.2</v>
      </c>
      <c r="E5" s="3" t="s">
        <v>62</v>
      </c>
      <c r="F5" s="5">
        <f t="shared" si="0"/>
        <v>-1</v>
      </c>
      <c r="G5" s="4">
        <f t="shared" si="1"/>
        <v>2</v>
      </c>
      <c r="H5" s="4">
        <v>0</v>
      </c>
      <c r="I5" s="7">
        <f>2*$B$2</f>
        <v>2</v>
      </c>
      <c r="J5" s="3" t="s">
        <v>40</v>
      </c>
      <c r="K5" s="5">
        <f t="shared" si="2"/>
        <v>0</v>
      </c>
      <c r="L5" s="4">
        <f t="shared" si="3"/>
        <v>3</v>
      </c>
      <c r="M5" s="4">
        <v>0</v>
      </c>
      <c r="N5" s="7">
        <f>3*$B$2</f>
        <v>3</v>
      </c>
      <c r="O5" s="2" t="s">
        <v>41</v>
      </c>
      <c r="P5" s="5">
        <f t="shared" si="4"/>
        <v>1</v>
      </c>
      <c r="Q5" s="2">
        <f t="shared" si="5"/>
        <v>4</v>
      </c>
      <c r="R5" s="2">
        <v>0</v>
      </c>
      <c r="S5" s="7">
        <f>I5*2</f>
        <v>4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 s="3" t="s">
        <v>89</v>
      </c>
      <c r="F6" s="5">
        <f t="shared" si="0"/>
        <v>-2.7755575615628914E-16</v>
      </c>
      <c r="G6" s="4">
        <f t="shared" si="1"/>
        <v>2.9999999999999996</v>
      </c>
      <c r="H6" s="4">
        <f>$B$16*-1</f>
        <v>0.2</v>
      </c>
      <c r="I6" s="7">
        <f>($C$2+$C$9+$C$4+$C$7)*2</f>
        <v>3.1999999999999997</v>
      </c>
      <c r="J6" s="3" t="s">
        <v>90</v>
      </c>
      <c r="K6" s="5">
        <f>N6-3-M6</f>
        <v>0.19999999999999973</v>
      </c>
      <c r="L6" s="4">
        <f>N6-M6</f>
        <v>3.1999999999999997</v>
      </c>
      <c r="M6" s="4">
        <f>($B$4+$B$7)*1*-1</f>
        <v>1.6</v>
      </c>
      <c r="N6" s="7">
        <f>($C$2+$C$9+$C$4+$C$7)*3</f>
        <v>4.8</v>
      </c>
      <c r="O6" s="3" t="s">
        <v>91</v>
      </c>
      <c r="P6" s="5">
        <f>S6-3-R6</f>
        <v>0.19999999999999929</v>
      </c>
      <c r="Q6" s="2">
        <f t="shared" si="5"/>
        <v>3.1999999999999993</v>
      </c>
      <c r="R6" s="4">
        <f>($B$4+$B$7)*2*-1</f>
        <v>3.2</v>
      </c>
      <c r="S6" s="7">
        <f>($C$2+$C$9+$C$4+$C$7)*4</f>
        <v>6.3999999999999995</v>
      </c>
    </row>
    <row r="7" spans="1:19" x14ac:dyDescent="0.25">
      <c r="A7" t="s">
        <v>5</v>
      </c>
      <c r="B7">
        <v>-0.6</v>
      </c>
      <c r="C7">
        <v>-1.2</v>
      </c>
      <c r="D7">
        <v>-0.6</v>
      </c>
      <c r="E7" s="3" t="s">
        <v>101</v>
      </c>
      <c r="F7" s="5">
        <f t="shared" si="0"/>
        <v>-0.60000000000000009</v>
      </c>
      <c r="G7" s="4">
        <f t="shared" si="1"/>
        <v>2.4</v>
      </c>
      <c r="H7" s="4">
        <f>($B$4+$B$11)*-2</f>
        <v>1.6</v>
      </c>
      <c r="I7" s="7">
        <f>3+$D$11</f>
        <v>4</v>
      </c>
      <c r="J7" s="3" t="s">
        <v>63</v>
      </c>
      <c r="K7" s="5">
        <f t="shared" si="2"/>
        <v>0.19999999999999929</v>
      </c>
      <c r="L7" s="4">
        <f t="shared" si="3"/>
        <v>3.1999999999999993</v>
      </c>
      <c r="M7" s="4">
        <f>-1*($B$4+$B$11)*6</f>
        <v>4.8000000000000007</v>
      </c>
      <c r="N7" s="7">
        <f>$I$7*2</f>
        <v>8</v>
      </c>
      <c r="O7" s="9" t="s">
        <v>92</v>
      </c>
      <c r="P7" s="5">
        <f t="shared" si="4"/>
        <v>1</v>
      </c>
      <c r="Q7" s="2">
        <f t="shared" si="5"/>
        <v>4</v>
      </c>
      <c r="R7" s="4">
        <f>-1*($B$4+$B$11)*10</f>
        <v>8</v>
      </c>
      <c r="S7" s="7">
        <f>$I$7*3</f>
        <v>12</v>
      </c>
    </row>
    <row r="8" spans="1:19" x14ac:dyDescent="0.25">
      <c r="A8" t="s">
        <v>6</v>
      </c>
      <c r="B8">
        <v>-0.6</v>
      </c>
      <c r="C8">
        <v>-1.8</v>
      </c>
      <c r="D8">
        <v>-2</v>
      </c>
      <c r="E8" s="3" t="s">
        <v>57</v>
      </c>
      <c r="F8" s="5">
        <f t="shared" si="0"/>
        <v>-1</v>
      </c>
      <c r="G8" s="4">
        <f t="shared" si="1"/>
        <v>2</v>
      </c>
      <c r="H8" s="4">
        <v>0</v>
      </c>
      <c r="I8" s="7">
        <f>$D$11*2</f>
        <v>2</v>
      </c>
      <c r="J8" s="6" t="s">
        <v>64</v>
      </c>
      <c r="K8" s="5">
        <f t="shared" si="2"/>
        <v>-1</v>
      </c>
      <c r="L8" s="4">
        <f t="shared" si="3"/>
        <v>2</v>
      </c>
      <c r="M8" s="4">
        <f t="shared" ref="M8:M21" si="6">$B$4*1*-1</f>
        <v>1</v>
      </c>
      <c r="N8" s="7">
        <f>$D$11*3</f>
        <v>3</v>
      </c>
      <c r="O8" s="1" t="s">
        <v>102</v>
      </c>
      <c r="P8" s="5">
        <f t="shared" si="4"/>
        <v>-1</v>
      </c>
      <c r="Q8" s="2">
        <f t="shared" si="5"/>
        <v>2</v>
      </c>
      <c r="R8" s="4">
        <f>$B$4*2*-1</f>
        <v>2</v>
      </c>
      <c r="S8" s="7">
        <f>$D$11*4</f>
        <v>4</v>
      </c>
    </row>
    <row r="9" spans="1:19" x14ac:dyDescent="0.25">
      <c r="A9" t="s">
        <v>7</v>
      </c>
      <c r="B9">
        <v>0.6</v>
      </c>
      <c r="C9">
        <v>1.8</v>
      </c>
      <c r="D9">
        <v>2</v>
      </c>
      <c r="E9" s="6" t="s">
        <v>58</v>
      </c>
      <c r="F9" s="5">
        <f t="shared" si="0"/>
        <v>-0.20000000000000018</v>
      </c>
      <c r="G9" s="4">
        <f t="shared" si="1"/>
        <v>2.8</v>
      </c>
      <c r="H9" s="4">
        <f>($B$4+$B$7)*2*-1</f>
        <v>3.2</v>
      </c>
      <c r="I9" s="7">
        <f>($D$11+$D$9)*2</f>
        <v>6</v>
      </c>
      <c r="J9" s="6" t="s">
        <v>93</v>
      </c>
      <c r="K9" s="5">
        <f t="shared" si="2"/>
        <v>-0.40000000000000036</v>
      </c>
      <c r="L9" s="4">
        <f t="shared" si="3"/>
        <v>2.5999999999999996</v>
      </c>
      <c r="M9" s="4">
        <f>($B$4+$B$7)*4*-1</f>
        <v>6.4</v>
      </c>
      <c r="N9" s="7">
        <f>($D$11+$D$9)*3</f>
        <v>9</v>
      </c>
      <c r="O9" s="8" t="s">
        <v>94</v>
      </c>
      <c r="P9" s="5">
        <f t="shared" si="4"/>
        <v>-0.60000000000000142</v>
      </c>
      <c r="Q9" s="2">
        <f t="shared" si="5"/>
        <v>2.3999999999999986</v>
      </c>
      <c r="R9" s="4">
        <f>($B$4+$B$7)*6*-1</f>
        <v>9.6000000000000014</v>
      </c>
      <c r="S9" s="7">
        <f>($D$11+$D$9)*4</f>
        <v>12</v>
      </c>
    </row>
    <row r="10" spans="1:19" x14ac:dyDescent="0.25">
      <c r="A10" t="s">
        <v>8</v>
      </c>
      <c r="B10">
        <v>0.6</v>
      </c>
      <c r="C10">
        <v>1.2</v>
      </c>
      <c r="D10">
        <v>0.6</v>
      </c>
      <c r="E10" s="6" t="s">
        <v>65</v>
      </c>
      <c r="F10" s="5">
        <f t="shared" si="0"/>
        <v>0.19999999999999973</v>
      </c>
      <c r="G10" s="4">
        <f t="shared" si="1"/>
        <v>3.1999999999999997</v>
      </c>
      <c r="H10" s="4">
        <f>($B$4+$B$7)*1*-1</f>
        <v>1.6</v>
      </c>
      <c r="I10" s="7">
        <f>$C$2+$C$9</f>
        <v>4.8</v>
      </c>
      <c r="J10" s="3" t="s">
        <v>66</v>
      </c>
      <c r="K10" s="5">
        <f t="shared" si="2"/>
        <v>0.19999999999999929</v>
      </c>
      <c r="L10" s="4">
        <f t="shared" si="3"/>
        <v>3.1999999999999993</v>
      </c>
      <c r="M10" s="4">
        <f>($B$4+$B$7)*4*-1</f>
        <v>6.4</v>
      </c>
      <c r="N10" s="7">
        <f>$I$10*2</f>
        <v>9.6</v>
      </c>
      <c r="O10" s="9" t="s">
        <v>95</v>
      </c>
      <c r="P10" s="5">
        <f t="shared" si="4"/>
        <v>0.19999999999999751</v>
      </c>
      <c r="Q10" s="2">
        <f t="shared" si="5"/>
        <v>3.1999999999999975</v>
      </c>
      <c r="R10" s="4">
        <f>($B$4+$B$7)*7*-1</f>
        <v>11.200000000000001</v>
      </c>
      <c r="S10" s="7">
        <f>$I$10*3</f>
        <v>14.399999999999999</v>
      </c>
    </row>
    <row r="11" spans="1:19" x14ac:dyDescent="0.25">
      <c r="A11" t="s">
        <v>55</v>
      </c>
      <c r="B11">
        <v>0.2</v>
      </c>
      <c r="C11">
        <v>0.6</v>
      </c>
      <c r="D11">
        <v>1</v>
      </c>
      <c r="E11" s="3" t="s">
        <v>52</v>
      </c>
      <c r="F11" s="5">
        <f t="shared" si="0"/>
        <v>-1</v>
      </c>
      <c r="G11" s="4">
        <f t="shared" si="1"/>
        <v>2</v>
      </c>
      <c r="H11" s="4">
        <v>0</v>
      </c>
      <c r="I11" s="7">
        <f>$D$3+$D$4+$D$7+$D$10+2*$B$2</f>
        <v>2</v>
      </c>
      <c r="J11" s="3" t="s">
        <v>67</v>
      </c>
      <c r="K11" s="5">
        <f t="shared" si="2"/>
        <v>-1</v>
      </c>
      <c r="L11" s="4">
        <f t="shared" si="3"/>
        <v>2</v>
      </c>
      <c r="M11" s="4">
        <v>0</v>
      </c>
      <c r="N11" s="7">
        <f>$D$3+$D$4+$D$7+$D$10+2*$B$2</f>
        <v>2</v>
      </c>
      <c r="O11" s="3" t="s">
        <v>68</v>
      </c>
      <c r="P11" s="5">
        <f t="shared" si="4"/>
        <v>-1</v>
      </c>
      <c r="Q11" s="2">
        <f t="shared" si="5"/>
        <v>2</v>
      </c>
      <c r="R11" s="4">
        <v>0</v>
      </c>
      <c r="S11" s="7">
        <f>$D$3+$D$4+$D$7+$D$10+2*$B$2</f>
        <v>2</v>
      </c>
    </row>
    <row r="12" spans="1:19" x14ac:dyDescent="0.25">
      <c r="A12" t="s">
        <v>56</v>
      </c>
      <c r="B12">
        <v>-0.2</v>
      </c>
      <c r="C12">
        <v>-0.6</v>
      </c>
      <c r="D12">
        <v>-1</v>
      </c>
      <c r="E12" s="6" t="s">
        <v>42</v>
      </c>
      <c r="F12" s="5">
        <f t="shared" si="0"/>
        <v>0</v>
      </c>
      <c r="G12" s="4">
        <f t="shared" si="1"/>
        <v>3</v>
      </c>
      <c r="H12" s="4">
        <f>$B$4*1*-1</f>
        <v>1</v>
      </c>
      <c r="I12" s="7">
        <f>$C$2+$C$2+$C$4</f>
        <v>4</v>
      </c>
      <c r="J12" s="3" t="s">
        <v>43</v>
      </c>
      <c r="K12" s="5">
        <f t="shared" si="2"/>
        <v>0</v>
      </c>
      <c r="L12" s="4">
        <f t="shared" si="3"/>
        <v>3</v>
      </c>
      <c r="M12" s="4">
        <f>$B$4*2*-1</f>
        <v>2</v>
      </c>
      <c r="N12" s="7">
        <f>$C$2+2*($C$2+$C$4)</f>
        <v>5</v>
      </c>
      <c r="O12" s="2" t="s">
        <v>44</v>
      </c>
      <c r="P12" s="5">
        <f t="shared" si="4"/>
        <v>0</v>
      </c>
      <c r="Q12" s="2">
        <f t="shared" si="5"/>
        <v>3</v>
      </c>
      <c r="R12" s="2">
        <f>$B$4*3*-1</f>
        <v>3</v>
      </c>
      <c r="S12" s="7">
        <f>$C$2+($C$2+$C$4)*3</f>
        <v>6</v>
      </c>
    </row>
    <row r="13" spans="1:19" x14ac:dyDescent="0.25">
      <c r="A13" t="s">
        <v>9</v>
      </c>
      <c r="B13">
        <v>0.2</v>
      </c>
      <c r="C13">
        <v>0.6</v>
      </c>
      <c r="D13">
        <v>1</v>
      </c>
      <c r="E13" s="3" t="s">
        <v>96</v>
      </c>
      <c r="F13" s="5">
        <f t="shared" si="0"/>
        <v>0</v>
      </c>
      <c r="G13" s="4">
        <f t="shared" si="1"/>
        <v>3</v>
      </c>
      <c r="H13" s="4">
        <f>($D$4+$D$11)*-1*0</f>
        <v>0</v>
      </c>
      <c r="I13" s="7">
        <f>$D$13*3</f>
        <v>3</v>
      </c>
      <c r="J13" s="3" t="s">
        <v>69</v>
      </c>
      <c r="K13" s="5">
        <f t="shared" si="2"/>
        <v>0.19999999999999996</v>
      </c>
      <c r="L13" s="4">
        <f t="shared" si="3"/>
        <v>3.2</v>
      </c>
      <c r="M13" s="4">
        <f>($D$4+$D$11)*-1</f>
        <v>-0.19999999999999996</v>
      </c>
      <c r="N13" s="7">
        <f>$D$13*3</f>
        <v>3</v>
      </c>
      <c r="O13" s="3" t="s">
        <v>73</v>
      </c>
      <c r="P13" s="5">
        <f t="shared" si="4"/>
        <v>0.39999999999999991</v>
      </c>
      <c r="Q13" s="2">
        <f t="shared" si="5"/>
        <v>3.4</v>
      </c>
      <c r="R13" s="4">
        <f>($D$4+$D$11)*-1*2</f>
        <v>-0.39999999999999991</v>
      </c>
      <c r="S13" s="7">
        <f>$D$13*3</f>
        <v>3</v>
      </c>
    </row>
    <row r="14" spans="1:19" x14ac:dyDescent="0.25">
      <c r="A14" t="s">
        <v>10</v>
      </c>
      <c r="B14">
        <v>0</v>
      </c>
      <c r="C14">
        <v>0</v>
      </c>
      <c r="D14">
        <v>0</v>
      </c>
      <c r="E14" s="6" t="s">
        <v>72</v>
      </c>
      <c r="F14" s="5">
        <f t="shared" si="0"/>
        <v>-0.59999999999999964</v>
      </c>
      <c r="G14" s="4">
        <f t="shared" si="1"/>
        <v>2.4000000000000004</v>
      </c>
      <c r="H14" s="4">
        <f>$B$4*2*-1</f>
        <v>2</v>
      </c>
      <c r="I14" s="7">
        <f>$D$4+$D$11*2+$D$2</f>
        <v>4.4000000000000004</v>
      </c>
      <c r="J14" s="6" t="s">
        <v>70</v>
      </c>
      <c r="K14" s="5">
        <f t="shared" si="2"/>
        <v>-0.19999999999999929</v>
      </c>
      <c r="L14" s="4">
        <f t="shared" si="3"/>
        <v>2.8000000000000007</v>
      </c>
      <c r="M14" s="4">
        <f>$B$4*6*-1</f>
        <v>6</v>
      </c>
      <c r="N14" s="7">
        <f>($D$4+$D$11*2+$D$2)*2</f>
        <v>8.8000000000000007</v>
      </c>
      <c r="O14" s="6" t="s">
        <v>71</v>
      </c>
      <c r="P14" s="5">
        <f t="shared" si="4"/>
        <v>0.20000000000000107</v>
      </c>
      <c r="Q14" s="2">
        <f t="shared" si="5"/>
        <v>3.2000000000000011</v>
      </c>
      <c r="R14" s="4">
        <f>$B$4*10*-1</f>
        <v>10</v>
      </c>
      <c r="S14" s="7">
        <f>($D$4+$D$11*2+$D$2)*3</f>
        <v>13.200000000000001</v>
      </c>
    </row>
    <row r="15" spans="1:19" x14ac:dyDescent="0.25">
      <c r="A15" t="s">
        <v>11</v>
      </c>
      <c r="B15">
        <v>0</v>
      </c>
      <c r="C15">
        <v>0</v>
      </c>
      <c r="D15">
        <v>0</v>
      </c>
      <c r="E15" s="3" t="s">
        <v>75</v>
      </c>
      <c r="F15" s="5">
        <f t="shared" si="0"/>
        <v>0</v>
      </c>
      <c r="G15" s="4">
        <f t="shared" si="1"/>
        <v>3</v>
      </c>
      <c r="H15" s="4">
        <f>$B$16*-1</f>
        <v>0.2</v>
      </c>
      <c r="I15" s="7">
        <f>$B$2+$B$2+$B$9+$B$9</f>
        <v>3.2</v>
      </c>
      <c r="J15" s="3" t="s">
        <v>74</v>
      </c>
      <c r="K15" s="5">
        <f t="shared" si="2"/>
        <v>0.60000000000000075</v>
      </c>
      <c r="L15" s="4">
        <f t="shared" si="3"/>
        <v>3.6000000000000005</v>
      </c>
      <c r="M15" s="4">
        <f>$C$16*-1*2</f>
        <v>1.2</v>
      </c>
      <c r="N15" s="7">
        <f>($B$2+$B$9)*3</f>
        <v>4.8000000000000007</v>
      </c>
      <c r="O15" s="3" t="s">
        <v>76</v>
      </c>
      <c r="P15" s="5">
        <f t="shared" si="4"/>
        <v>-0.59999999999999964</v>
      </c>
      <c r="Q15" s="2">
        <f t="shared" si="5"/>
        <v>2.4000000000000004</v>
      </c>
      <c r="R15" s="4">
        <f>$D$16*-1*4</f>
        <v>4</v>
      </c>
      <c r="S15" s="7">
        <f>($B$2+$B$9)*4</f>
        <v>6.4</v>
      </c>
    </row>
    <row r="16" spans="1:19" x14ac:dyDescent="0.25">
      <c r="A16" t="s">
        <v>12</v>
      </c>
      <c r="B16">
        <v>-0.2</v>
      </c>
      <c r="C16">
        <v>-0.6</v>
      </c>
      <c r="D16">
        <v>-1</v>
      </c>
      <c r="E16" s="3" t="s">
        <v>45</v>
      </c>
      <c r="F16" s="5">
        <f t="shared" si="0"/>
        <v>-0.80000000000000027</v>
      </c>
      <c r="G16" s="4">
        <f t="shared" si="1"/>
        <v>2.1999999999999997</v>
      </c>
      <c r="H16" s="4">
        <f>($B$4+$B$7)*-1</f>
        <v>1.6</v>
      </c>
      <c r="I16" s="7">
        <f>$C$3+$C$9</f>
        <v>3.8</v>
      </c>
      <c r="J16" s="3" t="s">
        <v>77</v>
      </c>
      <c r="K16" s="5">
        <f t="shared" si="2"/>
        <v>-0.20000000000000107</v>
      </c>
      <c r="L16" s="4">
        <f t="shared" si="3"/>
        <v>2.7999999999999989</v>
      </c>
      <c r="M16" s="4">
        <f>($B$4+$B$7)*-1*3</f>
        <v>4.8000000000000007</v>
      </c>
      <c r="N16" s="7">
        <f>($C$3+$C$9)*2</f>
        <v>7.6</v>
      </c>
      <c r="O16" s="3" t="s">
        <v>78</v>
      </c>
      <c r="P16" s="5">
        <f t="shared" si="4"/>
        <v>0.39999999999999858</v>
      </c>
      <c r="Q16" s="2">
        <f t="shared" si="5"/>
        <v>3.3999999999999986</v>
      </c>
      <c r="R16" s="4">
        <f>($B$4+$B$7)*-1*5</f>
        <v>8</v>
      </c>
      <c r="S16" s="7">
        <f>($C$3+$C$9)*3</f>
        <v>11.399999999999999</v>
      </c>
    </row>
    <row r="17" spans="1:19" x14ac:dyDescent="0.25">
      <c r="A17" t="s">
        <v>13</v>
      </c>
      <c r="B17" t="s">
        <v>14</v>
      </c>
      <c r="E17" s="6" t="s">
        <v>97</v>
      </c>
      <c r="F17" s="5">
        <f t="shared" si="0"/>
        <v>0</v>
      </c>
      <c r="G17" s="4">
        <f t="shared" si="1"/>
        <v>3</v>
      </c>
      <c r="H17" s="4">
        <f>$B$4*1*-1</f>
        <v>1</v>
      </c>
      <c r="I17" s="7">
        <f>$D$13*4</f>
        <v>4</v>
      </c>
      <c r="J17" s="6" t="s">
        <v>98</v>
      </c>
      <c r="K17" s="5">
        <f t="shared" si="2"/>
        <v>0</v>
      </c>
      <c r="L17" s="4">
        <f t="shared" si="3"/>
        <v>3</v>
      </c>
      <c r="M17" s="4">
        <f>$B$4*2*-1</f>
        <v>2</v>
      </c>
      <c r="N17" s="7">
        <f>$D$13*5</f>
        <v>5</v>
      </c>
      <c r="O17" s="6" t="s">
        <v>99</v>
      </c>
      <c r="P17" s="5">
        <f t="shared" si="4"/>
        <v>0</v>
      </c>
      <c r="Q17" s="2">
        <f t="shared" si="5"/>
        <v>3</v>
      </c>
      <c r="R17" s="4">
        <f>$B$4*3*-1</f>
        <v>3</v>
      </c>
      <c r="S17" s="7">
        <f>$D$13*6</f>
        <v>6</v>
      </c>
    </row>
    <row r="18" spans="1:19" x14ac:dyDescent="0.25">
      <c r="A18" t="s">
        <v>15</v>
      </c>
      <c r="B18" t="s">
        <v>14</v>
      </c>
      <c r="E18" s="3" t="s">
        <v>79</v>
      </c>
      <c r="F18" s="5">
        <f t="shared" si="0"/>
        <v>0.19999999999999996</v>
      </c>
      <c r="G18" s="4">
        <f t="shared" si="1"/>
        <v>3.2</v>
      </c>
      <c r="H18" s="4">
        <f>($D$4+$D$11)*-1*1</f>
        <v>-0.19999999999999996</v>
      </c>
      <c r="I18" s="7">
        <f>($B$2)*3</f>
        <v>3</v>
      </c>
      <c r="J18" s="3" t="s">
        <v>80</v>
      </c>
      <c r="K18" s="5">
        <f t="shared" si="2"/>
        <v>0.39999999999999991</v>
      </c>
      <c r="L18" s="4">
        <f t="shared" si="3"/>
        <v>3.4</v>
      </c>
      <c r="M18" s="4">
        <f>($D$4+$D$11)*-1*2</f>
        <v>-0.39999999999999991</v>
      </c>
      <c r="N18" s="7">
        <f>($B$2)*3</f>
        <v>3</v>
      </c>
      <c r="O18" s="3" t="s">
        <v>100</v>
      </c>
      <c r="P18" s="5">
        <f t="shared" si="4"/>
        <v>0.59999999999999987</v>
      </c>
      <c r="Q18" s="2">
        <f t="shared" si="5"/>
        <v>3.5999999999999996</v>
      </c>
      <c r="R18" s="4">
        <f>($D$4+$D$11)*-1*3</f>
        <v>-0.59999999999999987</v>
      </c>
      <c r="S18" s="7">
        <f>($B$2)*3</f>
        <v>3</v>
      </c>
    </row>
    <row r="19" spans="1:19" x14ac:dyDescent="0.25">
      <c r="A19" t="s">
        <v>16</v>
      </c>
      <c r="B19" t="s">
        <v>14</v>
      </c>
      <c r="E19" s="6" t="s">
        <v>59</v>
      </c>
      <c r="F19" s="5">
        <f t="shared" si="0"/>
        <v>5.2941176470588047E-2</v>
      </c>
      <c r="G19" s="4">
        <f t="shared" si="1"/>
        <v>3.052941176470588</v>
      </c>
      <c r="H19" s="4">
        <f>$B$4*1*-1</f>
        <v>1</v>
      </c>
      <c r="I19" s="7">
        <f>AVERAGE(I2:I18)+0.5</f>
        <v>4.052941176470588</v>
      </c>
      <c r="J19" s="6" t="s">
        <v>81</v>
      </c>
      <c r="K19" s="5">
        <f t="shared" si="2"/>
        <v>1.052941176470588</v>
      </c>
      <c r="L19" s="4">
        <f t="shared" si="3"/>
        <v>4.052941176470588</v>
      </c>
      <c r="M19" s="4">
        <f>$B$4*2*-1</f>
        <v>2</v>
      </c>
      <c r="N19" s="7">
        <f>AVERAGE(N2:N18)+0.5</f>
        <v>6.052941176470588</v>
      </c>
      <c r="O19" s="1" t="s">
        <v>83</v>
      </c>
      <c r="P19" s="5">
        <f t="shared" si="4"/>
        <v>2.0882352941176467</v>
      </c>
      <c r="Q19" s="2">
        <f t="shared" si="5"/>
        <v>5.0882352941176467</v>
      </c>
      <c r="R19" s="4">
        <f>$B$4*3*-1</f>
        <v>3</v>
      </c>
      <c r="S19" s="7">
        <f>AVERAGE(S2:S18)+0.5</f>
        <v>8.0882352941176467</v>
      </c>
    </row>
    <row r="20" spans="1:19" x14ac:dyDescent="0.25">
      <c r="A20" t="s">
        <v>25</v>
      </c>
      <c r="E20" s="3" t="s">
        <v>46</v>
      </c>
      <c r="F20" s="5">
        <f t="shared" si="0"/>
        <v>-1</v>
      </c>
      <c r="G20" s="4">
        <f t="shared" si="1"/>
        <v>2</v>
      </c>
      <c r="H20" s="4">
        <v>0</v>
      </c>
      <c r="I20" s="7">
        <v>2</v>
      </c>
      <c r="J20" s="3" t="s">
        <v>47</v>
      </c>
      <c r="K20" s="5">
        <f t="shared" si="2"/>
        <v>-1</v>
      </c>
      <c r="L20" s="4">
        <f t="shared" si="3"/>
        <v>2</v>
      </c>
      <c r="M20" s="4">
        <f>$B$4*1*-1</f>
        <v>1</v>
      </c>
      <c r="N20" s="7">
        <v>3</v>
      </c>
      <c r="O20" s="1" t="s">
        <v>84</v>
      </c>
      <c r="P20" s="5">
        <f t="shared" si="4"/>
        <v>-3</v>
      </c>
      <c r="Q20" s="2">
        <f t="shared" si="5"/>
        <v>0</v>
      </c>
      <c r="R20" s="4">
        <v>2</v>
      </c>
      <c r="S20" s="7">
        <v>2</v>
      </c>
    </row>
    <row r="21" spans="1:19" x14ac:dyDescent="0.25">
      <c r="A21" t="s">
        <v>17</v>
      </c>
      <c r="B21">
        <f>C2</f>
        <v>3</v>
      </c>
      <c r="E21" s="6" t="s">
        <v>60</v>
      </c>
      <c r="F21" s="5">
        <f t="shared" si="0"/>
        <v>5.2941176470588047E-2</v>
      </c>
      <c r="G21" s="4">
        <f t="shared" si="1"/>
        <v>3.052941176470588</v>
      </c>
      <c r="H21" s="4">
        <f>$B$4*1*-1</f>
        <v>1</v>
      </c>
      <c r="I21" s="7">
        <f>AVERAGE(I2:I18)+0.5</f>
        <v>4.052941176470588</v>
      </c>
      <c r="J21" s="6" t="s">
        <v>82</v>
      </c>
      <c r="K21" s="5">
        <f t="shared" si="2"/>
        <v>1.052941176470588</v>
      </c>
      <c r="L21" s="4">
        <f t="shared" si="3"/>
        <v>4.052941176470588</v>
      </c>
      <c r="M21" s="4">
        <f>$B$4*2*-1</f>
        <v>2</v>
      </c>
      <c r="N21" s="7">
        <f>AVERAGE(N2:N18)+0.5</f>
        <v>6.052941176470588</v>
      </c>
      <c r="O21" s="1" t="s">
        <v>85</v>
      </c>
      <c r="P21" s="5">
        <f t="shared" si="4"/>
        <v>2.0882352941176467</v>
      </c>
      <c r="Q21" s="2">
        <f t="shared" si="5"/>
        <v>5.0882352941176467</v>
      </c>
      <c r="R21" s="4">
        <f>$B$4*3*-1</f>
        <v>3</v>
      </c>
      <c r="S21" s="7">
        <f>AVERAGE(S2:S18)+0.5</f>
        <v>8.0882352941176467</v>
      </c>
    </row>
    <row r="22" spans="1:19" x14ac:dyDescent="0.25">
      <c r="A22" t="s">
        <v>18</v>
      </c>
      <c r="B22">
        <f>C2+C4</f>
        <v>1</v>
      </c>
    </row>
    <row r="23" spans="1:19" x14ac:dyDescent="0.25">
      <c r="A23" t="s">
        <v>19</v>
      </c>
      <c r="B23">
        <f>D13</f>
        <v>1</v>
      </c>
    </row>
    <row r="24" spans="1:19" x14ac:dyDescent="0.25">
      <c r="A24" t="s">
        <v>20</v>
      </c>
      <c r="B24">
        <f>B2</f>
        <v>1</v>
      </c>
    </row>
  </sheetData>
  <conditionalFormatting sqref="Q2:Q21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:L21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:G2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2021-07-26T11:33:23Z</dcterms:created>
  <dcterms:modified xsi:type="dcterms:W3CDTF">2021-07-27T08:44:01Z</dcterms:modified>
</cp:coreProperties>
</file>