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atri\OneDrive\Área de Trabalho\RIP PenDrive\"/>
    </mc:Choice>
  </mc:AlternateContent>
  <xr:revisionPtr revIDLastSave="0" documentId="13_ncr:1_{63D15E51-DA05-44C9-922C-FDE92E751434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Gimbya" sheetId="1" r:id="rId1"/>
    <sheet name="Xamã" sheetId="2" r:id="rId2"/>
    <sheet name="Irapuã" sheetId="3" r:id="rId3"/>
    <sheet name="Ayana" sheetId="4" r:id="rId4"/>
    <sheet name="Hamenra-&gt;" sheetId="5" r:id="rId5"/>
    <sheet name="Aiyra" sheetId="6" r:id="rId6"/>
    <sheet name="Yara" sheetId="7" r:id="rId7"/>
    <sheet name="Kayke" sheetId="8" r:id="rId8"/>
    <sheet name="Xondaro" sheetId="9" r:id="rId9"/>
    <sheet name="Kaira-&gt;" sheetId="10" r:id="rId10"/>
    <sheet name="Piata" sheetId="11" r:id="rId11"/>
    <sheet name="Dyami" sheetId="12" r:id="rId12"/>
    <sheet name="Arau" sheetId="13" r:id="rId13"/>
    <sheet name="Nina" sheetId="14" r:id="rId14"/>
  </sheets>
  <externalReferences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3" l="1"/>
  <c r="K15" i="3"/>
  <c r="J15" i="3"/>
  <c r="G15" i="3"/>
  <c r="M14" i="3"/>
  <c r="L14" i="3"/>
  <c r="K14" i="3"/>
  <c r="J14" i="3"/>
  <c r="G14" i="3"/>
  <c r="M13" i="3"/>
  <c r="L13" i="3"/>
  <c r="K13" i="3"/>
  <c r="J13" i="3"/>
  <c r="G13" i="3"/>
  <c r="M12" i="3"/>
  <c r="L12" i="3"/>
  <c r="K12" i="3"/>
  <c r="J12" i="3"/>
  <c r="G12" i="3"/>
  <c r="I9" i="3"/>
  <c r="L9" i="3" s="1"/>
  <c r="J8" i="3"/>
  <c r="I8" i="3"/>
  <c r="N8" i="3" s="1"/>
  <c r="K8" i="3" s="1"/>
  <c r="L8" i="3" s="1"/>
  <c r="I7" i="3"/>
  <c r="N7" i="3" s="1"/>
  <c r="K7" i="3" s="1"/>
  <c r="I6" i="3"/>
  <c r="N6" i="3" s="1"/>
  <c r="K6" i="3" s="1"/>
  <c r="I5" i="3"/>
  <c r="N5" i="3" s="1"/>
  <c r="K5" i="3" s="1"/>
  <c r="I4" i="3"/>
  <c r="N4" i="3" s="1"/>
  <c r="K4" i="3" s="1"/>
  <c r="F4" i="3"/>
  <c r="K3" i="3"/>
  <c r="I3" i="3"/>
  <c r="I2" i="3"/>
  <c r="N2" i="3" s="1"/>
  <c r="K2" i="3" s="1"/>
  <c r="M47" i="3"/>
  <c r="L47" i="3"/>
  <c r="K47" i="3"/>
  <c r="J47" i="3"/>
  <c r="G47" i="3"/>
  <c r="L46" i="3"/>
  <c r="K46" i="3"/>
  <c r="J46" i="3"/>
  <c r="G46" i="3"/>
  <c r="M45" i="3"/>
  <c r="L45" i="3"/>
  <c r="K45" i="3"/>
  <c r="J45" i="3"/>
  <c r="G45" i="3"/>
  <c r="M44" i="3"/>
  <c r="L44" i="3"/>
  <c r="K44" i="3"/>
  <c r="J44" i="3"/>
  <c r="G44" i="3"/>
  <c r="I41" i="3"/>
  <c r="L41" i="3" s="1"/>
  <c r="J40" i="3"/>
  <c r="I40" i="3"/>
  <c r="N40" i="3" s="1"/>
  <c r="I39" i="3"/>
  <c r="N39" i="3" s="1"/>
  <c r="K39" i="3" s="1"/>
  <c r="I38" i="3"/>
  <c r="N38" i="3" s="1"/>
  <c r="K38" i="3" s="1"/>
  <c r="L37" i="3"/>
  <c r="I37" i="3"/>
  <c r="N37" i="3" s="1"/>
  <c r="K37" i="3" s="1"/>
  <c r="I36" i="3"/>
  <c r="N36" i="3" s="1"/>
  <c r="K36" i="3" s="1"/>
  <c r="F36" i="3"/>
  <c r="K35" i="3"/>
  <c r="I35" i="3"/>
  <c r="I34" i="3"/>
  <c r="N34" i="3" s="1"/>
  <c r="K34" i="3" s="1"/>
  <c r="M31" i="3"/>
  <c r="L31" i="3"/>
  <c r="K31" i="3"/>
  <c r="J31" i="3"/>
  <c r="G31" i="3"/>
  <c r="M30" i="3"/>
  <c r="L30" i="3"/>
  <c r="K30" i="3"/>
  <c r="J30" i="3"/>
  <c r="G30" i="3"/>
  <c r="M29" i="3"/>
  <c r="L29" i="3"/>
  <c r="K29" i="3"/>
  <c r="J29" i="3"/>
  <c r="G29" i="3"/>
  <c r="M28" i="3"/>
  <c r="L28" i="3"/>
  <c r="K28" i="3"/>
  <c r="J28" i="3"/>
  <c r="G28" i="3"/>
  <c r="I25" i="3"/>
  <c r="L25" i="3" s="1"/>
  <c r="J24" i="3"/>
  <c r="I24" i="3"/>
  <c r="N24" i="3" s="1"/>
  <c r="K24" i="3" s="1"/>
  <c r="L24" i="3" s="1"/>
  <c r="N23" i="3"/>
  <c r="K23" i="3" s="1"/>
  <c r="I23" i="3"/>
  <c r="I22" i="3"/>
  <c r="N22" i="3" s="1"/>
  <c r="K22" i="3" s="1"/>
  <c r="N21" i="3"/>
  <c r="K21" i="3" s="1"/>
  <c r="I21" i="3"/>
  <c r="I20" i="3"/>
  <c r="N20" i="3" s="1"/>
  <c r="K20" i="3" s="1"/>
  <c r="F20" i="3"/>
  <c r="K19" i="3"/>
  <c r="I19" i="3"/>
  <c r="I18" i="3"/>
  <c r="N18" i="3" s="1"/>
  <c r="K18" i="3" s="1"/>
  <c r="K40" i="3" l="1"/>
  <c r="L40" i="3" s="1"/>
  <c r="L21" i="3"/>
  <c r="L5" i="3"/>
  <c r="M31" i="2" l="1"/>
  <c r="L31" i="2"/>
  <c r="K31" i="2"/>
  <c r="J31" i="2"/>
  <c r="G31" i="2"/>
  <c r="M30" i="2"/>
  <c r="L30" i="2"/>
  <c r="K30" i="2"/>
  <c r="J30" i="2"/>
  <c r="G30" i="2"/>
  <c r="M29" i="2"/>
  <c r="L29" i="2"/>
  <c r="K29" i="2"/>
  <c r="J29" i="2"/>
  <c r="G29" i="2"/>
  <c r="M28" i="2"/>
  <c r="L28" i="2"/>
  <c r="K28" i="2"/>
  <c r="J28" i="2"/>
  <c r="G28" i="2"/>
  <c r="I25" i="2"/>
  <c r="L25" i="2" s="1"/>
  <c r="J24" i="2"/>
  <c r="I24" i="2"/>
  <c r="L21" i="2" s="1"/>
  <c r="I23" i="2"/>
  <c r="N23" i="2" s="1"/>
  <c r="K23" i="2" s="1"/>
  <c r="I22" i="2"/>
  <c r="N22" i="2" s="1"/>
  <c r="K22" i="2" s="1"/>
  <c r="I21" i="2"/>
  <c r="N21" i="2" s="1"/>
  <c r="K21" i="2" s="1"/>
  <c r="N20" i="2"/>
  <c r="K20" i="2" s="1"/>
  <c r="F20" i="2"/>
  <c r="K19" i="2"/>
  <c r="I19" i="2"/>
  <c r="I18" i="2"/>
  <c r="N18" i="2" s="1"/>
  <c r="K18" i="2" s="1"/>
  <c r="M15" i="2"/>
  <c r="L15" i="2"/>
  <c r="K15" i="2"/>
  <c r="J15" i="2"/>
  <c r="G15" i="2"/>
  <c r="M14" i="2"/>
  <c r="L14" i="2"/>
  <c r="K14" i="2"/>
  <c r="J14" i="2"/>
  <c r="G14" i="2"/>
  <c r="M13" i="2"/>
  <c r="L13" i="2"/>
  <c r="K13" i="2"/>
  <c r="J13" i="2"/>
  <c r="G13" i="2"/>
  <c r="M12" i="2"/>
  <c r="L12" i="2"/>
  <c r="K12" i="2"/>
  <c r="J12" i="2"/>
  <c r="G12" i="2"/>
  <c r="I9" i="2"/>
  <c r="L9" i="2" s="1"/>
  <c r="J8" i="2"/>
  <c r="I8" i="2"/>
  <c r="N8" i="2" s="1"/>
  <c r="K8" i="2" s="1"/>
  <c r="L8" i="2" s="1"/>
  <c r="I7" i="2"/>
  <c r="N7" i="2" s="1"/>
  <c r="K7" i="2" s="1"/>
  <c r="I6" i="2"/>
  <c r="N6" i="2" s="1"/>
  <c r="K6" i="2" s="1"/>
  <c r="I5" i="2"/>
  <c r="N5" i="2" s="1"/>
  <c r="K5" i="2" s="1"/>
  <c r="I4" i="2"/>
  <c r="N4" i="2" s="1"/>
  <c r="K4" i="2" s="1"/>
  <c r="F4" i="2"/>
  <c r="K3" i="2"/>
  <c r="I3" i="2"/>
  <c r="I2" i="2"/>
  <c r="N2" i="2" s="1"/>
  <c r="K2" i="2" s="1"/>
  <c r="M47" i="2"/>
  <c r="L47" i="2"/>
  <c r="K47" i="2"/>
  <c r="J47" i="2"/>
  <c r="G47" i="2"/>
  <c r="M46" i="2"/>
  <c r="L46" i="2"/>
  <c r="K46" i="2"/>
  <c r="J46" i="2"/>
  <c r="G46" i="2"/>
  <c r="M45" i="2"/>
  <c r="L45" i="2"/>
  <c r="K45" i="2"/>
  <c r="J45" i="2"/>
  <c r="G45" i="2"/>
  <c r="M44" i="2"/>
  <c r="L44" i="2"/>
  <c r="K44" i="2"/>
  <c r="J44" i="2"/>
  <c r="G44" i="2"/>
  <c r="I41" i="2"/>
  <c r="L41" i="2" s="1"/>
  <c r="J40" i="2"/>
  <c r="I40" i="2"/>
  <c r="N40" i="2" s="1"/>
  <c r="K40" i="2" s="1"/>
  <c r="L40" i="2" s="1"/>
  <c r="I39" i="2"/>
  <c r="N39" i="2" s="1"/>
  <c r="K39" i="2" s="1"/>
  <c r="I38" i="2"/>
  <c r="N38" i="2" s="1"/>
  <c r="K38" i="2" s="1"/>
  <c r="I37" i="2"/>
  <c r="N37" i="2" s="1"/>
  <c r="K37" i="2" s="1"/>
  <c r="I36" i="2"/>
  <c r="N36" i="2" s="1"/>
  <c r="K36" i="2" s="1"/>
  <c r="F36" i="2"/>
  <c r="K35" i="2"/>
  <c r="I35" i="2"/>
  <c r="I34" i="2"/>
  <c r="N34" i="2" s="1"/>
  <c r="K34" i="2" s="1"/>
  <c r="M15" i="1"/>
  <c r="L15" i="1"/>
  <c r="K15" i="1"/>
  <c r="J15" i="1"/>
  <c r="G15" i="1"/>
  <c r="M14" i="1"/>
  <c r="L14" i="1"/>
  <c r="K14" i="1"/>
  <c r="J14" i="1"/>
  <c r="G14" i="1"/>
  <c r="M13" i="1"/>
  <c r="L13" i="1"/>
  <c r="K13" i="1"/>
  <c r="J13" i="1"/>
  <c r="G13" i="1"/>
  <c r="M12" i="1"/>
  <c r="L12" i="1"/>
  <c r="K12" i="1"/>
  <c r="J12" i="1"/>
  <c r="G12" i="1"/>
  <c r="I9" i="1"/>
  <c r="L9" i="1" s="1"/>
  <c r="J8" i="1"/>
  <c r="I8" i="1"/>
  <c r="L5" i="1" s="1"/>
  <c r="I7" i="1"/>
  <c r="N7" i="1" s="1"/>
  <c r="K7" i="1" s="1"/>
  <c r="I6" i="1"/>
  <c r="N6" i="1" s="1"/>
  <c r="K6" i="1" s="1"/>
  <c r="I5" i="1"/>
  <c r="N5" i="1" s="1"/>
  <c r="K5" i="1" s="1"/>
  <c r="I4" i="1"/>
  <c r="N4" i="1" s="1"/>
  <c r="K4" i="1" s="1"/>
  <c r="F4" i="1"/>
  <c r="K3" i="1"/>
  <c r="I3" i="1"/>
  <c r="I2" i="1"/>
  <c r="N2" i="1" s="1"/>
  <c r="K2" i="1" s="1"/>
  <c r="M31" i="1"/>
  <c r="L31" i="1"/>
  <c r="K31" i="1"/>
  <c r="J31" i="1"/>
  <c r="G31" i="1"/>
  <c r="M30" i="1"/>
  <c r="L30" i="1"/>
  <c r="K30" i="1"/>
  <c r="J30" i="1"/>
  <c r="G30" i="1"/>
  <c r="M29" i="1"/>
  <c r="L29" i="1"/>
  <c r="K29" i="1"/>
  <c r="J29" i="1"/>
  <c r="G29" i="1"/>
  <c r="M28" i="1"/>
  <c r="L28" i="1"/>
  <c r="K28" i="1"/>
  <c r="J28" i="1"/>
  <c r="G28" i="1"/>
  <c r="I25" i="1"/>
  <c r="L25" i="1" s="1"/>
  <c r="J24" i="1"/>
  <c r="I24" i="1"/>
  <c r="L21" i="1" s="1"/>
  <c r="I23" i="1"/>
  <c r="N23" i="1" s="1"/>
  <c r="K23" i="1" s="1"/>
  <c r="I22" i="1"/>
  <c r="N22" i="1" s="1"/>
  <c r="K22" i="1" s="1"/>
  <c r="I21" i="1"/>
  <c r="N21" i="1" s="1"/>
  <c r="K21" i="1" s="1"/>
  <c r="I20" i="1"/>
  <c r="N20" i="1" s="1"/>
  <c r="K20" i="1" s="1"/>
  <c r="F20" i="1"/>
  <c r="K19" i="1"/>
  <c r="I19" i="1"/>
  <c r="I18" i="1"/>
  <c r="N18" i="1" s="1"/>
  <c r="K18" i="1" s="1"/>
  <c r="M47" i="1"/>
  <c r="L47" i="1"/>
  <c r="K47" i="1"/>
  <c r="J47" i="1"/>
  <c r="G47" i="1"/>
  <c r="M46" i="1"/>
  <c r="L46" i="1"/>
  <c r="K46" i="1"/>
  <c r="J46" i="1"/>
  <c r="G46" i="1"/>
  <c r="M45" i="1"/>
  <c r="L45" i="1"/>
  <c r="K45" i="1"/>
  <c r="J45" i="1"/>
  <c r="G45" i="1"/>
  <c r="M44" i="1"/>
  <c r="L44" i="1"/>
  <c r="K44" i="1"/>
  <c r="J44" i="1"/>
  <c r="G44" i="1"/>
  <c r="I41" i="1"/>
  <c r="L41" i="1" s="1"/>
  <c r="J40" i="1"/>
  <c r="I40" i="1"/>
  <c r="L37" i="1" s="1"/>
  <c r="I39" i="1"/>
  <c r="N39" i="1" s="1"/>
  <c r="K39" i="1" s="1"/>
  <c r="I38" i="1"/>
  <c r="N38" i="1" s="1"/>
  <c r="K38" i="1" s="1"/>
  <c r="I37" i="1"/>
  <c r="N37" i="1" s="1"/>
  <c r="K37" i="1" s="1"/>
  <c r="I36" i="1"/>
  <c r="N36" i="1" s="1"/>
  <c r="K36" i="1" s="1"/>
  <c r="F36" i="1"/>
  <c r="K35" i="1"/>
  <c r="I35" i="1"/>
  <c r="I34" i="1"/>
  <c r="N34" i="1" s="1"/>
  <c r="K34" i="1" s="1"/>
  <c r="N40" i="1" l="1"/>
  <c r="K40" i="1" s="1"/>
  <c r="L40" i="1" s="1"/>
  <c r="N24" i="2"/>
  <c r="K24" i="2" s="1"/>
  <c r="L24" i="2" s="1"/>
  <c r="L5" i="2"/>
  <c r="L37" i="2"/>
  <c r="N8" i="1"/>
  <c r="K8" i="1" s="1"/>
  <c r="L8" i="1" s="1"/>
  <c r="N24" i="1"/>
  <c r="K24" i="1" s="1"/>
  <c r="L24" i="1" s="1"/>
  <c r="U20" i="2" l="1"/>
  <c r="M47" i="4"/>
  <c r="L47" i="4"/>
  <c r="K47" i="4"/>
  <c r="J47" i="4"/>
  <c r="G47" i="4"/>
  <c r="M46" i="4"/>
  <c r="L46" i="4"/>
  <c r="K46" i="4"/>
  <c r="J46" i="4"/>
  <c r="G46" i="4"/>
  <c r="M45" i="4"/>
  <c r="L45" i="4"/>
  <c r="K45" i="4"/>
  <c r="J45" i="4"/>
  <c r="G45" i="4"/>
  <c r="M44" i="4"/>
  <c r="L44" i="4"/>
  <c r="K44" i="4"/>
  <c r="J44" i="4"/>
  <c r="G44" i="4"/>
  <c r="I41" i="4"/>
  <c r="L41" i="4" s="1"/>
  <c r="J40" i="4"/>
  <c r="I40" i="4"/>
  <c r="L37" i="4" s="1"/>
  <c r="I39" i="4"/>
  <c r="N39" i="4" s="1"/>
  <c r="K39" i="4" s="1"/>
  <c r="I38" i="4"/>
  <c r="N38" i="4" s="1"/>
  <c r="K38" i="4" s="1"/>
  <c r="I37" i="4"/>
  <c r="N37" i="4" s="1"/>
  <c r="K37" i="4" s="1"/>
  <c r="I36" i="4"/>
  <c r="N36" i="4" s="1"/>
  <c r="K36" i="4" s="1"/>
  <c r="F36" i="4"/>
  <c r="K35" i="4"/>
  <c r="I35" i="4"/>
  <c r="I34" i="4"/>
  <c r="N34" i="4" s="1"/>
  <c r="K34" i="4" s="1"/>
  <c r="M31" i="4"/>
  <c r="L31" i="4"/>
  <c r="K31" i="4"/>
  <c r="J31" i="4"/>
  <c r="G31" i="4"/>
  <c r="M30" i="4"/>
  <c r="L30" i="4"/>
  <c r="K30" i="4"/>
  <c r="J30" i="4"/>
  <c r="G30" i="4"/>
  <c r="M29" i="4"/>
  <c r="L29" i="4"/>
  <c r="K29" i="4"/>
  <c r="J29" i="4"/>
  <c r="G29" i="4"/>
  <c r="M28" i="4"/>
  <c r="L28" i="4"/>
  <c r="K28" i="4"/>
  <c r="J28" i="4"/>
  <c r="G28" i="4"/>
  <c r="I25" i="4"/>
  <c r="L25" i="4" s="1"/>
  <c r="J24" i="4"/>
  <c r="I24" i="4"/>
  <c r="L21" i="4" s="1"/>
  <c r="I23" i="4"/>
  <c r="N23" i="4" s="1"/>
  <c r="K23" i="4" s="1"/>
  <c r="I22" i="4"/>
  <c r="N22" i="4" s="1"/>
  <c r="K22" i="4" s="1"/>
  <c r="I21" i="4"/>
  <c r="N21" i="4" s="1"/>
  <c r="K21" i="4" s="1"/>
  <c r="I20" i="4"/>
  <c r="N20" i="4" s="1"/>
  <c r="K20" i="4" s="1"/>
  <c r="F20" i="4"/>
  <c r="K19" i="4"/>
  <c r="I19" i="4"/>
  <c r="I18" i="4"/>
  <c r="N18" i="4" s="1"/>
  <c r="K18" i="4" s="1"/>
  <c r="M15" i="4"/>
  <c r="L15" i="4"/>
  <c r="K15" i="4"/>
  <c r="J15" i="4"/>
  <c r="G15" i="4"/>
  <c r="M14" i="4"/>
  <c r="L14" i="4"/>
  <c r="K14" i="4"/>
  <c r="J14" i="4"/>
  <c r="G14" i="4"/>
  <c r="M13" i="4"/>
  <c r="L13" i="4"/>
  <c r="K13" i="4"/>
  <c r="J13" i="4"/>
  <c r="G13" i="4"/>
  <c r="M12" i="4"/>
  <c r="L12" i="4"/>
  <c r="K12" i="4"/>
  <c r="J12" i="4"/>
  <c r="G12" i="4"/>
  <c r="L9" i="4"/>
  <c r="I9" i="4"/>
  <c r="J8" i="4"/>
  <c r="I8" i="4"/>
  <c r="N8" i="4" s="1"/>
  <c r="K8" i="4" s="1"/>
  <c r="L8" i="4" s="1"/>
  <c r="I7" i="4"/>
  <c r="N7" i="4" s="1"/>
  <c r="K7" i="4" s="1"/>
  <c r="I6" i="4"/>
  <c r="N6" i="4" s="1"/>
  <c r="K6" i="4" s="1"/>
  <c r="L5" i="4"/>
  <c r="I5" i="4"/>
  <c r="N5" i="4" s="1"/>
  <c r="K5" i="4" s="1"/>
  <c r="I4" i="4"/>
  <c r="N4" i="4" s="1"/>
  <c r="K4" i="4" s="1"/>
  <c r="F4" i="4"/>
  <c r="K3" i="4"/>
  <c r="I3" i="4"/>
  <c r="N2" i="4"/>
  <c r="K2" i="4" s="1"/>
  <c r="I2" i="4"/>
  <c r="AP47" i="4"/>
  <c r="AO47" i="4"/>
  <c r="AN47" i="4"/>
  <c r="AK47" i="4"/>
  <c r="AP46" i="4"/>
  <c r="AO46" i="4"/>
  <c r="AN46" i="4"/>
  <c r="AK46" i="4"/>
  <c r="AQ45" i="4"/>
  <c r="AP45" i="4"/>
  <c r="AO45" i="4"/>
  <c r="AN45" i="4"/>
  <c r="AK45" i="4"/>
  <c r="AQ44" i="4"/>
  <c r="AP44" i="4"/>
  <c r="AO44" i="4"/>
  <c r="AN44" i="4"/>
  <c r="AK44" i="4"/>
  <c r="AP41" i="4"/>
  <c r="AM41" i="4"/>
  <c r="AN40" i="4"/>
  <c r="AM40" i="4"/>
  <c r="AR40" i="4" s="1"/>
  <c r="AO40" i="4" s="1"/>
  <c r="AP40" i="4" s="1"/>
  <c r="AM39" i="4"/>
  <c r="AR39" i="4" s="1"/>
  <c r="AO39" i="4" s="1"/>
  <c r="AM38" i="4"/>
  <c r="AR38" i="4" s="1"/>
  <c r="AO38" i="4" s="1"/>
  <c r="AP37" i="4"/>
  <c r="AM37" i="4"/>
  <c r="AR37" i="4" s="1"/>
  <c r="AO37" i="4" s="1"/>
  <c r="AM36" i="4"/>
  <c r="AR36" i="4" s="1"/>
  <c r="AO36" i="4" s="1"/>
  <c r="AJ36" i="4"/>
  <c r="AO35" i="4"/>
  <c r="AM35" i="4"/>
  <c r="AM34" i="4"/>
  <c r="AR34" i="4" s="1"/>
  <c r="AO34" i="4" s="1"/>
  <c r="AQ31" i="4"/>
  <c r="AP31" i="4"/>
  <c r="AN31" i="4"/>
  <c r="AK31" i="4"/>
  <c r="AQ30" i="4"/>
  <c r="AP30" i="4"/>
  <c r="AO30" i="4"/>
  <c r="AN30" i="4"/>
  <c r="AK30" i="4"/>
  <c r="AQ29" i="4"/>
  <c r="AP29" i="4"/>
  <c r="AO29" i="4"/>
  <c r="AN29" i="4"/>
  <c r="AK29" i="4"/>
  <c r="AQ28" i="4"/>
  <c r="AP28" i="4"/>
  <c r="AO28" i="4"/>
  <c r="AN28" i="4"/>
  <c r="AK28" i="4"/>
  <c r="AM25" i="4"/>
  <c r="AP25" i="4" s="1"/>
  <c r="AN24" i="4"/>
  <c r="AM24" i="4"/>
  <c r="AR24" i="4" s="1"/>
  <c r="AO24" i="4" s="1"/>
  <c r="AP24" i="4" s="1"/>
  <c r="AM23" i="4"/>
  <c r="AR23" i="4" s="1"/>
  <c r="AO23" i="4" s="1"/>
  <c r="AR22" i="4"/>
  <c r="AO22" i="4" s="1"/>
  <c r="AM22" i="4"/>
  <c r="AM21" i="4"/>
  <c r="AR21" i="4" s="1"/>
  <c r="AO21" i="4" s="1"/>
  <c r="AR20" i="4"/>
  <c r="AO20" i="4"/>
  <c r="AJ20" i="4"/>
  <c r="AO19" i="4"/>
  <c r="AM19" i="4"/>
  <c r="AM18" i="4"/>
  <c r="AR18" i="4" s="1"/>
  <c r="AO18" i="4" s="1"/>
  <c r="AQ15" i="4"/>
  <c r="AP15" i="4"/>
  <c r="AO15" i="4"/>
  <c r="AN15" i="4"/>
  <c r="AK15" i="4"/>
  <c r="AQ14" i="4"/>
  <c r="AP14" i="4"/>
  <c r="AO14" i="4"/>
  <c r="AN14" i="4"/>
  <c r="AK14" i="4"/>
  <c r="AP13" i="4"/>
  <c r="AO13" i="4"/>
  <c r="AN13" i="4"/>
  <c r="AK13" i="4"/>
  <c r="AQ12" i="4"/>
  <c r="AP12" i="4"/>
  <c r="AO12" i="4"/>
  <c r="AN12" i="4"/>
  <c r="AK12" i="4"/>
  <c r="AM9" i="4"/>
  <c r="AP9" i="4" s="1"/>
  <c r="AN8" i="4"/>
  <c r="AM8" i="4"/>
  <c r="AR8" i="4" s="1"/>
  <c r="AO8" i="4" s="1"/>
  <c r="AP8" i="4" s="1"/>
  <c r="AM7" i="4"/>
  <c r="AR7" i="4" s="1"/>
  <c r="AO7" i="4" s="1"/>
  <c r="AM6" i="4"/>
  <c r="AR6" i="4" s="1"/>
  <c r="AO6" i="4" s="1"/>
  <c r="AM5" i="4"/>
  <c r="AR5" i="4" s="1"/>
  <c r="AO5" i="4" s="1"/>
  <c r="AM4" i="4"/>
  <c r="AR4" i="4" s="1"/>
  <c r="AO4" i="4" s="1"/>
  <c r="AJ4" i="4"/>
  <c r="AO3" i="4"/>
  <c r="AM3" i="4"/>
  <c r="AM2" i="4"/>
  <c r="AR2" i="4" s="1"/>
  <c r="AO2" i="4" s="1"/>
  <c r="AE6" i="4"/>
  <c r="AE5" i="4"/>
  <c r="AE4" i="4"/>
  <c r="AE3" i="4"/>
  <c r="AE2" i="4"/>
  <c r="U4" i="4"/>
  <c r="AE6" i="3"/>
  <c r="AE5" i="3"/>
  <c r="AE4" i="3"/>
  <c r="AE3" i="3"/>
  <c r="AE2" i="3"/>
  <c r="AE6" i="2"/>
  <c r="AE5" i="2"/>
  <c r="AE4" i="2"/>
  <c r="AE3" i="2"/>
  <c r="AE2" i="2"/>
  <c r="AE2" i="1"/>
  <c r="AE6" i="1"/>
  <c r="AE5" i="1"/>
  <c r="AE4" i="1"/>
  <c r="AE3" i="1"/>
  <c r="AB47" i="14"/>
  <c r="AA47" i="14"/>
  <c r="Z47" i="14"/>
  <c r="Y47" i="14"/>
  <c r="V47" i="14"/>
  <c r="M47" i="14"/>
  <c r="L47" i="14"/>
  <c r="K47" i="14"/>
  <c r="J47" i="14"/>
  <c r="G47" i="14"/>
  <c r="AB46" i="14"/>
  <c r="AA46" i="14"/>
  <c r="Z46" i="14"/>
  <c r="Y46" i="14"/>
  <c r="V46" i="14"/>
  <c r="M46" i="14"/>
  <c r="L46" i="14"/>
  <c r="K46" i="14"/>
  <c r="J46" i="14"/>
  <c r="G46" i="14"/>
  <c r="AB45" i="14"/>
  <c r="AA45" i="14"/>
  <c r="Z45" i="14"/>
  <c r="Y45" i="14"/>
  <c r="V45" i="14"/>
  <c r="M45" i="14"/>
  <c r="L45" i="14"/>
  <c r="K45" i="14"/>
  <c r="J45" i="14"/>
  <c r="G45" i="14"/>
  <c r="AB44" i="14"/>
  <c r="AA44" i="14"/>
  <c r="Z44" i="14"/>
  <c r="Y44" i="14"/>
  <c r="V44" i="14"/>
  <c r="M44" i="14"/>
  <c r="L44" i="14"/>
  <c r="K44" i="14"/>
  <c r="J44" i="14"/>
  <c r="G44" i="14"/>
  <c r="X41" i="14"/>
  <c r="AA41" i="14" s="1"/>
  <c r="I41" i="14"/>
  <c r="L41" i="14" s="1"/>
  <c r="Y40" i="14"/>
  <c r="X40" i="14"/>
  <c r="AC40" i="14" s="1"/>
  <c r="Z40" i="14" s="1"/>
  <c r="AA40" i="14" s="1"/>
  <c r="J40" i="14"/>
  <c r="I40" i="14"/>
  <c r="N40" i="14" s="1"/>
  <c r="X39" i="14"/>
  <c r="AC39" i="14" s="1"/>
  <c r="Z39" i="14" s="1"/>
  <c r="I39" i="14"/>
  <c r="N39" i="14" s="1"/>
  <c r="K39" i="14" s="1"/>
  <c r="X38" i="14"/>
  <c r="AC38" i="14" s="1"/>
  <c r="Z38" i="14" s="1"/>
  <c r="I38" i="14"/>
  <c r="N38" i="14" s="1"/>
  <c r="K38" i="14" s="1"/>
  <c r="X37" i="14"/>
  <c r="AC37" i="14" s="1"/>
  <c r="Z37" i="14" s="1"/>
  <c r="I37" i="14"/>
  <c r="N37" i="14" s="1"/>
  <c r="K37" i="14" s="1"/>
  <c r="X36" i="14"/>
  <c r="AC36" i="14" s="1"/>
  <c r="Z36" i="14" s="1"/>
  <c r="U36" i="14"/>
  <c r="I36" i="14"/>
  <c r="N36" i="14" s="1"/>
  <c r="K36" i="14" s="1"/>
  <c r="F36" i="14"/>
  <c r="Z35" i="14"/>
  <c r="X35" i="14"/>
  <c r="K35" i="14"/>
  <c r="I35" i="14"/>
  <c r="X34" i="14"/>
  <c r="AC34" i="14" s="1"/>
  <c r="Z34" i="14" s="1"/>
  <c r="I34" i="14"/>
  <c r="N34" i="14" s="1"/>
  <c r="K34" i="14" s="1"/>
  <c r="AB31" i="14"/>
  <c r="AA31" i="14"/>
  <c r="Z31" i="14"/>
  <c r="Y31" i="14"/>
  <c r="V31" i="14"/>
  <c r="M31" i="14"/>
  <c r="L31" i="14"/>
  <c r="K31" i="14"/>
  <c r="J31" i="14"/>
  <c r="G31" i="14"/>
  <c r="AB30" i="14"/>
  <c r="AA30" i="14"/>
  <c r="Z30" i="14"/>
  <c r="Y30" i="14"/>
  <c r="V30" i="14"/>
  <c r="M30" i="14"/>
  <c r="L30" i="14"/>
  <c r="K30" i="14"/>
  <c r="J30" i="14"/>
  <c r="G30" i="14"/>
  <c r="AB29" i="14"/>
  <c r="AA29" i="14"/>
  <c r="Z29" i="14"/>
  <c r="Y29" i="14"/>
  <c r="V29" i="14"/>
  <c r="M29" i="14"/>
  <c r="L29" i="14"/>
  <c r="K29" i="14"/>
  <c r="J29" i="14"/>
  <c r="G29" i="14"/>
  <c r="AB28" i="14"/>
  <c r="AA28" i="14"/>
  <c r="Z28" i="14"/>
  <c r="Y28" i="14"/>
  <c r="V28" i="14"/>
  <c r="M28" i="14"/>
  <c r="L28" i="14"/>
  <c r="K28" i="14"/>
  <c r="J28" i="14"/>
  <c r="G28" i="14"/>
  <c r="X25" i="14"/>
  <c r="AA25" i="14" s="1"/>
  <c r="I25" i="14"/>
  <c r="L25" i="14" s="1"/>
  <c r="Y24" i="14"/>
  <c r="X24" i="14"/>
  <c r="AC24" i="14" s="1"/>
  <c r="J24" i="14"/>
  <c r="I24" i="14"/>
  <c r="N24" i="14" s="1"/>
  <c r="K24" i="14" s="1"/>
  <c r="L24" i="14" s="1"/>
  <c r="X23" i="14"/>
  <c r="AC23" i="14" s="1"/>
  <c r="Z23" i="14" s="1"/>
  <c r="I23" i="14"/>
  <c r="N23" i="14" s="1"/>
  <c r="K23" i="14" s="1"/>
  <c r="X22" i="14"/>
  <c r="AC22" i="14" s="1"/>
  <c r="Z22" i="14" s="1"/>
  <c r="I22" i="14"/>
  <c r="N22" i="14" s="1"/>
  <c r="K22" i="14" s="1"/>
  <c r="X21" i="14"/>
  <c r="AC21" i="14" s="1"/>
  <c r="Z21" i="14" s="1"/>
  <c r="I21" i="14"/>
  <c r="N21" i="14" s="1"/>
  <c r="K21" i="14" s="1"/>
  <c r="X20" i="14"/>
  <c r="AC20" i="14" s="1"/>
  <c r="Z20" i="14" s="1"/>
  <c r="U20" i="14"/>
  <c r="I20" i="14"/>
  <c r="N20" i="14" s="1"/>
  <c r="K20" i="14" s="1"/>
  <c r="F20" i="14"/>
  <c r="Z19" i="14"/>
  <c r="X19" i="14"/>
  <c r="K19" i="14"/>
  <c r="I19" i="14"/>
  <c r="X18" i="14"/>
  <c r="AC18" i="14" s="1"/>
  <c r="Z18" i="14" s="1"/>
  <c r="I18" i="14"/>
  <c r="N18" i="14" s="1"/>
  <c r="K18" i="14" s="1"/>
  <c r="AB15" i="14"/>
  <c r="AA15" i="14"/>
  <c r="Z15" i="14"/>
  <c r="Y15" i="14"/>
  <c r="V15" i="14"/>
  <c r="M15" i="14"/>
  <c r="L15" i="14"/>
  <c r="K15" i="14"/>
  <c r="J15" i="14"/>
  <c r="G15" i="14"/>
  <c r="C15" i="14"/>
  <c r="AB14" i="14"/>
  <c r="AA14" i="14"/>
  <c r="Z14" i="14"/>
  <c r="Y14" i="14"/>
  <c r="V14" i="14"/>
  <c r="M14" i="14"/>
  <c r="L14" i="14"/>
  <c r="K14" i="14"/>
  <c r="J14" i="14"/>
  <c r="G14" i="14"/>
  <c r="C14" i="14"/>
  <c r="AB13" i="14"/>
  <c r="AA13" i="14"/>
  <c r="Z13" i="14"/>
  <c r="Y13" i="14"/>
  <c r="V13" i="14"/>
  <c r="M13" i="14"/>
  <c r="L13" i="14"/>
  <c r="K13" i="14"/>
  <c r="J13" i="14"/>
  <c r="G13" i="14"/>
  <c r="AB12" i="14"/>
  <c r="AA12" i="14"/>
  <c r="Z12" i="14"/>
  <c r="Y12" i="14"/>
  <c r="V12" i="14"/>
  <c r="M12" i="14"/>
  <c r="L12" i="14"/>
  <c r="K12" i="14"/>
  <c r="J12" i="14"/>
  <c r="G12" i="14"/>
  <c r="X9" i="14"/>
  <c r="AA9" i="14" s="1"/>
  <c r="I9" i="14"/>
  <c r="L9" i="14" s="1"/>
  <c r="Y8" i="14"/>
  <c r="X8" i="14"/>
  <c r="AA5" i="14" s="1"/>
  <c r="J8" i="14"/>
  <c r="I8" i="14"/>
  <c r="N8" i="14" s="1"/>
  <c r="X7" i="14"/>
  <c r="AC7" i="14" s="1"/>
  <c r="Z7" i="14" s="1"/>
  <c r="I7" i="14"/>
  <c r="N7" i="14" s="1"/>
  <c r="K7" i="14" s="1"/>
  <c r="X6" i="14"/>
  <c r="AC6" i="14" s="1"/>
  <c r="Z6" i="14" s="1"/>
  <c r="I6" i="14"/>
  <c r="N6" i="14" s="1"/>
  <c r="K6" i="14" s="1"/>
  <c r="X5" i="14"/>
  <c r="AC5" i="14" s="1"/>
  <c r="Z5" i="14" s="1"/>
  <c r="I5" i="14"/>
  <c r="N5" i="14" s="1"/>
  <c r="K5" i="14" s="1"/>
  <c r="X4" i="14"/>
  <c r="AC4" i="14" s="1"/>
  <c r="Z4" i="14" s="1"/>
  <c r="U4" i="14"/>
  <c r="I4" i="14"/>
  <c r="N4" i="14" s="1"/>
  <c r="K4" i="14" s="1"/>
  <c r="F4" i="14"/>
  <c r="Z3" i="14"/>
  <c r="X3" i="14"/>
  <c r="K3" i="14"/>
  <c r="I3" i="14"/>
  <c r="X2" i="14"/>
  <c r="AC2" i="14" s="1"/>
  <c r="Z2" i="14" s="1"/>
  <c r="I2" i="14"/>
  <c r="N2" i="14" s="1"/>
  <c r="K2" i="14" s="1"/>
  <c r="AB47" i="13"/>
  <c r="AA47" i="13"/>
  <c r="Z47" i="13"/>
  <c r="Y47" i="13"/>
  <c r="V47" i="13"/>
  <c r="M47" i="13"/>
  <c r="L47" i="13"/>
  <c r="K47" i="13"/>
  <c r="J47" i="13"/>
  <c r="G47" i="13"/>
  <c r="AB46" i="13"/>
  <c r="AA46" i="13"/>
  <c r="Z46" i="13"/>
  <c r="Y46" i="13"/>
  <c r="V46" i="13"/>
  <c r="M46" i="13"/>
  <c r="L46" i="13"/>
  <c r="K46" i="13"/>
  <c r="J46" i="13"/>
  <c r="G46" i="13"/>
  <c r="AB45" i="13"/>
  <c r="AA45" i="13"/>
  <c r="Z45" i="13"/>
  <c r="Y45" i="13"/>
  <c r="V45" i="13"/>
  <c r="M45" i="13"/>
  <c r="L45" i="13"/>
  <c r="K45" i="13"/>
  <c r="J45" i="13"/>
  <c r="G45" i="13"/>
  <c r="AB44" i="13"/>
  <c r="AA44" i="13"/>
  <c r="Z44" i="13"/>
  <c r="Y44" i="13"/>
  <c r="V44" i="13"/>
  <c r="M44" i="13"/>
  <c r="L44" i="13"/>
  <c r="K44" i="13"/>
  <c r="J44" i="13"/>
  <c r="G44" i="13"/>
  <c r="X41" i="13"/>
  <c r="AA41" i="13" s="1"/>
  <c r="I41" i="13"/>
  <c r="L41" i="13" s="1"/>
  <c r="Y40" i="13"/>
  <c r="X40" i="13"/>
  <c r="AC40" i="13" s="1"/>
  <c r="J40" i="13"/>
  <c r="I40" i="13"/>
  <c r="N40" i="13" s="1"/>
  <c r="X39" i="13"/>
  <c r="AC39" i="13" s="1"/>
  <c r="Z39" i="13" s="1"/>
  <c r="I39" i="13"/>
  <c r="N39" i="13" s="1"/>
  <c r="K39" i="13" s="1"/>
  <c r="X38" i="13"/>
  <c r="AC38" i="13" s="1"/>
  <c r="Z38" i="13" s="1"/>
  <c r="I38" i="13"/>
  <c r="N38" i="13" s="1"/>
  <c r="K38" i="13" s="1"/>
  <c r="X37" i="13"/>
  <c r="AC37" i="13" s="1"/>
  <c r="Z37" i="13" s="1"/>
  <c r="I37" i="13"/>
  <c r="N37" i="13" s="1"/>
  <c r="K37" i="13" s="1"/>
  <c r="X36" i="13"/>
  <c r="AC36" i="13" s="1"/>
  <c r="Z36" i="13" s="1"/>
  <c r="U36" i="13"/>
  <c r="I36" i="13"/>
  <c r="N36" i="13" s="1"/>
  <c r="K36" i="13" s="1"/>
  <c r="F36" i="13"/>
  <c r="Z35" i="13"/>
  <c r="X35" i="13"/>
  <c r="K35" i="13"/>
  <c r="I35" i="13"/>
  <c r="X34" i="13"/>
  <c r="AC34" i="13" s="1"/>
  <c r="Z34" i="13" s="1"/>
  <c r="I34" i="13"/>
  <c r="N34" i="13" s="1"/>
  <c r="K34" i="13" s="1"/>
  <c r="AB31" i="13"/>
  <c r="AA31" i="13"/>
  <c r="Z31" i="13"/>
  <c r="Y31" i="13"/>
  <c r="V31" i="13"/>
  <c r="M31" i="13"/>
  <c r="L31" i="13"/>
  <c r="K31" i="13"/>
  <c r="J31" i="13"/>
  <c r="G31" i="13"/>
  <c r="AB30" i="13"/>
  <c r="AA30" i="13"/>
  <c r="Z30" i="13"/>
  <c r="Y30" i="13"/>
  <c r="V30" i="13"/>
  <c r="M30" i="13"/>
  <c r="L30" i="13"/>
  <c r="K30" i="13"/>
  <c r="J30" i="13"/>
  <c r="G30" i="13"/>
  <c r="AB29" i="13"/>
  <c r="AA29" i="13"/>
  <c r="Z29" i="13"/>
  <c r="Y29" i="13"/>
  <c r="V29" i="13"/>
  <c r="M29" i="13"/>
  <c r="L29" i="13"/>
  <c r="K29" i="13"/>
  <c r="J29" i="13"/>
  <c r="G29" i="13"/>
  <c r="AB28" i="13"/>
  <c r="AA28" i="13"/>
  <c r="Z28" i="13"/>
  <c r="Y28" i="13"/>
  <c r="V28" i="13"/>
  <c r="M28" i="13"/>
  <c r="L28" i="13"/>
  <c r="K28" i="13"/>
  <c r="J28" i="13"/>
  <c r="G28" i="13"/>
  <c r="X25" i="13"/>
  <c r="AA25" i="13" s="1"/>
  <c r="I25" i="13"/>
  <c r="L25" i="13" s="1"/>
  <c r="Y24" i="13"/>
  <c r="X24" i="13"/>
  <c r="AA21" i="13" s="1"/>
  <c r="J24" i="13"/>
  <c r="I24" i="13"/>
  <c r="N24" i="13" s="1"/>
  <c r="X23" i="13"/>
  <c r="AC23" i="13" s="1"/>
  <c r="Z23" i="13" s="1"/>
  <c r="I23" i="13"/>
  <c r="N23" i="13" s="1"/>
  <c r="K23" i="13" s="1"/>
  <c r="X22" i="13"/>
  <c r="AC22" i="13" s="1"/>
  <c r="Z22" i="13" s="1"/>
  <c r="I22" i="13"/>
  <c r="N22" i="13" s="1"/>
  <c r="K22" i="13" s="1"/>
  <c r="X21" i="13"/>
  <c r="AC21" i="13" s="1"/>
  <c r="Z21" i="13" s="1"/>
  <c r="I21" i="13"/>
  <c r="N21" i="13" s="1"/>
  <c r="K21" i="13" s="1"/>
  <c r="X20" i="13"/>
  <c r="AC20" i="13" s="1"/>
  <c r="Z20" i="13" s="1"/>
  <c r="U20" i="13"/>
  <c r="I20" i="13"/>
  <c r="N20" i="13" s="1"/>
  <c r="K20" i="13" s="1"/>
  <c r="F20" i="13"/>
  <c r="Z19" i="13"/>
  <c r="X19" i="13"/>
  <c r="K19" i="13"/>
  <c r="I19" i="13"/>
  <c r="X18" i="13"/>
  <c r="AC18" i="13" s="1"/>
  <c r="Z18" i="13" s="1"/>
  <c r="I18" i="13"/>
  <c r="N18" i="13" s="1"/>
  <c r="K18" i="13" s="1"/>
  <c r="AB15" i="13"/>
  <c r="AA15" i="13"/>
  <c r="Z15" i="13"/>
  <c r="Y15" i="13"/>
  <c r="V15" i="13"/>
  <c r="M15" i="13"/>
  <c r="L15" i="13"/>
  <c r="K15" i="13"/>
  <c r="J15" i="13"/>
  <c r="G15" i="13"/>
  <c r="C15" i="13"/>
  <c r="AB14" i="13"/>
  <c r="AA14" i="13"/>
  <c r="Z14" i="13"/>
  <c r="Y14" i="13"/>
  <c r="V14" i="13"/>
  <c r="M14" i="13"/>
  <c r="L14" i="13"/>
  <c r="K14" i="13"/>
  <c r="J14" i="13"/>
  <c r="G14" i="13"/>
  <c r="C14" i="13"/>
  <c r="AB13" i="13"/>
  <c r="AA13" i="13"/>
  <c r="Z13" i="13"/>
  <c r="Y13" i="13"/>
  <c r="V13" i="13"/>
  <c r="M13" i="13"/>
  <c r="L13" i="13"/>
  <c r="K13" i="13"/>
  <c r="J13" i="13"/>
  <c r="G13" i="13"/>
  <c r="AB12" i="13"/>
  <c r="AA12" i="13"/>
  <c r="Z12" i="13"/>
  <c r="Y12" i="13"/>
  <c r="V12" i="13"/>
  <c r="M12" i="13"/>
  <c r="L12" i="13"/>
  <c r="K12" i="13"/>
  <c r="J12" i="13"/>
  <c r="G12" i="13"/>
  <c r="X9" i="13"/>
  <c r="AA9" i="13" s="1"/>
  <c r="I9" i="13"/>
  <c r="L9" i="13" s="1"/>
  <c r="Y8" i="13"/>
  <c r="X8" i="13"/>
  <c r="AC8" i="13" s="1"/>
  <c r="J8" i="13"/>
  <c r="I8" i="13"/>
  <c r="N8" i="13" s="1"/>
  <c r="X7" i="13"/>
  <c r="AC7" i="13" s="1"/>
  <c r="Z7" i="13" s="1"/>
  <c r="I7" i="13"/>
  <c r="N7" i="13" s="1"/>
  <c r="K7" i="13" s="1"/>
  <c r="X6" i="13"/>
  <c r="AC6" i="13" s="1"/>
  <c r="Z6" i="13" s="1"/>
  <c r="I6" i="13"/>
  <c r="N6" i="13" s="1"/>
  <c r="K6" i="13" s="1"/>
  <c r="X5" i="13"/>
  <c r="AC5" i="13" s="1"/>
  <c r="Z5" i="13" s="1"/>
  <c r="I5" i="13"/>
  <c r="N5" i="13" s="1"/>
  <c r="K5" i="13" s="1"/>
  <c r="X4" i="13"/>
  <c r="AC4" i="13" s="1"/>
  <c r="Z4" i="13" s="1"/>
  <c r="U4" i="13"/>
  <c r="I4" i="13"/>
  <c r="N4" i="13" s="1"/>
  <c r="K4" i="13" s="1"/>
  <c r="F4" i="13"/>
  <c r="Z3" i="13"/>
  <c r="X3" i="13"/>
  <c r="K3" i="13"/>
  <c r="I3" i="13"/>
  <c r="X2" i="13"/>
  <c r="AC2" i="13" s="1"/>
  <c r="Z2" i="13" s="1"/>
  <c r="I2" i="13"/>
  <c r="N2" i="13" s="1"/>
  <c r="K2" i="13" s="1"/>
  <c r="AB47" i="12"/>
  <c r="AA47" i="12"/>
  <c r="Z47" i="12"/>
  <c r="Y47" i="12"/>
  <c r="V47" i="12"/>
  <c r="M47" i="12"/>
  <c r="L47" i="12"/>
  <c r="K47" i="12"/>
  <c r="J47" i="12"/>
  <c r="G47" i="12"/>
  <c r="AB46" i="12"/>
  <c r="AA46" i="12"/>
  <c r="Z46" i="12"/>
  <c r="Y46" i="12"/>
  <c r="V46" i="12"/>
  <c r="M46" i="12"/>
  <c r="L46" i="12"/>
  <c r="K46" i="12"/>
  <c r="J46" i="12"/>
  <c r="G46" i="12"/>
  <c r="AB45" i="12"/>
  <c r="AA45" i="12"/>
  <c r="Z45" i="12"/>
  <c r="Y45" i="12"/>
  <c r="V45" i="12"/>
  <c r="M45" i="12"/>
  <c r="L45" i="12"/>
  <c r="K45" i="12"/>
  <c r="J45" i="12"/>
  <c r="G45" i="12"/>
  <c r="AB44" i="12"/>
  <c r="AA44" i="12"/>
  <c r="Z44" i="12"/>
  <c r="Y44" i="12"/>
  <c r="V44" i="12"/>
  <c r="M44" i="12"/>
  <c r="L44" i="12"/>
  <c r="K44" i="12"/>
  <c r="J44" i="12"/>
  <c r="G44" i="12"/>
  <c r="X41" i="12"/>
  <c r="AA41" i="12" s="1"/>
  <c r="I41" i="12"/>
  <c r="L41" i="12" s="1"/>
  <c r="Y40" i="12"/>
  <c r="X40" i="12"/>
  <c r="AC40" i="12" s="1"/>
  <c r="Z40" i="12" s="1"/>
  <c r="AA40" i="12" s="1"/>
  <c r="J40" i="12"/>
  <c r="I40" i="12"/>
  <c r="L37" i="12" s="1"/>
  <c r="X39" i="12"/>
  <c r="AC39" i="12" s="1"/>
  <c r="Z39" i="12" s="1"/>
  <c r="I39" i="12"/>
  <c r="N39" i="12" s="1"/>
  <c r="K39" i="12" s="1"/>
  <c r="X38" i="12"/>
  <c r="AC38" i="12" s="1"/>
  <c r="Z38" i="12" s="1"/>
  <c r="I38" i="12"/>
  <c r="N38" i="12" s="1"/>
  <c r="K38" i="12" s="1"/>
  <c r="X37" i="12"/>
  <c r="AC37" i="12" s="1"/>
  <c r="Z37" i="12" s="1"/>
  <c r="I37" i="12"/>
  <c r="N37" i="12" s="1"/>
  <c r="K37" i="12" s="1"/>
  <c r="X36" i="12"/>
  <c r="AC36" i="12" s="1"/>
  <c r="Z36" i="12" s="1"/>
  <c r="U36" i="12"/>
  <c r="I36" i="12"/>
  <c r="N36" i="12" s="1"/>
  <c r="K36" i="12" s="1"/>
  <c r="F36" i="12"/>
  <c r="Z35" i="12"/>
  <c r="X35" i="12"/>
  <c r="K35" i="12"/>
  <c r="I35" i="12"/>
  <c r="X34" i="12"/>
  <c r="AC34" i="12" s="1"/>
  <c r="Z34" i="12" s="1"/>
  <c r="I34" i="12"/>
  <c r="N34" i="12" s="1"/>
  <c r="K34" i="12" s="1"/>
  <c r="AB31" i="12"/>
  <c r="AA31" i="12"/>
  <c r="Z31" i="12"/>
  <c r="Y31" i="12"/>
  <c r="V31" i="12"/>
  <c r="M31" i="12"/>
  <c r="L31" i="12"/>
  <c r="K31" i="12"/>
  <c r="J31" i="12"/>
  <c r="G31" i="12"/>
  <c r="AB30" i="12"/>
  <c r="AA30" i="12"/>
  <c r="Z30" i="12"/>
  <c r="Y30" i="12"/>
  <c r="V30" i="12"/>
  <c r="M30" i="12"/>
  <c r="L30" i="12"/>
  <c r="K30" i="12"/>
  <c r="J30" i="12"/>
  <c r="G30" i="12"/>
  <c r="AB29" i="12"/>
  <c r="AA29" i="12"/>
  <c r="Z29" i="12"/>
  <c r="Y29" i="12"/>
  <c r="V29" i="12"/>
  <c r="M29" i="12"/>
  <c r="L29" i="12"/>
  <c r="K29" i="12"/>
  <c r="J29" i="12"/>
  <c r="G29" i="12"/>
  <c r="AB28" i="12"/>
  <c r="AA28" i="12"/>
  <c r="Z28" i="12"/>
  <c r="Y28" i="12"/>
  <c r="V28" i="12"/>
  <c r="M28" i="12"/>
  <c r="L28" i="12"/>
  <c r="K28" i="12"/>
  <c r="J28" i="12"/>
  <c r="G28" i="12"/>
  <c r="X25" i="12"/>
  <c r="AA25" i="12" s="1"/>
  <c r="I25" i="12"/>
  <c r="L25" i="12" s="1"/>
  <c r="Y24" i="12"/>
  <c r="X24" i="12"/>
  <c r="AA21" i="12" s="1"/>
  <c r="J24" i="12"/>
  <c r="I24" i="12"/>
  <c r="N24" i="12" s="1"/>
  <c r="K24" i="12" s="1"/>
  <c r="L24" i="12" s="1"/>
  <c r="X23" i="12"/>
  <c r="AC23" i="12" s="1"/>
  <c r="Z23" i="12" s="1"/>
  <c r="I23" i="12"/>
  <c r="N23" i="12" s="1"/>
  <c r="K23" i="12" s="1"/>
  <c r="X22" i="12"/>
  <c r="AC22" i="12" s="1"/>
  <c r="Z22" i="12" s="1"/>
  <c r="I22" i="12"/>
  <c r="N22" i="12" s="1"/>
  <c r="K22" i="12" s="1"/>
  <c r="X21" i="12"/>
  <c r="AC21" i="12" s="1"/>
  <c r="Z21" i="12" s="1"/>
  <c r="I21" i="12"/>
  <c r="N21" i="12" s="1"/>
  <c r="K21" i="12" s="1"/>
  <c r="X20" i="12"/>
  <c r="AC20" i="12" s="1"/>
  <c r="Z20" i="12" s="1"/>
  <c r="U20" i="12"/>
  <c r="I20" i="12"/>
  <c r="N20" i="12" s="1"/>
  <c r="K20" i="12" s="1"/>
  <c r="F20" i="12"/>
  <c r="Z19" i="12"/>
  <c r="X19" i="12"/>
  <c r="K19" i="12"/>
  <c r="I19" i="12"/>
  <c r="X18" i="12"/>
  <c r="AC18" i="12" s="1"/>
  <c r="Z18" i="12" s="1"/>
  <c r="I18" i="12"/>
  <c r="N18" i="12" s="1"/>
  <c r="K18" i="12" s="1"/>
  <c r="AB15" i="12"/>
  <c r="AA15" i="12"/>
  <c r="Z15" i="12"/>
  <c r="Y15" i="12"/>
  <c r="V15" i="12"/>
  <c r="M15" i="12"/>
  <c r="L15" i="12"/>
  <c r="K15" i="12"/>
  <c r="J15" i="12"/>
  <c r="G15" i="12"/>
  <c r="C15" i="12"/>
  <c r="AB14" i="12"/>
  <c r="AA14" i="12"/>
  <c r="Z14" i="12"/>
  <c r="Y14" i="12"/>
  <c r="V14" i="12"/>
  <c r="M14" i="12"/>
  <c r="L14" i="12"/>
  <c r="K14" i="12"/>
  <c r="J14" i="12"/>
  <c r="G14" i="12"/>
  <c r="C14" i="12"/>
  <c r="AB13" i="12"/>
  <c r="AA13" i="12"/>
  <c r="Z13" i="12"/>
  <c r="Y13" i="12"/>
  <c r="V13" i="12"/>
  <c r="M13" i="12"/>
  <c r="L13" i="12"/>
  <c r="K13" i="12"/>
  <c r="J13" i="12"/>
  <c r="G13" i="12"/>
  <c r="AB12" i="12"/>
  <c r="AA12" i="12"/>
  <c r="Z12" i="12"/>
  <c r="Y12" i="12"/>
  <c r="V12" i="12"/>
  <c r="M12" i="12"/>
  <c r="L12" i="12"/>
  <c r="K12" i="12"/>
  <c r="J12" i="12"/>
  <c r="G12" i="12"/>
  <c r="X9" i="12"/>
  <c r="AA9" i="12" s="1"/>
  <c r="I9" i="12"/>
  <c r="L9" i="12" s="1"/>
  <c r="Y8" i="12"/>
  <c r="X8" i="12"/>
  <c r="AA5" i="12" s="1"/>
  <c r="J8" i="12"/>
  <c r="I8" i="12"/>
  <c r="N8" i="12" s="1"/>
  <c r="K8" i="12" s="1"/>
  <c r="L8" i="12" s="1"/>
  <c r="X7" i="12"/>
  <c r="AC7" i="12" s="1"/>
  <c r="Z7" i="12" s="1"/>
  <c r="I7" i="12"/>
  <c r="N7" i="12" s="1"/>
  <c r="K7" i="12" s="1"/>
  <c r="X6" i="12"/>
  <c r="AC6" i="12" s="1"/>
  <c r="Z6" i="12" s="1"/>
  <c r="I6" i="12"/>
  <c r="N6" i="12" s="1"/>
  <c r="K6" i="12" s="1"/>
  <c r="X5" i="12"/>
  <c r="AC5" i="12" s="1"/>
  <c r="Z5" i="12" s="1"/>
  <c r="I5" i="12"/>
  <c r="N5" i="12" s="1"/>
  <c r="K5" i="12" s="1"/>
  <c r="X4" i="12"/>
  <c r="AC4" i="12" s="1"/>
  <c r="Z4" i="12" s="1"/>
  <c r="U4" i="12"/>
  <c r="I4" i="12"/>
  <c r="N4" i="12" s="1"/>
  <c r="K4" i="12" s="1"/>
  <c r="F4" i="12"/>
  <c r="Z3" i="12"/>
  <c r="X3" i="12"/>
  <c r="K3" i="12"/>
  <c r="I3" i="12"/>
  <c r="X2" i="12"/>
  <c r="AC2" i="12" s="1"/>
  <c r="Z2" i="12" s="1"/>
  <c r="I2" i="12"/>
  <c r="N2" i="12" s="1"/>
  <c r="K2" i="12" s="1"/>
  <c r="AB47" i="11"/>
  <c r="AA47" i="11"/>
  <c r="Z47" i="11"/>
  <c r="Y47" i="11"/>
  <c r="V47" i="11"/>
  <c r="M47" i="11"/>
  <c r="L47" i="11"/>
  <c r="K47" i="11"/>
  <c r="J47" i="11"/>
  <c r="G47" i="11"/>
  <c r="AB46" i="11"/>
  <c r="AA46" i="11"/>
  <c r="Z46" i="11"/>
  <c r="Y46" i="11"/>
  <c r="V46" i="11"/>
  <c r="M46" i="11"/>
  <c r="L46" i="11"/>
  <c r="K46" i="11"/>
  <c r="J46" i="11"/>
  <c r="G46" i="11"/>
  <c r="AB45" i="11"/>
  <c r="AA45" i="11"/>
  <c r="Z45" i="11"/>
  <c r="Y45" i="11"/>
  <c r="V45" i="11"/>
  <c r="M45" i="11"/>
  <c r="L45" i="11"/>
  <c r="K45" i="11"/>
  <c r="J45" i="11"/>
  <c r="G45" i="11"/>
  <c r="AB44" i="11"/>
  <c r="AA44" i="11"/>
  <c r="Z44" i="11"/>
  <c r="Y44" i="11"/>
  <c r="V44" i="11"/>
  <c r="M44" i="11"/>
  <c r="L44" i="11"/>
  <c r="K44" i="11"/>
  <c r="J44" i="11"/>
  <c r="G44" i="11"/>
  <c r="X41" i="11"/>
  <c r="AA41" i="11" s="1"/>
  <c r="I41" i="11"/>
  <c r="L41" i="11" s="1"/>
  <c r="Y40" i="11"/>
  <c r="X40" i="11"/>
  <c r="AC40" i="11" s="1"/>
  <c r="Z40" i="11" s="1"/>
  <c r="AA40" i="11" s="1"/>
  <c r="J40" i="11"/>
  <c r="I40" i="11"/>
  <c r="N40" i="11" s="1"/>
  <c r="X39" i="11"/>
  <c r="AC39" i="11" s="1"/>
  <c r="Z39" i="11" s="1"/>
  <c r="I39" i="11"/>
  <c r="N39" i="11" s="1"/>
  <c r="K39" i="11" s="1"/>
  <c r="X38" i="11"/>
  <c r="AC38" i="11" s="1"/>
  <c r="Z38" i="11" s="1"/>
  <c r="I38" i="11"/>
  <c r="N38" i="11" s="1"/>
  <c r="K38" i="11" s="1"/>
  <c r="X37" i="11"/>
  <c r="AC37" i="11" s="1"/>
  <c r="Z37" i="11" s="1"/>
  <c r="I37" i="11"/>
  <c r="N37" i="11" s="1"/>
  <c r="K37" i="11" s="1"/>
  <c r="X36" i="11"/>
  <c r="AC36" i="11" s="1"/>
  <c r="Z36" i="11" s="1"/>
  <c r="U36" i="11"/>
  <c r="I36" i="11"/>
  <c r="N36" i="11" s="1"/>
  <c r="K36" i="11" s="1"/>
  <c r="F36" i="11"/>
  <c r="Z35" i="11"/>
  <c r="X35" i="11"/>
  <c r="K35" i="11"/>
  <c r="I35" i="11"/>
  <c r="X34" i="11"/>
  <c r="AC34" i="11" s="1"/>
  <c r="Z34" i="11" s="1"/>
  <c r="I34" i="11"/>
  <c r="N34" i="11" s="1"/>
  <c r="K34" i="11" s="1"/>
  <c r="AB31" i="11"/>
  <c r="AA31" i="11"/>
  <c r="Z31" i="11"/>
  <c r="Y31" i="11"/>
  <c r="V31" i="11"/>
  <c r="M31" i="11"/>
  <c r="L31" i="11"/>
  <c r="K31" i="11"/>
  <c r="J31" i="11"/>
  <c r="G31" i="11"/>
  <c r="AB30" i="11"/>
  <c r="AA30" i="11"/>
  <c r="Z30" i="11"/>
  <c r="Y30" i="11"/>
  <c r="V30" i="11"/>
  <c r="M30" i="11"/>
  <c r="L30" i="11"/>
  <c r="K30" i="11"/>
  <c r="J30" i="11"/>
  <c r="G30" i="11"/>
  <c r="AB29" i="11"/>
  <c r="AA29" i="11"/>
  <c r="Z29" i="11"/>
  <c r="Y29" i="11"/>
  <c r="V29" i="11"/>
  <c r="M29" i="11"/>
  <c r="L29" i="11"/>
  <c r="K29" i="11"/>
  <c r="J29" i="11"/>
  <c r="G29" i="11"/>
  <c r="AB28" i="11"/>
  <c r="AA28" i="11"/>
  <c r="Z28" i="11"/>
  <c r="Y28" i="11"/>
  <c r="V28" i="11"/>
  <c r="M28" i="11"/>
  <c r="L28" i="11"/>
  <c r="K28" i="11"/>
  <c r="J28" i="11"/>
  <c r="G28" i="11"/>
  <c r="X25" i="11"/>
  <c r="AA25" i="11" s="1"/>
  <c r="I25" i="11"/>
  <c r="L25" i="11" s="1"/>
  <c r="Y24" i="11"/>
  <c r="X24" i="11"/>
  <c r="AA21" i="11" s="1"/>
  <c r="J24" i="11"/>
  <c r="I24" i="11"/>
  <c r="N24" i="11" s="1"/>
  <c r="X23" i="11"/>
  <c r="AC23" i="11" s="1"/>
  <c r="Z23" i="11" s="1"/>
  <c r="I23" i="11"/>
  <c r="N23" i="11" s="1"/>
  <c r="K23" i="11" s="1"/>
  <c r="X22" i="11"/>
  <c r="AC22" i="11" s="1"/>
  <c r="Z22" i="11" s="1"/>
  <c r="I22" i="11"/>
  <c r="N22" i="11" s="1"/>
  <c r="K22" i="11" s="1"/>
  <c r="X21" i="11"/>
  <c r="AC21" i="11" s="1"/>
  <c r="Z21" i="11" s="1"/>
  <c r="I21" i="11"/>
  <c r="N21" i="11" s="1"/>
  <c r="K21" i="11" s="1"/>
  <c r="X20" i="11"/>
  <c r="AC20" i="11" s="1"/>
  <c r="Z20" i="11" s="1"/>
  <c r="U20" i="11"/>
  <c r="I20" i="11"/>
  <c r="N20" i="11" s="1"/>
  <c r="K20" i="11" s="1"/>
  <c r="F20" i="11"/>
  <c r="Z19" i="11"/>
  <c r="X19" i="11"/>
  <c r="K19" i="11"/>
  <c r="I19" i="11"/>
  <c r="X18" i="11"/>
  <c r="AC18" i="11" s="1"/>
  <c r="Z18" i="11" s="1"/>
  <c r="I18" i="11"/>
  <c r="N18" i="11" s="1"/>
  <c r="K18" i="11" s="1"/>
  <c r="AB15" i="11"/>
  <c r="AA15" i="11"/>
  <c r="Z15" i="11"/>
  <c r="Y15" i="11"/>
  <c r="V15" i="11"/>
  <c r="M15" i="11"/>
  <c r="L15" i="11"/>
  <c r="K15" i="11"/>
  <c r="J15" i="11"/>
  <c r="G15" i="11"/>
  <c r="C15" i="11"/>
  <c r="AB14" i="11"/>
  <c r="AA14" i="11"/>
  <c r="Z14" i="11"/>
  <c r="Y14" i="11"/>
  <c r="V14" i="11"/>
  <c r="M14" i="11"/>
  <c r="L14" i="11"/>
  <c r="K14" i="11"/>
  <c r="J14" i="11"/>
  <c r="G14" i="11"/>
  <c r="C14" i="11"/>
  <c r="AB13" i="11"/>
  <c r="AA13" i="11"/>
  <c r="Z13" i="11"/>
  <c r="Y13" i="11"/>
  <c r="V13" i="11"/>
  <c r="M13" i="11"/>
  <c r="L13" i="11"/>
  <c r="K13" i="11"/>
  <c r="J13" i="11"/>
  <c r="G13" i="11"/>
  <c r="AB12" i="11"/>
  <c r="AA12" i="11"/>
  <c r="Z12" i="11"/>
  <c r="Y12" i="11"/>
  <c r="V12" i="11"/>
  <c r="M12" i="11"/>
  <c r="L12" i="11"/>
  <c r="K12" i="11"/>
  <c r="J12" i="11"/>
  <c r="G12" i="11"/>
  <c r="X9" i="11"/>
  <c r="AA9" i="11" s="1"/>
  <c r="I9" i="11"/>
  <c r="L9" i="11" s="1"/>
  <c r="Y8" i="11"/>
  <c r="X8" i="11"/>
  <c r="AC8" i="11" s="1"/>
  <c r="J8" i="11"/>
  <c r="I8" i="11"/>
  <c r="N8" i="11" s="1"/>
  <c r="K8" i="11" s="1"/>
  <c r="L8" i="11" s="1"/>
  <c r="X7" i="11"/>
  <c r="AC7" i="11" s="1"/>
  <c r="Z7" i="11" s="1"/>
  <c r="I7" i="11"/>
  <c r="N7" i="11" s="1"/>
  <c r="K7" i="11" s="1"/>
  <c r="X6" i="11"/>
  <c r="AC6" i="11" s="1"/>
  <c r="Z6" i="11" s="1"/>
  <c r="I6" i="11"/>
  <c r="N6" i="11" s="1"/>
  <c r="K6" i="11" s="1"/>
  <c r="X5" i="11"/>
  <c r="AC5" i="11" s="1"/>
  <c r="Z5" i="11" s="1"/>
  <c r="I5" i="11"/>
  <c r="N5" i="11" s="1"/>
  <c r="K5" i="11" s="1"/>
  <c r="X4" i="11"/>
  <c r="AC4" i="11" s="1"/>
  <c r="Z4" i="11" s="1"/>
  <c r="U4" i="11"/>
  <c r="I4" i="11"/>
  <c r="N4" i="11" s="1"/>
  <c r="K4" i="11" s="1"/>
  <c r="F4" i="11"/>
  <c r="Z3" i="11"/>
  <c r="X3" i="11"/>
  <c r="K3" i="11"/>
  <c r="I3" i="11"/>
  <c r="X2" i="11"/>
  <c r="AC2" i="11" s="1"/>
  <c r="Z2" i="11" s="1"/>
  <c r="I2" i="11"/>
  <c r="N2" i="11" s="1"/>
  <c r="K2" i="11" s="1"/>
  <c r="AB47" i="9"/>
  <c r="AA47" i="9"/>
  <c r="Z47" i="9"/>
  <c r="Y47" i="9"/>
  <c r="V47" i="9"/>
  <c r="M47" i="9"/>
  <c r="L47" i="9"/>
  <c r="K47" i="9"/>
  <c r="J47" i="9"/>
  <c r="G47" i="9"/>
  <c r="AB46" i="9"/>
  <c r="AA46" i="9"/>
  <c r="Z46" i="9"/>
  <c r="Y46" i="9"/>
  <c r="V46" i="9"/>
  <c r="M46" i="9"/>
  <c r="L46" i="9"/>
  <c r="K46" i="9"/>
  <c r="J46" i="9"/>
  <c r="G46" i="9"/>
  <c r="AB45" i="9"/>
  <c r="AA45" i="9"/>
  <c r="Z45" i="9"/>
  <c r="Y45" i="9"/>
  <c r="V45" i="9"/>
  <c r="M45" i="9"/>
  <c r="L45" i="9"/>
  <c r="K45" i="9"/>
  <c r="J45" i="9"/>
  <c r="G45" i="9"/>
  <c r="AB44" i="9"/>
  <c r="AA44" i="9"/>
  <c r="Z44" i="9"/>
  <c r="Y44" i="9"/>
  <c r="V44" i="9"/>
  <c r="M44" i="9"/>
  <c r="L44" i="9"/>
  <c r="K44" i="9"/>
  <c r="J44" i="9"/>
  <c r="G44" i="9"/>
  <c r="X41" i="9"/>
  <c r="AA41" i="9" s="1"/>
  <c r="I41" i="9"/>
  <c r="L41" i="9" s="1"/>
  <c r="Y40" i="9"/>
  <c r="X40" i="9"/>
  <c r="AC40" i="9" s="1"/>
  <c r="J40" i="9"/>
  <c r="I40" i="9"/>
  <c r="N40" i="9" s="1"/>
  <c r="K40" i="9" s="1"/>
  <c r="L40" i="9" s="1"/>
  <c r="X39" i="9"/>
  <c r="AC39" i="9" s="1"/>
  <c r="Z39" i="9" s="1"/>
  <c r="I39" i="9"/>
  <c r="N39" i="9" s="1"/>
  <c r="K39" i="9" s="1"/>
  <c r="X38" i="9"/>
  <c r="AC38" i="9" s="1"/>
  <c r="Z38" i="9" s="1"/>
  <c r="I38" i="9"/>
  <c r="N38" i="9" s="1"/>
  <c r="K38" i="9" s="1"/>
  <c r="X37" i="9"/>
  <c r="AC37" i="9" s="1"/>
  <c r="Z37" i="9" s="1"/>
  <c r="I37" i="9"/>
  <c r="N37" i="9" s="1"/>
  <c r="K37" i="9" s="1"/>
  <c r="X36" i="9"/>
  <c r="AC36" i="9" s="1"/>
  <c r="Z36" i="9" s="1"/>
  <c r="U36" i="9"/>
  <c r="I36" i="9"/>
  <c r="N36" i="9" s="1"/>
  <c r="K36" i="9" s="1"/>
  <c r="F36" i="9"/>
  <c r="Z35" i="9"/>
  <c r="X35" i="9"/>
  <c r="K35" i="9"/>
  <c r="I35" i="9"/>
  <c r="X34" i="9"/>
  <c r="AC34" i="9" s="1"/>
  <c r="Z34" i="9" s="1"/>
  <c r="I34" i="9"/>
  <c r="N34" i="9" s="1"/>
  <c r="K34" i="9" s="1"/>
  <c r="AB31" i="9"/>
  <c r="AA31" i="9"/>
  <c r="Z31" i="9"/>
  <c r="Y31" i="9"/>
  <c r="V31" i="9"/>
  <c r="M31" i="9"/>
  <c r="L31" i="9"/>
  <c r="K31" i="9"/>
  <c r="J31" i="9"/>
  <c r="G31" i="9"/>
  <c r="AB30" i="9"/>
  <c r="AA30" i="9"/>
  <c r="Z30" i="9"/>
  <c r="Y30" i="9"/>
  <c r="V30" i="9"/>
  <c r="M30" i="9"/>
  <c r="L30" i="9"/>
  <c r="K30" i="9"/>
  <c r="J30" i="9"/>
  <c r="G30" i="9"/>
  <c r="AB29" i="9"/>
  <c r="AA29" i="9"/>
  <c r="Z29" i="9"/>
  <c r="Y29" i="9"/>
  <c r="V29" i="9"/>
  <c r="M29" i="9"/>
  <c r="L29" i="9"/>
  <c r="K29" i="9"/>
  <c r="J29" i="9"/>
  <c r="G29" i="9"/>
  <c r="AB28" i="9"/>
  <c r="AA28" i="9"/>
  <c r="Z28" i="9"/>
  <c r="Y28" i="9"/>
  <c r="V28" i="9"/>
  <c r="M28" i="9"/>
  <c r="L28" i="9"/>
  <c r="K28" i="9"/>
  <c r="J28" i="9"/>
  <c r="G28" i="9"/>
  <c r="X25" i="9"/>
  <c r="AA25" i="9" s="1"/>
  <c r="I25" i="9"/>
  <c r="L25" i="9" s="1"/>
  <c r="Y24" i="9"/>
  <c r="X24" i="9"/>
  <c r="AC24" i="9" s="1"/>
  <c r="Z24" i="9" s="1"/>
  <c r="AA24" i="9" s="1"/>
  <c r="J24" i="9"/>
  <c r="I24" i="9"/>
  <c r="L21" i="9" s="1"/>
  <c r="X23" i="9"/>
  <c r="AC23" i="9" s="1"/>
  <c r="Z23" i="9" s="1"/>
  <c r="I23" i="9"/>
  <c r="N23" i="9" s="1"/>
  <c r="K23" i="9" s="1"/>
  <c r="X22" i="9"/>
  <c r="AC22" i="9" s="1"/>
  <c r="Z22" i="9" s="1"/>
  <c r="I22" i="9"/>
  <c r="N22" i="9" s="1"/>
  <c r="K22" i="9" s="1"/>
  <c r="X21" i="9"/>
  <c r="AC21" i="9" s="1"/>
  <c r="Z21" i="9" s="1"/>
  <c r="I21" i="9"/>
  <c r="N21" i="9" s="1"/>
  <c r="K21" i="9" s="1"/>
  <c r="X20" i="9"/>
  <c r="AC20" i="9" s="1"/>
  <c r="Z20" i="9" s="1"/>
  <c r="U20" i="9"/>
  <c r="I20" i="9"/>
  <c r="N20" i="9" s="1"/>
  <c r="K20" i="9" s="1"/>
  <c r="F20" i="9"/>
  <c r="Z19" i="9"/>
  <c r="X19" i="9"/>
  <c r="K19" i="9"/>
  <c r="I19" i="9"/>
  <c r="X18" i="9"/>
  <c r="AC18" i="9" s="1"/>
  <c r="Z18" i="9" s="1"/>
  <c r="I18" i="9"/>
  <c r="N18" i="9" s="1"/>
  <c r="K18" i="9" s="1"/>
  <c r="AB15" i="9"/>
  <c r="AA15" i="9"/>
  <c r="Z15" i="9"/>
  <c r="Y15" i="9"/>
  <c r="V15" i="9"/>
  <c r="M15" i="9"/>
  <c r="L15" i="9"/>
  <c r="K15" i="9"/>
  <c r="J15" i="9"/>
  <c r="G15" i="9"/>
  <c r="C15" i="9"/>
  <c r="AB14" i="9"/>
  <c r="AA14" i="9"/>
  <c r="Z14" i="9"/>
  <c r="Y14" i="9"/>
  <c r="V14" i="9"/>
  <c r="M14" i="9"/>
  <c r="L14" i="9"/>
  <c r="K14" i="9"/>
  <c r="J14" i="9"/>
  <c r="G14" i="9"/>
  <c r="C14" i="9"/>
  <c r="AB13" i="9"/>
  <c r="AA13" i="9"/>
  <c r="Z13" i="9"/>
  <c r="Y13" i="9"/>
  <c r="V13" i="9"/>
  <c r="M13" i="9"/>
  <c r="L13" i="9"/>
  <c r="K13" i="9"/>
  <c r="J13" i="9"/>
  <c r="G13" i="9"/>
  <c r="AB12" i="9"/>
  <c r="AA12" i="9"/>
  <c r="Z12" i="9"/>
  <c r="Y12" i="9"/>
  <c r="V12" i="9"/>
  <c r="M12" i="9"/>
  <c r="L12" i="9"/>
  <c r="K12" i="9"/>
  <c r="J12" i="9"/>
  <c r="G12" i="9"/>
  <c r="X9" i="9"/>
  <c r="AA9" i="9" s="1"/>
  <c r="I9" i="9"/>
  <c r="L9" i="9" s="1"/>
  <c r="Y8" i="9"/>
  <c r="X8" i="9"/>
  <c r="AC8" i="9" s="1"/>
  <c r="J8" i="9"/>
  <c r="I8" i="9"/>
  <c r="N8" i="9" s="1"/>
  <c r="K8" i="9" s="1"/>
  <c r="L8" i="9" s="1"/>
  <c r="X7" i="9"/>
  <c r="AC7" i="9" s="1"/>
  <c r="Z7" i="9" s="1"/>
  <c r="I7" i="9"/>
  <c r="N7" i="9" s="1"/>
  <c r="K7" i="9" s="1"/>
  <c r="X6" i="9"/>
  <c r="AC6" i="9" s="1"/>
  <c r="Z6" i="9" s="1"/>
  <c r="I6" i="9"/>
  <c r="N6" i="9" s="1"/>
  <c r="K6" i="9" s="1"/>
  <c r="X5" i="9"/>
  <c r="AC5" i="9" s="1"/>
  <c r="Z5" i="9" s="1"/>
  <c r="I5" i="9"/>
  <c r="N5" i="9" s="1"/>
  <c r="K5" i="9" s="1"/>
  <c r="X4" i="9"/>
  <c r="AC4" i="9" s="1"/>
  <c r="Z4" i="9" s="1"/>
  <c r="U4" i="9"/>
  <c r="I4" i="9"/>
  <c r="N4" i="9" s="1"/>
  <c r="K4" i="9" s="1"/>
  <c r="F4" i="9"/>
  <c r="Z3" i="9"/>
  <c r="X3" i="9"/>
  <c r="K3" i="9"/>
  <c r="I3" i="9"/>
  <c r="X2" i="9"/>
  <c r="AC2" i="9" s="1"/>
  <c r="Z2" i="9" s="1"/>
  <c r="I2" i="9"/>
  <c r="N2" i="9" s="1"/>
  <c r="K2" i="9" s="1"/>
  <c r="AB47" i="8"/>
  <c r="AA47" i="8"/>
  <c r="Z47" i="8"/>
  <c r="Y47" i="8"/>
  <c r="V47" i="8"/>
  <c r="M47" i="8"/>
  <c r="L47" i="8"/>
  <c r="K47" i="8"/>
  <c r="J47" i="8"/>
  <c r="G47" i="8"/>
  <c r="AB46" i="8"/>
  <c r="AA46" i="8"/>
  <c r="Z46" i="8"/>
  <c r="Y46" i="8"/>
  <c r="V46" i="8"/>
  <c r="M46" i="8"/>
  <c r="L46" i="8"/>
  <c r="K46" i="8"/>
  <c r="J46" i="8"/>
  <c r="G46" i="8"/>
  <c r="AB45" i="8"/>
  <c r="AA45" i="8"/>
  <c r="Z45" i="8"/>
  <c r="Y45" i="8"/>
  <c r="V45" i="8"/>
  <c r="M45" i="8"/>
  <c r="L45" i="8"/>
  <c r="K45" i="8"/>
  <c r="J45" i="8"/>
  <c r="G45" i="8"/>
  <c r="AB44" i="8"/>
  <c r="AA44" i="8"/>
  <c r="Z44" i="8"/>
  <c r="Y44" i="8"/>
  <c r="V44" i="8"/>
  <c r="M44" i="8"/>
  <c r="L44" i="8"/>
  <c r="K44" i="8"/>
  <c r="J44" i="8"/>
  <c r="G44" i="8"/>
  <c r="X41" i="8"/>
  <c r="AA41" i="8" s="1"/>
  <c r="I41" i="8"/>
  <c r="L41" i="8" s="1"/>
  <c r="Y40" i="8"/>
  <c r="X40" i="8"/>
  <c r="AC40" i="8" s="1"/>
  <c r="J40" i="8"/>
  <c r="I40" i="8"/>
  <c r="N40" i="8" s="1"/>
  <c r="X39" i="8"/>
  <c r="AC39" i="8" s="1"/>
  <c r="Z39" i="8" s="1"/>
  <c r="I39" i="8"/>
  <c r="N39" i="8" s="1"/>
  <c r="K39" i="8" s="1"/>
  <c r="X38" i="8"/>
  <c r="AC38" i="8" s="1"/>
  <c r="Z38" i="8" s="1"/>
  <c r="I38" i="8"/>
  <c r="N38" i="8" s="1"/>
  <c r="K38" i="8" s="1"/>
  <c r="X37" i="8"/>
  <c r="AC37" i="8" s="1"/>
  <c r="Z37" i="8" s="1"/>
  <c r="I37" i="8"/>
  <c r="N37" i="8" s="1"/>
  <c r="K37" i="8" s="1"/>
  <c r="X36" i="8"/>
  <c r="AC36" i="8" s="1"/>
  <c r="Z36" i="8" s="1"/>
  <c r="U36" i="8"/>
  <c r="I36" i="8"/>
  <c r="N36" i="8" s="1"/>
  <c r="K36" i="8" s="1"/>
  <c r="F36" i="8"/>
  <c r="Z35" i="8"/>
  <c r="X35" i="8"/>
  <c r="K35" i="8"/>
  <c r="I35" i="8"/>
  <c r="X34" i="8"/>
  <c r="AC34" i="8" s="1"/>
  <c r="Z34" i="8" s="1"/>
  <c r="I34" i="8"/>
  <c r="N34" i="8" s="1"/>
  <c r="K34" i="8" s="1"/>
  <c r="AB31" i="8"/>
  <c r="AA31" i="8"/>
  <c r="Z31" i="8"/>
  <c r="Y31" i="8"/>
  <c r="V31" i="8"/>
  <c r="M31" i="8"/>
  <c r="L31" i="8"/>
  <c r="K31" i="8"/>
  <c r="J31" i="8"/>
  <c r="G31" i="8"/>
  <c r="AB30" i="8"/>
  <c r="AA30" i="8"/>
  <c r="Z30" i="8"/>
  <c r="Y30" i="8"/>
  <c r="V30" i="8"/>
  <c r="M30" i="8"/>
  <c r="L30" i="8"/>
  <c r="K30" i="8"/>
  <c r="J30" i="8"/>
  <c r="G30" i="8"/>
  <c r="AB29" i="8"/>
  <c r="AA29" i="8"/>
  <c r="Z29" i="8"/>
  <c r="Y29" i="8"/>
  <c r="V29" i="8"/>
  <c r="M29" i="8"/>
  <c r="L29" i="8"/>
  <c r="K29" i="8"/>
  <c r="J29" i="8"/>
  <c r="G29" i="8"/>
  <c r="AB28" i="8"/>
  <c r="AA28" i="8"/>
  <c r="Z28" i="8"/>
  <c r="Y28" i="8"/>
  <c r="V28" i="8"/>
  <c r="M28" i="8"/>
  <c r="L28" i="8"/>
  <c r="K28" i="8"/>
  <c r="J28" i="8"/>
  <c r="G28" i="8"/>
  <c r="X25" i="8"/>
  <c r="AA25" i="8" s="1"/>
  <c r="I25" i="8"/>
  <c r="L25" i="8" s="1"/>
  <c r="Y24" i="8"/>
  <c r="X24" i="8"/>
  <c r="AC24" i="8" s="1"/>
  <c r="Z24" i="8" s="1"/>
  <c r="AA24" i="8" s="1"/>
  <c r="J24" i="8"/>
  <c r="I24" i="8"/>
  <c r="L21" i="8" s="1"/>
  <c r="X23" i="8"/>
  <c r="AC23" i="8" s="1"/>
  <c r="Z23" i="8" s="1"/>
  <c r="I23" i="8"/>
  <c r="N23" i="8" s="1"/>
  <c r="K23" i="8" s="1"/>
  <c r="X22" i="8"/>
  <c r="AC22" i="8" s="1"/>
  <c r="Z22" i="8" s="1"/>
  <c r="I22" i="8"/>
  <c r="N22" i="8" s="1"/>
  <c r="K22" i="8" s="1"/>
  <c r="X21" i="8"/>
  <c r="AC21" i="8" s="1"/>
  <c r="Z21" i="8" s="1"/>
  <c r="I21" i="8"/>
  <c r="N21" i="8" s="1"/>
  <c r="K21" i="8" s="1"/>
  <c r="X20" i="8"/>
  <c r="AC20" i="8" s="1"/>
  <c r="Z20" i="8" s="1"/>
  <c r="U20" i="8"/>
  <c r="I20" i="8"/>
  <c r="N20" i="8" s="1"/>
  <c r="K20" i="8" s="1"/>
  <c r="F20" i="8"/>
  <c r="Z19" i="8"/>
  <c r="X19" i="8"/>
  <c r="K19" i="8"/>
  <c r="I19" i="8"/>
  <c r="X18" i="8"/>
  <c r="AC18" i="8" s="1"/>
  <c r="Z18" i="8" s="1"/>
  <c r="I18" i="8"/>
  <c r="N18" i="8" s="1"/>
  <c r="K18" i="8" s="1"/>
  <c r="AB15" i="8"/>
  <c r="AA15" i="8"/>
  <c r="Z15" i="8"/>
  <c r="Y15" i="8"/>
  <c r="V15" i="8"/>
  <c r="M15" i="8"/>
  <c r="L15" i="8"/>
  <c r="K15" i="8"/>
  <c r="J15" i="8"/>
  <c r="G15" i="8"/>
  <c r="C15" i="8"/>
  <c r="AB14" i="8"/>
  <c r="AA14" i="8"/>
  <c r="Z14" i="8"/>
  <c r="Y14" i="8"/>
  <c r="V14" i="8"/>
  <c r="M14" i="8"/>
  <c r="L14" i="8"/>
  <c r="K14" i="8"/>
  <c r="J14" i="8"/>
  <c r="G14" i="8"/>
  <c r="C14" i="8"/>
  <c r="AB13" i="8"/>
  <c r="AA13" i="8"/>
  <c r="Z13" i="8"/>
  <c r="Y13" i="8"/>
  <c r="V13" i="8"/>
  <c r="M13" i="8"/>
  <c r="L13" i="8"/>
  <c r="K13" i="8"/>
  <c r="J13" i="8"/>
  <c r="G13" i="8"/>
  <c r="AB12" i="8"/>
  <c r="AA12" i="8"/>
  <c r="Z12" i="8"/>
  <c r="Y12" i="8"/>
  <c r="V12" i="8"/>
  <c r="M12" i="8"/>
  <c r="L12" i="8"/>
  <c r="K12" i="8"/>
  <c r="J12" i="8"/>
  <c r="G12" i="8"/>
  <c r="X9" i="8"/>
  <c r="AA9" i="8" s="1"/>
  <c r="I9" i="8"/>
  <c r="L9" i="8" s="1"/>
  <c r="Y8" i="8"/>
  <c r="X8" i="8"/>
  <c r="AC8" i="8" s="1"/>
  <c r="Z8" i="8" s="1"/>
  <c r="AA8" i="8" s="1"/>
  <c r="J8" i="8"/>
  <c r="I8" i="8"/>
  <c r="N8" i="8" s="1"/>
  <c r="X7" i="8"/>
  <c r="AC7" i="8" s="1"/>
  <c r="Z7" i="8" s="1"/>
  <c r="I7" i="8"/>
  <c r="N7" i="8" s="1"/>
  <c r="K7" i="8" s="1"/>
  <c r="X6" i="8"/>
  <c r="AC6" i="8" s="1"/>
  <c r="Z6" i="8" s="1"/>
  <c r="I6" i="8"/>
  <c r="N6" i="8" s="1"/>
  <c r="K6" i="8" s="1"/>
  <c r="X5" i="8"/>
  <c r="AC5" i="8" s="1"/>
  <c r="Z5" i="8" s="1"/>
  <c r="I5" i="8"/>
  <c r="N5" i="8" s="1"/>
  <c r="K5" i="8" s="1"/>
  <c r="X4" i="8"/>
  <c r="AC4" i="8" s="1"/>
  <c r="Z4" i="8" s="1"/>
  <c r="U4" i="8"/>
  <c r="I4" i="8"/>
  <c r="N4" i="8" s="1"/>
  <c r="K4" i="8" s="1"/>
  <c r="F4" i="8"/>
  <c r="Z3" i="8"/>
  <c r="X3" i="8"/>
  <c r="K3" i="8"/>
  <c r="I3" i="8"/>
  <c r="X2" i="8"/>
  <c r="AC2" i="8" s="1"/>
  <c r="Z2" i="8" s="1"/>
  <c r="I2" i="8"/>
  <c r="N2" i="8" s="1"/>
  <c r="K2" i="8" s="1"/>
  <c r="AB47" i="7"/>
  <c r="AA47" i="7"/>
  <c r="Z47" i="7"/>
  <c r="Y47" i="7"/>
  <c r="V47" i="7"/>
  <c r="M47" i="7"/>
  <c r="L47" i="7"/>
  <c r="K47" i="7"/>
  <c r="J47" i="7"/>
  <c r="G47" i="7"/>
  <c r="AB46" i="7"/>
  <c r="AA46" i="7"/>
  <c r="Z46" i="7"/>
  <c r="Y46" i="7"/>
  <c r="V46" i="7"/>
  <c r="M46" i="7"/>
  <c r="L46" i="7"/>
  <c r="K46" i="7"/>
  <c r="J46" i="7"/>
  <c r="G46" i="7"/>
  <c r="AB45" i="7"/>
  <c r="AA45" i="7"/>
  <c r="Z45" i="7"/>
  <c r="Y45" i="7"/>
  <c r="V45" i="7"/>
  <c r="M45" i="7"/>
  <c r="L45" i="7"/>
  <c r="K45" i="7"/>
  <c r="J45" i="7"/>
  <c r="G45" i="7"/>
  <c r="AB44" i="7"/>
  <c r="AA44" i="7"/>
  <c r="Z44" i="7"/>
  <c r="Y44" i="7"/>
  <c r="V44" i="7"/>
  <c r="M44" i="7"/>
  <c r="L44" i="7"/>
  <c r="K44" i="7"/>
  <c r="J44" i="7"/>
  <c r="G44" i="7"/>
  <c r="X41" i="7"/>
  <c r="AA41" i="7" s="1"/>
  <c r="I41" i="7"/>
  <c r="L41" i="7" s="1"/>
  <c r="Y40" i="7"/>
  <c r="X40" i="7"/>
  <c r="AC40" i="7" s="1"/>
  <c r="J40" i="7"/>
  <c r="I40" i="7"/>
  <c r="N40" i="7" s="1"/>
  <c r="X39" i="7"/>
  <c r="AC39" i="7" s="1"/>
  <c r="Z39" i="7" s="1"/>
  <c r="I39" i="7"/>
  <c r="N39" i="7" s="1"/>
  <c r="K39" i="7" s="1"/>
  <c r="X38" i="7"/>
  <c r="AC38" i="7" s="1"/>
  <c r="Z38" i="7" s="1"/>
  <c r="I38" i="7"/>
  <c r="N38" i="7" s="1"/>
  <c r="K38" i="7" s="1"/>
  <c r="X37" i="7"/>
  <c r="AC37" i="7" s="1"/>
  <c r="Z37" i="7" s="1"/>
  <c r="I37" i="7"/>
  <c r="N37" i="7" s="1"/>
  <c r="K37" i="7" s="1"/>
  <c r="X36" i="7"/>
  <c r="AC36" i="7" s="1"/>
  <c r="Z36" i="7" s="1"/>
  <c r="U36" i="7"/>
  <c r="I36" i="7"/>
  <c r="N36" i="7" s="1"/>
  <c r="K36" i="7" s="1"/>
  <c r="F36" i="7"/>
  <c r="Z35" i="7"/>
  <c r="X35" i="7"/>
  <c r="K35" i="7"/>
  <c r="I35" i="7"/>
  <c r="X34" i="7"/>
  <c r="AC34" i="7" s="1"/>
  <c r="Z34" i="7" s="1"/>
  <c r="I34" i="7"/>
  <c r="N34" i="7" s="1"/>
  <c r="K34" i="7" s="1"/>
  <c r="AB31" i="7"/>
  <c r="AA31" i="7"/>
  <c r="Z31" i="7"/>
  <c r="Y31" i="7"/>
  <c r="V31" i="7"/>
  <c r="M31" i="7"/>
  <c r="L31" i="7"/>
  <c r="K31" i="7"/>
  <c r="J31" i="7"/>
  <c r="G31" i="7"/>
  <c r="AB30" i="7"/>
  <c r="AA30" i="7"/>
  <c r="Z30" i="7"/>
  <c r="Y30" i="7"/>
  <c r="V30" i="7"/>
  <c r="M30" i="7"/>
  <c r="L30" i="7"/>
  <c r="K30" i="7"/>
  <c r="J30" i="7"/>
  <c r="G30" i="7"/>
  <c r="AB29" i="7"/>
  <c r="AA29" i="7"/>
  <c r="Z29" i="7"/>
  <c r="Y29" i="7"/>
  <c r="V29" i="7"/>
  <c r="M29" i="7"/>
  <c r="L29" i="7"/>
  <c r="K29" i="7"/>
  <c r="J29" i="7"/>
  <c r="G29" i="7"/>
  <c r="AB28" i="7"/>
  <c r="AA28" i="7"/>
  <c r="Z28" i="7"/>
  <c r="Y28" i="7"/>
  <c r="V28" i="7"/>
  <c r="M28" i="7"/>
  <c r="L28" i="7"/>
  <c r="K28" i="7"/>
  <c r="J28" i="7"/>
  <c r="G28" i="7"/>
  <c r="X25" i="7"/>
  <c r="AA25" i="7" s="1"/>
  <c r="I25" i="7"/>
  <c r="L25" i="7" s="1"/>
  <c r="Y24" i="7"/>
  <c r="X24" i="7"/>
  <c r="AC24" i="7" s="1"/>
  <c r="Z24" i="7" s="1"/>
  <c r="AA24" i="7" s="1"/>
  <c r="J24" i="7"/>
  <c r="I24" i="7"/>
  <c r="L21" i="7" s="1"/>
  <c r="X23" i="7"/>
  <c r="AC23" i="7" s="1"/>
  <c r="Z23" i="7" s="1"/>
  <c r="I23" i="7"/>
  <c r="N23" i="7" s="1"/>
  <c r="K23" i="7" s="1"/>
  <c r="X22" i="7"/>
  <c r="AC22" i="7" s="1"/>
  <c r="Z22" i="7" s="1"/>
  <c r="I22" i="7"/>
  <c r="N22" i="7" s="1"/>
  <c r="K22" i="7" s="1"/>
  <c r="X21" i="7"/>
  <c r="AC21" i="7" s="1"/>
  <c r="Z21" i="7" s="1"/>
  <c r="I21" i="7"/>
  <c r="N21" i="7" s="1"/>
  <c r="K21" i="7" s="1"/>
  <c r="X20" i="7"/>
  <c r="AC20" i="7" s="1"/>
  <c r="Z20" i="7" s="1"/>
  <c r="U20" i="7"/>
  <c r="I20" i="7"/>
  <c r="N20" i="7" s="1"/>
  <c r="K20" i="7" s="1"/>
  <c r="F20" i="7"/>
  <c r="Z19" i="7"/>
  <c r="X19" i="7"/>
  <c r="K19" i="7"/>
  <c r="I19" i="7"/>
  <c r="X18" i="7"/>
  <c r="AC18" i="7" s="1"/>
  <c r="Z18" i="7" s="1"/>
  <c r="I18" i="7"/>
  <c r="N18" i="7" s="1"/>
  <c r="K18" i="7" s="1"/>
  <c r="AB15" i="7"/>
  <c r="AA15" i="7"/>
  <c r="Z15" i="7"/>
  <c r="Y15" i="7"/>
  <c r="V15" i="7"/>
  <c r="M15" i="7"/>
  <c r="L15" i="7"/>
  <c r="K15" i="7"/>
  <c r="J15" i="7"/>
  <c r="G15" i="7"/>
  <c r="C15" i="7"/>
  <c r="AB14" i="7"/>
  <c r="AA14" i="7"/>
  <c r="Z14" i="7"/>
  <c r="Y14" i="7"/>
  <c r="V14" i="7"/>
  <c r="M14" i="7"/>
  <c r="L14" i="7"/>
  <c r="K14" i="7"/>
  <c r="J14" i="7"/>
  <c r="G14" i="7"/>
  <c r="C14" i="7"/>
  <c r="AB13" i="7"/>
  <c r="AA13" i="7"/>
  <c r="Z13" i="7"/>
  <c r="Y13" i="7"/>
  <c r="V13" i="7"/>
  <c r="M13" i="7"/>
  <c r="L13" i="7"/>
  <c r="K13" i="7"/>
  <c r="J13" i="7"/>
  <c r="G13" i="7"/>
  <c r="AB12" i="7"/>
  <c r="AA12" i="7"/>
  <c r="Z12" i="7"/>
  <c r="Y12" i="7"/>
  <c r="V12" i="7"/>
  <c r="M12" i="7"/>
  <c r="L12" i="7"/>
  <c r="K12" i="7"/>
  <c r="J12" i="7"/>
  <c r="G12" i="7"/>
  <c r="X9" i="7"/>
  <c r="AA9" i="7" s="1"/>
  <c r="I9" i="7"/>
  <c r="L9" i="7" s="1"/>
  <c r="Y8" i="7"/>
  <c r="X8" i="7"/>
  <c r="AC8" i="7" s="1"/>
  <c r="J8" i="7"/>
  <c r="I8" i="7"/>
  <c r="N8" i="7" s="1"/>
  <c r="X7" i="7"/>
  <c r="AC7" i="7" s="1"/>
  <c r="Z7" i="7" s="1"/>
  <c r="I7" i="7"/>
  <c r="N7" i="7" s="1"/>
  <c r="K7" i="7" s="1"/>
  <c r="X6" i="7"/>
  <c r="AC6" i="7" s="1"/>
  <c r="Z6" i="7" s="1"/>
  <c r="I6" i="7"/>
  <c r="N6" i="7" s="1"/>
  <c r="K6" i="7" s="1"/>
  <c r="X5" i="7"/>
  <c r="AC5" i="7" s="1"/>
  <c r="Z5" i="7" s="1"/>
  <c r="I5" i="7"/>
  <c r="N5" i="7" s="1"/>
  <c r="K5" i="7" s="1"/>
  <c r="X4" i="7"/>
  <c r="AC4" i="7" s="1"/>
  <c r="Z4" i="7" s="1"/>
  <c r="U4" i="7"/>
  <c r="I4" i="7"/>
  <c r="N4" i="7" s="1"/>
  <c r="K4" i="7" s="1"/>
  <c r="F4" i="7"/>
  <c r="Z3" i="7"/>
  <c r="X3" i="7"/>
  <c r="K3" i="7"/>
  <c r="I3" i="7"/>
  <c r="X2" i="7"/>
  <c r="AC2" i="7" s="1"/>
  <c r="Z2" i="7" s="1"/>
  <c r="I2" i="7"/>
  <c r="N2" i="7" s="1"/>
  <c r="K2" i="7" s="1"/>
  <c r="AB47" i="6"/>
  <c r="AA47" i="6"/>
  <c r="Z47" i="6"/>
  <c r="Y47" i="6"/>
  <c r="V47" i="6"/>
  <c r="M47" i="6"/>
  <c r="L47" i="6"/>
  <c r="K47" i="6"/>
  <c r="J47" i="6"/>
  <c r="G47" i="6"/>
  <c r="AB46" i="6"/>
  <c r="AA46" i="6"/>
  <c r="Z46" i="6"/>
  <c r="Y46" i="6"/>
  <c r="V46" i="6"/>
  <c r="M46" i="6"/>
  <c r="L46" i="6"/>
  <c r="K46" i="6"/>
  <c r="J46" i="6"/>
  <c r="G46" i="6"/>
  <c r="AB45" i="6"/>
  <c r="AA45" i="6"/>
  <c r="Z45" i="6"/>
  <c r="Y45" i="6"/>
  <c r="V45" i="6"/>
  <c r="M45" i="6"/>
  <c r="L45" i="6"/>
  <c r="K45" i="6"/>
  <c r="J45" i="6"/>
  <c r="G45" i="6"/>
  <c r="AB44" i="6"/>
  <c r="AA44" i="6"/>
  <c r="Z44" i="6"/>
  <c r="Y44" i="6"/>
  <c r="V44" i="6"/>
  <c r="M44" i="6"/>
  <c r="L44" i="6"/>
  <c r="K44" i="6"/>
  <c r="J44" i="6"/>
  <c r="G44" i="6"/>
  <c r="X41" i="6"/>
  <c r="AA41" i="6" s="1"/>
  <c r="I41" i="6"/>
  <c r="L41" i="6" s="1"/>
  <c r="Y40" i="6"/>
  <c r="X40" i="6"/>
  <c r="AC40" i="6" s="1"/>
  <c r="J40" i="6"/>
  <c r="I40" i="6"/>
  <c r="N40" i="6" s="1"/>
  <c r="X39" i="6"/>
  <c r="AC39" i="6" s="1"/>
  <c r="Z39" i="6" s="1"/>
  <c r="I39" i="6"/>
  <c r="N39" i="6" s="1"/>
  <c r="K39" i="6" s="1"/>
  <c r="X38" i="6"/>
  <c r="AC38" i="6" s="1"/>
  <c r="Z38" i="6" s="1"/>
  <c r="I38" i="6"/>
  <c r="N38" i="6" s="1"/>
  <c r="K38" i="6" s="1"/>
  <c r="X37" i="6"/>
  <c r="AC37" i="6" s="1"/>
  <c r="Z37" i="6" s="1"/>
  <c r="I37" i="6"/>
  <c r="N37" i="6" s="1"/>
  <c r="K37" i="6" s="1"/>
  <c r="X36" i="6"/>
  <c r="AC36" i="6" s="1"/>
  <c r="Z36" i="6" s="1"/>
  <c r="U36" i="6"/>
  <c r="I36" i="6"/>
  <c r="N36" i="6" s="1"/>
  <c r="K36" i="6" s="1"/>
  <c r="F36" i="6"/>
  <c r="Z35" i="6"/>
  <c r="X35" i="6"/>
  <c r="K35" i="6"/>
  <c r="I35" i="6"/>
  <c r="X34" i="6"/>
  <c r="AC34" i="6" s="1"/>
  <c r="Z34" i="6" s="1"/>
  <c r="I34" i="6"/>
  <c r="N34" i="6" s="1"/>
  <c r="K34" i="6" s="1"/>
  <c r="AB31" i="6"/>
  <c r="AA31" i="6"/>
  <c r="Z31" i="6"/>
  <c r="Y31" i="6"/>
  <c r="V31" i="6"/>
  <c r="M31" i="6"/>
  <c r="L31" i="6"/>
  <c r="K31" i="6"/>
  <c r="J31" i="6"/>
  <c r="G31" i="6"/>
  <c r="AB30" i="6"/>
  <c r="AA30" i="6"/>
  <c r="Z30" i="6"/>
  <c r="Y30" i="6"/>
  <c r="V30" i="6"/>
  <c r="M30" i="6"/>
  <c r="L30" i="6"/>
  <c r="K30" i="6"/>
  <c r="J30" i="6"/>
  <c r="G30" i="6"/>
  <c r="AB29" i="6"/>
  <c r="AA29" i="6"/>
  <c r="Z29" i="6"/>
  <c r="Y29" i="6"/>
  <c r="V29" i="6"/>
  <c r="M29" i="6"/>
  <c r="L29" i="6"/>
  <c r="K29" i="6"/>
  <c r="J29" i="6"/>
  <c r="G29" i="6"/>
  <c r="AB28" i="6"/>
  <c r="AA28" i="6"/>
  <c r="Z28" i="6"/>
  <c r="Y28" i="6"/>
  <c r="V28" i="6"/>
  <c r="M28" i="6"/>
  <c r="L28" i="6"/>
  <c r="K28" i="6"/>
  <c r="J28" i="6"/>
  <c r="G28" i="6"/>
  <c r="X25" i="6"/>
  <c r="AA25" i="6" s="1"/>
  <c r="I25" i="6"/>
  <c r="L25" i="6" s="1"/>
  <c r="Y24" i="6"/>
  <c r="X24" i="6"/>
  <c r="AC24" i="6" s="1"/>
  <c r="Z24" i="6" s="1"/>
  <c r="AA24" i="6" s="1"/>
  <c r="J24" i="6"/>
  <c r="I24" i="6"/>
  <c r="N24" i="6" s="1"/>
  <c r="K24" i="6" s="1"/>
  <c r="L24" i="6" s="1"/>
  <c r="X23" i="6"/>
  <c r="AC23" i="6" s="1"/>
  <c r="Z23" i="6" s="1"/>
  <c r="I23" i="6"/>
  <c r="N23" i="6" s="1"/>
  <c r="K23" i="6" s="1"/>
  <c r="X22" i="6"/>
  <c r="AC22" i="6" s="1"/>
  <c r="Z22" i="6" s="1"/>
  <c r="I22" i="6"/>
  <c r="N22" i="6" s="1"/>
  <c r="K22" i="6" s="1"/>
  <c r="X21" i="6"/>
  <c r="AC21" i="6" s="1"/>
  <c r="Z21" i="6" s="1"/>
  <c r="I21" i="6"/>
  <c r="N21" i="6" s="1"/>
  <c r="K21" i="6" s="1"/>
  <c r="X20" i="6"/>
  <c r="AC20" i="6" s="1"/>
  <c r="Z20" i="6" s="1"/>
  <c r="U20" i="6"/>
  <c r="I20" i="6"/>
  <c r="N20" i="6" s="1"/>
  <c r="K20" i="6" s="1"/>
  <c r="F20" i="6"/>
  <c r="Z19" i="6"/>
  <c r="X19" i="6"/>
  <c r="K19" i="6"/>
  <c r="I19" i="6"/>
  <c r="X18" i="6"/>
  <c r="AC18" i="6" s="1"/>
  <c r="Z18" i="6" s="1"/>
  <c r="I18" i="6"/>
  <c r="N18" i="6" s="1"/>
  <c r="K18" i="6" s="1"/>
  <c r="AB15" i="6"/>
  <c r="AA15" i="6"/>
  <c r="Z15" i="6"/>
  <c r="Y15" i="6"/>
  <c r="V15" i="6"/>
  <c r="M15" i="6"/>
  <c r="L15" i="6"/>
  <c r="K15" i="6"/>
  <c r="J15" i="6"/>
  <c r="G15" i="6"/>
  <c r="C15" i="6"/>
  <c r="AB14" i="6"/>
  <c r="AA14" i="6"/>
  <c r="Z14" i="6"/>
  <c r="Y14" i="6"/>
  <c r="V14" i="6"/>
  <c r="M14" i="6"/>
  <c r="L14" i="6"/>
  <c r="K14" i="6"/>
  <c r="J14" i="6"/>
  <c r="G14" i="6"/>
  <c r="C14" i="6"/>
  <c r="AB13" i="6"/>
  <c r="AA13" i="6"/>
  <c r="Z13" i="6"/>
  <c r="Y13" i="6"/>
  <c r="V13" i="6"/>
  <c r="M13" i="6"/>
  <c r="L13" i="6"/>
  <c r="K13" i="6"/>
  <c r="J13" i="6"/>
  <c r="G13" i="6"/>
  <c r="AB12" i="6"/>
  <c r="AA12" i="6"/>
  <c r="Z12" i="6"/>
  <c r="Y12" i="6"/>
  <c r="V12" i="6"/>
  <c r="M12" i="6"/>
  <c r="L12" i="6"/>
  <c r="K12" i="6"/>
  <c r="J12" i="6"/>
  <c r="G12" i="6"/>
  <c r="X9" i="6"/>
  <c r="AA9" i="6" s="1"/>
  <c r="I9" i="6"/>
  <c r="L9" i="6" s="1"/>
  <c r="Y8" i="6"/>
  <c r="X8" i="6"/>
  <c r="AC8" i="6" s="1"/>
  <c r="J8" i="6"/>
  <c r="I8" i="6"/>
  <c r="N8" i="6" s="1"/>
  <c r="X7" i="6"/>
  <c r="AC7" i="6" s="1"/>
  <c r="Z7" i="6" s="1"/>
  <c r="I7" i="6"/>
  <c r="N7" i="6" s="1"/>
  <c r="K7" i="6" s="1"/>
  <c r="X6" i="6"/>
  <c r="AC6" i="6" s="1"/>
  <c r="Z6" i="6" s="1"/>
  <c r="I6" i="6"/>
  <c r="N6" i="6" s="1"/>
  <c r="K6" i="6" s="1"/>
  <c r="X5" i="6"/>
  <c r="AC5" i="6" s="1"/>
  <c r="Z5" i="6" s="1"/>
  <c r="I5" i="6"/>
  <c r="N5" i="6" s="1"/>
  <c r="K5" i="6" s="1"/>
  <c r="X4" i="6"/>
  <c r="AC4" i="6" s="1"/>
  <c r="Z4" i="6" s="1"/>
  <c r="U4" i="6"/>
  <c r="I4" i="6"/>
  <c r="N4" i="6" s="1"/>
  <c r="K4" i="6" s="1"/>
  <c r="F4" i="6"/>
  <c r="Z3" i="6"/>
  <c r="X3" i="6"/>
  <c r="K3" i="6"/>
  <c r="I3" i="6"/>
  <c r="X2" i="6"/>
  <c r="AC2" i="6" s="1"/>
  <c r="Z2" i="6" s="1"/>
  <c r="I2" i="6"/>
  <c r="N2" i="6" s="1"/>
  <c r="K2" i="6" s="1"/>
  <c r="AB47" i="4"/>
  <c r="AA47" i="4"/>
  <c r="Z47" i="4"/>
  <c r="Y47" i="4"/>
  <c r="V47" i="4"/>
  <c r="AB46" i="4"/>
  <c r="AA46" i="4"/>
  <c r="Z46" i="4"/>
  <c r="Y46" i="4"/>
  <c r="V46" i="4"/>
  <c r="AB45" i="4"/>
  <c r="AA45" i="4"/>
  <c r="Z45" i="4"/>
  <c r="Y45" i="4"/>
  <c r="V45" i="4"/>
  <c r="AB44" i="4"/>
  <c r="AA44" i="4"/>
  <c r="Z44" i="4"/>
  <c r="Y44" i="4"/>
  <c r="V44" i="4"/>
  <c r="X41" i="4"/>
  <c r="AA41" i="4" s="1"/>
  <c r="Y40" i="4"/>
  <c r="X40" i="4"/>
  <c r="AC40" i="4" s="1"/>
  <c r="X39" i="4"/>
  <c r="AC39" i="4" s="1"/>
  <c r="Z39" i="4" s="1"/>
  <c r="X38" i="4"/>
  <c r="AC38" i="4" s="1"/>
  <c r="Z38" i="4" s="1"/>
  <c r="X37" i="4"/>
  <c r="AC37" i="4" s="1"/>
  <c r="Z37" i="4" s="1"/>
  <c r="X36" i="4"/>
  <c r="AC36" i="4" s="1"/>
  <c r="Z36" i="4" s="1"/>
  <c r="U36" i="4"/>
  <c r="Z35" i="4"/>
  <c r="X35" i="4"/>
  <c r="X34" i="4"/>
  <c r="AC34" i="4" s="1"/>
  <c r="Z34" i="4" s="1"/>
  <c r="AB31" i="4"/>
  <c r="AA31" i="4"/>
  <c r="Z31" i="4"/>
  <c r="Y31" i="4"/>
  <c r="V31" i="4"/>
  <c r="AB30" i="4"/>
  <c r="AA30" i="4"/>
  <c r="Z30" i="4"/>
  <c r="Y30" i="4"/>
  <c r="V30" i="4"/>
  <c r="AB29" i="4"/>
  <c r="AA29" i="4"/>
  <c r="Z29" i="4"/>
  <c r="Y29" i="4"/>
  <c r="V29" i="4"/>
  <c r="AB28" i="4"/>
  <c r="AA28" i="4"/>
  <c r="Z28" i="4"/>
  <c r="Y28" i="4"/>
  <c r="V28" i="4"/>
  <c r="X25" i="4"/>
  <c r="AA25" i="4" s="1"/>
  <c r="Y24" i="4"/>
  <c r="X24" i="4"/>
  <c r="AA21" i="4" s="1"/>
  <c r="X23" i="4"/>
  <c r="AC23" i="4" s="1"/>
  <c r="Z23" i="4" s="1"/>
  <c r="X22" i="4"/>
  <c r="AC22" i="4" s="1"/>
  <c r="Z22" i="4" s="1"/>
  <c r="X21" i="4"/>
  <c r="AC21" i="4" s="1"/>
  <c r="Z21" i="4" s="1"/>
  <c r="X20" i="4"/>
  <c r="AC20" i="4" s="1"/>
  <c r="Z20" i="4" s="1"/>
  <c r="U20" i="4"/>
  <c r="Z19" i="4"/>
  <c r="X19" i="4"/>
  <c r="X18" i="4"/>
  <c r="AC18" i="4" s="1"/>
  <c r="Z18" i="4" s="1"/>
  <c r="AB15" i="4"/>
  <c r="AA15" i="4"/>
  <c r="Z15" i="4"/>
  <c r="Y15" i="4"/>
  <c r="V15" i="4"/>
  <c r="C15" i="4"/>
  <c r="AB14" i="4"/>
  <c r="AA14" i="4"/>
  <c r="Z14" i="4"/>
  <c r="Y14" i="4"/>
  <c r="V14" i="4"/>
  <c r="C14" i="4"/>
  <c r="AB13" i="4"/>
  <c r="AA13" i="4"/>
  <c r="Z13" i="4"/>
  <c r="Y13" i="4"/>
  <c r="V13" i="4"/>
  <c r="AB12" i="4"/>
  <c r="AA12" i="4"/>
  <c r="Z12" i="4"/>
  <c r="Y12" i="4"/>
  <c r="V12" i="4"/>
  <c r="X9" i="4"/>
  <c r="AA9" i="4" s="1"/>
  <c r="Y8" i="4"/>
  <c r="X8" i="4"/>
  <c r="AC8" i="4" s="1"/>
  <c r="X7" i="4"/>
  <c r="AC7" i="4" s="1"/>
  <c r="Z7" i="4" s="1"/>
  <c r="X6" i="4"/>
  <c r="AC6" i="4" s="1"/>
  <c r="Z6" i="4" s="1"/>
  <c r="X5" i="4"/>
  <c r="AC5" i="4" s="1"/>
  <c r="Z5" i="4" s="1"/>
  <c r="X4" i="4"/>
  <c r="AC4" i="4" s="1"/>
  <c r="Z4" i="4" s="1"/>
  <c r="Z3" i="4"/>
  <c r="X3" i="4"/>
  <c r="X2" i="4"/>
  <c r="AC2" i="4" s="1"/>
  <c r="Z2" i="4" s="1"/>
  <c r="AB47" i="3"/>
  <c r="AA47" i="3"/>
  <c r="Z47" i="3"/>
  <c r="Y47" i="3"/>
  <c r="V47" i="3"/>
  <c r="AB46" i="3"/>
  <c r="AA46" i="3"/>
  <c r="Z46" i="3"/>
  <c r="Y46" i="3"/>
  <c r="V46" i="3"/>
  <c r="AB45" i="3"/>
  <c r="AA45" i="3"/>
  <c r="Z45" i="3"/>
  <c r="Y45" i="3"/>
  <c r="V45" i="3"/>
  <c r="AB44" i="3"/>
  <c r="AA44" i="3"/>
  <c r="Z44" i="3"/>
  <c r="Y44" i="3"/>
  <c r="V44" i="3"/>
  <c r="X41" i="3"/>
  <c r="AA41" i="3" s="1"/>
  <c r="Y40" i="3"/>
  <c r="X40" i="3"/>
  <c r="AA37" i="3" s="1"/>
  <c r="X39" i="3"/>
  <c r="AC39" i="3" s="1"/>
  <c r="Z39" i="3" s="1"/>
  <c r="X38" i="3"/>
  <c r="AC38" i="3" s="1"/>
  <c r="Z38" i="3" s="1"/>
  <c r="X37" i="3"/>
  <c r="AC37" i="3" s="1"/>
  <c r="Z37" i="3" s="1"/>
  <c r="X36" i="3"/>
  <c r="AC36" i="3" s="1"/>
  <c r="Z36" i="3" s="1"/>
  <c r="U36" i="3"/>
  <c r="Z35" i="3"/>
  <c r="X35" i="3"/>
  <c r="X34" i="3"/>
  <c r="AC34" i="3" s="1"/>
  <c r="Z34" i="3" s="1"/>
  <c r="AB31" i="3"/>
  <c r="AA31" i="3"/>
  <c r="Z31" i="3"/>
  <c r="Y31" i="3"/>
  <c r="V31" i="3"/>
  <c r="AB30" i="3"/>
  <c r="AA30" i="3"/>
  <c r="Z30" i="3"/>
  <c r="Y30" i="3"/>
  <c r="V30" i="3"/>
  <c r="AB29" i="3"/>
  <c r="AA29" i="3"/>
  <c r="Z29" i="3"/>
  <c r="Y29" i="3"/>
  <c r="V29" i="3"/>
  <c r="AB28" i="3"/>
  <c r="AA28" i="3"/>
  <c r="Z28" i="3"/>
  <c r="Y28" i="3"/>
  <c r="V28" i="3"/>
  <c r="X25" i="3"/>
  <c r="AA25" i="3" s="1"/>
  <c r="Y24" i="3"/>
  <c r="X24" i="3"/>
  <c r="AA21" i="3" s="1"/>
  <c r="X23" i="3"/>
  <c r="AC23" i="3" s="1"/>
  <c r="Z23" i="3" s="1"/>
  <c r="X22" i="3"/>
  <c r="AC22" i="3" s="1"/>
  <c r="Z22" i="3" s="1"/>
  <c r="X21" i="3"/>
  <c r="AC21" i="3" s="1"/>
  <c r="Z21" i="3" s="1"/>
  <c r="X20" i="3"/>
  <c r="AC20" i="3" s="1"/>
  <c r="Z20" i="3" s="1"/>
  <c r="U20" i="3"/>
  <c r="Z19" i="3"/>
  <c r="X19" i="3"/>
  <c r="X18" i="3"/>
  <c r="AC18" i="3" s="1"/>
  <c r="Z18" i="3" s="1"/>
  <c r="AB15" i="3"/>
  <c r="AA15" i="3"/>
  <c r="Z15" i="3"/>
  <c r="Y15" i="3"/>
  <c r="V15" i="3"/>
  <c r="C15" i="3"/>
  <c r="AB14" i="3"/>
  <c r="AA14" i="3"/>
  <c r="Z14" i="3"/>
  <c r="Y14" i="3"/>
  <c r="V14" i="3"/>
  <c r="C14" i="3"/>
  <c r="AB13" i="3"/>
  <c r="AA13" i="3"/>
  <c r="Z13" i="3"/>
  <c r="Y13" i="3"/>
  <c r="V13" i="3"/>
  <c r="AB12" i="3"/>
  <c r="AA12" i="3"/>
  <c r="Z12" i="3"/>
  <c r="Y12" i="3"/>
  <c r="V12" i="3"/>
  <c r="X9" i="3"/>
  <c r="AA9" i="3" s="1"/>
  <c r="Y8" i="3"/>
  <c r="X8" i="3"/>
  <c r="AC8" i="3" s="1"/>
  <c r="X7" i="3"/>
  <c r="AC7" i="3" s="1"/>
  <c r="Z7" i="3" s="1"/>
  <c r="AC6" i="3"/>
  <c r="Z6" i="3" s="1"/>
  <c r="X5" i="3"/>
  <c r="AC5" i="3" s="1"/>
  <c r="Z5" i="3" s="1"/>
  <c r="AC4" i="3"/>
  <c r="Z4" i="3" s="1"/>
  <c r="Z3" i="3"/>
  <c r="X3" i="3"/>
  <c r="X2" i="3"/>
  <c r="AC2" i="3" s="1"/>
  <c r="Z2" i="3" s="1"/>
  <c r="AB47" i="2"/>
  <c r="AA47" i="2"/>
  <c r="Z47" i="2"/>
  <c r="Y47" i="2"/>
  <c r="V47" i="2"/>
  <c r="AB46" i="2"/>
  <c r="AA46" i="2"/>
  <c r="Z46" i="2"/>
  <c r="Y46" i="2"/>
  <c r="V46" i="2"/>
  <c r="AB45" i="2"/>
  <c r="AA45" i="2"/>
  <c r="Z45" i="2"/>
  <c r="Y45" i="2"/>
  <c r="V45" i="2"/>
  <c r="AB44" i="2"/>
  <c r="AA44" i="2"/>
  <c r="Z44" i="2"/>
  <c r="Y44" i="2"/>
  <c r="V44" i="2"/>
  <c r="X41" i="2"/>
  <c r="AA41" i="2" s="1"/>
  <c r="Y40" i="2"/>
  <c r="X40" i="2"/>
  <c r="AA37" i="2" s="1"/>
  <c r="X39" i="2"/>
  <c r="AC39" i="2" s="1"/>
  <c r="Z39" i="2" s="1"/>
  <c r="X38" i="2"/>
  <c r="AC38" i="2" s="1"/>
  <c r="Z38" i="2" s="1"/>
  <c r="X37" i="2"/>
  <c r="AC37" i="2" s="1"/>
  <c r="Z37" i="2" s="1"/>
  <c r="X36" i="2"/>
  <c r="AC36" i="2" s="1"/>
  <c r="Z36" i="2" s="1"/>
  <c r="U36" i="2"/>
  <c r="Z35" i="2"/>
  <c r="X35" i="2"/>
  <c r="X34" i="2"/>
  <c r="AC34" i="2" s="1"/>
  <c r="Z34" i="2" s="1"/>
  <c r="AB31" i="2"/>
  <c r="AA31" i="2"/>
  <c r="Z31" i="2"/>
  <c r="Y31" i="2"/>
  <c r="V31" i="2"/>
  <c r="AB30" i="2"/>
  <c r="AA30" i="2"/>
  <c r="Z30" i="2"/>
  <c r="Y30" i="2"/>
  <c r="V30" i="2"/>
  <c r="AB29" i="2"/>
  <c r="AA29" i="2"/>
  <c r="Z29" i="2"/>
  <c r="Y29" i="2"/>
  <c r="V29" i="2"/>
  <c r="AB28" i="2"/>
  <c r="AA28" i="2"/>
  <c r="Z28" i="2"/>
  <c r="Y28" i="2"/>
  <c r="V28" i="2"/>
  <c r="X25" i="2"/>
  <c r="AA25" i="2" s="1"/>
  <c r="Y24" i="2"/>
  <c r="X24" i="2"/>
  <c r="AC24" i="2" s="1"/>
  <c r="Z24" i="2" s="1"/>
  <c r="AA24" i="2" s="1"/>
  <c r="X23" i="2"/>
  <c r="AC23" i="2" s="1"/>
  <c r="Z23" i="2" s="1"/>
  <c r="X22" i="2"/>
  <c r="AC22" i="2" s="1"/>
  <c r="Z22" i="2" s="1"/>
  <c r="X21" i="2"/>
  <c r="AC21" i="2" s="1"/>
  <c r="Z21" i="2" s="1"/>
  <c r="X20" i="2"/>
  <c r="AC20" i="2" s="1"/>
  <c r="Z20" i="2" s="1"/>
  <c r="Z19" i="2"/>
  <c r="X19" i="2"/>
  <c r="X18" i="2"/>
  <c r="AC18" i="2" s="1"/>
  <c r="Z18" i="2" s="1"/>
  <c r="AB15" i="2"/>
  <c r="AA15" i="2"/>
  <c r="Z15" i="2"/>
  <c r="Y15" i="2"/>
  <c r="V15" i="2"/>
  <c r="C15" i="2"/>
  <c r="AB14" i="2"/>
  <c r="AA14" i="2"/>
  <c r="Z14" i="2"/>
  <c r="Y14" i="2"/>
  <c r="V14" i="2"/>
  <c r="C14" i="2"/>
  <c r="AB13" i="2"/>
  <c r="AA13" i="2"/>
  <c r="Z13" i="2"/>
  <c r="Y13" i="2"/>
  <c r="V13" i="2"/>
  <c r="AB12" i="2"/>
  <c r="AA12" i="2"/>
  <c r="Z12" i="2"/>
  <c r="Y12" i="2"/>
  <c r="V12" i="2"/>
  <c r="X9" i="2"/>
  <c r="AA9" i="2" s="1"/>
  <c r="Y8" i="2"/>
  <c r="X8" i="2"/>
  <c r="AA5" i="2" s="1"/>
  <c r="X7" i="2"/>
  <c r="AC7" i="2" s="1"/>
  <c r="Z7" i="2" s="1"/>
  <c r="X6" i="2"/>
  <c r="AC6" i="2" s="1"/>
  <c r="Z6" i="2" s="1"/>
  <c r="X5" i="2"/>
  <c r="AC5" i="2" s="1"/>
  <c r="Z5" i="2" s="1"/>
  <c r="X4" i="2"/>
  <c r="AC4" i="2" s="1"/>
  <c r="Z4" i="2" s="1"/>
  <c r="U4" i="2"/>
  <c r="Z3" i="2"/>
  <c r="X3" i="2"/>
  <c r="X2" i="2"/>
  <c r="AC2" i="2" s="1"/>
  <c r="Z2" i="2" s="1"/>
  <c r="AB47" i="1"/>
  <c r="AA47" i="1"/>
  <c r="Z47" i="1"/>
  <c r="Y47" i="1"/>
  <c r="V47" i="1"/>
  <c r="AB46" i="1"/>
  <c r="AA46" i="1"/>
  <c r="Z46" i="1"/>
  <c r="Y46" i="1"/>
  <c r="V46" i="1"/>
  <c r="AB45" i="1"/>
  <c r="AA45" i="1"/>
  <c r="Z45" i="1"/>
  <c r="Y45" i="1"/>
  <c r="V45" i="1"/>
  <c r="AB44" i="1"/>
  <c r="AA44" i="1"/>
  <c r="Z44" i="1"/>
  <c r="Y44" i="1"/>
  <c r="V44" i="1"/>
  <c r="X41" i="1"/>
  <c r="AA41" i="1" s="1"/>
  <c r="Y40" i="1"/>
  <c r="X40" i="1"/>
  <c r="AC40" i="1" s="1"/>
  <c r="Z40" i="1" s="1"/>
  <c r="AA40" i="1" s="1"/>
  <c r="X39" i="1"/>
  <c r="AC39" i="1" s="1"/>
  <c r="Z39" i="1" s="1"/>
  <c r="X38" i="1"/>
  <c r="AC38" i="1" s="1"/>
  <c r="Z38" i="1" s="1"/>
  <c r="X37" i="1"/>
  <c r="AC37" i="1" s="1"/>
  <c r="Z37" i="1" s="1"/>
  <c r="X36" i="1"/>
  <c r="AC36" i="1" s="1"/>
  <c r="Z36" i="1" s="1"/>
  <c r="U36" i="1"/>
  <c r="Z35" i="1"/>
  <c r="X35" i="1"/>
  <c r="X34" i="1"/>
  <c r="AC34" i="1" s="1"/>
  <c r="Z34" i="1" s="1"/>
  <c r="AB31" i="1"/>
  <c r="AA31" i="1"/>
  <c r="Z31" i="1"/>
  <c r="Y31" i="1"/>
  <c r="V31" i="1"/>
  <c r="AB30" i="1"/>
  <c r="AA30" i="1"/>
  <c r="Z30" i="1"/>
  <c r="Y30" i="1"/>
  <c r="V30" i="1"/>
  <c r="AB29" i="1"/>
  <c r="AA29" i="1"/>
  <c r="Z29" i="1"/>
  <c r="Y29" i="1"/>
  <c r="V29" i="1"/>
  <c r="AB28" i="1"/>
  <c r="AA28" i="1"/>
  <c r="Z28" i="1"/>
  <c r="Y28" i="1"/>
  <c r="V28" i="1"/>
  <c r="X25" i="1"/>
  <c r="AA25" i="1" s="1"/>
  <c r="Y24" i="1"/>
  <c r="X24" i="1"/>
  <c r="AA21" i="1" s="1"/>
  <c r="X23" i="1"/>
  <c r="AC23" i="1" s="1"/>
  <c r="Z23" i="1" s="1"/>
  <c r="X22" i="1"/>
  <c r="AC22" i="1" s="1"/>
  <c r="Z22" i="1" s="1"/>
  <c r="X21" i="1"/>
  <c r="AC21" i="1" s="1"/>
  <c r="Z21" i="1" s="1"/>
  <c r="X20" i="1"/>
  <c r="AC20" i="1" s="1"/>
  <c r="Z20" i="1" s="1"/>
  <c r="U20" i="1"/>
  <c r="Z19" i="1"/>
  <c r="X19" i="1"/>
  <c r="X18" i="1"/>
  <c r="AC18" i="1" s="1"/>
  <c r="Z18" i="1" s="1"/>
  <c r="AB15" i="1"/>
  <c r="AA15" i="1"/>
  <c r="Z15" i="1"/>
  <c r="Y15" i="1"/>
  <c r="V15" i="1"/>
  <c r="C15" i="1"/>
  <c r="AB14" i="1"/>
  <c r="AA14" i="1"/>
  <c r="Z14" i="1"/>
  <c r="Y14" i="1"/>
  <c r="V14" i="1"/>
  <c r="C14" i="1"/>
  <c r="AB13" i="1"/>
  <c r="AA13" i="1"/>
  <c r="Z13" i="1"/>
  <c r="Y13" i="1"/>
  <c r="V13" i="1"/>
  <c r="AB12" i="1"/>
  <c r="AA12" i="1"/>
  <c r="Z12" i="1"/>
  <c r="Y12" i="1"/>
  <c r="V12" i="1"/>
  <c r="X9" i="1"/>
  <c r="AA9" i="1" s="1"/>
  <c r="Y8" i="1"/>
  <c r="X8" i="1"/>
  <c r="AC8" i="1" s="1"/>
  <c r="X7" i="1"/>
  <c r="AC7" i="1" s="1"/>
  <c r="Z7" i="1" s="1"/>
  <c r="X6" i="1"/>
  <c r="AC6" i="1" s="1"/>
  <c r="Z6" i="1" s="1"/>
  <c r="X5" i="1"/>
  <c r="AC5" i="1" s="1"/>
  <c r="Z5" i="1" s="1"/>
  <c r="X4" i="1"/>
  <c r="AC4" i="1" s="1"/>
  <c r="Z4" i="1" s="1"/>
  <c r="U4" i="1"/>
  <c r="Z3" i="1"/>
  <c r="X3" i="1"/>
  <c r="X2" i="1"/>
  <c r="AC2" i="1" s="1"/>
  <c r="Z2" i="1" s="1"/>
  <c r="Z24" i="14" l="1"/>
  <c r="AA24" i="14" s="1"/>
  <c r="K40" i="14"/>
  <c r="L40" i="14" s="1"/>
  <c r="K8" i="7"/>
  <c r="L8" i="7" s="1"/>
  <c r="AA5" i="11"/>
  <c r="AA5" i="6"/>
  <c r="Z40" i="4"/>
  <c r="AA40" i="4" s="1"/>
  <c r="K8" i="6"/>
  <c r="L8" i="6" s="1"/>
  <c r="K40" i="11"/>
  <c r="L40" i="11" s="1"/>
  <c r="N24" i="9"/>
  <c r="K24" i="9" s="1"/>
  <c r="L24" i="9" s="1"/>
  <c r="AA37" i="12"/>
  <c r="AP21" i="4"/>
  <c r="N24" i="7"/>
  <c r="K24" i="7" s="1"/>
  <c r="L24" i="7" s="1"/>
  <c r="AA21" i="6"/>
  <c r="AA21" i="8"/>
  <c r="AC24" i="12"/>
  <c r="Z24" i="12" s="1"/>
  <c r="AA24" i="12" s="1"/>
  <c r="AP5" i="4"/>
  <c r="AC8" i="12"/>
  <c r="N40" i="4"/>
  <c r="K40" i="4" s="1"/>
  <c r="L40" i="4" s="1"/>
  <c r="N24" i="4"/>
  <c r="K24" i="4" s="1"/>
  <c r="L24" i="4" s="1"/>
  <c r="AC40" i="2"/>
  <c r="Z40" i="2" s="1"/>
  <c r="AA40" i="2" s="1"/>
  <c r="L21" i="6"/>
  <c r="L37" i="7"/>
  <c r="AA37" i="9"/>
  <c r="AA37" i="7"/>
  <c r="AA5" i="9"/>
  <c r="L21" i="12"/>
  <c r="AA21" i="14"/>
  <c r="AA37" i="14"/>
  <c r="N24" i="8"/>
  <c r="K24" i="8" s="1"/>
  <c r="L24" i="8" s="1"/>
  <c r="L5" i="7"/>
  <c r="AA37" i="8"/>
  <c r="AA37" i="6"/>
  <c r="AA5" i="4"/>
  <c r="Z8" i="3"/>
  <c r="AA8" i="3" s="1"/>
  <c r="AC8" i="2"/>
  <c r="Z8" i="2" s="1"/>
  <c r="AA8" i="2" s="1"/>
  <c r="AA37" i="1"/>
  <c r="Z8" i="1"/>
  <c r="AA8" i="1" s="1"/>
  <c r="AA37" i="4"/>
  <c r="AC24" i="3"/>
  <c r="Z24" i="3" s="1"/>
  <c r="AA24" i="3" s="1"/>
  <c r="Z40" i="9"/>
  <c r="AA40" i="9" s="1"/>
  <c r="L5" i="11"/>
  <c r="AC8" i="14"/>
  <c r="Z8" i="14" s="1"/>
  <c r="AA8" i="14" s="1"/>
  <c r="AC24" i="1"/>
  <c r="Z24" i="1" s="1"/>
  <c r="AA24" i="1" s="1"/>
  <c r="AA5" i="3"/>
  <c r="K40" i="6"/>
  <c r="L40" i="6" s="1"/>
  <c r="AA21" i="7"/>
  <c r="Z40" i="7"/>
  <c r="AA40" i="7" s="1"/>
  <c r="Z40" i="8"/>
  <c r="AA40" i="8" s="1"/>
  <c r="L21" i="11"/>
  <c r="AA37" i="11"/>
  <c r="Z8" i="7"/>
  <c r="AA8" i="7" s="1"/>
  <c r="K8" i="8"/>
  <c r="L8" i="8" s="1"/>
  <c r="AA21" i="9"/>
  <c r="K24" i="11"/>
  <c r="L24" i="11" s="1"/>
  <c r="Z8" i="12"/>
  <c r="AA8" i="12" s="1"/>
  <c r="Z40" i="6"/>
  <c r="AA40" i="6" s="1"/>
  <c r="AA5" i="8"/>
  <c r="Z8" i="9"/>
  <c r="AA8" i="9" s="1"/>
  <c r="Z8" i="11"/>
  <c r="AA8" i="11" s="1"/>
  <c r="K8" i="13"/>
  <c r="L8" i="13" s="1"/>
  <c r="L21" i="13"/>
  <c r="K40" i="13"/>
  <c r="L40" i="13" s="1"/>
  <c r="AA5" i="13"/>
  <c r="AA37" i="13"/>
  <c r="K8" i="14"/>
  <c r="L8" i="14" s="1"/>
  <c r="Z8" i="13"/>
  <c r="AA8" i="13" s="1"/>
  <c r="K24" i="13"/>
  <c r="L24" i="13" s="1"/>
  <c r="Z40" i="13"/>
  <c r="AA40" i="13" s="1"/>
  <c r="L21" i="14"/>
  <c r="Z8" i="4"/>
  <c r="AA8" i="4" s="1"/>
  <c r="AA5" i="1"/>
  <c r="AA21" i="2"/>
  <c r="Z8" i="6"/>
  <c r="AA8" i="6" s="1"/>
  <c r="AA5" i="7"/>
  <c r="K40" i="7"/>
  <c r="L40" i="7" s="1"/>
  <c r="K40" i="8"/>
  <c r="L40" i="8" s="1"/>
  <c r="L37" i="11"/>
  <c r="L5" i="14"/>
  <c r="L37" i="14"/>
  <c r="L5" i="13"/>
  <c r="AC24" i="13"/>
  <c r="Z24" i="13" s="1"/>
  <c r="AA24" i="13" s="1"/>
  <c r="L37" i="13"/>
  <c r="L5" i="12"/>
  <c r="N40" i="12"/>
  <c r="K40" i="12" s="1"/>
  <c r="L40" i="12" s="1"/>
  <c r="AC24" i="11"/>
  <c r="Z24" i="11" s="1"/>
  <c r="AA24" i="11" s="1"/>
  <c r="L37" i="9"/>
  <c r="L5" i="9"/>
  <c r="L5" i="8"/>
  <c r="L37" i="8"/>
  <c r="L37" i="6"/>
  <c r="L5" i="6"/>
  <c r="AC24" i="4"/>
  <c r="Z24" i="4" s="1"/>
  <c r="AA24" i="4" s="1"/>
  <c r="AC40" i="3"/>
  <c r="Z40" i="3" s="1"/>
  <c r="AA40" i="3" s="1"/>
</calcChain>
</file>

<file path=xl/sharedStrings.xml><?xml version="1.0" encoding="utf-8"?>
<sst xmlns="http://schemas.openxmlformats.org/spreadsheetml/2006/main" count="3386" uniqueCount="194">
  <si>
    <t>Nome</t>
  </si>
  <si>
    <t>POKEMON 1</t>
  </si>
  <si>
    <t>BS</t>
  </si>
  <si>
    <t>BN</t>
  </si>
  <si>
    <t>TT</t>
  </si>
  <si>
    <t>AT</t>
  </si>
  <si>
    <t>MEGA EVOLUÇÃO</t>
  </si>
  <si>
    <t>Idade</t>
  </si>
  <si>
    <t>GÊNERO</t>
  </si>
  <si>
    <t>Macho</t>
  </si>
  <si>
    <t>BÔNUS</t>
  </si>
  <si>
    <t>PV</t>
  </si>
  <si>
    <t>ATA</t>
  </si>
  <si>
    <t>Regiao</t>
  </si>
  <si>
    <t>SHINY</t>
  </si>
  <si>
    <t>Não</t>
  </si>
  <si>
    <t>PP</t>
  </si>
  <si>
    <t>DEF</t>
  </si>
  <si>
    <t>Persona</t>
  </si>
  <si>
    <t>TIPO</t>
  </si>
  <si>
    <t>AGL</t>
  </si>
  <si>
    <t>ATS</t>
  </si>
  <si>
    <t>Hobbie</t>
  </si>
  <si>
    <t>NIVEL</t>
  </si>
  <si>
    <t>DES</t>
  </si>
  <si>
    <t>OVR</t>
  </si>
  <si>
    <t>EXPERIENCIA</t>
  </si>
  <si>
    <t>MEGA EV</t>
  </si>
  <si>
    <t>VEL</t>
  </si>
  <si>
    <t>AMIZADE</t>
  </si>
  <si>
    <t>Forca</t>
  </si>
  <si>
    <t>ITEM</t>
  </si>
  <si>
    <t>-</t>
  </si>
  <si>
    <t>Destreza</t>
  </si>
  <si>
    <t>ESTADO</t>
  </si>
  <si>
    <t>EXB</t>
  </si>
  <si>
    <t>PRÓX. NIVEL</t>
  </si>
  <si>
    <t>Saude</t>
  </si>
  <si>
    <t>Percepcao</t>
  </si>
  <si>
    <t>GOLPE</t>
  </si>
  <si>
    <t>TIPO/CATEGORIA</t>
  </si>
  <si>
    <t>DANO</t>
  </si>
  <si>
    <t>%</t>
  </si>
  <si>
    <t>Comunicacao</t>
  </si>
  <si>
    <t>Espirito</t>
  </si>
  <si>
    <t>PVs</t>
  </si>
  <si>
    <t>Evs</t>
  </si>
  <si>
    <t>Habilidades / Beneficios</t>
  </si>
  <si>
    <t>Passos</t>
  </si>
  <si>
    <t>Inventario</t>
  </si>
  <si>
    <t>Gimbya</t>
  </si>
  <si>
    <t>Brasa</t>
  </si>
  <si>
    <t>Leal Bom</t>
  </si>
  <si>
    <t>Cacique</t>
  </si>
  <si>
    <t>nao aplicavel</t>
  </si>
  <si>
    <r>
      <rPr>
        <b/>
        <sz val="11"/>
        <color theme="1"/>
        <rFont val="Calibri"/>
        <family val="2"/>
        <scheme val="minor"/>
      </rPr>
      <t xml:space="preserve">Danca da Harmonia Arrosada (3EVs/uso)
</t>
    </r>
    <r>
      <rPr>
        <sz val="11"/>
        <color theme="1"/>
        <rFont val="Calibri"/>
        <family val="2"/>
        <scheme val="minor"/>
      </rPr>
      <t>Redireciona golpes Energeticos</t>
    </r>
  </si>
  <si>
    <r>
      <t xml:space="preserve">Tore das Fadas (3EVs/uso)
</t>
    </r>
    <r>
      <rPr>
        <sz val="11"/>
        <color theme="1"/>
        <rFont val="Calibri"/>
        <family val="2"/>
        <scheme val="minor"/>
      </rPr>
      <t>x2 Dano Rodado para golpes do tipo Fada</t>
    </r>
  </si>
  <si>
    <t>Mawile</t>
  </si>
  <si>
    <t>Mawilite</t>
  </si>
  <si>
    <t>Sim</t>
  </si>
  <si>
    <t>Play Rough</t>
  </si>
  <si>
    <t>Iron Head</t>
  </si>
  <si>
    <t>Earthquake</t>
  </si>
  <si>
    <t>Sword Dance</t>
  </si>
  <si>
    <t>Nao</t>
  </si>
  <si>
    <t>Togekiss</t>
  </si>
  <si>
    <t>Air Slash</t>
  </si>
  <si>
    <t>Ancient Power</t>
  </si>
  <si>
    <t>Aura Sphere</t>
  </si>
  <si>
    <t>Life Dew</t>
  </si>
  <si>
    <t>Primarina</t>
  </si>
  <si>
    <t>Moonblast</t>
  </si>
  <si>
    <t>Hydro Pump</t>
  </si>
  <si>
    <t>Ice Beam</t>
  </si>
  <si>
    <t>Sing</t>
  </si>
  <si>
    <t>Gardevoir</t>
  </si>
  <si>
    <t>Sylveon</t>
  </si>
  <si>
    <t>Swift</t>
  </si>
  <si>
    <t>Draining Kiss</t>
  </si>
  <si>
    <t>Mystical Fire</t>
  </si>
  <si>
    <t>Calm Mind</t>
  </si>
  <si>
    <t>Azumarill</t>
  </si>
  <si>
    <t>Belly Drum</t>
  </si>
  <si>
    <t>Huge Power</t>
  </si>
  <si>
    <t>Double-Edge</t>
  </si>
  <si>
    <t>Aqua Jet</t>
  </si>
  <si>
    <t>Focus Punch</t>
  </si>
  <si>
    <t>Xama</t>
  </si>
  <si>
    <r>
      <t xml:space="preserve">Boa com Criancas
</t>
    </r>
    <r>
      <rPr>
        <sz val="11"/>
        <color theme="1"/>
        <rFont val="Calibri"/>
        <family val="2"/>
        <scheme val="minor"/>
      </rPr>
      <t>+2 Comunicacao quando conversnado com criancas</t>
    </r>
  </si>
  <si>
    <t>Dusknoir</t>
  </si>
  <si>
    <t>Dusknoirite</t>
  </si>
  <si>
    <t>Shadow Punch</t>
  </si>
  <si>
    <t>Ice Punch</t>
  </si>
  <si>
    <t>Brick Break</t>
  </si>
  <si>
    <t>Payback</t>
  </si>
  <si>
    <t>Cofagrigus</t>
  </si>
  <si>
    <t>Mummy</t>
  </si>
  <si>
    <t>Shadow Ball</t>
  </si>
  <si>
    <t>Trevenant</t>
  </si>
  <si>
    <t>Horn Leech</t>
  </si>
  <si>
    <t>Shadow Claw</t>
  </si>
  <si>
    <t>Rock Slide</t>
  </si>
  <si>
    <t>Will O Wisp</t>
  </si>
  <si>
    <t>Leech Seed</t>
  </si>
  <si>
    <t>Mismagius</t>
  </si>
  <si>
    <t>Levitate</t>
  </si>
  <si>
    <t>Confuse Ray</t>
  </si>
  <si>
    <t>Power Gem</t>
  </si>
  <si>
    <t>Shadow Sneak</t>
  </si>
  <si>
    <t>Irapua</t>
  </si>
  <si>
    <t>Medicina Tradicional</t>
  </si>
  <si>
    <t>Danca do Parasita Verde (3EVs/uso)</t>
  </si>
  <si>
    <t>Tore dos Insetos (3EVs/uso)</t>
  </si>
  <si>
    <t>Flygon</t>
  </si>
  <si>
    <t>Inseto/Dragão</t>
  </si>
  <si>
    <t>Flygonite</t>
  </si>
  <si>
    <t>Dragon Dance</t>
  </si>
  <si>
    <t>Dragon Claw</t>
  </si>
  <si>
    <t>X-Scisor</t>
  </si>
  <si>
    <t>Superpower</t>
  </si>
  <si>
    <t>r</t>
  </si>
  <si>
    <t>Tireless</t>
  </si>
  <si>
    <t>Yanmega</t>
  </si>
  <si>
    <t>Bug Buzz</t>
  </si>
  <si>
    <t>Steel Wing</t>
  </si>
  <si>
    <t>String Shot</t>
  </si>
  <si>
    <r>
      <t xml:space="preserve">Quick Sting: </t>
    </r>
    <r>
      <rPr>
        <sz val="10"/>
        <color theme="1"/>
        <rFont val="Calibri"/>
        <family val="2"/>
        <scheme val="minor"/>
      </rPr>
      <t>d20 (&gt;9 : ataca 2 alvos com o mesmo golpe)</t>
    </r>
  </si>
  <si>
    <t>Accelgor</t>
  </si>
  <si>
    <t>Giga Drain</t>
  </si>
  <si>
    <t>Struggle Bug</t>
  </si>
  <si>
    <t>Venoshock</t>
  </si>
  <si>
    <t>Injecao Venom</t>
  </si>
  <si>
    <t>Durant</t>
  </si>
  <si>
    <t>Dig</t>
  </si>
  <si>
    <t>Thunder Fang</t>
  </si>
  <si>
    <t>Fury Cutter</t>
  </si>
  <si>
    <t>Cada uso o dano aumenta em 3d6, se errar reseta</t>
  </si>
  <si>
    <t>Bite</t>
  </si>
  <si>
    <t>Ayana</t>
  </si>
  <si>
    <r>
      <rPr>
        <b/>
        <sz val="11"/>
        <color theme="1"/>
        <rFont val="Calibri"/>
        <family val="2"/>
        <scheme val="minor"/>
      </rPr>
      <t>Intimidacao</t>
    </r>
    <r>
      <rPr>
        <sz val="11"/>
        <color theme="1"/>
        <rFont val="Calibri"/>
        <family val="2"/>
        <scheme val="minor"/>
      </rPr>
      <t xml:space="preserve">
+2 Comunicacao quando Intimidando</t>
    </r>
  </si>
  <si>
    <t>Danca do Cair das Folhas (3EVs/Rodada)</t>
  </si>
  <si>
    <t>Tore das Plantas</t>
  </si>
  <si>
    <t>Serperior</t>
  </si>
  <si>
    <t>Serperiorite</t>
  </si>
  <si>
    <t>Contrary</t>
  </si>
  <si>
    <t>Leaf Storm</t>
  </si>
  <si>
    <t>Leaf Blade</t>
  </si>
  <si>
    <t>Aqua Tail</t>
  </si>
  <si>
    <t>Hyper Beam</t>
  </si>
  <si>
    <t>Carnivine</t>
  </si>
  <si>
    <t>Razor Leaf</t>
  </si>
  <si>
    <t>Lurantis</t>
  </si>
  <si>
    <t>Petal Blizzard</t>
  </si>
  <si>
    <t>Cada vez usado (qualquer 1) aumenta 3d6 em dano, reseta se qualquer um errar</t>
  </si>
  <si>
    <t>Dual Chop</t>
  </si>
  <si>
    <t>Acid Spray</t>
  </si>
  <si>
    <t>Vine Whip</t>
  </si>
  <si>
    <t>Bullet Seed</t>
  </si>
  <si>
    <t>2d6</t>
  </si>
  <si>
    <t>Cherrim</t>
  </si>
  <si>
    <t>Sunny Day</t>
  </si>
  <si>
    <r>
      <t xml:space="preserve">!Flower Gift: </t>
    </r>
    <r>
      <rPr>
        <sz val="10"/>
        <color theme="1"/>
        <rFont val="Calibri"/>
        <family val="2"/>
        <scheme val="minor"/>
      </rPr>
      <t>Em sol forte aumenta o ATA e DES dos aliados em 50%</t>
    </r>
  </si>
  <si>
    <t>Magical Leaf</t>
  </si>
  <si>
    <t>Morning Sun</t>
  </si>
  <si>
    <t>Dia: +25%PVs Noite: +10%PVs Sunny: +50%PVs</t>
  </si>
  <si>
    <t>Drena 10%PVs (sem efeito em Grama)</t>
  </si>
  <si>
    <t>Impede a locomocao do pokemon ate acertar o d20 (&gt;=10)</t>
  </si>
  <si>
    <t>Danca da Ruptura do Fantasma (3)</t>
  </si>
  <si>
    <t>Tore dos Fantasmas (2)</t>
  </si>
  <si>
    <t>Xondaro</t>
  </si>
  <si>
    <t>Cacique da Lua</t>
  </si>
  <si>
    <t>Kayke</t>
  </si>
  <si>
    <t>Neutro Bom</t>
  </si>
  <si>
    <t>Yara</t>
  </si>
  <si>
    <t>Aiyra</t>
  </si>
  <si>
    <t>***</t>
  </si>
  <si>
    <t>**</t>
  </si>
  <si>
    <t>Queimado</t>
  </si>
  <si>
    <t>Cacique das Ondas</t>
  </si>
  <si>
    <t>Cacique dos Minerais</t>
  </si>
  <si>
    <t>Cacique do Corpo</t>
  </si>
  <si>
    <t>Piata</t>
  </si>
  <si>
    <t>Cacique das Montanhas</t>
  </si>
  <si>
    <t>Arau</t>
  </si>
  <si>
    <t>Cacique da Resiliencia</t>
  </si>
  <si>
    <t>Dyami</t>
  </si>
  <si>
    <t>Cacique do Fluxo</t>
  </si>
  <si>
    <t>(+3) Comunicacao em combate</t>
  </si>
  <si>
    <t>Nina</t>
  </si>
  <si>
    <t>Cacique da Ira</t>
  </si>
  <si>
    <r>
      <t>Flerte:</t>
    </r>
    <r>
      <rPr>
        <sz val="11"/>
        <color theme="1"/>
        <rFont val="Calibri"/>
        <family val="2"/>
        <scheme val="minor"/>
      </rPr>
      <t xml:space="preserve"> Flertar +2 em Comunicação</t>
    </r>
  </si>
  <si>
    <t>Solar Beam</t>
  </si>
  <si>
    <t>Dark Pulse</t>
  </si>
  <si>
    <t>Psychic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</si>
</sst>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1" xfId="0" applyFont="1" applyBorder="1"/>
    <xf numFmtId="0" fontId="3" fillId="2" borderId="1" xfId="0" applyFont="1" applyFill="1" applyBorder="1"/>
    <xf numFmtId="0" fontId="4" fillId="3" borderId="3" xfId="0" quotePrefix="1" applyFont="1" applyFill="1" applyBorder="1" applyAlignment="1" applyProtection="1">
      <alignment horizontal="center"/>
      <protection locked="0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4" xfId="0" applyFont="1" applyBorder="1"/>
    <xf numFmtId="0" fontId="3" fillId="2" borderId="4" xfId="0" applyFont="1" applyFill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6" fillId="4" borderId="0" xfId="0" applyFont="1" applyFill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0" xfId="0" applyFont="1"/>
    <xf numFmtId="0" fontId="2" fillId="2" borderId="4" xfId="0" applyFont="1" applyFill="1" applyBorder="1"/>
    <xf numFmtId="0" fontId="0" fillId="0" borderId="5" xfId="0" applyBorder="1"/>
    <xf numFmtId="0" fontId="4" fillId="6" borderId="0" xfId="0" applyFont="1" applyFill="1"/>
    <xf numFmtId="0" fontId="6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4" fillId="0" borderId="0" xfId="0" quotePrefix="1" applyFont="1" applyAlignment="1" applyProtection="1">
      <alignment horizontal="center"/>
      <protection locked="0"/>
    </xf>
    <xf numFmtId="0" fontId="3" fillId="2" borderId="5" xfId="0" applyFont="1" applyFill="1" applyBorder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5" xfId="0" applyFont="1" applyBorder="1" applyAlignment="1">
      <alignment horizontal="center"/>
    </xf>
    <xf numFmtId="0" fontId="1" fillId="0" borderId="6" xfId="0" applyFont="1" applyBorder="1"/>
    <xf numFmtId="0" fontId="2" fillId="2" borderId="6" xfId="0" applyFont="1" applyFill="1" applyBorder="1"/>
    <xf numFmtId="0" fontId="0" fillId="0" borderId="7" xfId="0" applyBorder="1"/>
    <xf numFmtId="0" fontId="4" fillId="0" borderId="0" xfId="0" quotePrefix="1" applyFont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0" borderId="5" xfId="0" quotePrefix="1" applyFont="1" applyBorder="1" applyAlignment="1">
      <alignment horizontal="center"/>
    </xf>
    <xf numFmtId="0" fontId="2" fillId="0" borderId="0" xfId="0" applyFont="1"/>
    <xf numFmtId="0" fontId="4" fillId="0" borderId="4" xfId="0" applyFont="1" applyBorder="1"/>
    <xf numFmtId="0" fontId="5" fillId="0" borderId="0" xfId="0" applyFont="1"/>
    <xf numFmtId="9" fontId="4" fillId="0" borderId="5" xfId="0" applyNumberFormat="1" applyFont="1" applyBorder="1" applyAlignment="1" applyProtection="1">
      <alignment horizontal="center"/>
      <protection locked="0"/>
    </xf>
    <xf numFmtId="0" fontId="8" fillId="0" borderId="9" xfId="0" applyFont="1" applyBorder="1"/>
    <xf numFmtId="0" fontId="0" fillId="0" borderId="3" xfId="0" applyBorder="1"/>
    <xf numFmtId="0" fontId="2" fillId="7" borderId="9" xfId="0" applyFont="1" applyFill="1" applyBorder="1"/>
    <xf numFmtId="0" fontId="9" fillId="0" borderId="10" xfId="0" applyFont="1" applyBorder="1"/>
    <xf numFmtId="0" fontId="0" fillId="0" borderId="11" xfId="0" applyBorder="1"/>
    <xf numFmtId="0" fontId="2" fillId="7" borderId="10" xfId="0" applyFont="1" applyFill="1" applyBorder="1"/>
    <xf numFmtId="0" fontId="4" fillId="0" borderId="11" xfId="0" applyFont="1" applyBorder="1" applyAlignment="1" applyProtection="1">
      <alignment horizontal="center"/>
      <protection locked="0"/>
    </xf>
    <xf numFmtId="9" fontId="4" fillId="0" borderId="7" xfId="0" applyNumberFormat="1" applyFont="1" applyBorder="1" applyAlignment="1" applyProtection="1">
      <alignment horizontal="center"/>
      <protection locked="0"/>
    </xf>
    <xf numFmtId="0" fontId="0" fillId="0" borderId="14" xfId="0" applyBorder="1"/>
    <xf numFmtId="0" fontId="0" fillId="0" borderId="15" xfId="0" applyBorder="1"/>
    <xf numFmtId="0" fontId="6" fillId="6" borderId="0" xfId="0" applyFont="1" applyFill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4" xfId="0" quotePrefix="1" applyFont="1" applyBorder="1" applyAlignment="1" applyProtection="1">
      <alignment horizontal="center"/>
      <protection locked="0"/>
    </xf>
    <xf numFmtId="0" fontId="4" fillId="0" borderId="0" xfId="0" quotePrefix="1" applyFont="1" applyAlignment="1" applyProtection="1">
      <alignment horizontal="center"/>
      <protection locked="0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4" fillId="0" borderId="6" xfId="0" quotePrefix="1" applyFont="1" applyBorder="1" applyAlignment="1" applyProtection="1">
      <alignment horizontal="center"/>
      <protection locked="0"/>
    </xf>
    <xf numFmtId="0" fontId="4" fillId="0" borderId="11" xfId="0" quotePrefix="1" applyFont="1" applyBorder="1" applyAlignment="1" applyProtection="1">
      <alignment horizontal="center"/>
      <protection locked="0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trick%20Garcia\Desktop\pkmrpg-playtest\pkmrpg-playtest-ficha-editav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trick%20Garcia\Desktop\pkmrpg-playtest\pkmrpg-playtest-utilit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Ficha"/>
      <sheetName val="Boxes"/>
      <sheetName val="Pokedéx"/>
      <sheetName val="Pokemon"/>
      <sheetName val="Golpes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-</v>
          </cell>
          <cell r="B1" t="str">
            <v>-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</row>
        <row r="2">
          <cell r="A2" t="str">
            <v>Abomasnow</v>
          </cell>
          <cell r="B2" t="str">
            <v>Grama/Gelo</v>
          </cell>
          <cell r="C2">
            <v>68</v>
          </cell>
          <cell r="D2">
            <v>9</v>
          </cell>
          <cell r="E2">
            <v>7</v>
          </cell>
          <cell r="F2">
            <v>9</v>
          </cell>
          <cell r="G2">
            <v>8</v>
          </cell>
          <cell r="H2">
            <v>6</v>
          </cell>
          <cell r="I2">
            <v>173</v>
          </cell>
        </row>
        <row r="3">
          <cell r="A3" t="str">
            <v>Abra</v>
          </cell>
          <cell r="B3" t="str">
            <v>Psíquico</v>
          </cell>
          <cell r="C3">
            <v>19</v>
          </cell>
          <cell r="D3">
            <v>2</v>
          </cell>
          <cell r="E3">
            <v>1</v>
          </cell>
          <cell r="F3">
            <v>10</v>
          </cell>
          <cell r="G3">
            <v>5</v>
          </cell>
          <cell r="H3">
            <v>9</v>
          </cell>
          <cell r="I3">
            <v>62</v>
          </cell>
        </row>
        <row r="4">
          <cell r="A4" t="str">
            <v>Absol</v>
          </cell>
          <cell r="B4" t="str">
            <v>Noturno</v>
          </cell>
          <cell r="C4">
            <v>49</v>
          </cell>
          <cell r="D4">
            <v>13</v>
          </cell>
          <cell r="E4">
            <v>6</v>
          </cell>
          <cell r="F4">
            <v>7</v>
          </cell>
          <cell r="G4">
            <v>6</v>
          </cell>
          <cell r="H4">
            <v>7</v>
          </cell>
          <cell r="I4">
            <v>163</v>
          </cell>
        </row>
        <row r="5">
          <cell r="A5" t="str">
            <v>Accelgor</v>
          </cell>
          <cell r="B5" t="str">
            <v>Inseto</v>
          </cell>
          <cell r="C5">
            <v>60</v>
          </cell>
          <cell r="D5">
            <v>7</v>
          </cell>
          <cell r="E5">
            <v>4</v>
          </cell>
          <cell r="F5">
            <v>10</v>
          </cell>
          <cell r="G5">
            <v>6</v>
          </cell>
          <cell r="H5">
            <v>14</v>
          </cell>
          <cell r="I5">
            <v>173</v>
          </cell>
        </row>
        <row r="6">
          <cell r="A6" t="str">
            <v>Aegislash (Escudo)</v>
          </cell>
          <cell r="B6" t="str">
            <v>Metal\Fantasma</v>
          </cell>
          <cell r="C6">
            <v>45</v>
          </cell>
          <cell r="D6">
            <v>5</v>
          </cell>
          <cell r="E6">
            <v>15</v>
          </cell>
          <cell r="F6">
            <v>5</v>
          </cell>
          <cell r="G6">
            <v>15</v>
          </cell>
          <cell r="H6">
            <v>6</v>
          </cell>
          <cell r="I6">
            <v>234</v>
          </cell>
        </row>
        <row r="7">
          <cell r="A7" t="str">
            <v>Aegislash (Lâmina)</v>
          </cell>
          <cell r="B7" t="str">
            <v>Metal\Fantasma</v>
          </cell>
          <cell r="C7">
            <v>45</v>
          </cell>
          <cell r="D7">
            <v>15</v>
          </cell>
          <cell r="E7">
            <v>5</v>
          </cell>
          <cell r="F7">
            <v>15</v>
          </cell>
          <cell r="G7">
            <v>5</v>
          </cell>
          <cell r="H7">
            <v>6</v>
          </cell>
          <cell r="I7">
            <v>234</v>
          </cell>
        </row>
        <row r="8">
          <cell r="A8" t="str">
            <v>Aerodactyl</v>
          </cell>
          <cell r="B8" t="str">
            <v>Pedra/Voador</v>
          </cell>
          <cell r="C8">
            <v>60</v>
          </cell>
          <cell r="D8">
            <v>10</v>
          </cell>
          <cell r="E8">
            <v>6</v>
          </cell>
          <cell r="F8">
            <v>6</v>
          </cell>
          <cell r="G8">
            <v>7</v>
          </cell>
          <cell r="H8">
            <v>13</v>
          </cell>
          <cell r="I8">
            <v>180</v>
          </cell>
        </row>
        <row r="9">
          <cell r="A9" t="str">
            <v>Aggron</v>
          </cell>
          <cell r="B9" t="str">
            <v>Metal/Pedra</v>
          </cell>
          <cell r="C9">
            <v>53</v>
          </cell>
          <cell r="D9">
            <v>11</v>
          </cell>
          <cell r="E9">
            <v>18</v>
          </cell>
          <cell r="F9">
            <v>6</v>
          </cell>
          <cell r="G9">
            <v>6</v>
          </cell>
          <cell r="H9">
            <v>5</v>
          </cell>
          <cell r="I9">
            <v>239</v>
          </cell>
        </row>
        <row r="10">
          <cell r="A10" t="str">
            <v>Aipom</v>
          </cell>
          <cell r="B10" t="str">
            <v>Normal</v>
          </cell>
          <cell r="C10">
            <v>42</v>
          </cell>
          <cell r="D10">
            <v>7</v>
          </cell>
          <cell r="E10">
            <v>5</v>
          </cell>
          <cell r="F10">
            <v>4</v>
          </cell>
          <cell r="G10">
            <v>5</v>
          </cell>
          <cell r="H10">
            <v>8</v>
          </cell>
          <cell r="I10">
            <v>72</v>
          </cell>
        </row>
        <row r="11">
          <cell r="A11" t="str">
            <v>Alakazam</v>
          </cell>
          <cell r="B11" t="str">
            <v>Psíquico</v>
          </cell>
          <cell r="C11">
            <v>42</v>
          </cell>
          <cell r="D11">
            <v>5</v>
          </cell>
          <cell r="E11">
            <v>4</v>
          </cell>
          <cell r="F11">
            <v>13</v>
          </cell>
          <cell r="G11">
            <v>8</v>
          </cell>
          <cell r="H11">
            <v>12</v>
          </cell>
          <cell r="I11">
            <v>225</v>
          </cell>
        </row>
        <row r="12">
          <cell r="A12" t="str">
            <v>Alomomola</v>
          </cell>
          <cell r="B12" t="str">
            <v>Água</v>
          </cell>
          <cell r="C12">
            <v>124</v>
          </cell>
          <cell r="D12">
            <v>7</v>
          </cell>
          <cell r="E12">
            <v>8</v>
          </cell>
          <cell r="F12">
            <v>4</v>
          </cell>
          <cell r="G12">
            <v>4</v>
          </cell>
          <cell r="H12">
            <v>6</v>
          </cell>
          <cell r="I12">
            <v>165</v>
          </cell>
        </row>
        <row r="13">
          <cell r="A13" t="str">
            <v>Altaria</v>
          </cell>
          <cell r="B13" t="str">
            <v>Dragão/Voador</v>
          </cell>
          <cell r="C13">
            <v>57</v>
          </cell>
          <cell r="D13">
            <v>7</v>
          </cell>
          <cell r="E13">
            <v>9</v>
          </cell>
          <cell r="F13">
            <v>7</v>
          </cell>
          <cell r="G13">
            <v>10</v>
          </cell>
          <cell r="H13">
            <v>8</v>
          </cell>
          <cell r="I13">
            <v>172</v>
          </cell>
        </row>
        <row r="14">
          <cell r="A14" t="str">
            <v>Amaura</v>
          </cell>
          <cell r="B14" t="str">
            <v>Pedra\Gelo</v>
          </cell>
          <cell r="C14">
            <v>58</v>
          </cell>
          <cell r="D14">
            <v>6</v>
          </cell>
          <cell r="E14">
            <v>5</v>
          </cell>
          <cell r="F14">
            <v>7</v>
          </cell>
          <cell r="G14">
            <v>6</v>
          </cell>
          <cell r="H14">
            <v>5</v>
          </cell>
          <cell r="I14">
            <v>72</v>
          </cell>
        </row>
        <row r="15">
          <cell r="A15" t="str">
            <v>Ambipom</v>
          </cell>
          <cell r="B15" t="str">
            <v>Normal</v>
          </cell>
          <cell r="C15">
            <v>57</v>
          </cell>
          <cell r="D15">
            <v>10</v>
          </cell>
          <cell r="E15">
            <v>7</v>
          </cell>
          <cell r="F15">
            <v>6</v>
          </cell>
          <cell r="G15">
            <v>7</v>
          </cell>
          <cell r="H15">
            <v>11</v>
          </cell>
          <cell r="I15">
            <v>169</v>
          </cell>
        </row>
        <row r="16">
          <cell r="A16" t="str">
            <v>Amoonguss</v>
          </cell>
          <cell r="B16" t="str">
            <v>Grama\Veneno</v>
          </cell>
          <cell r="C16">
            <v>86</v>
          </cell>
          <cell r="D16">
            <v>8</v>
          </cell>
          <cell r="E16">
            <v>7</v>
          </cell>
          <cell r="F16">
            <v>8</v>
          </cell>
          <cell r="G16">
            <v>8</v>
          </cell>
          <cell r="H16">
            <v>3</v>
          </cell>
          <cell r="I16">
            <v>162</v>
          </cell>
        </row>
        <row r="17">
          <cell r="A17" t="str">
            <v>Ampharos</v>
          </cell>
          <cell r="B17" t="str">
            <v>Elétrico</v>
          </cell>
          <cell r="C17">
            <v>68</v>
          </cell>
          <cell r="D17">
            <v>7</v>
          </cell>
          <cell r="E17">
            <v>7</v>
          </cell>
          <cell r="F17">
            <v>11</v>
          </cell>
          <cell r="G17">
            <v>9</v>
          </cell>
          <cell r="H17">
            <v>5</v>
          </cell>
          <cell r="I17">
            <v>230</v>
          </cell>
        </row>
        <row r="18">
          <cell r="A18" t="str">
            <v>Anorith</v>
          </cell>
          <cell r="B18" t="str">
            <v>Pedra/Inseto</v>
          </cell>
          <cell r="C18">
            <v>34</v>
          </cell>
          <cell r="D18">
            <v>9</v>
          </cell>
          <cell r="E18">
            <v>5</v>
          </cell>
          <cell r="F18">
            <v>4</v>
          </cell>
          <cell r="G18">
            <v>5</v>
          </cell>
          <cell r="H18">
            <v>7</v>
          </cell>
          <cell r="I18">
            <v>71</v>
          </cell>
        </row>
        <row r="19">
          <cell r="A19" t="str">
            <v>Araquanid</v>
          </cell>
          <cell r="B19" t="str">
            <v>Água\Inseto</v>
          </cell>
          <cell r="C19">
            <v>51</v>
          </cell>
          <cell r="D19">
            <v>7</v>
          </cell>
          <cell r="E19">
            <v>9</v>
          </cell>
          <cell r="F19">
            <v>5</v>
          </cell>
          <cell r="G19">
            <v>13</v>
          </cell>
          <cell r="H19">
            <v>4</v>
          </cell>
          <cell r="I19">
            <v>159</v>
          </cell>
        </row>
        <row r="20">
          <cell r="A20" t="str">
            <v>Arbok</v>
          </cell>
          <cell r="B20" t="str">
            <v>Veneno</v>
          </cell>
          <cell r="C20">
            <v>45</v>
          </cell>
          <cell r="D20">
            <v>8</v>
          </cell>
          <cell r="E20">
            <v>7</v>
          </cell>
          <cell r="F20">
            <v>6</v>
          </cell>
          <cell r="G20">
            <v>8</v>
          </cell>
          <cell r="H20">
            <v>8</v>
          </cell>
          <cell r="I20">
            <v>157</v>
          </cell>
        </row>
        <row r="21">
          <cell r="A21" t="str">
            <v>Arcanine</v>
          </cell>
          <cell r="B21" t="str">
            <v>Fogo</v>
          </cell>
          <cell r="C21">
            <v>68</v>
          </cell>
          <cell r="D21">
            <v>11</v>
          </cell>
          <cell r="E21">
            <v>8</v>
          </cell>
          <cell r="F21">
            <v>10</v>
          </cell>
          <cell r="G21">
            <v>8</v>
          </cell>
          <cell r="H21">
            <v>9</v>
          </cell>
          <cell r="I21">
            <v>194</v>
          </cell>
        </row>
        <row r="22">
          <cell r="A22" t="str">
            <v>Arceus</v>
          </cell>
          <cell r="B22" t="str">
            <v>Normal</v>
          </cell>
          <cell r="C22">
            <v>90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324</v>
          </cell>
        </row>
        <row r="23">
          <cell r="A23" t="str">
            <v>Archen</v>
          </cell>
          <cell r="B23" t="str">
            <v>Pedra\Voador</v>
          </cell>
          <cell r="C23">
            <v>42</v>
          </cell>
          <cell r="D23">
            <v>11</v>
          </cell>
          <cell r="E23">
            <v>4</v>
          </cell>
          <cell r="F23">
            <v>7</v>
          </cell>
          <cell r="G23">
            <v>4</v>
          </cell>
          <cell r="H23">
            <v>7</v>
          </cell>
          <cell r="I23">
            <v>71</v>
          </cell>
        </row>
        <row r="24">
          <cell r="A24" t="str">
            <v>Archeops</v>
          </cell>
          <cell r="B24" t="str">
            <v>Pedra\Voador</v>
          </cell>
          <cell r="C24">
            <v>57</v>
          </cell>
          <cell r="D24">
            <v>14</v>
          </cell>
          <cell r="E24">
            <v>6</v>
          </cell>
          <cell r="F24">
            <v>11</v>
          </cell>
          <cell r="G24">
            <v>6</v>
          </cell>
          <cell r="H24">
            <v>11</v>
          </cell>
          <cell r="I24">
            <v>177</v>
          </cell>
        </row>
        <row r="25">
          <cell r="A25" t="str">
            <v>Ariados</v>
          </cell>
          <cell r="B25" t="str">
            <v>Inseto/Veneno</v>
          </cell>
          <cell r="C25">
            <v>53</v>
          </cell>
          <cell r="D25">
            <v>9</v>
          </cell>
          <cell r="E25">
            <v>7</v>
          </cell>
          <cell r="F25">
            <v>6</v>
          </cell>
          <cell r="G25">
            <v>6</v>
          </cell>
          <cell r="H25">
            <v>4</v>
          </cell>
          <cell r="I25">
            <v>140</v>
          </cell>
        </row>
        <row r="26">
          <cell r="A26" t="str">
            <v>Armaldo</v>
          </cell>
          <cell r="B26" t="str">
            <v>Pedra/Inseto</v>
          </cell>
          <cell r="C26">
            <v>57</v>
          </cell>
          <cell r="D26">
            <v>12</v>
          </cell>
          <cell r="E26">
            <v>10</v>
          </cell>
          <cell r="F26">
            <v>7</v>
          </cell>
          <cell r="G26">
            <v>8</v>
          </cell>
          <cell r="H26">
            <v>4</v>
          </cell>
          <cell r="I26">
            <v>173</v>
          </cell>
        </row>
        <row r="27">
          <cell r="A27" t="str">
            <v>Aromatisse</v>
          </cell>
          <cell r="B27" t="str">
            <v>Fada</v>
          </cell>
          <cell r="C27">
            <v>76</v>
          </cell>
          <cell r="D27">
            <v>7</v>
          </cell>
          <cell r="E27">
            <v>7</v>
          </cell>
          <cell r="F27">
            <v>10</v>
          </cell>
          <cell r="G27">
            <v>9</v>
          </cell>
          <cell r="H27">
            <v>3</v>
          </cell>
          <cell r="I27">
            <v>162</v>
          </cell>
        </row>
        <row r="28">
          <cell r="A28" t="str">
            <v>Aron</v>
          </cell>
          <cell r="B28" t="str">
            <v>Metal/Pedra</v>
          </cell>
          <cell r="C28">
            <v>38</v>
          </cell>
          <cell r="D28">
            <v>7</v>
          </cell>
          <cell r="E28">
            <v>10</v>
          </cell>
          <cell r="F28">
            <v>4</v>
          </cell>
          <cell r="G28">
            <v>4</v>
          </cell>
          <cell r="H28">
            <v>3</v>
          </cell>
          <cell r="I28">
            <v>66</v>
          </cell>
        </row>
        <row r="29">
          <cell r="A29" t="str">
            <v>Articuno</v>
          </cell>
          <cell r="B29" t="str">
            <v>Gelo/Voador</v>
          </cell>
          <cell r="C29">
            <v>68</v>
          </cell>
          <cell r="D29">
            <v>8</v>
          </cell>
          <cell r="E29">
            <v>10</v>
          </cell>
          <cell r="F29">
            <v>9</v>
          </cell>
          <cell r="G29">
            <v>12</v>
          </cell>
          <cell r="H29">
            <v>8</v>
          </cell>
          <cell r="I29">
            <v>261</v>
          </cell>
        </row>
        <row r="30">
          <cell r="A30" t="str">
            <v>Audino</v>
          </cell>
          <cell r="B30" t="str">
            <v>Normal</v>
          </cell>
          <cell r="C30">
            <v>78</v>
          </cell>
          <cell r="D30">
            <v>6</v>
          </cell>
          <cell r="E30">
            <v>9</v>
          </cell>
          <cell r="F30">
            <v>6</v>
          </cell>
          <cell r="G30">
            <v>9</v>
          </cell>
          <cell r="H30">
            <v>5</v>
          </cell>
          <cell r="I30">
            <v>390</v>
          </cell>
        </row>
        <row r="31">
          <cell r="A31" t="str">
            <v>Aurorus</v>
          </cell>
          <cell r="B31" t="str">
            <v>Pedra\Gelo</v>
          </cell>
          <cell r="C31">
            <v>93</v>
          </cell>
          <cell r="D31">
            <v>8</v>
          </cell>
          <cell r="E31">
            <v>7</v>
          </cell>
          <cell r="F31">
            <v>10</v>
          </cell>
          <cell r="G31">
            <v>9</v>
          </cell>
          <cell r="H31">
            <v>6</v>
          </cell>
          <cell r="I31">
            <v>104</v>
          </cell>
        </row>
        <row r="32">
          <cell r="A32" t="str">
            <v>Avalugg</v>
          </cell>
          <cell r="B32" t="str">
            <v>Gelo</v>
          </cell>
          <cell r="C32">
            <v>72</v>
          </cell>
          <cell r="D32">
            <v>12</v>
          </cell>
          <cell r="E32">
            <v>18</v>
          </cell>
          <cell r="F32">
            <v>4</v>
          </cell>
          <cell r="G32">
            <v>5</v>
          </cell>
          <cell r="H32">
            <v>3</v>
          </cell>
          <cell r="I32">
            <v>180</v>
          </cell>
        </row>
        <row r="33">
          <cell r="A33" t="str">
            <v>Axew</v>
          </cell>
          <cell r="B33" t="str">
            <v>Dragão</v>
          </cell>
          <cell r="C33">
            <v>35</v>
          </cell>
          <cell r="D33">
            <v>9</v>
          </cell>
          <cell r="E33">
            <v>6</v>
          </cell>
          <cell r="F33">
            <v>3</v>
          </cell>
          <cell r="G33">
            <v>4</v>
          </cell>
          <cell r="H33">
            <v>6</v>
          </cell>
          <cell r="I33">
            <v>64</v>
          </cell>
        </row>
        <row r="34">
          <cell r="A34" t="str">
            <v>Azelf</v>
          </cell>
          <cell r="B34" t="str">
            <v>Psíquico</v>
          </cell>
          <cell r="C34">
            <v>57</v>
          </cell>
          <cell r="D34">
            <v>12</v>
          </cell>
          <cell r="E34">
            <v>7</v>
          </cell>
          <cell r="F34">
            <v>12</v>
          </cell>
          <cell r="G34">
            <v>7</v>
          </cell>
          <cell r="H34">
            <v>11</v>
          </cell>
          <cell r="I34">
            <v>261</v>
          </cell>
        </row>
        <row r="35">
          <cell r="A35" t="str">
            <v>Azumarill</v>
          </cell>
          <cell r="B35" t="str">
            <v>Água/Fada</v>
          </cell>
          <cell r="C35">
            <v>75</v>
          </cell>
          <cell r="D35">
            <v>5</v>
          </cell>
          <cell r="E35">
            <v>8</v>
          </cell>
          <cell r="F35">
            <v>5</v>
          </cell>
          <cell r="G35">
            <v>8</v>
          </cell>
          <cell r="H35">
            <v>5</v>
          </cell>
          <cell r="I35">
            <v>189</v>
          </cell>
        </row>
        <row r="36">
          <cell r="A36" t="str">
            <v>Azurill</v>
          </cell>
          <cell r="B36" t="str">
            <v>Normal/Fada</v>
          </cell>
          <cell r="C36">
            <v>38</v>
          </cell>
          <cell r="D36">
            <v>2</v>
          </cell>
          <cell r="E36">
            <v>4</v>
          </cell>
          <cell r="F36">
            <v>2</v>
          </cell>
          <cell r="G36">
            <v>4</v>
          </cell>
          <cell r="H36">
            <v>2</v>
          </cell>
          <cell r="I36">
            <v>38</v>
          </cell>
        </row>
        <row r="37">
          <cell r="A37" t="str">
            <v>Bagon</v>
          </cell>
          <cell r="B37" t="str">
            <v>Dragão</v>
          </cell>
          <cell r="C37">
            <v>34</v>
          </cell>
          <cell r="D37">
            <v>7</v>
          </cell>
          <cell r="E37">
            <v>6</v>
          </cell>
          <cell r="F37">
            <v>4</v>
          </cell>
          <cell r="G37">
            <v>3</v>
          </cell>
          <cell r="H37">
            <v>5</v>
          </cell>
          <cell r="I37">
            <v>60</v>
          </cell>
        </row>
        <row r="38">
          <cell r="A38" t="str">
            <v>Baltoy</v>
          </cell>
          <cell r="B38" t="str">
            <v>Terra/Psíquico</v>
          </cell>
          <cell r="C38">
            <v>30</v>
          </cell>
          <cell r="D38">
            <v>4</v>
          </cell>
          <cell r="E38">
            <v>5</v>
          </cell>
          <cell r="F38">
            <v>4</v>
          </cell>
          <cell r="G38">
            <v>7</v>
          </cell>
          <cell r="H38">
            <v>5</v>
          </cell>
          <cell r="I38">
            <v>60</v>
          </cell>
        </row>
        <row r="39">
          <cell r="A39" t="str">
            <v>Banette</v>
          </cell>
          <cell r="B39" t="str">
            <v>Fantasma</v>
          </cell>
          <cell r="C39">
            <v>48</v>
          </cell>
          <cell r="D39">
            <v>11</v>
          </cell>
          <cell r="E39">
            <v>6</v>
          </cell>
          <cell r="F39">
            <v>8</v>
          </cell>
          <cell r="G39">
            <v>6</v>
          </cell>
          <cell r="H39">
            <v>6</v>
          </cell>
          <cell r="I39">
            <v>159</v>
          </cell>
        </row>
        <row r="40">
          <cell r="A40" t="str">
            <v>Barbaracle</v>
          </cell>
          <cell r="B40" t="str">
            <v>Pedra\Água</v>
          </cell>
          <cell r="C40">
            <v>54</v>
          </cell>
          <cell r="D40">
            <v>10</v>
          </cell>
          <cell r="E40">
            <v>11</v>
          </cell>
          <cell r="F40">
            <v>5</v>
          </cell>
          <cell r="G40">
            <v>9</v>
          </cell>
          <cell r="H40">
            <v>7</v>
          </cell>
          <cell r="I40">
            <v>175</v>
          </cell>
        </row>
        <row r="41">
          <cell r="A41" t="str">
            <v>Barboach</v>
          </cell>
          <cell r="B41" t="str">
            <v>Água/Terra</v>
          </cell>
          <cell r="C41">
            <v>38</v>
          </cell>
          <cell r="D41">
            <v>5</v>
          </cell>
          <cell r="E41">
            <v>4</v>
          </cell>
          <cell r="F41">
            <v>5</v>
          </cell>
          <cell r="G41">
            <v>4</v>
          </cell>
          <cell r="H41">
            <v>6</v>
          </cell>
          <cell r="I41">
            <v>58</v>
          </cell>
        </row>
        <row r="42">
          <cell r="A42" t="str">
            <v>Basculin</v>
          </cell>
          <cell r="B42" t="str">
            <v>Água</v>
          </cell>
          <cell r="C42">
            <v>53</v>
          </cell>
          <cell r="D42">
            <v>9</v>
          </cell>
          <cell r="E42">
            <v>6</v>
          </cell>
          <cell r="F42">
            <v>8</v>
          </cell>
          <cell r="G42">
            <v>5</v>
          </cell>
          <cell r="H42">
            <v>10</v>
          </cell>
          <cell r="I42">
            <v>161</v>
          </cell>
        </row>
        <row r="43">
          <cell r="A43" t="str">
            <v>Bastiodon</v>
          </cell>
          <cell r="B43" t="str">
            <v>Pedra/Metal</v>
          </cell>
          <cell r="C43">
            <v>45</v>
          </cell>
          <cell r="D43">
            <v>5</v>
          </cell>
          <cell r="E43">
            <v>17</v>
          </cell>
          <cell r="F43">
            <v>5</v>
          </cell>
          <cell r="G43">
            <v>14</v>
          </cell>
          <cell r="H43">
            <v>3</v>
          </cell>
          <cell r="I43">
            <v>173</v>
          </cell>
        </row>
        <row r="44">
          <cell r="A44" t="str">
            <v>Bayleef</v>
          </cell>
          <cell r="B44" t="str">
            <v>Grama</v>
          </cell>
          <cell r="C44">
            <v>45</v>
          </cell>
          <cell r="D44">
            <v>6</v>
          </cell>
          <cell r="E44">
            <v>8</v>
          </cell>
          <cell r="F44">
            <v>6</v>
          </cell>
          <cell r="G44">
            <v>8</v>
          </cell>
          <cell r="H44">
            <v>6</v>
          </cell>
          <cell r="I44">
            <v>142</v>
          </cell>
        </row>
        <row r="45">
          <cell r="A45" t="str">
            <v>Beartic</v>
          </cell>
          <cell r="B45" t="str">
            <v>Gelo</v>
          </cell>
          <cell r="C45">
            <v>72</v>
          </cell>
          <cell r="D45">
            <v>11</v>
          </cell>
          <cell r="E45">
            <v>8</v>
          </cell>
          <cell r="F45">
            <v>7</v>
          </cell>
          <cell r="G45">
            <v>8</v>
          </cell>
          <cell r="H45">
            <v>5</v>
          </cell>
          <cell r="I45">
            <v>177</v>
          </cell>
        </row>
        <row r="46">
          <cell r="A46" t="str">
            <v>Beautifly</v>
          </cell>
          <cell r="B46" t="str">
            <v>Inseto/Voador</v>
          </cell>
          <cell r="C46">
            <v>45</v>
          </cell>
          <cell r="D46">
            <v>7</v>
          </cell>
          <cell r="E46">
            <v>5</v>
          </cell>
          <cell r="F46">
            <v>9</v>
          </cell>
          <cell r="G46">
            <v>5</v>
          </cell>
          <cell r="H46">
            <v>6</v>
          </cell>
          <cell r="I46">
            <v>178</v>
          </cell>
        </row>
        <row r="47">
          <cell r="A47" t="str">
            <v>Beedrill</v>
          </cell>
          <cell r="B47" t="str">
            <v>Inseto/Veneno</v>
          </cell>
          <cell r="C47">
            <v>49</v>
          </cell>
          <cell r="D47">
            <v>8</v>
          </cell>
          <cell r="E47">
            <v>4</v>
          </cell>
          <cell r="F47">
            <v>4</v>
          </cell>
          <cell r="G47">
            <v>8</v>
          </cell>
          <cell r="H47">
            <v>7</v>
          </cell>
          <cell r="I47">
            <v>178</v>
          </cell>
        </row>
        <row r="48">
          <cell r="A48" t="str">
            <v>Beheeyem</v>
          </cell>
          <cell r="B48" t="str">
            <v>Psíquico</v>
          </cell>
          <cell r="C48">
            <v>57</v>
          </cell>
          <cell r="D48">
            <v>7</v>
          </cell>
          <cell r="E48">
            <v>7</v>
          </cell>
          <cell r="F48">
            <v>12</v>
          </cell>
          <cell r="G48">
            <v>9</v>
          </cell>
          <cell r="H48">
            <v>4</v>
          </cell>
          <cell r="I48">
            <v>170</v>
          </cell>
        </row>
        <row r="49">
          <cell r="A49" t="str">
            <v>Beldum</v>
          </cell>
          <cell r="B49" t="str">
            <v>Metal/Psíquico</v>
          </cell>
          <cell r="C49">
            <v>30</v>
          </cell>
          <cell r="D49">
            <v>5</v>
          </cell>
          <cell r="E49">
            <v>8</v>
          </cell>
          <cell r="F49">
            <v>3</v>
          </cell>
          <cell r="G49">
            <v>6</v>
          </cell>
          <cell r="H49">
            <v>3</v>
          </cell>
          <cell r="I49">
            <v>60</v>
          </cell>
        </row>
        <row r="50">
          <cell r="A50" t="str">
            <v>Bellossom</v>
          </cell>
          <cell r="B50" t="str">
            <v>Grama</v>
          </cell>
          <cell r="C50">
            <v>57</v>
          </cell>
          <cell r="D50">
            <v>8</v>
          </cell>
          <cell r="E50">
            <v>8</v>
          </cell>
          <cell r="F50">
            <v>9</v>
          </cell>
          <cell r="G50">
            <v>10</v>
          </cell>
          <cell r="H50">
            <v>5</v>
          </cell>
          <cell r="I50">
            <v>221</v>
          </cell>
        </row>
        <row r="51">
          <cell r="A51" t="str">
            <v>Bellsprout</v>
          </cell>
          <cell r="B51" t="str">
            <v>Grama/Veneno</v>
          </cell>
          <cell r="C51">
            <v>38</v>
          </cell>
          <cell r="D51">
            <v>7</v>
          </cell>
          <cell r="E51">
            <v>3</v>
          </cell>
          <cell r="F51">
            <v>7</v>
          </cell>
          <cell r="G51">
            <v>3</v>
          </cell>
          <cell r="H51">
            <v>4</v>
          </cell>
          <cell r="I51">
            <v>60</v>
          </cell>
        </row>
        <row r="52">
          <cell r="A52" t="str">
            <v>Bergmite</v>
          </cell>
          <cell r="B52" t="str">
            <v>Gelo</v>
          </cell>
          <cell r="C52">
            <v>42</v>
          </cell>
          <cell r="D52">
            <v>7</v>
          </cell>
          <cell r="E52">
            <v>8</v>
          </cell>
          <cell r="F52">
            <v>3</v>
          </cell>
          <cell r="G52">
            <v>3</v>
          </cell>
          <cell r="H52">
            <v>3</v>
          </cell>
          <cell r="I52">
            <v>61</v>
          </cell>
        </row>
        <row r="53">
          <cell r="A53" t="str">
            <v>Bewear</v>
          </cell>
          <cell r="B53" t="str">
            <v>Normal\Lutador</v>
          </cell>
          <cell r="C53">
            <v>90</v>
          </cell>
          <cell r="D53">
            <v>12</v>
          </cell>
          <cell r="E53">
            <v>8</v>
          </cell>
          <cell r="F53">
            <v>5</v>
          </cell>
          <cell r="G53">
            <v>6</v>
          </cell>
          <cell r="H53">
            <v>6</v>
          </cell>
          <cell r="I53">
            <v>175</v>
          </cell>
        </row>
        <row r="54">
          <cell r="A54" t="str">
            <v>Bibarel</v>
          </cell>
          <cell r="B54" t="str">
            <v>Normal/Água</v>
          </cell>
          <cell r="C54">
            <v>60</v>
          </cell>
          <cell r="D54">
            <v>8</v>
          </cell>
          <cell r="E54">
            <v>6</v>
          </cell>
          <cell r="F54">
            <v>5</v>
          </cell>
          <cell r="G54">
            <v>6</v>
          </cell>
          <cell r="H54">
            <v>7</v>
          </cell>
          <cell r="I54">
            <v>144</v>
          </cell>
        </row>
        <row r="55">
          <cell r="A55" t="str">
            <v>Bidoof</v>
          </cell>
          <cell r="B55" t="str">
            <v>Normal</v>
          </cell>
          <cell r="C55">
            <v>45</v>
          </cell>
          <cell r="D55">
            <v>4</v>
          </cell>
          <cell r="E55">
            <v>4</v>
          </cell>
          <cell r="F55">
            <v>3</v>
          </cell>
          <cell r="G55">
            <v>4</v>
          </cell>
          <cell r="H55">
            <v>3</v>
          </cell>
          <cell r="I55">
            <v>50</v>
          </cell>
        </row>
        <row r="56">
          <cell r="A56" t="str">
            <v>Binacle</v>
          </cell>
          <cell r="B56" t="str">
            <v>Pedra\Água</v>
          </cell>
          <cell r="C56">
            <v>32</v>
          </cell>
          <cell r="D56">
            <v>5</v>
          </cell>
          <cell r="E56">
            <v>7</v>
          </cell>
          <cell r="F56">
            <v>4</v>
          </cell>
          <cell r="G56">
            <v>6</v>
          </cell>
          <cell r="H56">
            <v>5</v>
          </cell>
          <cell r="I56">
            <v>61</v>
          </cell>
        </row>
        <row r="57">
          <cell r="A57" t="str">
            <v>Bisharp</v>
          </cell>
          <cell r="B57" t="str">
            <v>Noturno\Metal</v>
          </cell>
          <cell r="C57">
            <v>49</v>
          </cell>
          <cell r="D57">
            <v>12</v>
          </cell>
          <cell r="E57">
            <v>10</v>
          </cell>
          <cell r="F57">
            <v>6</v>
          </cell>
          <cell r="G57">
            <v>7</v>
          </cell>
          <cell r="H57">
            <v>7</v>
          </cell>
          <cell r="I57">
            <v>172</v>
          </cell>
        </row>
        <row r="58">
          <cell r="A58" t="str">
            <v>Blacephalon</v>
          </cell>
          <cell r="B58" t="str">
            <v>Fogo\Fantasma</v>
          </cell>
          <cell r="C58">
            <v>40</v>
          </cell>
          <cell r="D58">
            <v>13</v>
          </cell>
          <cell r="E58">
            <v>5</v>
          </cell>
          <cell r="F58">
            <v>15</v>
          </cell>
          <cell r="G58">
            <v>8</v>
          </cell>
          <cell r="H58">
            <v>11</v>
          </cell>
          <cell r="I58">
            <v>257</v>
          </cell>
        </row>
        <row r="59">
          <cell r="A59" t="str">
            <v>Blastoise</v>
          </cell>
          <cell r="B59" t="str">
            <v>Água</v>
          </cell>
          <cell r="C59">
            <v>60</v>
          </cell>
          <cell r="D59">
            <v>8</v>
          </cell>
          <cell r="E59">
            <v>10</v>
          </cell>
          <cell r="F59">
            <v>8</v>
          </cell>
          <cell r="G59">
            <v>10</v>
          </cell>
          <cell r="H59">
            <v>8</v>
          </cell>
          <cell r="I59">
            <v>239</v>
          </cell>
        </row>
        <row r="60">
          <cell r="A60" t="str">
            <v>Blaziken</v>
          </cell>
          <cell r="B60" t="str">
            <v>Fogo/Lutador</v>
          </cell>
          <cell r="C60">
            <v>60</v>
          </cell>
          <cell r="D60">
            <v>12</v>
          </cell>
          <cell r="E60">
            <v>7</v>
          </cell>
          <cell r="F60">
            <v>11</v>
          </cell>
          <cell r="G60">
            <v>7</v>
          </cell>
          <cell r="H60">
            <v>8</v>
          </cell>
          <cell r="I60">
            <v>239</v>
          </cell>
        </row>
        <row r="61">
          <cell r="A61" t="str">
            <v>Blissey</v>
          </cell>
          <cell r="B61" t="str">
            <v>Normal</v>
          </cell>
          <cell r="C61">
            <v>192</v>
          </cell>
          <cell r="D61">
            <v>1</v>
          </cell>
          <cell r="E61">
            <v>1</v>
          </cell>
          <cell r="F61">
            <v>7</v>
          </cell>
          <cell r="G61">
            <v>13</v>
          </cell>
          <cell r="H61">
            <v>5</v>
          </cell>
          <cell r="I61">
            <v>608</v>
          </cell>
        </row>
        <row r="62">
          <cell r="A62" t="str">
            <v>Blitzle</v>
          </cell>
          <cell r="B62" t="str">
            <v>Elétrico</v>
          </cell>
          <cell r="C62">
            <v>34</v>
          </cell>
          <cell r="D62">
            <v>6</v>
          </cell>
          <cell r="E62">
            <v>3</v>
          </cell>
          <cell r="F62">
            <v>5</v>
          </cell>
          <cell r="G62">
            <v>3</v>
          </cell>
          <cell r="H62">
            <v>8</v>
          </cell>
          <cell r="I62">
            <v>59</v>
          </cell>
        </row>
        <row r="63">
          <cell r="A63" t="str">
            <v>Boldore</v>
          </cell>
          <cell r="B63" t="str">
            <v>Pedra</v>
          </cell>
          <cell r="C63">
            <v>53</v>
          </cell>
          <cell r="D63">
            <v>10</v>
          </cell>
          <cell r="E63">
            <v>10</v>
          </cell>
          <cell r="F63">
            <v>5</v>
          </cell>
          <cell r="G63">
            <v>4</v>
          </cell>
          <cell r="H63">
            <v>2</v>
          </cell>
          <cell r="I63">
            <v>137</v>
          </cell>
        </row>
        <row r="64">
          <cell r="A64" t="str">
            <v>Bonsly</v>
          </cell>
          <cell r="B64" t="str">
            <v>Pedra</v>
          </cell>
          <cell r="C64">
            <v>38</v>
          </cell>
          <cell r="D64">
            <v>8</v>
          </cell>
          <cell r="E64">
            <v>9</v>
          </cell>
          <cell r="F64">
            <v>1</v>
          </cell>
          <cell r="G64">
            <v>4</v>
          </cell>
          <cell r="H64">
            <v>1</v>
          </cell>
          <cell r="I64">
            <v>58</v>
          </cell>
        </row>
        <row r="65">
          <cell r="A65" t="str">
            <v>Bouffalant</v>
          </cell>
          <cell r="B65" t="str">
            <v>Normal</v>
          </cell>
          <cell r="C65">
            <v>72</v>
          </cell>
          <cell r="D65">
            <v>11</v>
          </cell>
          <cell r="E65">
            <v>9</v>
          </cell>
          <cell r="F65">
            <v>4</v>
          </cell>
          <cell r="G65">
            <v>9</v>
          </cell>
          <cell r="H65">
            <v>5</v>
          </cell>
          <cell r="I65">
            <v>172</v>
          </cell>
        </row>
        <row r="66">
          <cell r="A66" t="str">
            <v>Bounsweet</v>
          </cell>
          <cell r="B66" t="str">
            <v>Grama</v>
          </cell>
          <cell r="C66">
            <v>32</v>
          </cell>
          <cell r="D66">
            <v>3</v>
          </cell>
          <cell r="E66">
            <v>4</v>
          </cell>
          <cell r="F66">
            <v>3</v>
          </cell>
          <cell r="G66">
            <v>4</v>
          </cell>
          <cell r="H66">
            <v>3</v>
          </cell>
          <cell r="I66">
            <v>42</v>
          </cell>
        </row>
        <row r="67">
          <cell r="A67" t="str">
            <v>Braixen</v>
          </cell>
          <cell r="B67" t="str">
            <v>Fogo</v>
          </cell>
          <cell r="C67">
            <v>45</v>
          </cell>
          <cell r="D67">
            <v>6</v>
          </cell>
          <cell r="E67">
            <v>6</v>
          </cell>
          <cell r="F67">
            <v>9</v>
          </cell>
          <cell r="G67">
            <v>7</v>
          </cell>
          <cell r="H67">
            <v>7</v>
          </cell>
          <cell r="I67">
            <v>143</v>
          </cell>
        </row>
        <row r="68">
          <cell r="A68" t="str">
            <v>Braviary</v>
          </cell>
          <cell r="B68" t="str">
            <v>Normal\Voador</v>
          </cell>
          <cell r="C68">
            <v>75</v>
          </cell>
          <cell r="D68">
            <v>12</v>
          </cell>
          <cell r="E68">
            <v>7</v>
          </cell>
          <cell r="F68">
            <v>6</v>
          </cell>
          <cell r="G68">
            <v>7</v>
          </cell>
          <cell r="H68">
            <v>8</v>
          </cell>
          <cell r="I68">
            <v>179</v>
          </cell>
        </row>
        <row r="69">
          <cell r="A69" t="str">
            <v>Breloom</v>
          </cell>
          <cell r="B69" t="str">
            <v>Grama/Lutador</v>
          </cell>
          <cell r="C69">
            <v>45</v>
          </cell>
          <cell r="D69">
            <v>13</v>
          </cell>
          <cell r="E69">
            <v>8</v>
          </cell>
          <cell r="F69">
            <v>6</v>
          </cell>
          <cell r="G69">
            <v>6</v>
          </cell>
          <cell r="H69">
            <v>7</v>
          </cell>
          <cell r="I69">
            <v>161</v>
          </cell>
        </row>
        <row r="70">
          <cell r="A70" t="str">
            <v>Brionne</v>
          </cell>
          <cell r="B70" t="str">
            <v>Água</v>
          </cell>
          <cell r="C70">
            <v>45</v>
          </cell>
          <cell r="D70">
            <v>7</v>
          </cell>
          <cell r="E70">
            <v>7</v>
          </cell>
          <cell r="F70">
            <v>9</v>
          </cell>
          <cell r="G70">
            <v>8</v>
          </cell>
          <cell r="H70">
            <v>5</v>
          </cell>
          <cell r="I70">
            <v>147</v>
          </cell>
        </row>
        <row r="71">
          <cell r="A71" t="str">
            <v>Bronzong</v>
          </cell>
          <cell r="B71" t="str">
            <v>Metal/Psíquico</v>
          </cell>
          <cell r="C71">
            <v>51</v>
          </cell>
          <cell r="D71">
            <v>9</v>
          </cell>
          <cell r="E71">
            <v>12</v>
          </cell>
          <cell r="F71">
            <v>8</v>
          </cell>
          <cell r="G71">
            <v>12</v>
          </cell>
          <cell r="H71">
            <v>3</v>
          </cell>
          <cell r="I71">
            <v>175</v>
          </cell>
        </row>
        <row r="72">
          <cell r="A72" t="str">
            <v>Bronzor</v>
          </cell>
          <cell r="B72" t="str">
            <v>Metal/Psíquico</v>
          </cell>
          <cell r="C72">
            <v>43</v>
          </cell>
          <cell r="D72">
            <v>2</v>
          </cell>
          <cell r="E72">
            <v>9</v>
          </cell>
          <cell r="F72">
            <v>2</v>
          </cell>
          <cell r="G72">
            <v>9</v>
          </cell>
          <cell r="H72">
            <v>2</v>
          </cell>
          <cell r="I72">
            <v>60</v>
          </cell>
        </row>
        <row r="73">
          <cell r="A73" t="str">
            <v>Bruxish</v>
          </cell>
          <cell r="B73" t="str">
            <v>Água\Psíquico</v>
          </cell>
          <cell r="C73">
            <v>51</v>
          </cell>
          <cell r="D73">
            <v>10</v>
          </cell>
          <cell r="E73">
            <v>7</v>
          </cell>
          <cell r="F73">
            <v>7</v>
          </cell>
          <cell r="G73">
            <v>7</v>
          </cell>
          <cell r="H73">
            <v>9</v>
          </cell>
          <cell r="I73">
            <v>166</v>
          </cell>
        </row>
        <row r="74">
          <cell r="A74" t="str">
            <v>Budew</v>
          </cell>
          <cell r="B74" t="str">
            <v>Grama/Veneno</v>
          </cell>
          <cell r="C74">
            <v>30</v>
          </cell>
          <cell r="D74">
            <v>3</v>
          </cell>
          <cell r="E74">
            <v>3</v>
          </cell>
          <cell r="F74">
            <v>5</v>
          </cell>
          <cell r="G74">
            <v>7</v>
          </cell>
          <cell r="H74">
            <v>5</v>
          </cell>
          <cell r="I74">
            <v>56</v>
          </cell>
        </row>
        <row r="75">
          <cell r="A75" t="str">
            <v>Buizel</v>
          </cell>
          <cell r="B75" t="str">
            <v>Água</v>
          </cell>
          <cell r="C75">
            <v>42</v>
          </cell>
          <cell r="D75">
            <v>6</v>
          </cell>
          <cell r="E75">
            <v>3</v>
          </cell>
          <cell r="F75">
            <v>6</v>
          </cell>
          <cell r="G75">
            <v>3</v>
          </cell>
          <cell r="H75">
            <v>8</v>
          </cell>
          <cell r="I75">
            <v>66</v>
          </cell>
        </row>
        <row r="76">
          <cell r="A76" t="str">
            <v>Bulbasaur</v>
          </cell>
          <cell r="B76" t="str">
            <v>Grama/Veneno</v>
          </cell>
          <cell r="C76">
            <v>34</v>
          </cell>
          <cell r="D76">
            <v>5</v>
          </cell>
          <cell r="E76">
            <v>5</v>
          </cell>
          <cell r="F76">
            <v>6</v>
          </cell>
          <cell r="G76">
            <v>6</v>
          </cell>
          <cell r="H76">
            <v>4</v>
          </cell>
          <cell r="I76">
            <v>64</v>
          </cell>
        </row>
        <row r="77">
          <cell r="A77" t="str">
            <v>Buneary</v>
          </cell>
          <cell r="B77" t="str">
            <v>Normal</v>
          </cell>
          <cell r="C77">
            <v>42</v>
          </cell>
          <cell r="D77">
            <v>7</v>
          </cell>
          <cell r="E77">
            <v>4</v>
          </cell>
          <cell r="F77">
            <v>4</v>
          </cell>
          <cell r="G77">
            <v>6</v>
          </cell>
          <cell r="H77">
            <v>8</v>
          </cell>
          <cell r="I77">
            <v>70</v>
          </cell>
        </row>
        <row r="78">
          <cell r="A78" t="str">
            <v>Bunnelby</v>
          </cell>
          <cell r="B78" t="str">
            <v>Normal</v>
          </cell>
          <cell r="C78">
            <v>29</v>
          </cell>
          <cell r="D78">
            <v>4</v>
          </cell>
          <cell r="E78">
            <v>4</v>
          </cell>
          <cell r="F78">
            <v>3</v>
          </cell>
          <cell r="G78">
            <v>4</v>
          </cell>
          <cell r="H78">
            <v>6</v>
          </cell>
          <cell r="I78">
            <v>47</v>
          </cell>
        </row>
        <row r="79">
          <cell r="A79" t="str">
            <v>Burmy (Arenoso)</v>
          </cell>
          <cell r="B79" t="str">
            <v>Bug</v>
          </cell>
          <cell r="C79">
            <v>30</v>
          </cell>
          <cell r="D79">
            <v>3</v>
          </cell>
          <cell r="E79">
            <v>4</v>
          </cell>
          <cell r="F79">
            <v>3</v>
          </cell>
          <cell r="G79">
            <v>4</v>
          </cell>
          <cell r="H79">
            <v>4</v>
          </cell>
          <cell r="I79">
            <v>45</v>
          </cell>
        </row>
        <row r="80">
          <cell r="A80" t="str">
            <v>Burmy (Entulho)</v>
          </cell>
          <cell r="B80" t="str">
            <v>Bug</v>
          </cell>
          <cell r="C80">
            <v>30</v>
          </cell>
          <cell r="D80">
            <v>3</v>
          </cell>
          <cell r="E80">
            <v>4</v>
          </cell>
          <cell r="F80">
            <v>3</v>
          </cell>
          <cell r="G80">
            <v>4</v>
          </cell>
          <cell r="H80">
            <v>4</v>
          </cell>
          <cell r="I80">
            <v>45</v>
          </cell>
        </row>
        <row r="81">
          <cell r="A81" t="str">
            <v>Burmy (Planta)</v>
          </cell>
          <cell r="B81" t="str">
            <v>Bug</v>
          </cell>
          <cell r="C81">
            <v>30</v>
          </cell>
          <cell r="D81">
            <v>3</v>
          </cell>
          <cell r="E81">
            <v>4</v>
          </cell>
          <cell r="F81">
            <v>3</v>
          </cell>
          <cell r="G81">
            <v>4</v>
          </cell>
          <cell r="H81">
            <v>4</v>
          </cell>
          <cell r="I81">
            <v>45</v>
          </cell>
        </row>
        <row r="82">
          <cell r="A82" t="str">
            <v>Butterfree</v>
          </cell>
          <cell r="B82" t="str">
            <v>Inseto/Voador</v>
          </cell>
          <cell r="C82">
            <v>45</v>
          </cell>
          <cell r="D82">
            <v>4</v>
          </cell>
          <cell r="E82">
            <v>5</v>
          </cell>
          <cell r="F82">
            <v>8</v>
          </cell>
          <cell r="G82">
            <v>8</v>
          </cell>
          <cell r="H82">
            <v>7</v>
          </cell>
          <cell r="I82">
            <v>178</v>
          </cell>
        </row>
        <row r="83">
          <cell r="A83" t="str">
            <v>Buzzwole</v>
          </cell>
          <cell r="B83" t="str">
            <v>Inseto\Lutador</v>
          </cell>
          <cell r="C83">
            <v>81</v>
          </cell>
          <cell r="D83">
            <v>14</v>
          </cell>
          <cell r="E83">
            <v>14</v>
          </cell>
          <cell r="F83">
            <v>5</v>
          </cell>
          <cell r="G83">
            <v>5</v>
          </cell>
          <cell r="H83">
            <v>8</v>
          </cell>
          <cell r="I83">
            <v>257</v>
          </cell>
        </row>
        <row r="84">
          <cell r="A84" t="str">
            <v>Cacnea</v>
          </cell>
          <cell r="B84" t="str">
            <v>Grama</v>
          </cell>
          <cell r="C84">
            <v>38</v>
          </cell>
          <cell r="D84">
            <v>8</v>
          </cell>
          <cell r="E84">
            <v>4</v>
          </cell>
          <cell r="F84">
            <v>8</v>
          </cell>
          <cell r="G84">
            <v>4</v>
          </cell>
          <cell r="H84">
            <v>3</v>
          </cell>
          <cell r="I84">
            <v>67</v>
          </cell>
        </row>
        <row r="85">
          <cell r="A85" t="str">
            <v>Cacturne</v>
          </cell>
          <cell r="B85" t="str">
            <v>Grama/Noturno</v>
          </cell>
          <cell r="C85">
            <v>53</v>
          </cell>
          <cell r="D85">
            <v>11</v>
          </cell>
          <cell r="E85">
            <v>6</v>
          </cell>
          <cell r="F85">
            <v>11</v>
          </cell>
          <cell r="G85">
            <v>6</v>
          </cell>
          <cell r="H85">
            <v>5</v>
          </cell>
          <cell r="I85">
            <v>166</v>
          </cell>
        </row>
        <row r="86">
          <cell r="A86" t="str">
            <v>Camerupt</v>
          </cell>
          <cell r="B86" t="str">
            <v>Fogo/Terra</v>
          </cell>
          <cell r="C86">
            <v>53</v>
          </cell>
          <cell r="D86">
            <v>10</v>
          </cell>
          <cell r="E86">
            <v>7</v>
          </cell>
          <cell r="F86">
            <v>10</v>
          </cell>
          <cell r="G86">
            <v>7</v>
          </cell>
          <cell r="H86">
            <v>4</v>
          </cell>
          <cell r="I86">
            <v>161</v>
          </cell>
        </row>
        <row r="87">
          <cell r="A87" t="str">
            <v>Carbink</v>
          </cell>
          <cell r="B87" t="str">
            <v>Pedra\Fada</v>
          </cell>
          <cell r="C87">
            <v>38</v>
          </cell>
          <cell r="D87">
            <v>5</v>
          </cell>
          <cell r="E87">
            <v>15</v>
          </cell>
          <cell r="F87">
            <v>5</v>
          </cell>
          <cell r="G87">
            <v>15</v>
          </cell>
          <cell r="H87">
            <v>5</v>
          </cell>
          <cell r="I87">
            <v>100</v>
          </cell>
        </row>
        <row r="88">
          <cell r="A88" t="str">
            <v>Carnivine</v>
          </cell>
          <cell r="B88" t="str">
            <v>Grama</v>
          </cell>
          <cell r="C88">
            <v>56</v>
          </cell>
          <cell r="D88">
            <v>10</v>
          </cell>
          <cell r="E88">
            <v>7</v>
          </cell>
          <cell r="F88">
            <v>9</v>
          </cell>
          <cell r="G88">
            <v>7</v>
          </cell>
          <cell r="H88">
            <v>5</v>
          </cell>
          <cell r="I88">
            <v>159</v>
          </cell>
        </row>
        <row r="89">
          <cell r="A89" t="str">
            <v>Carracosta</v>
          </cell>
          <cell r="B89" t="str">
            <v>Água\Pedra</v>
          </cell>
          <cell r="C89">
            <v>56</v>
          </cell>
          <cell r="D89">
            <v>11</v>
          </cell>
          <cell r="E89">
            <v>13</v>
          </cell>
          <cell r="F89">
            <v>8</v>
          </cell>
          <cell r="G89">
            <v>6</v>
          </cell>
          <cell r="H89">
            <v>3</v>
          </cell>
          <cell r="I89">
            <v>173</v>
          </cell>
        </row>
        <row r="90">
          <cell r="A90" t="str">
            <v>Carvanha</v>
          </cell>
          <cell r="B90" t="str">
            <v>Água/Noturno</v>
          </cell>
          <cell r="C90">
            <v>34</v>
          </cell>
          <cell r="D90">
            <v>9</v>
          </cell>
          <cell r="E90">
            <v>2</v>
          </cell>
          <cell r="F90">
            <v>6</v>
          </cell>
          <cell r="G90">
            <v>2</v>
          </cell>
          <cell r="H90">
            <v>6</v>
          </cell>
          <cell r="I90">
            <v>61</v>
          </cell>
        </row>
        <row r="91">
          <cell r="A91" t="str">
            <v>Cascoon</v>
          </cell>
          <cell r="B91" t="str">
            <v>Inseto</v>
          </cell>
          <cell r="C91">
            <v>38</v>
          </cell>
          <cell r="D91">
            <v>3</v>
          </cell>
          <cell r="E91">
            <v>5</v>
          </cell>
          <cell r="F91">
            <v>2</v>
          </cell>
          <cell r="G91">
            <v>2</v>
          </cell>
          <cell r="H91">
            <v>1</v>
          </cell>
          <cell r="I91">
            <v>72</v>
          </cell>
        </row>
        <row r="92">
          <cell r="A92" t="str">
            <v>Castform</v>
          </cell>
          <cell r="B92" t="str">
            <v>Normal</v>
          </cell>
          <cell r="C92">
            <v>53</v>
          </cell>
          <cell r="D92">
            <v>7</v>
          </cell>
          <cell r="E92">
            <v>7</v>
          </cell>
          <cell r="F92">
            <v>7</v>
          </cell>
          <cell r="G92">
            <v>7</v>
          </cell>
          <cell r="H92">
            <v>7</v>
          </cell>
          <cell r="I92">
            <v>147</v>
          </cell>
        </row>
        <row r="93">
          <cell r="A93" t="str">
            <v>Castform (Chuvoso)</v>
          </cell>
          <cell r="B93" t="str">
            <v>Água</v>
          </cell>
          <cell r="C93">
            <v>53</v>
          </cell>
          <cell r="D93">
            <v>7</v>
          </cell>
          <cell r="E93">
            <v>7</v>
          </cell>
          <cell r="F93">
            <v>7</v>
          </cell>
          <cell r="G93">
            <v>7</v>
          </cell>
          <cell r="H93">
            <v>7</v>
          </cell>
          <cell r="I93">
            <v>147</v>
          </cell>
        </row>
        <row r="94">
          <cell r="A94" t="str">
            <v>Castform (Ensolarado)</v>
          </cell>
          <cell r="B94" t="str">
            <v>Fogo</v>
          </cell>
          <cell r="C94">
            <v>53</v>
          </cell>
          <cell r="D94">
            <v>7</v>
          </cell>
          <cell r="E94">
            <v>7</v>
          </cell>
          <cell r="F94">
            <v>7</v>
          </cell>
          <cell r="G94">
            <v>7</v>
          </cell>
          <cell r="H94">
            <v>7</v>
          </cell>
          <cell r="I94">
            <v>147</v>
          </cell>
        </row>
        <row r="95">
          <cell r="A95" t="str">
            <v>Castform (Nevado)</v>
          </cell>
          <cell r="B95" t="str">
            <v>Gelo</v>
          </cell>
          <cell r="C95">
            <v>53</v>
          </cell>
          <cell r="D95">
            <v>7</v>
          </cell>
          <cell r="E95">
            <v>7</v>
          </cell>
          <cell r="F95">
            <v>7</v>
          </cell>
          <cell r="G95">
            <v>7</v>
          </cell>
          <cell r="H95">
            <v>7</v>
          </cell>
          <cell r="I95">
            <v>147</v>
          </cell>
        </row>
        <row r="96">
          <cell r="A96" t="str">
            <v>Caterpie</v>
          </cell>
          <cell r="B96" t="str">
            <v>Inseto</v>
          </cell>
          <cell r="C96">
            <v>34</v>
          </cell>
          <cell r="D96">
            <v>3</v>
          </cell>
          <cell r="E96">
            <v>3</v>
          </cell>
          <cell r="F96">
            <v>2</v>
          </cell>
          <cell r="G96">
            <v>2</v>
          </cell>
          <cell r="H96">
            <v>4</v>
          </cell>
          <cell r="I96">
            <v>39</v>
          </cell>
        </row>
        <row r="97">
          <cell r="A97" t="str">
            <v>Celebi</v>
          </cell>
          <cell r="B97" t="str">
            <v>Psíquico/Grama</v>
          </cell>
          <cell r="C97">
            <v>75</v>
          </cell>
          <cell r="D97">
            <v>10</v>
          </cell>
          <cell r="E97">
            <v>10</v>
          </cell>
          <cell r="F97">
            <v>10</v>
          </cell>
          <cell r="G97">
            <v>10</v>
          </cell>
          <cell r="H97">
            <v>10</v>
          </cell>
          <cell r="I97">
            <v>270</v>
          </cell>
        </row>
        <row r="98">
          <cell r="A98" t="str">
            <v>Celesteela</v>
          </cell>
          <cell r="B98" t="str">
            <v>Metal\Voador</v>
          </cell>
          <cell r="C98">
            <v>73</v>
          </cell>
          <cell r="D98">
            <v>10</v>
          </cell>
          <cell r="E98">
            <v>10</v>
          </cell>
          <cell r="F98">
            <v>11</v>
          </cell>
          <cell r="G98">
            <v>10</v>
          </cell>
          <cell r="H98">
            <v>6</v>
          </cell>
          <cell r="I98">
            <v>257</v>
          </cell>
        </row>
        <row r="99">
          <cell r="A99" t="str">
            <v>Chandelure</v>
          </cell>
          <cell r="B99" t="str">
            <v>Fantasma\Fogo</v>
          </cell>
          <cell r="C99">
            <v>45</v>
          </cell>
          <cell r="D99">
            <v>5</v>
          </cell>
          <cell r="E99">
            <v>9</v>
          </cell>
          <cell r="F99">
            <v>14</v>
          </cell>
          <cell r="G99">
            <v>9</v>
          </cell>
          <cell r="H99">
            <v>8</v>
          </cell>
          <cell r="I99">
            <v>234</v>
          </cell>
        </row>
        <row r="100">
          <cell r="A100" t="str">
            <v>Chansey</v>
          </cell>
          <cell r="B100" t="str">
            <v>Normal</v>
          </cell>
          <cell r="C100">
            <v>188</v>
          </cell>
          <cell r="D100">
            <v>0</v>
          </cell>
          <cell r="E100">
            <v>0</v>
          </cell>
          <cell r="F100">
            <v>3</v>
          </cell>
          <cell r="G100">
            <v>10</v>
          </cell>
          <cell r="H100">
            <v>5</v>
          </cell>
          <cell r="I100">
            <v>395</v>
          </cell>
        </row>
        <row r="101">
          <cell r="A101" t="str">
            <v>Charizard</v>
          </cell>
          <cell r="B101" t="str">
            <v>Fogo/Voador</v>
          </cell>
          <cell r="C101">
            <v>59</v>
          </cell>
          <cell r="D101">
            <v>8</v>
          </cell>
          <cell r="E101">
            <v>8</v>
          </cell>
          <cell r="F101">
            <v>11</v>
          </cell>
          <cell r="G101">
            <v>8</v>
          </cell>
          <cell r="H101">
            <v>10</v>
          </cell>
          <cell r="I101">
            <v>240</v>
          </cell>
        </row>
        <row r="102">
          <cell r="A102" t="str">
            <v>Charjabug</v>
          </cell>
          <cell r="B102" t="str">
            <v>Inseto\Elétrico</v>
          </cell>
          <cell r="C102">
            <v>43</v>
          </cell>
          <cell r="D102">
            <v>8</v>
          </cell>
          <cell r="E102">
            <v>9</v>
          </cell>
          <cell r="F102">
            <v>5</v>
          </cell>
          <cell r="G102">
            <v>7</v>
          </cell>
          <cell r="H102">
            <v>4</v>
          </cell>
          <cell r="I102">
            <v>140</v>
          </cell>
        </row>
        <row r="103">
          <cell r="A103" t="str">
            <v>Charmander</v>
          </cell>
          <cell r="B103" t="str">
            <v>Fogo</v>
          </cell>
          <cell r="C103">
            <v>30</v>
          </cell>
          <cell r="D103">
            <v>5</v>
          </cell>
          <cell r="E103">
            <v>4</v>
          </cell>
          <cell r="F103">
            <v>6</v>
          </cell>
          <cell r="G103">
            <v>5</v>
          </cell>
          <cell r="H103">
            <v>6</v>
          </cell>
          <cell r="I103">
            <v>62</v>
          </cell>
        </row>
        <row r="104">
          <cell r="A104" t="str">
            <v>Charmeleon</v>
          </cell>
          <cell r="B104" t="str">
            <v>Fogo</v>
          </cell>
          <cell r="C104">
            <v>44</v>
          </cell>
          <cell r="D104">
            <v>6</v>
          </cell>
          <cell r="E104">
            <v>6</v>
          </cell>
          <cell r="F104">
            <v>8</v>
          </cell>
          <cell r="G104">
            <v>6</v>
          </cell>
          <cell r="H104">
            <v>8</v>
          </cell>
          <cell r="I104">
            <v>142</v>
          </cell>
        </row>
        <row r="105">
          <cell r="A105" t="str">
            <v>Chatot</v>
          </cell>
          <cell r="B105" t="str">
            <v>Normal/Voador</v>
          </cell>
          <cell r="C105">
            <v>57</v>
          </cell>
          <cell r="D105">
            <v>6</v>
          </cell>
          <cell r="E105">
            <v>4</v>
          </cell>
          <cell r="F105">
            <v>9</v>
          </cell>
          <cell r="G105">
            <v>4</v>
          </cell>
          <cell r="H105">
            <v>9</v>
          </cell>
          <cell r="I105">
            <v>144</v>
          </cell>
        </row>
        <row r="106">
          <cell r="A106" t="str">
            <v>Cherrim</v>
          </cell>
          <cell r="B106" t="str">
            <v>Grama</v>
          </cell>
          <cell r="C106">
            <v>53</v>
          </cell>
          <cell r="D106">
            <v>6</v>
          </cell>
          <cell r="E106">
            <v>7</v>
          </cell>
          <cell r="F106">
            <v>9</v>
          </cell>
          <cell r="G106">
            <v>8</v>
          </cell>
          <cell r="H106">
            <v>8</v>
          </cell>
          <cell r="I106">
            <v>158</v>
          </cell>
        </row>
        <row r="107">
          <cell r="A107" t="str">
            <v>Cherubi</v>
          </cell>
          <cell r="B107" t="str">
            <v>Grama</v>
          </cell>
          <cell r="C107">
            <v>34</v>
          </cell>
          <cell r="D107">
            <v>3</v>
          </cell>
          <cell r="E107">
            <v>4</v>
          </cell>
          <cell r="F107">
            <v>6</v>
          </cell>
          <cell r="G107">
            <v>5</v>
          </cell>
          <cell r="H107">
            <v>3</v>
          </cell>
          <cell r="I107">
            <v>55</v>
          </cell>
        </row>
        <row r="108">
          <cell r="A108" t="str">
            <v>Chesnaught</v>
          </cell>
          <cell r="B108" t="str">
            <v>Grama\Lutador</v>
          </cell>
          <cell r="C108">
            <v>66</v>
          </cell>
          <cell r="D108">
            <v>11</v>
          </cell>
          <cell r="E108">
            <v>12</v>
          </cell>
          <cell r="F108">
            <v>7</v>
          </cell>
          <cell r="G108">
            <v>7</v>
          </cell>
          <cell r="H108">
            <v>6</v>
          </cell>
          <cell r="I108">
            <v>239</v>
          </cell>
        </row>
        <row r="109">
          <cell r="A109" t="str">
            <v>Chespin</v>
          </cell>
          <cell r="B109" t="str">
            <v>Grama</v>
          </cell>
          <cell r="C109">
            <v>42</v>
          </cell>
          <cell r="D109">
            <v>6</v>
          </cell>
          <cell r="E109">
            <v>6</v>
          </cell>
          <cell r="F109">
            <v>5</v>
          </cell>
          <cell r="G109">
            <v>4</v>
          </cell>
          <cell r="H109">
            <v>4</v>
          </cell>
          <cell r="I109">
            <v>63</v>
          </cell>
        </row>
        <row r="110">
          <cell r="A110" t="str">
            <v>Chikorita</v>
          </cell>
          <cell r="B110" t="str">
            <v>Grama</v>
          </cell>
          <cell r="C110">
            <v>34</v>
          </cell>
          <cell r="D110">
            <v>5</v>
          </cell>
          <cell r="E110">
            <v>6</v>
          </cell>
          <cell r="F110">
            <v>5</v>
          </cell>
          <cell r="G110">
            <v>6</v>
          </cell>
          <cell r="H110">
            <v>4</v>
          </cell>
          <cell r="I110">
            <v>64</v>
          </cell>
        </row>
        <row r="111">
          <cell r="A111" t="str">
            <v>Chimchar</v>
          </cell>
          <cell r="B111" t="str">
            <v>Fogo</v>
          </cell>
          <cell r="C111">
            <v>33</v>
          </cell>
          <cell r="D111">
            <v>6</v>
          </cell>
          <cell r="E111">
            <v>4</v>
          </cell>
          <cell r="F111">
            <v>6</v>
          </cell>
          <cell r="G111">
            <v>4</v>
          </cell>
          <cell r="H111">
            <v>6</v>
          </cell>
          <cell r="I111">
            <v>62</v>
          </cell>
        </row>
        <row r="112">
          <cell r="A112" t="str">
            <v>Chimecho</v>
          </cell>
          <cell r="B112" t="str">
            <v>Psíquico</v>
          </cell>
          <cell r="C112">
            <v>49</v>
          </cell>
          <cell r="D112">
            <v>5</v>
          </cell>
          <cell r="E112">
            <v>7</v>
          </cell>
          <cell r="F112">
            <v>9</v>
          </cell>
          <cell r="G112">
            <v>8</v>
          </cell>
          <cell r="H112">
            <v>6</v>
          </cell>
          <cell r="I112">
            <v>159</v>
          </cell>
        </row>
        <row r="113">
          <cell r="A113" t="str">
            <v>Chinchou</v>
          </cell>
          <cell r="B113" t="str">
            <v>Água/Elétrico</v>
          </cell>
          <cell r="C113">
            <v>57</v>
          </cell>
          <cell r="D113">
            <v>4</v>
          </cell>
          <cell r="E113">
            <v>4</v>
          </cell>
          <cell r="F113">
            <v>6</v>
          </cell>
          <cell r="G113">
            <v>6</v>
          </cell>
          <cell r="H113">
            <v>7</v>
          </cell>
          <cell r="I113">
            <v>66</v>
          </cell>
        </row>
        <row r="114">
          <cell r="A114" t="str">
            <v>Chingling</v>
          </cell>
          <cell r="B114" t="str">
            <v>Psíquico</v>
          </cell>
          <cell r="C114">
            <v>34</v>
          </cell>
          <cell r="D114">
            <v>3</v>
          </cell>
          <cell r="E114">
            <v>5</v>
          </cell>
          <cell r="F114">
            <v>6</v>
          </cell>
          <cell r="G114">
            <v>5</v>
          </cell>
          <cell r="H114">
            <v>4</v>
          </cell>
          <cell r="I114">
            <v>57</v>
          </cell>
        </row>
        <row r="115">
          <cell r="A115" t="str">
            <v>Cinccino</v>
          </cell>
          <cell r="B115" t="str">
            <v>Normal</v>
          </cell>
          <cell r="C115">
            <v>57</v>
          </cell>
          <cell r="D115">
            <v>9</v>
          </cell>
          <cell r="E115">
            <v>6</v>
          </cell>
          <cell r="F115">
            <v>6</v>
          </cell>
          <cell r="G115">
            <v>6</v>
          </cell>
          <cell r="H115">
            <v>11</v>
          </cell>
          <cell r="I115">
            <v>165</v>
          </cell>
        </row>
        <row r="116">
          <cell r="A116" t="str">
            <v>Clamperl</v>
          </cell>
          <cell r="B116" t="str">
            <v>Água</v>
          </cell>
          <cell r="C116">
            <v>27</v>
          </cell>
          <cell r="D116">
            <v>6</v>
          </cell>
          <cell r="E116">
            <v>8</v>
          </cell>
          <cell r="F116">
            <v>7</v>
          </cell>
          <cell r="G116">
            <v>5</v>
          </cell>
          <cell r="H116">
            <v>3</v>
          </cell>
          <cell r="I116">
            <v>69</v>
          </cell>
        </row>
        <row r="117">
          <cell r="A117" t="str">
            <v>Clauncher</v>
          </cell>
          <cell r="B117" t="str">
            <v>Água</v>
          </cell>
          <cell r="C117">
            <v>38</v>
          </cell>
          <cell r="D117">
            <v>5</v>
          </cell>
          <cell r="E117">
            <v>6</v>
          </cell>
          <cell r="F117">
            <v>6</v>
          </cell>
          <cell r="G117">
            <v>6</v>
          </cell>
          <cell r="H117">
            <v>4</v>
          </cell>
          <cell r="I117">
            <v>66</v>
          </cell>
        </row>
        <row r="118">
          <cell r="A118" t="str">
            <v>Clawitzer</v>
          </cell>
          <cell r="B118" t="str">
            <v>Água</v>
          </cell>
          <cell r="C118">
            <v>54</v>
          </cell>
          <cell r="D118">
            <v>7</v>
          </cell>
          <cell r="E118">
            <v>9</v>
          </cell>
          <cell r="F118">
            <v>12</v>
          </cell>
          <cell r="G118">
            <v>9</v>
          </cell>
          <cell r="H118">
            <v>6</v>
          </cell>
          <cell r="I118">
            <v>100</v>
          </cell>
        </row>
        <row r="119">
          <cell r="A119" t="str">
            <v>Claydol</v>
          </cell>
          <cell r="B119" t="str">
            <v>Terra/Psíquico</v>
          </cell>
          <cell r="C119">
            <v>45</v>
          </cell>
          <cell r="D119">
            <v>7</v>
          </cell>
          <cell r="E119">
            <v>10</v>
          </cell>
          <cell r="F119">
            <v>7</v>
          </cell>
          <cell r="G119">
            <v>12</v>
          </cell>
          <cell r="H119">
            <v>7</v>
          </cell>
          <cell r="I119">
            <v>175</v>
          </cell>
        </row>
        <row r="120">
          <cell r="A120" t="str">
            <v>Clefable</v>
          </cell>
          <cell r="B120" t="str">
            <v>Fada</v>
          </cell>
          <cell r="C120">
            <v>72</v>
          </cell>
          <cell r="D120">
            <v>7</v>
          </cell>
          <cell r="E120">
            <v>7</v>
          </cell>
          <cell r="F120">
            <v>8</v>
          </cell>
          <cell r="G120">
            <v>9</v>
          </cell>
          <cell r="H120">
            <v>6</v>
          </cell>
          <cell r="I120">
            <v>217</v>
          </cell>
        </row>
        <row r="121">
          <cell r="A121" t="str">
            <v>Clefairy</v>
          </cell>
          <cell r="B121" t="str">
            <v>Fada</v>
          </cell>
          <cell r="C121">
            <v>53</v>
          </cell>
          <cell r="D121">
            <v>4</v>
          </cell>
          <cell r="E121">
            <v>5</v>
          </cell>
          <cell r="F121">
            <v>6</v>
          </cell>
          <cell r="G121">
            <v>6</v>
          </cell>
          <cell r="H121">
            <v>3</v>
          </cell>
          <cell r="I121">
            <v>113</v>
          </cell>
        </row>
        <row r="122">
          <cell r="A122" t="str">
            <v>Cleffa</v>
          </cell>
          <cell r="B122" t="str">
            <v>Fada</v>
          </cell>
          <cell r="C122">
            <v>38</v>
          </cell>
          <cell r="D122">
            <v>2</v>
          </cell>
          <cell r="E122">
            <v>3</v>
          </cell>
          <cell r="F122">
            <v>4</v>
          </cell>
          <cell r="G122">
            <v>5</v>
          </cell>
          <cell r="H122">
            <v>1</v>
          </cell>
          <cell r="I122">
            <v>44</v>
          </cell>
        </row>
        <row r="123">
          <cell r="A123" t="str">
            <v>Cloyster</v>
          </cell>
          <cell r="B123" t="str">
            <v>Água/Gelo</v>
          </cell>
          <cell r="C123">
            <v>38</v>
          </cell>
          <cell r="D123">
            <v>9</v>
          </cell>
          <cell r="E123">
            <v>18</v>
          </cell>
          <cell r="F123">
            <v>8</v>
          </cell>
          <cell r="G123">
            <v>4</v>
          </cell>
          <cell r="H123">
            <v>7</v>
          </cell>
          <cell r="I123">
            <v>184</v>
          </cell>
        </row>
        <row r="124">
          <cell r="A124" t="str">
            <v>Cobalion</v>
          </cell>
          <cell r="B124" t="str">
            <v>Metal\Lutador</v>
          </cell>
          <cell r="C124">
            <v>69</v>
          </cell>
          <cell r="D124">
            <v>9</v>
          </cell>
          <cell r="E124">
            <v>13</v>
          </cell>
          <cell r="F124">
            <v>9</v>
          </cell>
          <cell r="G124">
            <v>7</v>
          </cell>
          <cell r="H124">
            <v>11</v>
          </cell>
          <cell r="I124">
            <v>261</v>
          </cell>
        </row>
        <row r="125">
          <cell r="A125" t="str">
            <v>Cofagrigus</v>
          </cell>
          <cell r="B125" t="str">
            <v>Fantasma</v>
          </cell>
          <cell r="C125">
            <v>44</v>
          </cell>
          <cell r="D125">
            <v>5</v>
          </cell>
          <cell r="E125">
            <v>14</v>
          </cell>
          <cell r="F125">
            <v>9</v>
          </cell>
          <cell r="G125">
            <v>10</v>
          </cell>
          <cell r="H125">
            <v>3</v>
          </cell>
          <cell r="I125">
            <v>169</v>
          </cell>
        </row>
        <row r="126">
          <cell r="A126" t="str">
            <v>Combee</v>
          </cell>
          <cell r="B126" t="str">
            <v>Inseto/Voador</v>
          </cell>
          <cell r="C126">
            <v>23</v>
          </cell>
          <cell r="D126">
            <v>3</v>
          </cell>
          <cell r="E126">
            <v>4</v>
          </cell>
          <cell r="F126">
            <v>3</v>
          </cell>
          <cell r="G126">
            <v>4</v>
          </cell>
          <cell r="H126">
            <v>7</v>
          </cell>
          <cell r="I126">
            <v>49</v>
          </cell>
        </row>
        <row r="127">
          <cell r="A127" t="str">
            <v>Combusken</v>
          </cell>
          <cell r="B127" t="str">
            <v>Fogo/Lutador</v>
          </cell>
          <cell r="C127">
            <v>45</v>
          </cell>
          <cell r="D127">
            <v>8</v>
          </cell>
          <cell r="E127">
            <v>6</v>
          </cell>
          <cell r="F127">
            <v>8</v>
          </cell>
          <cell r="G127">
            <v>6</v>
          </cell>
          <cell r="H127">
            <v>5</v>
          </cell>
          <cell r="I127">
            <v>142</v>
          </cell>
        </row>
        <row r="128">
          <cell r="A128" t="str">
            <v>Comfey</v>
          </cell>
          <cell r="B128" t="str">
            <v>Fada</v>
          </cell>
          <cell r="C128">
            <v>39</v>
          </cell>
          <cell r="D128">
            <v>5</v>
          </cell>
          <cell r="E128">
            <v>9</v>
          </cell>
          <cell r="F128">
            <v>8</v>
          </cell>
          <cell r="G128">
            <v>11</v>
          </cell>
          <cell r="H128">
            <v>10</v>
          </cell>
          <cell r="I128">
            <v>170</v>
          </cell>
        </row>
        <row r="129">
          <cell r="A129" t="str">
            <v>Conkeldurr</v>
          </cell>
          <cell r="B129" t="str">
            <v>Lutador</v>
          </cell>
          <cell r="C129">
            <v>79</v>
          </cell>
          <cell r="D129">
            <v>14</v>
          </cell>
          <cell r="E129">
            <v>9</v>
          </cell>
          <cell r="F129">
            <v>5</v>
          </cell>
          <cell r="G129">
            <v>6</v>
          </cell>
          <cell r="H129">
            <v>4</v>
          </cell>
          <cell r="I129">
            <v>227</v>
          </cell>
        </row>
        <row r="130">
          <cell r="A130" t="str">
            <v>Corphish</v>
          </cell>
          <cell r="B130" t="str">
            <v>Água</v>
          </cell>
          <cell r="C130">
            <v>33</v>
          </cell>
          <cell r="D130">
            <v>8</v>
          </cell>
          <cell r="E130">
            <v>6</v>
          </cell>
          <cell r="F130">
            <v>5</v>
          </cell>
          <cell r="G130">
            <v>3</v>
          </cell>
          <cell r="H130">
            <v>3</v>
          </cell>
          <cell r="I130">
            <v>62</v>
          </cell>
        </row>
        <row r="131">
          <cell r="A131" t="str">
            <v>Corsola</v>
          </cell>
          <cell r="B131" t="str">
            <v>Água/Pedra</v>
          </cell>
          <cell r="C131">
            <v>42</v>
          </cell>
          <cell r="D131">
            <v>5</v>
          </cell>
          <cell r="E131">
            <v>8</v>
          </cell>
          <cell r="F131">
            <v>6</v>
          </cell>
          <cell r="G131">
            <v>8</v>
          </cell>
          <cell r="H131">
            <v>3</v>
          </cell>
          <cell r="I131">
            <v>144</v>
          </cell>
        </row>
        <row r="132">
          <cell r="A132" t="str">
            <v>Cosmoem</v>
          </cell>
          <cell r="B132" t="str">
            <v>Psíquico</v>
          </cell>
          <cell r="C132">
            <v>33</v>
          </cell>
          <cell r="D132">
            <v>3</v>
          </cell>
          <cell r="E132">
            <v>13</v>
          </cell>
          <cell r="F132">
            <v>3</v>
          </cell>
          <cell r="G132">
            <v>13</v>
          </cell>
          <cell r="H132">
            <v>4</v>
          </cell>
          <cell r="I132">
            <v>140</v>
          </cell>
        </row>
        <row r="133">
          <cell r="A133" t="str">
            <v>Cosmog</v>
          </cell>
          <cell r="B133" t="str">
            <v>Psíquico</v>
          </cell>
          <cell r="C133">
            <v>33</v>
          </cell>
          <cell r="D133">
            <v>3</v>
          </cell>
          <cell r="E133">
            <v>3</v>
          </cell>
          <cell r="F133">
            <v>3</v>
          </cell>
          <cell r="G133">
            <v>3</v>
          </cell>
          <cell r="H133">
            <v>4</v>
          </cell>
          <cell r="I133">
            <v>40</v>
          </cell>
        </row>
        <row r="134">
          <cell r="A134" t="str">
            <v>Cottonee</v>
          </cell>
          <cell r="B134" t="str">
            <v>Grama\Fada</v>
          </cell>
          <cell r="C134">
            <v>30</v>
          </cell>
          <cell r="D134">
            <v>3</v>
          </cell>
          <cell r="E134">
            <v>6</v>
          </cell>
          <cell r="F134">
            <v>4</v>
          </cell>
          <cell r="G134">
            <v>5</v>
          </cell>
          <cell r="H134">
            <v>7</v>
          </cell>
          <cell r="I134">
            <v>56</v>
          </cell>
        </row>
        <row r="135">
          <cell r="A135" t="str">
            <v>Crabominable</v>
          </cell>
          <cell r="B135" t="str">
            <v>Lutador\Gelo</v>
          </cell>
          <cell r="C135">
            <v>73</v>
          </cell>
          <cell r="D135">
            <v>13</v>
          </cell>
          <cell r="E135">
            <v>8</v>
          </cell>
          <cell r="F135">
            <v>6</v>
          </cell>
          <cell r="G135">
            <v>7</v>
          </cell>
          <cell r="H135">
            <v>4</v>
          </cell>
          <cell r="I135">
            <v>167</v>
          </cell>
        </row>
        <row r="136">
          <cell r="A136" t="str">
            <v>Crabrawler</v>
          </cell>
          <cell r="B136" t="str">
            <v>Lutador</v>
          </cell>
          <cell r="C136">
            <v>36</v>
          </cell>
          <cell r="D136">
            <v>8</v>
          </cell>
          <cell r="E136">
            <v>6</v>
          </cell>
          <cell r="F136">
            <v>4</v>
          </cell>
          <cell r="G136">
            <v>5</v>
          </cell>
          <cell r="H136">
            <v>6</v>
          </cell>
          <cell r="I136">
            <v>68</v>
          </cell>
        </row>
        <row r="137">
          <cell r="A137" t="str">
            <v>Cradily</v>
          </cell>
          <cell r="B137" t="str">
            <v>Pedra/Grama</v>
          </cell>
          <cell r="C137">
            <v>65</v>
          </cell>
          <cell r="D137">
            <v>8</v>
          </cell>
          <cell r="E137">
            <v>10</v>
          </cell>
          <cell r="F137">
            <v>8</v>
          </cell>
          <cell r="G137">
            <v>11</v>
          </cell>
          <cell r="H137">
            <v>4</v>
          </cell>
          <cell r="I137">
            <v>173</v>
          </cell>
        </row>
        <row r="138">
          <cell r="A138" t="str">
            <v>Cranidos</v>
          </cell>
          <cell r="B138" t="str">
            <v>Pedra</v>
          </cell>
          <cell r="C138">
            <v>51</v>
          </cell>
          <cell r="D138">
            <v>12</v>
          </cell>
          <cell r="E138">
            <v>4</v>
          </cell>
          <cell r="F138">
            <v>3</v>
          </cell>
          <cell r="G138">
            <v>3</v>
          </cell>
          <cell r="H138">
            <v>6</v>
          </cell>
          <cell r="I138">
            <v>70</v>
          </cell>
        </row>
        <row r="139">
          <cell r="A139" t="str">
            <v>Crawdaunt</v>
          </cell>
          <cell r="B139" t="str">
            <v>Água/Noturno</v>
          </cell>
          <cell r="C139">
            <v>48</v>
          </cell>
          <cell r="D139">
            <v>12</v>
          </cell>
          <cell r="E139">
            <v>8</v>
          </cell>
          <cell r="F139">
            <v>9</v>
          </cell>
          <cell r="G139">
            <v>5</v>
          </cell>
          <cell r="H139">
            <v>5</v>
          </cell>
          <cell r="I139">
            <v>164</v>
          </cell>
        </row>
        <row r="140">
          <cell r="A140" t="str">
            <v>Cresselia</v>
          </cell>
          <cell r="B140" t="str">
            <v>Psíquico</v>
          </cell>
          <cell r="C140">
            <v>90</v>
          </cell>
          <cell r="D140">
            <v>7</v>
          </cell>
          <cell r="E140">
            <v>12</v>
          </cell>
          <cell r="F140">
            <v>7</v>
          </cell>
          <cell r="G140">
            <v>13</v>
          </cell>
          <cell r="H140">
            <v>8</v>
          </cell>
          <cell r="I140">
            <v>270</v>
          </cell>
        </row>
        <row r="141">
          <cell r="A141" t="str">
            <v>Croagunk</v>
          </cell>
          <cell r="B141" t="str">
            <v>Veneno/Lutador</v>
          </cell>
          <cell r="C141">
            <v>36</v>
          </cell>
          <cell r="D141">
            <v>6</v>
          </cell>
          <cell r="E141">
            <v>4</v>
          </cell>
          <cell r="F141">
            <v>6</v>
          </cell>
          <cell r="G141">
            <v>4</v>
          </cell>
          <cell r="H141">
            <v>5</v>
          </cell>
          <cell r="I141">
            <v>60</v>
          </cell>
        </row>
        <row r="142">
          <cell r="A142" t="str">
            <v>Crobat</v>
          </cell>
          <cell r="B142" t="str">
            <v>Veneno/Voador</v>
          </cell>
          <cell r="C142">
            <v>64</v>
          </cell>
          <cell r="D142">
            <v>9</v>
          </cell>
          <cell r="E142">
            <v>8</v>
          </cell>
          <cell r="F142">
            <v>7</v>
          </cell>
          <cell r="G142">
            <v>8</v>
          </cell>
          <cell r="H142">
            <v>13</v>
          </cell>
          <cell r="I142">
            <v>241</v>
          </cell>
        </row>
        <row r="143">
          <cell r="A143" t="str">
            <v>Croconaw</v>
          </cell>
          <cell r="B143" t="str">
            <v>Água</v>
          </cell>
          <cell r="C143">
            <v>49</v>
          </cell>
          <cell r="D143">
            <v>8</v>
          </cell>
          <cell r="E143">
            <v>8</v>
          </cell>
          <cell r="F143">
            <v>6</v>
          </cell>
          <cell r="G143">
            <v>6</v>
          </cell>
          <cell r="H143">
            <v>6</v>
          </cell>
          <cell r="I143">
            <v>142</v>
          </cell>
        </row>
        <row r="144">
          <cell r="A144" t="str">
            <v>Crustle</v>
          </cell>
          <cell r="B144" t="str">
            <v>Inseto\Pedra</v>
          </cell>
          <cell r="C144">
            <v>53</v>
          </cell>
          <cell r="D144">
            <v>9</v>
          </cell>
          <cell r="E144">
            <v>12</v>
          </cell>
          <cell r="F144">
            <v>6</v>
          </cell>
          <cell r="G144">
            <v>7</v>
          </cell>
          <cell r="H144">
            <v>4</v>
          </cell>
          <cell r="I144">
            <v>170</v>
          </cell>
        </row>
        <row r="145">
          <cell r="A145" t="str">
            <v>Cryogonal</v>
          </cell>
          <cell r="B145" t="str">
            <v>Gelo</v>
          </cell>
          <cell r="C145">
            <v>53</v>
          </cell>
          <cell r="D145">
            <v>5</v>
          </cell>
          <cell r="E145">
            <v>3</v>
          </cell>
          <cell r="F145">
            <v>9</v>
          </cell>
          <cell r="G145">
            <v>13</v>
          </cell>
          <cell r="H145">
            <v>10</v>
          </cell>
          <cell r="I145">
            <v>180</v>
          </cell>
        </row>
        <row r="146">
          <cell r="A146" t="str">
            <v>Cubchoo</v>
          </cell>
          <cell r="B146" t="str">
            <v>Gelo</v>
          </cell>
          <cell r="C146">
            <v>42</v>
          </cell>
          <cell r="D146">
            <v>7</v>
          </cell>
          <cell r="E146">
            <v>4</v>
          </cell>
          <cell r="F146">
            <v>6</v>
          </cell>
          <cell r="G146">
            <v>4</v>
          </cell>
          <cell r="H146">
            <v>4</v>
          </cell>
          <cell r="I146">
            <v>61</v>
          </cell>
        </row>
        <row r="147">
          <cell r="A147" t="str">
            <v>Cubone</v>
          </cell>
          <cell r="B147" t="str">
            <v>Terra</v>
          </cell>
          <cell r="C147">
            <v>38</v>
          </cell>
          <cell r="D147">
            <v>5</v>
          </cell>
          <cell r="E147">
            <v>9</v>
          </cell>
          <cell r="F147">
            <v>4</v>
          </cell>
          <cell r="G147">
            <v>5</v>
          </cell>
          <cell r="H147">
            <v>3</v>
          </cell>
          <cell r="I147">
            <v>64</v>
          </cell>
        </row>
        <row r="148">
          <cell r="A148" t="str">
            <v>Cutiefly</v>
          </cell>
          <cell r="B148" t="str">
            <v>Inseto\Fada</v>
          </cell>
          <cell r="C148">
            <v>30</v>
          </cell>
          <cell r="D148">
            <v>4</v>
          </cell>
          <cell r="E148">
            <v>4</v>
          </cell>
          <cell r="F148">
            <v>5</v>
          </cell>
          <cell r="G148">
            <v>4</v>
          </cell>
          <cell r="H148">
            <v>8</v>
          </cell>
          <cell r="I148">
            <v>61</v>
          </cell>
        </row>
        <row r="149">
          <cell r="A149" t="str">
            <v>Cyndaquil</v>
          </cell>
          <cell r="B149" t="str">
            <v>Fogo</v>
          </cell>
          <cell r="C149">
            <v>30</v>
          </cell>
          <cell r="D149">
            <v>5</v>
          </cell>
          <cell r="E149">
            <v>4</v>
          </cell>
          <cell r="F149">
            <v>6</v>
          </cell>
          <cell r="G149">
            <v>5</v>
          </cell>
          <cell r="H149">
            <v>6</v>
          </cell>
          <cell r="I149">
            <v>62</v>
          </cell>
        </row>
        <row r="150">
          <cell r="A150" t="str">
            <v>Darkrai</v>
          </cell>
          <cell r="B150" t="str">
            <v>Noturno</v>
          </cell>
          <cell r="C150">
            <v>53</v>
          </cell>
          <cell r="D150">
            <v>9</v>
          </cell>
          <cell r="E150">
            <v>9</v>
          </cell>
          <cell r="F150">
            <v>13</v>
          </cell>
          <cell r="G150">
            <v>9</v>
          </cell>
          <cell r="H150">
            <v>12</v>
          </cell>
          <cell r="I150">
            <v>270</v>
          </cell>
        </row>
        <row r="151">
          <cell r="A151" t="str">
            <v>Darmanitan (Comum)</v>
          </cell>
          <cell r="B151" t="str">
            <v>Fogo</v>
          </cell>
          <cell r="C151">
            <v>79</v>
          </cell>
          <cell r="D151">
            <v>14</v>
          </cell>
          <cell r="E151">
            <v>5</v>
          </cell>
          <cell r="F151">
            <v>3</v>
          </cell>
          <cell r="G151">
            <v>5</v>
          </cell>
          <cell r="H151">
            <v>9</v>
          </cell>
          <cell r="I151">
            <v>168</v>
          </cell>
        </row>
        <row r="152">
          <cell r="A152" t="str">
            <v>Darmanitan (Zen)</v>
          </cell>
          <cell r="B152" t="str">
            <v>Fogo/Psíquico</v>
          </cell>
          <cell r="C152">
            <v>79</v>
          </cell>
          <cell r="D152">
            <v>3</v>
          </cell>
          <cell r="E152">
            <v>10</v>
          </cell>
          <cell r="F152">
            <v>14</v>
          </cell>
          <cell r="G152">
            <v>10</v>
          </cell>
          <cell r="H152">
            <v>5</v>
          </cell>
          <cell r="I152">
            <v>168</v>
          </cell>
        </row>
        <row r="153">
          <cell r="A153" t="str">
            <v>Dartrix</v>
          </cell>
          <cell r="B153" t="str">
            <v>Grama\Voador</v>
          </cell>
          <cell r="C153">
            <v>59</v>
          </cell>
          <cell r="D153">
            <v>7</v>
          </cell>
          <cell r="E153">
            <v>7</v>
          </cell>
          <cell r="F153">
            <v>7</v>
          </cell>
          <cell r="G153">
            <v>7</v>
          </cell>
          <cell r="H153">
            <v>5</v>
          </cell>
          <cell r="I153">
            <v>147</v>
          </cell>
        </row>
        <row r="154">
          <cell r="A154" t="str">
            <v>Darumaka</v>
          </cell>
          <cell r="B154" t="str">
            <v>Fogo</v>
          </cell>
          <cell r="C154">
            <v>53</v>
          </cell>
          <cell r="D154">
            <v>9</v>
          </cell>
          <cell r="E154">
            <v>4</v>
          </cell>
          <cell r="F154">
            <v>1</v>
          </cell>
          <cell r="G154">
            <v>4</v>
          </cell>
          <cell r="H154">
            <v>5</v>
          </cell>
          <cell r="I154">
            <v>63</v>
          </cell>
        </row>
        <row r="155">
          <cell r="A155" t="str">
            <v>Decidueye</v>
          </cell>
          <cell r="B155" t="str">
            <v>Grama\Fantasma</v>
          </cell>
          <cell r="C155">
            <v>59</v>
          </cell>
          <cell r="D155">
            <v>11</v>
          </cell>
          <cell r="E155">
            <v>7</v>
          </cell>
          <cell r="F155">
            <v>10</v>
          </cell>
          <cell r="G155">
            <v>10</v>
          </cell>
          <cell r="H155">
            <v>7</v>
          </cell>
          <cell r="I155">
            <v>239</v>
          </cell>
        </row>
        <row r="156">
          <cell r="A156" t="str">
            <v>Dedenne</v>
          </cell>
          <cell r="B156" t="str">
            <v>Elétrico\Fada</v>
          </cell>
          <cell r="C156">
            <v>51</v>
          </cell>
          <cell r="D156">
            <v>6</v>
          </cell>
          <cell r="E156">
            <v>6</v>
          </cell>
          <cell r="F156">
            <v>8</v>
          </cell>
          <cell r="G156">
            <v>7</v>
          </cell>
          <cell r="H156">
            <v>10</v>
          </cell>
          <cell r="I156">
            <v>151</v>
          </cell>
        </row>
        <row r="157">
          <cell r="A157" t="str">
            <v>Deerling</v>
          </cell>
          <cell r="B157" t="str">
            <v>Normal\Grama</v>
          </cell>
          <cell r="C157">
            <v>45</v>
          </cell>
          <cell r="D157">
            <v>6</v>
          </cell>
          <cell r="E157">
            <v>5</v>
          </cell>
          <cell r="F157">
            <v>4</v>
          </cell>
          <cell r="G157">
            <v>5</v>
          </cell>
          <cell r="H157">
            <v>7</v>
          </cell>
          <cell r="I157">
            <v>67</v>
          </cell>
        </row>
        <row r="158">
          <cell r="A158" t="str">
            <v>Deino</v>
          </cell>
          <cell r="B158" t="str">
            <v>Noturno\Dragão</v>
          </cell>
          <cell r="C158">
            <v>39</v>
          </cell>
          <cell r="D158">
            <v>6</v>
          </cell>
          <cell r="E158">
            <v>5</v>
          </cell>
          <cell r="F158">
            <v>4</v>
          </cell>
          <cell r="G158">
            <v>5</v>
          </cell>
          <cell r="H158">
            <v>4</v>
          </cell>
          <cell r="I158">
            <v>60</v>
          </cell>
        </row>
        <row r="159">
          <cell r="A159" t="str">
            <v>Delcatty</v>
          </cell>
          <cell r="B159" t="str">
            <v>Normal</v>
          </cell>
          <cell r="C159">
            <v>53</v>
          </cell>
          <cell r="D159">
            <v>6</v>
          </cell>
          <cell r="E159">
            <v>6</v>
          </cell>
          <cell r="F159">
            <v>5</v>
          </cell>
          <cell r="G159">
            <v>5</v>
          </cell>
          <cell r="H159">
            <v>7</v>
          </cell>
          <cell r="I159">
            <v>140</v>
          </cell>
        </row>
        <row r="160">
          <cell r="A160" t="str">
            <v>Delibird</v>
          </cell>
          <cell r="B160" t="str">
            <v>Gelo/Voador</v>
          </cell>
          <cell r="C160">
            <v>34</v>
          </cell>
          <cell r="D160">
            <v>5</v>
          </cell>
          <cell r="E160">
            <v>4</v>
          </cell>
          <cell r="F160">
            <v>6</v>
          </cell>
          <cell r="G160">
            <v>4</v>
          </cell>
          <cell r="H160">
            <v>7</v>
          </cell>
          <cell r="I160">
            <v>116</v>
          </cell>
        </row>
        <row r="161">
          <cell r="A161" t="str">
            <v>Delphox</v>
          </cell>
          <cell r="B161" t="str">
            <v>Fogo\Psíquico</v>
          </cell>
          <cell r="C161">
            <v>57</v>
          </cell>
          <cell r="D161">
            <v>7</v>
          </cell>
          <cell r="E161">
            <v>7</v>
          </cell>
          <cell r="F161">
            <v>11</v>
          </cell>
          <cell r="G161">
            <v>10</v>
          </cell>
          <cell r="H161">
            <v>10</v>
          </cell>
          <cell r="I161">
            <v>240</v>
          </cell>
        </row>
        <row r="162">
          <cell r="A162" t="str">
            <v>Deoxys (Ataque)</v>
          </cell>
          <cell r="B162" t="str">
            <v>Psíquico</v>
          </cell>
          <cell r="C162">
            <v>38</v>
          </cell>
          <cell r="D162">
            <v>18</v>
          </cell>
          <cell r="E162">
            <v>2</v>
          </cell>
          <cell r="F162">
            <v>18</v>
          </cell>
          <cell r="G162">
            <v>2</v>
          </cell>
          <cell r="H162">
            <v>15</v>
          </cell>
          <cell r="I162">
            <v>270</v>
          </cell>
        </row>
        <row r="163">
          <cell r="A163" t="str">
            <v>Deoxys (Defesa)</v>
          </cell>
          <cell r="B163" t="str">
            <v>Psíquico</v>
          </cell>
          <cell r="C163">
            <v>38</v>
          </cell>
          <cell r="D163">
            <v>7</v>
          </cell>
          <cell r="E163">
            <v>16</v>
          </cell>
          <cell r="F163">
            <v>7</v>
          </cell>
          <cell r="G163">
            <v>16</v>
          </cell>
          <cell r="H163">
            <v>9</v>
          </cell>
          <cell r="I163">
            <v>270</v>
          </cell>
        </row>
        <row r="164">
          <cell r="A164" t="str">
            <v>Deoxys (Normal)</v>
          </cell>
          <cell r="B164" t="str">
            <v>Psíquico</v>
          </cell>
          <cell r="C164">
            <v>38</v>
          </cell>
          <cell r="D164">
            <v>15</v>
          </cell>
          <cell r="E164">
            <v>5</v>
          </cell>
          <cell r="F164">
            <v>15</v>
          </cell>
          <cell r="G164">
            <v>5</v>
          </cell>
          <cell r="H164">
            <v>15</v>
          </cell>
          <cell r="I164">
            <v>270</v>
          </cell>
        </row>
        <row r="165">
          <cell r="A165" t="str">
            <v>Deoxys (Velocidade)</v>
          </cell>
          <cell r="B165" t="str">
            <v>Psíquico</v>
          </cell>
          <cell r="C165">
            <v>38</v>
          </cell>
          <cell r="D165">
            <v>9</v>
          </cell>
          <cell r="E165">
            <v>9</v>
          </cell>
          <cell r="F165">
            <v>9</v>
          </cell>
          <cell r="G165">
            <v>9</v>
          </cell>
          <cell r="H165">
            <v>18</v>
          </cell>
          <cell r="I165">
            <v>270</v>
          </cell>
        </row>
        <row r="166">
          <cell r="A166" t="str">
            <v>Dewgong</v>
          </cell>
          <cell r="B166" t="str">
            <v>Água/Gelo</v>
          </cell>
          <cell r="C166">
            <v>68</v>
          </cell>
          <cell r="D166">
            <v>7</v>
          </cell>
          <cell r="E166">
            <v>8</v>
          </cell>
          <cell r="F166">
            <v>7</v>
          </cell>
          <cell r="G166">
            <v>9</v>
          </cell>
          <cell r="H166">
            <v>7</v>
          </cell>
          <cell r="I166">
            <v>166</v>
          </cell>
        </row>
        <row r="167">
          <cell r="A167" t="str">
            <v>Dewott</v>
          </cell>
          <cell r="B167" t="str">
            <v>Água</v>
          </cell>
          <cell r="C167">
            <v>57</v>
          </cell>
          <cell r="D167">
            <v>7</v>
          </cell>
          <cell r="E167">
            <v>6</v>
          </cell>
          <cell r="F167">
            <v>8</v>
          </cell>
          <cell r="G167">
            <v>6</v>
          </cell>
          <cell r="H167">
            <v>6</v>
          </cell>
          <cell r="I167">
            <v>145</v>
          </cell>
        </row>
        <row r="168">
          <cell r="A168" t="str">
            <v>Dewpider</v>
          </cell>
          <cell r="B168" t="str">
            <v>Água\Inseto</v>
          </cell>
          <cell r="C168">
            <v>29</v>
          </cell>
          <cell r="D168">
            <v>4</v>
          </cell>
          <cell r="E168">
            <v>5</v>
          </cell>
          <cell r="F168">
            <v>4</v>
          </cell>
          <cell r="G168">
            <v>7</v>
          </cell>
          <cell r="H168">
            <v>3</v>
          </cell>
          <cell r="I168">
            <v>54</v>
          </cell>
        </row>
        <row r="169">
          <cell r="A169" t="str">
            <v>Dhelmise</v>
          </cell>
          <cell r="B169" t="str">
            <v>Fantasma\Grama</v>
          </cell>
          <cell r="C169">
            <v>53</v>
          </cell>
          <cell r="D169">
            <v>13</v>
          </cell>
          <cell r="E169">
            <v>10</v>
          </cell>
          <cell r="F169">
            <v>9</v>
          </cell>
          <cell r="G169">
            <v>9</v>
          </cell>
          <cell r="H169">
            <v>4</v>
          </cell>
          <cell r="I169">
            <v>181</v>
          </cell>
        </row>
        <row r="170">
          <cell r="A170" t="str">
            <v>Dialga</v>
          </cell>
          <cell r="B170" t="str">
            <v>Metal/Dragão</v>
          </cell>
          <cell r="C170">
            <v>75</v>
          </cell>
          <cell r="D170">
            <v>12</v>
          </cell>
          <cell r="E170">
            <v>12</v>
          </cell>
          <cell r="F170">
            <v>15</v>
          </cell>
          <cell r="G170">
            <v>10</v>
          </cell>
          <cell r="H170">
            <v>9</v>
          </cell>
          <cell r="I170">
            <v>306</v>
          </cell>
        </row>
        <row r="171">
          <cell r="A171" t="str">
            <v>Diancie</v>
          </cell>
          <cell r="B171" t="str">
            <v>Pedra\Fada</v>
          </cell>
          <cell r="C171">
            <v>38</v>
          </cell>
          <cell r="D171">
            <v>10</v>
          </cell>
          <cell r="E171">
            <v>15</v>
          </cell>
          <cell r="F171">
            <v>10</v>
          </cell>
          <cell r="G171">
            <v>15</v>
          </cell>
          <cell r="H171">
            <v>5</v>
          </cell>
          <cell r="I171">
            <v>270</v>
          </cell>
        </row>
        <row r="172">
          <cell r="A172" t="str">
            <v>Diggersby</v>
          </cell>
          <cell r="B172" t="str">
            <v>Normal\Terra</v>
          </cell>
          <cell r="C172">
            <v>64</v>
          </cell>
          <cell r="D172">
            <v>6</v>
          </cell>
          <cell r="E172">
            <v>8</v>
          </cell>
          <cell r="F172">
            <v>5</v>
          </cell>
          <cell r="G172">
            <v>8</v>
          </cell>
          <cell r="H172">
            <v>8</v>
          </cell>
          <cell r="I172">
            <v>148</v>
          </cell>
        </row>
        <row r="173">
          <cell r="A173" t="str">
            <v>Diglett</v>
          </cell>
          <cell r="B173" t="str">
            <v>Terra</v>
          </cell>
          <cell r="C173">
            <v>8</v>
          </cell>
          <cell r="D173">
            <v>5</v>
          </cell>
          <cell r="E173">
            <v>2</v>
          </cell>
          <cell r="F173">
            <v>3</v>
          </cell>
          <cell r="G173">
            <v>4</v>
          </cell>
          <cell r="H173">
            <v>9</v>
          </cell>
          <cell r="I173">
            <v>53</v>
          </cell>
        </row>
        <row r="174">
          <cell r="A174" t="str">
            <v>Diglett (Alola)</v>
          </cell>
          <cell r="B174" t="str">
            <v>Terra/Metal</v>
          </cell>
          <cell r="C174">
            <v>8</v>
          </cell>
          <cell r="D174">
            <v>5</v>
          </cell>
          <cell r="E174">
            <v>3</v>
          </cell>
          <cell r="F174">
            <v>3</v>
          </cell>
          <cell r="G174">
            <v>4</v>
          </cell>
          <cell r="H174">
            <v>9</v>
          </cell>
          <cell r="I174">
            <v>53</v>
          </cell>
        </row>
        <row r="175">
          <cell r="A175" t="str">
            <v>Ditto</v>
          </cell>
          <cell r="B175" t="str">
            <v>Normal</v>
          </cell>
          <cell r="C175">
            <v>36</v>
          </cell>
          <cell r="D175">
            <v>5</v>
          </cell>
          <cell r="E175">
            <v>5</v>
          </cell>
          <cell r="F175">
            <v>5</v>
          </cell>
          <cell r="G175">
            <v>5</v>
          </cell>
          <cell r="H175">
            <v>5</v>
          </cell>
          <cell r="I175">
            <v>101</v>
          </cell>
        </row>
        <row r="176">
          <cell r="A176" t="str">
            <v>Dodrio</v>
          </cell>
          <cell r="B176" t="str">
            <v>Normal/Voador</v>
          </cell>
          <cell r="C176">
            <v>45</v>
          </cell>
          <cell r="D176">
            <v>11</v>
          </cell>
          <cell r="E176">
            <v>7</v>
          </cell>
          <cell r="F176">
            <v>6</v>
          </cell>
          <cell r="G176">
            <v>6</v>
          </cell>
          <cell r="H176">
            <v>10</v>
          </cell>
          <cell r="I176">
            <v>165</v>
          </cell>
        </row>
        <row r="177">
          <cell r="A177" t="str">
            <v>Doduo</v>
          </cell>
          <cell r="B177" t="str">
            <v>Normal/Voador</v>
          </cell>
          <cell r="C177">
            <v>27</v>
          </cell>
          <cell r="D177">
            <v>8</v>
          </cell>
          <cell r="E177">
            <v>4</v>
          </cell>
          <cell r="F177">
            <v>3</v>
          </cell>
          <cell r="G177">
            <v>3</v>
          </cell>
          <cell r="H177">
            <v>7</v>
          </cell>
          <cell r="I177">
            <v>62</v>
          </cell>
        </row>
        <row r="178">
          <cell r="A178" t="str">
            <v>Donphan</v>
          </cell>
          <cell r="B178" t="str">
            <v>Terra</v>
          </cell>
          <cell r="C178">
            <v>68</v>
          </cell>
          <cell r="D178">
            <v>12</v>
          </cell>
          <cell r="E178">
            <v>12</v>
          </cell>
          <cell r="F178">
            <v>6</v>
          </cell>
          <cell r="G178">
            <v>6</v>
          </cell>
          <cell r="H178">
            <v>5</v>
          </cell>
          <cell r="I178">
            <v>175</v>
          </cell>
        </row>
        <row r="179">
          <cell r="A179" t="str">
            <v>Doublade</v>
          </cell>
          <cell r="B179" t="str">
            <v>Metal\Fantasma</v>
          </cell>
          <cell r="C179">
            <v>45</v>
          </cell>
          <cell r="D179">
            <v>11</v>
          </cell>
          <cell r="E179">
            <v>15</v>
          </cell>
          <cell r="F179">
            <v>4</v>
          </cell>
          <cell r="G179">
            <v>5</v>
          </cell>
          <cell r="H179">
            <v>3</v>
          </cell>
          <cell r="I179">
            <v>157</v>
          </cell>
        </row>
        <row r="180">
          <cell r="A180" t="str">
            <v>Dragalge</v>
          </cell>
          <cell r="B180" t="str">
            <v>Veneno\Dragão</v>
          </cell>
          <cell r="C180">
            <v>49</v>
          </cell>
          <cell r="D180">
            <v>7</v>
          </cell>
          <cell r="E180">
            <v>9</v>
          </cell>
          <cell r="F180">
            <v>10</v>
          </cell>
          <cell r="G180">
            <v>12</v>
          </cell>
          <cell r="H180">
            <v>4</v>
          </cell>
          <cell r="I180">
            <v>173</v>
          </cell>
        </row>
        <row r="181">
          <cell r="A181" t="str">
            <v>Dragonair</v>
          </cell>
          <cell r="B181" t="str">
            <v>Dragão</v>
          </cell>
          <cell r="C181">
            <v>46</v>
          </cell>
          <cell r="D181">
            <v>8</v>
          </cell>
          <cell r="E181">
            <v>6</v>
          </cell>
          <cell r="F181">
            <v>7</v>
          </cell>
          <cell r="G181">
            <v>7</v>
          </cell>
          <cell r="H181">
            <v>7</v>
          </cell>
          <cell r="I181">
            <v>147</v>
          </cell>
        </row>
        <row r="182">
          <cell r="A182" t="str">
            <v>Dragonite</v>
          </cell>
          <cell r="B182" t="str">
            <v>Dragão/Voador</v>
          </cell>
          <cell r="C182">
            <v>69</v>
          </cell>
          <cell r="D182">
            <v>13</v>
          </cell>
          <cell r="E182">
            <v>9</v>
          </cell>
          <cell r="F182">
            <v>10</v>
          </cell>
          <cell r="G182">
            <v>10</v>
          </cell>
          <cell r="H182">
            <v>8</v>
          </cell>
          <cell r="I182">
            <v>270</v>
          </cell>
        </row>
        <row r="183">
          <cell r="A183" t="str">
            <v>Drampa</v>
          </cell>
          <cell r="B183" t="str">
            <v>Normal\Dragão</v>
          </cell>
          <cell r="C183">
            <v>59</v>
          </cell>
          <cell r="D183">
            <v>6</v>
          </cell>
          <cell r="E183">
            <v>8</v>
          </cell>
          <cell r="F183">
            <v>13</v>
          </cell>
          <cell r="G183">
            <v>9</v>
          </cell>
          <cell r="H183">
            <v>4</v>
          </cell>
          <cell r="I183">
            <v>170</v>
          </cell>
        </row>
        <row r="184">
          <cell r="A184" t="str">
            <v>Drapion</v>
          </cell>
          <cell r="B184" t="str">
            <v>Veneno/Noturno</v>
          </cell>
          <cell r="C184">
            <v>53</v>
          </cell>
          <cell r="D184">
            <v>9</v>
          </cell>
          <cell r="E184">
            <v>11</v>
          </cell>
          <cell r="F184">
            <v>6</v>
          </cell>
          <cell r="G184">
            <v>7</v>
          </cell>
          <cell r="H184">
            <v>9</v>
          </cell>
          <cell r="I184">
            <v>175</v>
          </cell>
        </row>
        <row r="185">
          <cell r="A185" t="str">
            <v>Dratini</v>
          </cell>
          <cell r="B185" t="str">
            <v>Dragão</v>
          </cell>
          <cell r="C185">
            <v>31</v>
          </cell>
          <cell r="D185">
            <v>6</v>
          </cell>
          <cell r="E185">
            <v>4</v>
          </cell>
          <cell r="F185">
            <v>5</v>
          </cell>
          <cell r="G185">
            <v>5</v>
          </cell>
          <cell r="H185">
            <v>5</v>
          </cell>
          <cell r="I185">
            <v>60</v>
          </cell>
        </row>
        <row r="186">
          <cell r="A186" t="str">
            <v>Drifblim</v>
          </cell>
          <cell r="B186" t="str">
            <v>Fantasma/Voador</v>
          </cell>
          <cell r="C186">
            <v>113</v>
          </cell>
          <cell r="D186">
            <v>8</v>
          </cell>
          <cell r="E186">
            <v>4</v>
          </cell>
          <cell r="F186">
            <v>9</v>
          </cell>
          <cell r="G186">
            <v>5</v>
          </cell>
          <cell r="H186">
            <v>8</v>
          </cell>
          <cell r="I186">
            <v>174</v>
          </cell>
        </row>
        <row r="187">
          <cell r="A187" t="str">
            <v>Drifloon</v>
          </cell>
          <cell r="B187" t="str">
            <v>Fantasma/Voador</v>
          </cell>
          <cell r="C187">
            <v>68</v>
          </cell>
          <cell r="D187">
            <v>5</v>
          </cell>
          <cell r="E187">
            <v>3</v>
          </cell>
          <cell r="F187">
            <v>6</v>
          </cell>
          <cell r="G187">
            <v>4</v>
          </cell>
          <cell r="H187">
            <v>7</v>
          </cell>
          <cell r="I187">
            <v>70</v>
          </cell>
        </row>
        <row r="188">
          <cell r="A188" t="str">
            <v>Drilbur</v>
          </cell>
          <cell r="B188" t="str">
            <v>Terra</v>
          </cell>
          <cell r="C188">
            <v>45</v>
          </cell>
          <cell r="D188">
            <v>8</v>
          </cell>
          <cell r="E188">
            <v>4</v>
          </cell>
          <cell r="F188">
            <v>3</v>
          </cell>
          <cell r="G188">
            <v>4</v>
          </cell>
          <cell r="H188">
            <v>7</v>
          </cell>
          <cell r="I188">
            <v>66</v>
          </cell>
        </row>
        <row r="189">
          <cell r="A189" t="str">
            <v>Drowzee</v>
          </cell>
          <cell r="B189" t="str">
            <v>Psíquico</v>
          </cell>
          <cell r="C189">
            <v>45</v>
          </cell>
          <cell r="D189">
            <v>5</v>
          </cell>
          <cell r="E189">
            <v>4</v>
          </cell>
          <cell r="F189">
            <v>4</v>
          </cell>
          <cell r="G189">
            <v>9</v>
          </cell>
          <cell r="H189">
            <v>4</v>
          </cell>
          <cell r="I189">
            <v>66</v>
          </cell>
        </row>
        <row r="190">
          <cell r="A190" t="str">
            <v>Druddigon</v>
          </cell>
          <cell r="B190" t="str">
            <v>Dragão</v>
          </cell>
          <cell r="C190">
            <v>58</v>
          </cell>
          <cell r="D190">
            <v>12</v>
          </cell>
          <cell r="E190">
            <v>9</v>
          </cell>
          <cell r="F190">
            <v>6</v>
          </cell>
          <cell r="G190">
            <v>9</v>
          </cell>
          <cell r="H190">
            <v>5</v>
          </cell>
          <cell r="I190">
            <v>170</v>
          </cell>
        </row>
        <row r="191">
          <cell r="A191" t="str">
            <v>Ducklett</v>
          </cell>
          <cell r="B191" t="str">
            <v>Água\Voador</v>
          </cell>
          <cell r="C191">
            <v>47</v>
          </cell>
          <cell r="D191">
            <v>4</v>
          </cell>
          <cell r="E191">
            <v>5</v>
          </cell>
          <cell r="F191">
            <v>4</v>
          </cell>
          <cell r="G191">
            <v>5</v>
          </cell>
          <cell r="H191">
            <v>5</v>
          </cell>
          <cell r="I191">
            <v>61</v>
          </cell>
        </row>
        <row r="192">
          <cell r="A192" t="str">
            <v>Dugtrio</v>
          </cell>
          <cell r="B192" t="str">
            <v>Terra</v>
          </cell>
          <cell r="C192">
            <v>27</v>
          </cell>
          <cell r="D192">
            <v>8</v>
          </cell>
          <cell r="E192">
            <v>5</v>
          </cell>
          <cell r="F192">
            <v>5</v>
          </cell>
          <cell r="G192">
            <v>7</v>
          </cell>
          <cell r="H192">
            <v>12</v>
          </cell>
          <cell r="I192">
            <v>149</v>
          </cell>
        </row>
        <row r="193">
          <cell r="A193" t="str">
            <v>Dugtrio (Alola)</v>
          </cell>
          <cell r="B193" t="str">
            <v>Terra/Metal</v>
          </cell>
          <cell r="C193">
            <v>27</v>
          </cell>
          <cell r="D193">
            <v>10</v>
          </cell>
          <cell r="E193">
            <v>6</v>
          </cell>
          <cell r="F193">
            <v>5</v>
          </cell>
          <cell r="G193">
            <v>7</v>
          </cell>
          <cell r="H193">
            <v>11</v>
          </cell>
          <cell r="I193">
            <v>149</v>
          </cell>
        </row>
        <row r="194">
          <cell r="A194" t="str">
            <v>Dunsparce</v>
          </cell>
          <cell r="B194" t="str">
            <v>Normal</v>
          </cell>
          <cell r="C194">
            <v>75</v>
          </cell>
          <cell r="D194">
            <v>7</v>
          </cell>
          <cell r="E194">
            <v>7</v>
          </cell>
          <cell r="F194">
            <v>6</v>
          </cell>
          <cell r="G194">
            <v>6</v>
          </cell>
          <cell r="H194">
            <v>4</v>
          </cell>
          <cell r="I194">
            <v>145</v>
          </cell>
        </row>
        <row r="195">
          <cell r="A195" t="str">
            <v>Duosion</v>
          </cell>
          <cell r="B195" t="str">
            <v>Psíquico</v>
          </cell>
          <cell r="C195">
            <v>49</v>
          </cell>
          <cell r="D195">
            <v>4</v>
          </cell>
          <cell r="E195">
            <v>5</v>
          </cell>
          <cell r="F195">
            <v>12</v>
          </cell>
          <cell r="G195">
            <v>6</v>
          </cell>
          <cell r="H195">
            <v>3</v>
          </cell>
          <cell r="I195">
            <v>130</v>
          </cell>
        </row>
        <row r="196">
          <cell r="A196" t="str">
            <v>Durant</v>
          </cell>
          <cell r="B196" t="str">
            <v>Inseto\Metal</v>
          </cell>
          <cell r="C196">
            <v>44</v>
          </cell>
          <cell r="D196">
            <v>11</v>
          </cell>
          <cell r="E196">
            <v>11</v>
          </cell>
          <cell r="F196">
            <v>5</v>
          </cell>
          <cell r="G196">
            <v>5</v>
          </cell>
          <cell r="H196">
            <v>11</v>
          </cell>
          <cell r="I196">
            <v>169</v>
          </cell>
        </row>
        <row r="197">
          <cell r="A197" t="str">
            <v>Dusclops</v>
          </cell>
          <cell r="B197" t="str">
            <v>Fantasma</v>
          </cell>
          <cell r="C197">
            <v>30</v>
          </cell>
          <cell r="D197">
            <v>7</v>
          </cell>
          <cell r="E197">
            <v>13</v>
          </cell>
          <cell r="F197">
            <v>6</v>
          </cell>
          <cell r="G197">
            <v>13</v>
          </cell>
          <cell r="H197">
            <v>2</v>
          </cell>
          <cell r="I197">
            <v>159</v>
          </cell>
        </row>
        <row r="198">
          <cell r="A198" t="str">
            <v>Dusknoir</v>
          </cell>
          <cell r="B198" t="str">
            <v>Fantasma</v>
          </cell>
          <cell r="C198">
            <v>34</v>
          </cell>
          <cell r="D198">
            <v>10</v>
          </cell>
          <cell r="E198">
            <v>13</v>
          </cell>
          <cell r="F198">
            <v>6</v>
          </cell>
          <cell r="G198">
            <v>13</v>
          </cell>
          <cell r="H198">
            <v>4</v>
          </cell>
          <cell r="I198">
            <v>236</v>
          </cell>
        </row>
        <row r="199">
          <cell r="A199" t="str">
            <v>Duskull</v>
          </cell>
          <cell r="B199" t="str">
            <v>Fantasma</v>
          </cell>
          <cell r="C199">
            <v>15</v>
          </cell>
          <cell r="D199">
            <v>4</v>
          </cell>
          <cell r="E199">
            <v>9</v>
          </cell>
          <cell r="F199">
            <v>3</v>
          </cell>
          <cell r="G199">
            <v>9</v>
          </cell>
          <cell r="H199">
            <v>2</v>
          </cell>
          <cell r="I199">
            <v>59</v>
          </cell>
        </row>
        <row r="200">
          <cell r="A200" t="str">
            <v>Dustox</v>
          </cell>
          <cell r="B200" t="str">
            <v>Inseto/Veneno</v>
          </cell>
          <cell r="C200">
            <v>45</v>
          </cell>
          <cell r="D200">
            <v>5</v>
          </cell>
          <cell r="E200">
            <v>7</v>
          </cell>
          <cell r="F200">
            <v>5</v>
          </cell>
          <cell r="G200">
            <v>9</v>
          </cell>
          <cell r="H200">
            <v>6</v>
          </cell>
          <cell r="I200">
            <v>173</v>
          </cell>
        </row>
        <row r="201">
          <cell r="A201" t="str">
            <v>Dwebble</v>
          </cell>
          <cell r="B201" t="str">
            <v>Inseto\Pedra</v>
          </cell>
          <cell r="C201">
            <v>38</v>
          </cell>
          <cell r="D201">
            <v>6</v>
          </cell>
          <cell r="E201">
            <v>8</v>
          </cell>
          <cell r="F201">
            <v>3</v>
          </cell>
          <cell r="G201">
            <v>3</v>
          </cell>
          <cell r="H201">
            <v>5</v>
          </cell>
          <cell r="I201">
            <v>65</v>
          </cell>
        </row>
        <row r="202">
          <cell r="A202" t="str">
            <v>Eelektrik</v>
          </cell>
          <cell r="B202" t="str">
            <v>Elétrico</v>
          </cell>
          <cell r="C202">
            <v>49</v>
          </cell>
          <cell r="D202">
            <v>8</v>
          </cell>
          <cell r="E202">
            <v>7</v>
          </cell>
          <cell r="F202">
            <v>7</v>
          </cell>
          <cell r="G202">
            <v>7</v>
          </cell>
          <cell r="H202">
            <v>4</v>
          </cell>
          <cell r="I202">
            <v>142</v>
          </cell>
        </row>
        <row r="203">
          <cell r="A203" t="str">
            <v>Eelektross</v>
          </cell>
          <cell r="B203" t="str">
            <v>Elétrico</v>
          </cell>
          <cell r="C203">
            <v>64</v>
          </cell>
          <cell r="D203">
            <v>11</v>
          </cell>
          <cell r="E203">
            <v>8</v>
          </cell>
          <cell r="F203">
            <v>10</v>
          </cell>
          <cell r="G203">
            <v>8</v>
          </cell>
          <cell r="H203">
            <v>5</v>
          </cell>
          <cell r="I203">
            <v>232</v>
          </cell>
        </row>
        <row r="204">
          <cell r="A204" t="str">
            <v>Eevee</v>
          </cell>
          <cell r="B204" t="str">
            <v>Normal</v>
          </cell>
          <cell r="C204">
            <v>42</v>
          </cell>
          <cell r="D204">
            <v>5</v>
          </cell>
          <cell r="E204">
            <v>5</v>
          </cell>
          <cell r="F204">
            <v>4</v>
          </cell>
          <cell r="G204">
            <v>6</v>
          </cell>
          <cell r="H204">
            <v>5</v>
          </cell>
          <cell r="I204">
            <v>65</v>
          </cell>
        </row>
        <row r="205">
          <cell r="A205" t="str">
            <v>Ekans</v>
          </cell>
          <cell r="B205" t="str">
            <v>Veneno</v>
          </cell>
          <cell r="C205">
            <v>27</v>
          </cell>
          <cell r="D205">
            <v>6</v>
          </cell>
          <cell r="E205">
            <v>4</v>
          </cell>
          <cell r="F205">
            <v>4</v>
          </cell>
          <cell r="G205">
            <v>5</v>
          </cell>
          <cell r="H205">
            <v>5</v>
          </cell>
          <cell r="I205">
            <v>58</v>
          </cell>
        </row>
        <row r="206">
          <cell r="A206" t="str">
            <v>Electabuzz</v>
          </cell>
          <cell r="B206" t="str">
            <v>Elétrico</v>
          </cell>
          <cell r="C206">
            <v>49</v>
          </cell>
          <cell r="D206">
            <v>8</v>
          </cell>
          <cell r="E206">
            <v>6</v>
          </cell>
          <cell r="F206">
            <v>9</v>
          </cell>
          <cell r="G206">
            <v>8</v>
          </cell>
          <cell r="H206">
            <v>10</v>
          </cell>
          <cell r="I206">
            <v>172</v>
          </cell>
        </row>
        <row r="207">
          <cell r="A207" t="str">
            <v>Electivire</v>
          </cell>
          <cell r="B207" t="str">
            <v>Elétrico</v>
          </cell>
          <cell r="C207">
            <v>57</v>
          </cell>
          <cell r="D207">
            <v>12</v>
          </cell>
          <cell r="E207">
            <v>7</v>
          </cell>
          <cell r="F207">
            <v>9</v>
          </cell>
          <cell r="G207">
            <v>8</v>
          </cell>
          <cell r="H207">
            <v>9</v>
          </cell>
          <cell r="I207">
            <v>243</v>
          </cell>
        </row>
        <row r="208">
          <cell r="A208" t="str">
            <v>Electrike</v>
          </cell>
          <cell r="B208" t="str">
            <v>Elétrico</v>
          </cell>
          <cell r="C208">
            <v>30</v>
          </cell>
          <cell r="D208">
            <v>4</v>
          </cell>
          <cell r="E208">
            <v>4</v>
          </cell>
          <cell r="F208">
            <v>6</v>
          </cell>
          <cell r="G208">
            <v>4</v>
          </cell>
          <cell r="H208">
            <v>6</v>
          </cell>
          <cell r="I208">
            <v>59</v>
          </cell>
        </row>
        <row r="209">
          <cell r="A209" t="str">
            <v>Electrode</v>
          </cell>
          <cell r="B209" t="str">
            <v>Elétrico</v>
          </cell>
          <cell r="C209">
            <v>45</v>
          </cell>
          <cell r="D209">
            <v>5</v>
          </cell>
          <cell r="E209">
            <v>7</v>
          </cell>
          <cell r="F209">
            <v>8</v>
          </cell>
          <cell r="G209">
            <v>8</v>
          </cell>
          <cell r="H209">
            <v>14</v>
          </cell>
          <cell r="I209">
            <v>172</v>
          </cell>
        </row>
        <row r="210">
          <cell r="A210" t="str">
            <v>Elekid</v>
          </cell>
          <cell r="B210" t="str">
            <v>Elétrico</v>
          </cell>
          <cell r="C210">
            <v>34</v>
          </cell>
          <cell r="D210">
            <v>6</v>
          </cell>
          <cell r="E210">
            <v>4</v>
          </cell>
          <cell r="F210">
            <v>6</v>
          </cell>
          <cell r="G210">
            <v>5</v>
          </cell>
          <cell r="H210">
            <v>9</v>
          </cell>
          <cell r="I210">
            <v>72</v>
          </cell>
        </row>
        <row r="211">
          <cell r="A211" t="str">
            <v>Elgyem</v>
          </cell>
          <cell r="B211" t="str">
            <v>Psíquico</v>
          </cell>
          <cell r="C211">
            <v>42</v>
          </cell>
          <cell r="D211">
            <v>5</v>
          </cell>
          <cell r="E211">
            <v>5</v>
          </cell>
          <cell r="F211">
            <v>8</v>
          </cell>
          <cell r="G211">
            <v>5</v>
          </cell>
          <cell r="H211">
            <v>3</v>
          </cell>
          <cell r="I211">
            <v>67</v>
          </cell>
        </row>
        <row r="212">
          <cell r="A212" t="str">
            <v>Emboar</v>
          </cell>
          <cell r="B212" t="str">
            <v>Fogo\Lutador</v>
          </cell>
          <cell r="C212">
            <v>83</v>
          </cell>
          <cell r="D212">
            <v>12</v>
          </cell>
          <cell r="E212">
            <v>6</v>
          </cell>
          <cell r="F212">
            <v>10</v>
          </cell>
          <cell r="G212">
            <v>6</v>
          </cell>
          <cell r="H212">
            <v>6</v>
          </cell>
          <cell r="I212">
            <v>238</v>
          </cell>
        </row>
        <row r="213">
          <cell r="A213" t="str">
            <v>Emolga</v>
          </cell>
          <cell r="B213" t="str">
            <v>Elétrico\Voador</v>
          </cell>
          <cell r="C213">
            <v>42</v>
          </cell>
          <cell r="D213">
            <v>7</v>
          </cell>
          <cell r="E213">
            <v>6</v>
          </cell>
          <cell r="F213">
            <v>7</v>
          </cell>
          <cell r="G213">
            <v>6</v>
          </cell>
          <cell r="H213">
            <v>10</v>
          </cell>
          <cell r="I213">
            <v>150</v>
          </cell>
        </row>
        <row r="214">
          <cell r="A214" t="str">
            <v>Empoleon</v>
          </cell>
          <cell r="B214" t="str">
            <v>Água/Metal</v>
          </cell>
          <cell r="C214">
            <v>63</v>
          </cell>
          <cell r="D214">
            <v>9</v>
          </cell>
          <cell r="E214">
            <v>9</v>
          </cell>
          <cell r="F214">
            <v>11</v>
          </cell>
          <cell r="G214">
            <v>10</v>
          </cell>
          <cell r="H214">
            <v>6</v>
          </cell>
          <cell r="I214">
            <v>239</v>
          </cell>
        </row>
        <row r="215">
          <cell r="A215" t="str">
            <v>Entei</v>
          </cell>
          <cell r="B215" t="str">
            <v>Fogo</v>
          </cell>
          <cell r="C215">
            <v>87</v>
          </cell>
          <cell r="D215">
            <v>11</v>
          </cell>
          <cell r="E215">
            <v>8</v>
          </cell>
          <cell r="F215">
            <v>9</v>
          </cell>
          <cell r="G215">
            <v>7</v>
          </cell>
          <cell r="H215">
            <v>10</v>
          </cell>
          <cell r="I215">
            <v>261</v>
          </cell>
        </row>
        <row r="216">
          <cell r="A216" t="str">
            <v>Escavalier</v>
          </cell>
          <cell r="B216" t="str">
            <v>Inseto\Metal</v>
          </cell>
          <cell r="C216">
            <v>53</v>
          </cell>
          <cell r="D216">
            <v>13</v>
          </cell>
          <cell r="E216">
            <v>10</v>
          </cell>
          <cell r="F216">
            <v>6</v>
          </cell>
          <cell r="G216">
            <v>10</v>
          </cell>
          <cell r="H216">
            <v>2</v>
          </cell>
          <cell r="I216">
            <v>173</v>
          </cell>
        </row>
        <row r="217">
          <cell r="A217" t="str">
            <v>Espeon</v>
          </cell>
          <cell r="B217" t="str">
            <v>Psíquico</v>
          </cell>
          <cell r="C217">
            <v>49</v>
          </cell>
          <cell r="D217">
            <v>6</v>
          </cell>
          <cell r="E217">
            <v>6</v>
          </cell>
          <cell r="F217">
            <v>13</v>
          </cell>
          <cell r="G217">
            <v>9</v>
          </cell>
          <cell r="H217">
            <v>11</v>
          </cell>
          <cell r="I217">
            <v>184</v>
          </cell>
        </row>
        <row r="218">
          <cell r="A218" t="str">
            <v>Espurr</v>
          </cell>
          <cell r="B218" t="str">
            <v>Psíquico</v>
          </cell>
          <cell r="C218">
            <v>47</v>
          </cell>
          <cell r="D218">
            <v>5</v>
          </cell>
          <cell r="E218">
            <v>5</v>
          </cell>
          <cell r="F218">
            <v>6</v>
          </cell>
          <cell r="G218">
            <v>6</v>
          </cell>
          <cell r="H218">
            <v>7</v>
          </cell>
          <cell r="I218">
            <v>71</v>
          </cell>
        </row>
        <row r="219">
          <cell r="A219" t="str">
            <v>Excadrill</v>
          </cell>
          <cell r="B219" t="str">
            <v>Terra\Metal</v>
          </cell>
          <cell r="C219">
            <v>83</v>
          </cell>
          <cell r="D219">
            <v>13</v>
          </cell>
          <cell r="E219">
            <v>6</v>
          </cell>
          <cell r="F219">
            <v>5</v>
          </cell>
          <cell r="G219">
            <v>6</v>
          </cell>
          <cell r="H219">
            <v>9</v>
          </cell>
          <cell r="I219">
            <v>178</v>
          </cell>
        </row>
        <row r="220">
          <cell r="A220" t="str">
            <v>Exeggcute</v>
          </cell>
          <cell r="B220" t="str">
            <v>Grama/Psíquico</v>
          </cell>
          <cell r="C220">
            <v>45</v>
          </cell>
          <cell r="D220">
            <v>4</v>
          </cell>
          <cell r="E220">
            <v>8</v>
          </cell>
          <cell r="F220">
            <v>6</v>
          </cell>
          <cell r="G220">
            <v>4</v>
          </cell>
          <cell r="H220">
            <v>4</v>
          </cell>
          <cell r="I220">
            <v>65</v>
          </cell>
        </row>
        <row r="221">
          <cell r="A221" t="str">
            <v>Exeggutor</v>
          </cell>
          <cell r="B221" t="str">
            <v>Grama/Psíquico</v>
          </cell>
          <cell r="C221">
            <v>72</v>
          </cell>
          <cell r="D221">
            <v>9</v>
          </cell>
          <cell r="E221">
            <v>8</v>
          </cell>
          <cell r="F221">
            <v>12</v>
          </cell>
          <cell r="G221">
            <v>6</v>
          </cell>
          <cell r="H221">
            <v>5</v>
          </cell>
          <cell r="I221">
            <v>186</v>
          </cell>
        </row>
        <row r="222">
          <cell r="A222" t="str">
            <v>Exeggutor (Alola)</v>
          </cell>
          <cell r="B222" t="str">
            <v>Grama/Dragão</v>
          </cell>
          <cell r="C222">
            <v>72</v>
          </cell>
          <cell r="D222">
            <v>9</v>
          </cell>
          <cell r="E222">
            <v>8</v>
          </cell>
          <cell r="F222">
            <v>12</v>
          </cell>
          <cell r="G222">
            <v>7</v>
          </cell>
          <cell r="H222">
            <v>5</v>
          </cell>
          <cell r="I222">
            <v>186</v>
          </cell>
        </row>
        <row r="223">
          <cell r="A223" t="str">
            <v>Exploud</v>
          </cell>
          <cell r="B223" t="str">
            <v>Normal</v>
          </cell>
          <cell r="C223">
            <v>78</v>
          </cell>
          <cell r="D223">
            <v>9</v>
          </cell>
          <cell r="E223">
            <v>6</v>
          </cell>
          <cell r="F223">
            <v>9</v>
          </cell>
          <cell r="G223">
            <v>6</v>
          </cell>
          <cell r="H223">
            <v>7</v>
          </cell>
          <cell r="I223">
            <v>221</v>
          </cell>
        </row>
        <row r="224">
          <cell r="A224" t="str">
            <v>Farfetch'd</v>
          </cell>
          <cell r="B224" t="str">
            <v>Normal/Voador</v>
          </cell>
          <cell r="C224">
            <v>39</v>
          </cell>
          <cell r="D224">
            <v>6</v>
          </cell>
          <cell r="E224">
            <v>5</v>
          </cell>
          <cell r="F224">
            <v>6</v>
          </cell>
          <cell r="G224">
            <v>6</v>
          </cell>
          <cell r="H224">
            <v>6</v>
          </cell>
          <cell r="I224">
            <v>132</v>
          </cell>
        </row>
        <row r="225">
          <cell r="A225" t="str">
            <v>Fearow</v>
          </cell>
          <cell r="B225" t="str">
            <v>Normal/Voador</v>
          </cell>
          <cell r="C225">
            <v>49</v>
          </cell>
          <cell r="D225">
            <v>9</v>
          </cell>
          <cell r="E225">
            <v>6</v>
          </cell>
          <cell r="F225">
            <v>6</v>
          </cell>
          <cell r="G225">
            <v>6</v>
          </cell>
          <cell r="H225">
            <v>10</v>
          </cell>
          <cell r="I225">
            <v>155</v>
          </cell>
        </row>
        <row r="226">
          <cell r="A226" t="str">
            <v>Feebas</v>
          </cell>
          <cell r="B226" t="str">
            <v>Água</v>
          </cell>
          <cell r="C226">
            <v>15</v>
          </cell>
          <cell r="D226">
            <v>1</v>
          </cell>
          <cell r="E226">
            <v>2</v>
          </cell>
          <cell r="F226">
            <v>1</v>
          </cell>
          <cell r="G226">
            <v>5</v>
          </cell>
          <cell r="H226">
            <v>8</v>
          </cell>
          <cell r="I226">
            <v>40</v>
          </cell>
        </row>
        <row r="227">
          <cell r="A227" t="str">
            <v>Fennekin</v>
          </cell>
          <cell r="B227" t="str">
            <v>Fogo</v>
          </cell>
          <cell r="C227">
            <v>30</v>
          </cell>
          <cell r="D227">
            <v>4</v>
          </cell>
          <cell r="E227">
            <v>4</v>
          </cell>
          <cell r="F227">
            <v>6</v>
          </cell>
          <cell r="G227">
            <v>6</v>
          </cell>
          <cell r="H227">
            <v>6</v>
          </cell>
          <cell r="I227">
            <v>61</v>
          </cell>
        </row>
        <row r="228">
          <cell r="A228" t="str">
            <v>Feraligatr</v>
          </cell>
          <cell r="B228" t="str">
            <v>Água</v>
          </cell>
          <cell r="C228">
            <v>64</v>
          </cell>
          <cell r="D228">
            <v>10</v>
          </cell>
          <cell r="E228">
            <v>10</v>
          </cell>
          <cell r="F228">
            <v>8</v>
          </cell>
          <cell r="G228">
            <v>8</v>
          </cell>
          <cell r="H228">
            <v>8</v>
          </cell>
          <cell r="I228">
            <v>239</v>
          </cell>
        </row>
        <row r="229">
          <cell r="A229" t="str">
            <v>Ferroseed</v>
          </cell>
          <cell r="B229" t="str">
            <v>Grama\Metal</v>
          </cell>
          <cell r="C229">
            <v>33</v>
          </cell>
          <cell r="D229">
            <v>5</v>
          </cell>
          <cell r="E229">
            <v>9</v>
          </cell>
          <cell r="F229">
            <v>2</v>
          </cell>
          <cell r="G229">
            <v>9</v>
          </cell>
          <cell r="H229">
            <v>1</v>
          </cell>
          <cell r="I229">
            <v>61</v>
          </cell>
        </row>
        <row r="230">
          <cell r="A230" t="str">
            <v>Ferrothorn</v>
          </cell>
          <cell r="B230" t="str">
            <v>Grama\Metal</v>
          </cell>
          <cell r="C230">
            <v>56</v>
          </cell>
          <cell r="D230">
            <v>9</v>
          </cell>
          <cell r="E230">
            <v>13</v>
          </cell>
          <cell r="F230">
            <v>5</v>
          </cell>
          <cell r="G230">
            <v>12</v>
          </cell>
          <cell r="H230">
            <v>2</v>
          </cell>
          <cell r="I230">
            <v>171</v>
          </cell>
        </row>
        <row r="231">
          <cell r="A231" t="str">
            <v>Finneon</v>
          </cell>
          <cell r="B231" t="str">
            <v>Água</v>
          </cell>
          <cell r="C231">
            <v>37</v>
          </cell>
          <cell r="D231">
            <v>5</v>
          </cell>
          <cell r="E231">
            <v>6</v>
          </cell>
          <cell r="F231">
            <v>5</v>
          </cell>
          <cell r="G231">
            <v>6</v>
          </cell>
          <cell r="H231">
            <v>7</v>
          </cell>
          <cell r="I231">
            <v>66</v>
          </cell>
        </row>
        <row r="232">
          <cell r="A232" t="str">
            <v>Flaaffy</v>
          </cell>
          <cell r="B232" t="str">
            <v>Elétrico</v>
          </cell>
          <cell r="C232">
            <v>53</v>
          </cell>
          <cell r="D232">
            <v>5</v>
          </cell>
          <cell r="E232">
            <v>5</v>
          </cell>
          <cell r="F232">
            <v>8</v>
          </cell>
          <cell r="G232">
            <v>6</v>
          </cell>
          <cell r="H232">
            <v>4</v>
          </cell>
          <cell r="I232">
            <v>128</v>
          </cell>
        </row>
        <row r="233">
          <cell r="A233" t="str">
            <v>Flabébé</v>
          </cell>
          <cell r="B233" t="str">
            <v>Fada</v>
          </cell>
          <cell r="C233">
            <v>33</v>
          </cell>
          <cell r="D233">
            <v>4</v>
          </cell>
          <cell r="E233">
            <v>4</v>
          </cell>
          <cell r="F233">
            <v>6</v>
          </cell>
          <cell r="G233">
            <v>8</v>
          </cell>
          <cell r="H233">
            <v>4</v>
          </cell>
          <cell r="I233">
            <v>61</v>
          </cell>
        </row>
        <row r="234">
          <cell r="A234" t="str">
            <v>Flareon</v>
          </cell>
          <cell r="B234" t="str">
            <v>Fogo</v>
          </cell>
          <cell r="C234">
            <v>49</v>
          </cell>
          <cell r="D234">
            <v>13</v>
          </cell>
          <cell r="E234">
            <v>6</v>
          </cell>
          <cell r="F234">
            <v>9</v>
          </cell>
          <cell r="G234">
            <v>11</v>
          </cell>
          <cell r="H234">
            <v>6</v>
          </cell>
          <cell r="I234">
            <v>184</v>
          </cell>
        </row>
        <row r="235">
          <cell r="A235" t="str">
            <v>Fletchinder</v>
          </cell>
          <cell r="B235" t="str">
            <v>Fogo\Voador</v>
          </cell>
          <cell r="C235">
            <v>47</v>
          </cell>
          <cell r="D235">
            <v>7</v>
          </cell>
          <cell r="E235">
            <v>5</v>
          </cell>
          <cell r="F235">
            <v>6</v>
          </cell>
          <cell r="G235">
            <v>5</v>
          </cell>
          <cell r="H235">
            <v>8</v>
          </cell>
          <cell r="I235">
            <v>134</v>
          </cell>
        </row>
        <row r="236">
          <cell r="A236" t="str">
            <v>Fletchling</v>
          </cell>
          <cell r="B236" t="str">
            <v>Normal\Voador</v>
          </cell>
          <cell r="C236">
            <v>34</v>
          </cell>
          <cell r="D236">
            <v>5</v>
          </cell>
          <cell r="E236">
            <v>4</v>
          </cell>
          <cell r="F236">
            <v>4</v>
          </cell>
          <cell r="G236">
            <v>4</v>
          </cell>
          <cell r="H236">
            <v>6</v>
          </cell>
          <cell r="I236">
            <v>56</v>
          </cell>
        </row>
        <row r="237">
          <cell r="A237" t="str">
            <v>Floatzel</v>
          </cell>
          <cell r="B237" t="str">
            <v>Água</v>
          </cell>
          <cell r="C237">
            <v>64</v>
          </cell>
          <cell r="D237">
            <v>10</v>
          </cell>
          <cell r="E237">
            <v>5</v>
          </cell>
          <cell r="F237">
            <v>8</v>
          </cell>
          <cell r="G237">
            <v>5</v>
          </cell>
          <cell r="H237">
            <v>11</v>
          </cell>
          <cell r="I237">
            <v>173</v>
          </cell>
        </row>
        <row r="238">
          <cell r="A238" t="str">
            <v>Floette</v>
          </cell>
          <cell r="B238" t="str">
            <v>Fada</v>
          </cell>
          <cell r="C238">
            <v>41</v>
          </cell>
          <cell r="D238">
            <v>4</v>
          </cell>
          <cell r="E238">
            <v>5</v>
          </cell>
          <cell r="F238">
            <v>7</v>
          </cell>
          <cell r="G238">
            <v>10</v>
          </cell>
          <cell r="H238">
            <v>5</v>
          </cell>
          <cell r="I238">
            <v>130</v>
          </cell>
        </row>
        <row r="239">
          <cell r="A239" t="str">
            <v>Florges</v>
          </cell>
          <cell r="B239" t="str">
            <v>Fada</v>
          </cell>
          <cell r="C239">
            <v>59</v>
          </cell>
          <cell r="D239">
            <v>6</v>
          </cell>
          <cell r="E239">
            <v>7</v>
          </cell>
          <cell r="F239">
            <v>11</v>
          </cell>
          <cell r="G239">
            <v>15</v>
          </cell>
          <cell r="H239">
            <v>7</v>
          </cell>
          <cell r="I239">
            <v>248</v>
          </cell>
        </row>
        <row r="240">
          <cell r="A240" t="str">
            <v>Flygon</v>
          </cell>
          <cell r="B240" t="str">
            <v>Terra/Dragão</v>
          </cell>
          <cell r="C240">
            <v>60</v>
          </cell>
          <cell r="D240">
            <v>10</v>
          </cell>
          <cell r="E240">
            <v>8</v>
          </cell>
          <cell r="F240">
            <v>8</v>
          </cell>
          <cell r="G240">
            <v>8</v>
          </cell>
          <cell r="H240">
            <v>10</v>
          </cell>
          <cell r="I240">
            <v>234</v>
          </cell>
        </row>
        <row r="241">
          <cell r="A241" t="str">
            <v>Fomantis</v>
          </cell>
          <cell r="B241" t="str">
            <v>Grama</v>
          </cell>
          <cell r="C241">
            <v>30</v>
          </cell>
          <cell r="D241">
            <v>5</v>
          </cell>
          <cell r="E241">
            <v>3</v>
          </cell>
          <cell r="F241">
            <v>5</v>
          </cell>
          <cell r="G241">
            <v>3</v>
          </cell>
          <cell r="H241">
            <v>3</v>
          </cell>
          <cell r="I241">
            <v>50</v>
          </cell>
        </row>
        <row r="242">
          <cell r="A242" t="str">
            <v>Foongus</v>
          </cell>
          <cell r="B242" t="str">
            <v>Grama\Veneno</v>
          </cell>
          <cell r="C242">
            <v>52</v>
          </cell>
          <cell r="D242">
            <v>5</v>
          </cell>
          <cell r="E242">
            <v>4</v>
          </cell>
          <cell r="F242">
            <v>5</v>
          </cell>
          <cell r="G242">
            <v>5</v>
          </cell>
          <cell r="H242">
            <v>1</v>
          </cell>
          <cell r="I242">
            <v>59</v>
          </cell>
        </row>
        <row r="243">
          <cell r="A243" t="str">
            <v>Forretress</v>
          </cell>
          <cell r="B243" t="str">
            <v>Inseto/Metal</v>
          </cell>
          <cell r="C243">
            <v>57</v>
          </cell>
          <cell r="D243">
            <v>9</v>
          </cell>
          <cell r="E243">
            <v>14</v>
          </cell>
          <cell r="F243">
            <v>6</v>
          </cell>
          <cell r="G243">
            <v>6</v>
          </cell>
          <cell r="H243">
            <v>4</v>
          </cell>
          <cell r="I243">
            <v>163</v>
          </cell>
        </row>
        <row r="244">
          <cell r="A244" t="str">
            <v>Fraxure</v>
          </cell>
          <cell r="B244" t="str">
            <v>Dragão</v>
          </cell>
          <cell r="C244">
            <v>50</v>
          </cell>
          <cell r="D244">
            <v>12</v>
          </cell>
          <cell r="E244">
            <v>7</v>
          </cell>
          <cell r="F244">
            <v>4</v>
          </cell>
          <cell r="G244">
            <v>5</v>
          </cell>
          <cell r="H244">
            <v>7</v>
          </cell>
          <cell r="I244">
            <v>144</v>
          </cell>
        </row>
        <row r="245">
          <cell r="A245" t="str">
            <v>Frillish</v>
          </cell>
          <cell r="B245" t="str">
            <v>Água\Fantasma</v>
          </cell>
          <cell r="C245">
            <v>42</v>
          </cell>
          <cell r="D245">
            <v>4</v>
          </cell>
          <cell r="E245">
            <v>5</v>
          </cell>
          <cell r="F245">
            <v>6</v>
          </cell>
          <cell r="G245">
            <v>8</v>
          </cell>
          <cell r="H245">
            <v>4</v>
          </cell>
          <cell r="I245">
            <v>67</v>
          </cell>
        </row>
        <row r="246">
          <cell r="A246" t="str">
            <v>Froakie</v>
          </cell>
          <cell r="B246" t="str">
            <v>Água</v>
          </cell>
          <cell r="C246">
            <v>31</v>
          </cell>
          <cell r="D246">
            <v>6</v>
          </cell>
          <cell r="E246">
            <v>4</v>
          </cell>
          <cell r="F246">
            <v>6</v>
          </cell>
          <cell r="G246">
            <v>4</v>
          </cell>
          <cell r="H246">
            <v>7</v>
          </cell>
          <cell r="I246">
            <v>63</v>
          </cell>
        </row>
        <row r="247">
          <cell r="A247" t="str">
            <v>Frogadier</v>
          </cell>
          <cell r="B247" t="str">
            <v>Água</v>
          </cell>
          <cell r="C247">
            <v>41</v>
          </cell>
          <cell r="D247">
            <v>6</v>
          </cell>
          <cell r="E247">
            <v>5</v>
          </cell>
          <cell r="F247">
            <v>8</v>
          </cell>
          <cell r="G247">
            <v>6</v>
          </cell>
          <cell r="H247">
            <v>10</v>
          </cell>
          <cell r="I247">
            <v>142</v>
          </cell>
        </row>
        <row r="248">
          <cell r="A248" t="str">
            <v>Froslass</v>
          </cell>
          <cell r="B248" t="str">
            <v>Gelo/Fantasma</v>
          </cell>
          <cell r="C248">
            <v>53</v>
          </cell>
          <cell r="D248">
            <v>8</v>
          </cell>
          <cell r="E248">
            <v>7</v>
          </cell>
          <cell r="F248">
            <v>8</v>
          </cell>
          <cell r="G248">
            <v>7</v>
          </cell>
          <cell r="H248">
            <v>11</v>
          </cell>
          <cell r="I248">
            <v>168</v>
          </cell>
        </row>
        <row r="249">
          <cell r="A249" t="str">
            <v>Furfrou</v>
          </cell>
          <cell r="B249" t="str">
            <v>Normal</v>
          </cell>
          <cell r="C249">
            <v>57</v>
          </cell>
          <cell r="D249">
            <v>8</v>
          </cell>
          <cell r="E249">
            <v>6</v>
          </cell>
          <cell r="F249">
            <v>6</v>
          </cell>
          <cell r="G249">
            <v>9</v>
          </cell>
          <cell r="H249">
            <v>10</v>
          </cell>
          <cell r="I249">
            <v>165</v>
          </cell>
        </row>
        <row r="250">
          <cell r="A250" t="str">
            <v>Furret</v>
          </cell>
          <cell r="B250" t="str">
            <v>Normal</v>
          </cell>
          <cell r="C250">
            <v>64</v>
          </cell>
          <cell r="D250">
            <v>8</v>
          </cell>
          <cell r="E250">
            <v>6</v>
          </cell>
          <cell r="F250">
            <v>4</v>
          </cell>
          <cell r="G250">
            <v>5</v>
          </cell>
          <cell r="H250">
            <v>9</v>
          </cell>
          <cell r="I250">
            <v>145</v>
          </cell>
        </row>
        <row r="251">
          <cell r="A251" t="str">
            <v>Gabite</v>
          </cell>
          <cell r="B251" t="str">
            <v>Dragão/Terra</v>
          </cell>
          <cell r="C251">
            <v>51</v>
          </cell>
          <cell r="D251">
            <v>9</v>
          </cell>
          <cell r="E251">
            <v>6</v>
          </cell>
          <cell r="F251">
            <v>5</v>
          </cell>
          <cell r="G251">
            <v>5</v>
          </cell>
          <cell r="H251">
            <v>8</v>
          </cell>
          <cell r="I251">
            <v>144</v>
          </cell>
        </row>
        <row r="252">
          <cell r="A252" t="str">
            <v>Gallade</v>
          </cell>
          <cell r="B252" t="str">
            <v>Psíquico/Lutador</v>
          </cell>
          <cell r="C252">
            <v>51</v>
          </cell>
          <cell r="D252">
            <v>12</v>
          </cell>
          <cell r="E252">
            <v>6</v>
          </cell>
          <cell r="F252">
            <v>6</v>
          </cell>
          <cell r="G252">
            <v>11</v>
          </cell>
          <cell r="H252">
            <v>8</v>
          </cell>
          <cell r="I252">
            <v>233</v>
          </cell>
        </row>
        <row r="253">
          <cell r="A253" t="str">
            <v>Galvantula</v>
          </cell>
          <cell r="B253" t="str">
            <v>Inseto\Elétrico</v>
          </cell>
          <cell r="C253">
            <v>53</v>
          </cell>
          <cell r="D253">
            <v>8</v>
          </cell>
          <cell r="E253">
            <v>6</v>
          </cell>
          <cell r="F253">
            <v>10</v>
          </cell>
          <cell r="G253">
            <v>6</v>
          </cell>
          <cell r="H253">
            <v>11</v>
          </cell>
          <cell r="I253">
            <v>165</v>
          </cell>
        </row>
        <row r="254">
          <cell r="A254" t="str">
            <v>Garbodor</v>
          </cell>
          <cell r="B254" t="str">
            <v>Veneno</v>
          </cell>
          <cell r="C254">
            <v>60</v>
          </cell>
          <cell r="D254">
            <v>9</v>
          </cell>
          <cell r="E254">
            <v>8</v>
          </cell>
          <cell r="F254">
            <v>6</v>
          </cell>
          <cell r="G254">
            <v>8</v>
          </cell>
          <cell r="H254">
            <v>7</v>
          </cell>
          <cell r="I254">
            <v>166</v>
          </cell>
        </row>
        <row r="255">
          <cell r="A255" t="str">
            <v>Garchomp</v>
          </cell>
          <cell r="B255" t="str">
            <v>Dragão/Terra</v>
          </cell>
          <cell r="C255">
            <v>81</v>
          </cell>
          <cell r="D255">
            <v>13</v>
          </cell>
          <cell r="E255">
            <v>9</v>
          </cell>
          <cell r="F255">
            <v>8</v>
          </cell>
          <cell r="G255">
            <v>8</v>
          </cell>
          <cell r="H255">
            <v>10</v>
          </cell>
          <cell r="I255">
            <v>270</v>
          </cell>
        </row>
        <row r="256">
          <cell r="A256" t="str">
            <v>Gardevoir</v>
          </cell>
          <cell r="B256" t="str">
            <v>Psíquico/Fada</v>
          </cell>
          <cell r="C256">
            <v>51</v>
          </cell>
          <cell r="D256">
            <v>6</v>
          </cell>
          <cell r="E256">
            <v>6</v>
          </cell>
          <cell r="F256">
            <v>12</v>
          </cell>
          <cell r="G256">
            <v>11</v>
          </cell>
          <cell r="H256">
            <v>8</v>
          </cell>
          <cell r="I256">
            <v>233</v>
          </cell>
        </row>
        <row r="257">
          <cell r="A257" t="str">
            <v>Gastly</v>
          </cell>
          <cell r="B257" t="str">
            <v>Fantasma/Veneno</v>
          </cell>
          <cell r="C257">
            <v>23</v>
          </cell>
          <cell r="D257">
            <v>3</v>
          </cell>
          <cell r="E257">
            <v>3</v>
          </cell>
          <cell r="F257">
            <v>10</v>
          </cell>
          <cell r="G257">
            <v>3</v>
          </cell>
          <cell r="H257">
            <v>8</v>
          </cell>
          <cell r="I257">
            <v>62</v>
          </cell>
        </row>
        <row r="258">
          <cell r="A258" t="str">
            <v>Gastrodon</v>
          </cell>
          <cell r="B258" t="str">
            <v>Água/Terra</v>
          </cell>
          <cell r="C258">
            <v>84</v>
          </cell>
          <cell r="D258">
            <v>8</v>
          </cell>
          <cell r="E258">
            <v>7</v>
          </cell>
          <cell r="F258">
            <v>9</v>
          </cell>
          <cell r="G258">
            <v>8</v>
          </cell>
          <cell r="H258">
            <v>4</v>
          </cell>
          <cell r="I258">
            <v>166</v>
          </cell>
        </row>
        <row r="259">
          <cell r="A259" t="str">
            <v>Genesect</v>
          </cell>
          <cell r="B259" t="str">
            <v>Inseto\Metal</v>
          </cell>
          <cell r="C259">
            <v>71</v>
          </cell>
          <cell r="D259">
            <v>12</v>
          </cell>
          <cell r="E259">
            <v>10</v>
          </cell>
          <cell r="F259">
            <v>12</v>
          </cell>
          <cell r="G259">
            <v>10</v>
          </cell>
          <cell r="H259">
            <v>10</v>
          </cell>
          <cell r="I259">
            <v>270</v>
          </cell>
        </row>
        <row r="260">
          <cell r="A260" t="str">
            <v>Gengar</v>
          </cell>
          <cell r="B260" t="str">
            <v>Fantasma/Veneno</v>
          </cell>
          <cell r="C260">
            <v>45</v>
          </cell>
          <cell r="D260">
            <v>6</v>
          </cell>
          <cell r="E260">
            <v>6</v>
          </cell>
          <cell r="F260">
            <v>13</v>
          </cell>
          <cell r="G260">
            <v>7</v>
          </cell>
          <cell r="H260">
            <v>11</v>
          </cell>
          <cell r="I260">
            <v>225</v>
          </cell>
        </row>
        <row r="261">
          <cell r="A261" t="str">
            <v>Geodude</v>
          </cell>
          <cell r="B261" t="str">
            <v>Pedra/Terra</v>
          </cell>
          <cell r="C261">
            <v>30</v>
          </cell>
          <cell r="D261">
            <v>8</v>
          </cell>
          <cell r="E261">
            <v>10</v>
          </cell>
          <cell r="F261">
            <v>3</v>
          </cell>
          <cell r="G261">
            <v>3</v>
          </cell>
          <cell r="H261">
            <v>2</v>
          </cell>
          <cell r="I261">
            <v>60</v>
          </cell>
        </row>
        <row r="262">
          <cell r="A262" t="str">
            <v>Geodude(Alola)</v>
          </cell>
          <cell r="B262" t="str">
            <v>Pedra/Elétrico</v>
          </cell>
          <cell r="C262">
            <v>30</v>
          </cell>
          <cell r="D262">
            <v>8</v>
          </cell>
          <cell r="E262">
            <v>10</v>
          </cell>
          <cell r="F262">
            <v>3</v>
          </cell>
          <cell r="G262">
            <v>3</v>
          </cell>
          <cell r="H262">
            <v>2</v>
          </cell>
          <cell r="I262">
            <v>60</v>
          </cell>
        </row>
        <row r="263">
          <cell r="A263" t="str">
            <v>Gible</v>
          </cell>
          <cell r="B263" t="str">
            <v>Dragão/Terra</v>
          </cell>
          <cell r="C263">
            <v>44</v>
          </cell>
          <cell r="D263">
            <v>7</v>
          </cell>
          <cell r="E263">
            <v>4</v>
          </cell>
          <cell r="F263">
            <v>4</v>
          </cell>
          <cell r="G263">
            <v>4</v>
          </cell>
          <cell r="H263">
            <v>4</v>
          </cell>
          <cell r="I263">
            <v>60</v>
          </cell>
        </row>
        <row r="264">
          <cell r="A264" t="str">
            <v>Gigalith</v>
          </cell>
          <cell r="B264" t="str">
            <v>Pedra</v>
          </cell>
          <cell r="C264">
            <v>64</v>
          </cell>
          <cell r="D264">
            <v>13</v>
          </cell>
          <cell r="E264">
            <v>13</v>
          </cell>
          <cell r="F264">
            <v>6</v>
          </cell>
          <cell r="G264">
            <v>7</v>
          </cell>
          <cell r="H264">
            <v>2</v>
          </cell>
          <cell r="I264">
            <v>232</v>
          </cell>
        </row>
        <row r="265">
          <cell r="A265" t="str">
            <v>Girafarig</v>
          </cell>
          <cell r="B265" t="str">
            <v>Normal/Psíquico</v>
          </cell>
          <cell r="C265">
            <v>53</v>
          </cell>
          <cell r="D265">
            <v>8</v>
          </cell>
          <cell r="E265">
            <v>6</v>
          </cell>
          <cell r="F265">
            <v>9</v>
          </cell>
          <cell r="G265">
            <v>6</v>
          </cell>
          <cell r="H265">
            <v>8</v>
          </cell>
          <cell r="I265">
            <v>159</v>
          </cell>
        </row>
        <row r="266">
          <cell r="A266" t="str">
            <v>Giratina</v>
          </cell>
          <cell r="B266" t="str">
            <v>Fantasma/Dragão</v>
          </cell>
          <cell r="C266">
            <v>113</v>
          </cell>
          <cell r="D266">
            <v>10</v>
          </cell>
          <cell r="E266">
            <v>12</v>
          </cell>
          <cell r="F266">
            <v>10</v>
          </cell>
          <cell r="G266">
            <v>12</v>
          </cell>
          <cell r="H266">
            <v>9</v>
          </cell>
          <cell r="I266">
            <v>306</v>
          </cell>
        </row>
        <row r="267">
          <cell r="A267" t="str">
            <v>Giratina (Alternativa)</v>
          </cell>
          <cell r="B267" t="str">
            <v>Fantasma/Dragão</v>
          </cell>
          <cell r="C267">
            <v>113</v>
          </cell>
          <cell r="D267">
            <v>10</v>
          </cell>
          <cell r="E267">
            <v>12</v>
          </cell>
          <cell r="F267">
            <v>10</v>
          </cell>
          <cell r="G267">
            <v>12</v>
          </cell>
          <cell r="H267">
            <v>9</v>
          </cell>
          <cell r="I267">
            <v>306</v>
          </cell>
        </row>
        <row r="268">
          <cell r="A268" t="str">
            <v>Glaceon</v>
          </cell>
          <cell r="B268" t="str">
            <v>Gelo</v>
          </cell>
          <cell r="C268">
            <v>49</v>
          </cell>
          <cell r="D268">
            <v>6</v>
          </cell>
          <cell r="E268">
            <v>11</v>
          </cell>
          <cell r="F268">
            <v>13</v>
          </cell>
          <cell r="G268">
            <v>9</v>
          </cell>
          <cell r="H268">
            <v>6</v>
          </cell>
          <cell r="I268">
            <v>184</v>
          </cell>
        </row>
        <row r="269">
          <cell r="A269" t="str">
            <v>Glalie</v>
          </cell>
          <cell r="B269" t="str">
            <v>Gelo</v>
          </cell>
          <cell r="C269">
            <v>60</v>
          </cell>
          <cell r="D269">
            <v>8</v>
          </cell>
          <cell r="E269">
            <v>8</v>
          </cell>
          <cell r="F269">
            <v>8</v>
          </cell>
          <cell r="G269">
            <v>8</v>
          </cell>
          <cell r="H269">
            <v>8</v>
          </cell>
          <cell r="I269">
            <v>168</v>
          </cell>
        </row>
        <row r="270">
          <cell r="A270" t="str">
            <v>Glameow</v>
          </cell>
          <cell r="B270" t="str">
            <v>Normal</v>
          </cell>
          <cell r="C270">
            <v>37</v>
          </cell>
          <cell r="D270">
            <v>5</v>
          </cell>
          <cell r="E270">
            <v>4</v>
          </cell>
          <cell r="F270">
            <v>4</v>
          </cell>
          <cell r="G270">
            <v>4</v>
          </cell>
          <cell r="H270">
            <v>8</v>
          </cell>
          <cell r="I270">
            <v>62</v>
          </cell>
        </row>
        <row r="271">
          <cell r="A271" t="str">
            <v>Gligar</v>
          </cell>
          <cell r="B271" t="str">
            <v>Terra/Voador</v>
          </cell>
          <cell r="C271">
            <v>49</v>
          </cell>
          <cell r="D271">
            <v>7</v>
          </cell>
          <cell r="E271">
            <v>10</v>
          </cell>
          <cell r="F271">
            <v>3</v>
          </cell>
          <cell r="G271">
            <v>6</v>
          </cell>
          <cell r="H271">
            <v>8</v>
          </cell>
          <cell r="I271">
            <v>86</v>
          </cell>
        </row>
        <row r="272">
          <cell r="A272" t="str">
            <v>Gliscor</v>
          </cell>
          <cell r="B272" t="str">
            <v>Terra/Voador</v>
          </cell>
          <cell r="C272">
            <v>57</v>
          </cell>
          <cell r="D272">
            <v>9</v>
          </cell>
          <cell r="E272">
            <v>12</v>
          </cell>
          <cell r="F272">
            <v>4</v>
          </cell>
          <cell r="G272">
            <v>7</v>
          </cell>
          <cell r="H272">
            <v>9</v>
          </cell>
          <cell r="I272">
            <v>179</v>
          </cell>
        </row>
        <row r="273">
          <cell r="A273" t="str">
            <v>Gloom</v>
          </cell>
          <cell r="B273" t="str">
            <v>Grama/Veneno</v>
          </cell>
          <cell r="C273">
            <v>45</v>
          </cell>
          <cell r="D273">
            <v>6</v>
          </cell>
          <cell r="E273">
            <v>7</v>
          </cell>
          <cell r="F273">
            <v>8</v>
          </cell>
          <cell r="G273">
            <v>7</v>
          </cell>
          <cell r="H273">
            <v>4</v>
          </cell>
          <cell r="I273">
            <v>138</v>
          </cell>
        </row>
        <row r="274">
          <cell r="A274" t="str">
            <v>Gogoat</v>
          </cell>
          <cell r="B274" t="str">
            <v>Grama</v>
          </cell>
          <cell r="C274">
            <v>93</v>
          </cell>
          <cell r="D274">
            <v>10</v>
          </cell>
          <cell r="E274">
            <v>6</v>
          </cell>
          <cell r="F274">
            <v>10</v>
          </cell>
          <cell r="G274">
            <v>8</v>
          </cell>
          <cell r="H274">
            <v>7</v>
          </cell>
          <cell r="I274">
            <v>186</v>
          </cell>
        </row>
        <row r="275">
          <cell r="A275" t="str">
            <v>Golbat</v>
          </cell>
          <cell r="B275" t="str">
            <v>Veneno/Voador</v>
          </cell>
          <cell r="C275">
            <v>57</v>
          </cell>
          <cell r="D275">
            <v>8</v>
          </cell>
          <cell r="E275">
            <v>7</v>
          </cell>
          <cell r="F275">
            <v>6</v>
          </cell>
          <cell r="G275">
            <v>7</v>
          </cell>
          <cell r="H275">
            <v>9</v>
          </cell>
          <cell r="I275">
            <v>159</v>
          </cell>
        </row>
        <row r="276">
          <cell r="A276" t="str">
            <v>Goldeen</v>
          </cell>
          <cell r="B276" t="str">
            <v>Água</v>
          </cell>
          <cell r="C276">
            <v>34</v>
          </cell>
          <cell r="D276">
            <v>7</v>
          </cell>
          <cell r="E276">
            <v>6</v>
          </cell>
          <cell r="F276">
            <v>3</v>
          </cell>
          <cell r="G276">
            <v>5</v>
          </cell>
          <cell r="H276">
            <v>6</v>
          </cell>
          <cell r="I276">
            <v>64</v>
          </cell>
        </row>
        <row r="277">
          <cell r="A277" t="str">
            <v>Golduck</v>
          </cell>
          <cell r="B277" t="str">
            <v>Água</v>
          </cell>
          <cell r="C277">
            <v>60</v>
          </cell>
          <cell r="D277">
            <v>8</v>
          </cell>
          <cell r="E277">
            <v>8</v>
          </cell>
          <cell r="F277">
            <v>9</v>
          </cell>
          <cell r="G277">
            <v>8</v>
          </cell>
          <cell r="H277">
            <v>8</v>
          </cell>
          <cell r="I277">
            <v>175</v>
          </cell>
        </row>
        <row r="278">
          <cell r="A278" t="str">
            <v>Golem</v>
          </cell>
          <cell r="B278" t="str">
            <v>Pedra/Terra</v>
          </cell>
          <cell r="C278">
            <v>60</v>
          </cell>
          <cell r="D278">
            <v>11</v>
          </cell>
          <cell r="E278">
            <v>13</v>
          </cell>
          <cell r="F278">
            <v>5</v>
          </cell>
          <cell r="G278">
            <v>6</v>
          </cell>
          <cell r="H278">
            <v>4</v>
          </cell>
          <cell r="I278">
            <v>223</v>
          </cell>
        </row>
        <row r="279">
          <cell r="A279" t="str">
            <v>Golem (Alola)</v>
          </cell>
          <cell r="B279" t="str">
            <v>Pedra/Elétrico</v>
          </cell>
          <cell r="C279">
            <v>60</v>
          </cell>
          <cell r="D279">
            <v>11</v>
          </cell>
          <cell r="E279">
            <v>13</v>
          </cell>
          <cell r="F279">
            <v>5</v>
          </cell>
          <cell r="G279">
            <v>6</v>
          </cell>
          <cell r="H279">
            <v>4</v>
          </cell>
          <cell r="I279">
            <v>223</v>
          </cell>
        </row>
        <row r="280">
          <cell r="A280" t="str">
            <v>Golett</v>
          </cell>
          <cell r="B280" t="str">
            <v>Terra\Fantasma</v>
          </cell>
          <cell r="C280">
            <v>45</v>
          </cell>
          <cell r="D280">
            <v>7</v>
          </cell>
          <cell r="E280">
            <v>5</v>
          </cell>
          <cell r="F280">
            <v>3</v>
          </cell>
          <cell r="G280">
            <v>5</v>
          </cell>
          <cell r="H280">
            <v>3</v>
          </cell>
          <cell r="I280">
            <v>61</v>
          </cell>
        </row>
        <row r="281">
          <cell r="A281" t="str">
            <v>Golisopod</v>
          </cell>
          <cell r="B281" t="str">
            <v>Inseto\Água</v>
          </cell>
          <cell r="C281">
            <v>57</v>
          </cell>
          <cell r="D281">
            <v>12</v>
          </cell>
          <cell r="E281">
            <v>14</v>
          </cell>
          <cell r="F281">
            <v>6</v>
          </cell>
          <cell r="G281">
            <v>9</v>
          </cell>
          <cell r="H281">
            <v>4</v>
          </cell>
          <cell r="I281">
            <v>186</v>
          </cell>
        </row>
        <row r="282">
          <cell r="A282" t="str">
            <v>Golurk</v>
          </cell>
          <cell r="B282" t="str">
            <v>Terra\Fantasma</v>
          </cell>
          <cell r="C282">
            <v>67</v>
          </cell>
          <cell r="D282">
            <v>12</v>
          </cell>
          <cell r="E282">
            <v>8</v>
          </cell>
          <cell r="F282">
            <v>5</v>
          </cell>
          <cell r="G282">
            <v>8</v>
          </cell>
          <cell r="H282">
            <v>5</v>
          </cell>
          <cell r="I282">
            <v>169</v>
          </cell>
        </row>
        <row r="283">
          <cell r="A283" t="str">
            <v>Goodra</v>
          </cell>
          <cell r="B283" t="str">
            <v>Dragão</v>
          </cell>
          <cell r="C283">
            <v>68</v>
          </cell>
          <cell r="D283">
            <v>10</v>
          </cell>
          <cell r="E283">
            <v>7</v>
          </cell>
          <cell r="F283">
            <v>11</v>
          </cell>
          <cell r="G283">
            <v>15</v>
          </cell>
          <cell r="H283">
            <v>8</v>
          </cell>
          <cell r="I283">
            <v>270</v>
          </cell>
        </row>
        <row r="284">
          <cell r="A284" t="str">
            <v>Goomy</v>
          </cell>
          <cell r="B284" t="str">
            <v>Dragão</v>
          </cell>
          <cell r="C284">
            <v>34</v>
          </cell>
          <cell r="D284">
            <v>5</v>
          </cell>
          <cell r="E284">
            <v>3</v>
          </cell>
          <cell r="F284">
            <v>5</v>
          </cell>
          <cell r="G284">
            <v>7</v>
          </cell>
          <cell r="H284">
            <v>4</v>
          </cell>
          <cell r="I284">
            <v>60</v>
          </cell>
        </row>
        <row r="285">
          <cell r="A285" t="str">
            <v>Gorebyss</v>
          </cell>
          <cell r="B285" t="str">
            <v>Água</v>
          </cell>
          <cell r="C285">
            <v>42</v>
          </cell>
          <cell r="D285">
            <v>8</v>
          </cell>
          <cell r="E285">
            <v>10</v>
          </cell>
          <cell r="F285">
            <v>11</v>
          </cell>
          <cell r="G285">
            <v>7</v>
          </cell>
          <cell r="H285">
            <v>5</v>
          </cell>
          <cell r="I285">
            <v>170</v>
          </cell>
        </row>
        <row r="286">
          <cell r="A286" t="str">
            <v>Gothita</v>
          </cell>
          <cell r="B286" t="str">
            <v>Psíquico</v>
          </cell>
          <cell r="C286">
            <v>34</v>
          </cell>
          <cell r="D286">
            <v>3</v>
          </cell>
          <cell r="E286">
            <v>5</v>
          </cell>
          <cell r="F286">
            <v>5</v>
          </cell>
          <cell r="G286">
            <v>6</v>
          </cell>
          <cell r="H286">
            <v>4</v>
          </cell>
          <cell r="I286">
            <v>58</v>
          </cell>
        </row>
        <row r="287">
          <cell r="A287" t="str">
            <v>Gothitelle</v>
          </cell>
          <cell r="B287" t="str">
            <v>Psíquico</v>
          </cell>
          <cell r="C287">
            <v>53</v>
          </cell>
          <cell r="D287">
            <v>5</v>
          </cell>
          <cell r="E287">
            <v>9</v>
          </cell>
          <cell r="F287">
            <v>9</v>
          </cell>
          <cell r="G287">
            <v>11</v>
          </cell>
          <cell r="H287">
            <v>6</v>
          </cell>
          <cell r="I287">
            <v>221</v>
          </cell>
        </row>
        <row r="288">
          <cell r="A288" t="str">
            <v>Gothorita</v>
          </cell>
          <cell r="B288" t="str">
            <v>Psíquico</v>
          </cell>
          <cell r="C288">
            <v>45</v>
          </cell>
          <cell r="D288">
            <v>4</v>
          </cell>
          <cell r="E288">
            <v>7</v>
          </cell>
          <cell r="F288">
            <v>7</v>
          </cell>
          <cell r="G288">
            <v>8</v>
          </cell>
          <cell r="H288">
            <v>5</v>
          </cell>
          <cell r="I288">
            <v>137</v>
          </cell>
        </row>
        <row r="289">
          <cell r="A289" t="str">
            <v>Gourgeist (Gigante)</v>
          </cell>
          <cell r="B289" t="str">
            <v>Fantasma\Grama</v>
          </cell>
          <cell r="C289">
            <v>64</v>
          </cell>
          <cell r="D289">
            <v>10</v>
          </cell>
          <cell r="E289">
            <v>12</v>
          </cell>
          <cell r="F289">
            <v>6</v>
          </cell>
          <cell r="G289">
            <v>7</v>
          </cell>
          <cell r="H289">
            <v>5</v>
          </cell>
          <cell r="I289">
            <v>173</v>
          </cell>
        </row>
        <row r="290">
          <cell r="A290" t="str">
            <v>Gourgeist (Grande)</v>
          </cell>
          <cell r="B290" t="str">
            <v>Fantasma\Grama</v>
          </cell>
          <cell r="C290">
            <v>57</v>
          </cell>
          <cell r="D290">
            <v>9</v>
          </cell>
          <cell r="E290">
            <v>12</v>
          </cell>
          <cell r="F290">
            <v>6</v>
          </cell>
          <cell r="G290">
            <v>7</v>
          </cell>
          <cell r="H290">
            <v>7</v>
          </cell>
          <cell r="I290">
            <v>173</v>
          </cell>
        </row>
        <row r="291">
          <cell r="A291" t="str">
            <v>Gourgeist (Médio)</v>
          </cell>
          <cell r="B291" t="str">
            <v>Fantasma\Grama</v>
          </cell>
          <cell r="C291">
            <v>49</v>
          </cell>
          <cell r="D291">
            <v>9</v>
          </cell>
          <cell r="E291">
            <v>12</v>
          </cell>
          <cell r="F291">
            <v>6</v>
          </cell>
          <cell r="G291">
            <v>7</v>
          </cell>
          <cell r="H291">
            <v>8</v>
          </cell>
          <cell r="I291">
            <v>173</v>
          </cell>
        </row>
        <row r="292">
          <cell r="A292" t="str">
            <v>Gourgeist (Pequeno)</v>
          </cell>
          <cell r="B292" t="str">
            <v>Fantasma\Grama</v>
          </cell>
          <cell r="C292">
            <v>42</v>
          </cell>
          <cell r="D292">
            <v>8</v>
          </cell>
          <cell r="E292">
            <v>12</v>
          </cell>
          <cell r="F292">
            <v>6</v>
          </cell>
          <cell r="G292">
            <v>7</v>
          </cell>
          <cell r="H292">
            <v>10</v>
          </cell>
          <cell r="I292">
            <v>173</v>
          </cell>
        </row>
        <row r="293">
          <cell r="A293" t="str">
            <v>Granbull</v>
          </cell>
          <cell r="B293" t="str">
            <v>Fada</v>
          </cell>
          <cell r="C293">
            <v>68</v>
          </cell>
          <cell r="D293">
            <v>12</v>
          </cell>
          <cell r="E293">
            <v>7</v>
          </cell>
          <cell r="F293">
            <v>6</v>
          </cell>
          <cell r="G293">
            <v>6</v>
          </cell>
          <cell r="H293">
            <v>4</v>
          </cell>
          <cell r="I293">
            <v>158</v>
          </cell>
        </row>
        <row r="294">
          <cell r="A294" t="str">
            <v>Graveler</v>
          </cell>
          <cell r="B294" t="str">
            <v>Pedra/Terra</v>
          </cell>
          <cell r="C294">
            <v>42</v>
          </cell>
          <cell r="D294">
            <v>9</v>
          </cell>
          <cell r="E294">
            <v>11</v>
          </cell>
          <cell r="F294">
            <v>4</v>
          </cell>
          <cell r="G294">
            <v>4</v>
          </cell>
          <cell r="H294">
            <v>3</v>
          </cell>
          <cell r="I294">
            <v>137</v>
          </cell>
        </row>
        <row r="295">
          <cell r="A295" t="str">
            <v>Graveler (Alola)</v>
          </cell>
          <cell r="B295" t="str">
            <v>Pedra/Elétrico</v>
          </cell>
          <cell r="C295">
            <v>42</v>
          </cell>
          <cell r="D295">
            <v>9</v>
          </cell>
          <cell r="E295">
            <v>11</v>
          </cell>
          <cell r="F295">
            <v>4</v>
          </cell>
          <cell r="G295">
            <v>4</v>
          </cell>
          <cell r="H295">
            <v>3</v>
          </cell>
          <cell r="I295">
            <v>137</v>
          </cell>
        </row>
        <row r="296">
          <cell r="A296" t="str">
            <v>Greninja</v>
          </cell>
          <cell r="B296" t="str">
            <v>Água\Noturno</v>
          </cell>
          <cell r="C296">
            <v>54</v>
          </cell>
          <cell r="D296">
            <v>9</v>
          </cell>
          <cell r="E296">
            <v>7</v>
          </cell>
          <cell r="F296">
            <v>10</v>
          </cell>
          <cell r="G296">
            <v>7</v>
          </cell>
          <cell r="H296">
            <v>12</v>
          </cell>
          <cell r="I296">
            <v>239</v>
          </cell>
        </row>
        <row r="297">
          <cell r="A297" t="str">
            <v>Grimer</v>
          </cell>
          <cell r="B297" t="str">
            <v>Veneno</v>
          </cell>
          <cell r="C297">
            <v>60</v>
          </cell>
          <cell r="D297">
            <v>8</v>
          </cell>
          <cell r="E297">
            <v>5</v>
          </cell>
          <cell r="F297">
            <v>4</v>
          </cell>
          <cell r="G297">
            <v>5</v>
          </cell>
          <cell r="H297">
            <v>2</v>
          </cell>
          <cell r="I297">
            <v>65</v>
          </cell>
        </row>
        <row r="298">
          <cell r="A298" t="str">
            <v>Grimer (Alola)</v>
          </cell>
          <cell r="B298" t="str">
            <v>Veneno/Noturno</v>
          </cell>
          <cell r="C298">
            <v>60</v>
          </cell>
          <cell r="D298">
            <v>8</v>
          </cell>
          <cell r="E298">
            <v>5</v>
          </cell>
          <cell r="F298">
            <v>4</v>
          </cell>
          <cell r="G298">
            <v>5</v>
          </cell>
          <cell r="H298">
            <v>2</v>
          </cell>
          <cell r="I298">
            <v>65</v>
          </cell>
        </row>
        <row r="299">
          <cell r="A299" t="str">
            <v>Grotle</v>
          </cell>
          <cell r="B299" t="str">
            <v>Grama</v>
          </cell>
          <cell r="C299">
            <v>57</v>
          </cell>
          <cell r="D299">
            <v>9</v>
          </cell>
          <cell r="E299">
            <v>8</v>
          </cell>
          <cell r="F299">
            <v>5</v>
          </cell>
          <cell r="G299">
            <v>6</v>
          </cell>
          <cell r="H299">
            <v>4</v>
          </cell>
          <cell r="I299">
            <v>142</v>
          </cell>
        </row>
        <row r="300">
          <cell r="A300" t="str">
            <v>Groudon</v>
          </cell>
          <cell r="B300" t="str">
            <v>Terra</v>
          </cell>
          <cell r="C300">
            <v>75</v>
          </cell>
          <cell r="D300">
            <v>15</v>
          </cell>
          <cell r="E300">
            <v>14</v>
          </cell>
          <cell r="F300">
            <v>10</v>
          </cell>
          <cell r="G300">
            <v>9</v>
          </cell>
          <cell r="H300">
            <v>9</v>
          </cell>
          <cell r="I300">
            <v>302</v>
          </cell>
        </row>
        <row r="301">
          <cell r="A301" t="str">
            <v>Groudon (Primitivo)</v>
          </cell>
          <cell r="B301" t="str">
            <v>Terra/Fogo</v>
          </cell>
          <cell r="C301">
            <v>75</v>
          </cell>
          <cell r="D301">
            <v>18</v>
          </cell>
          <cell r="E301">
            <v>16</v>
          </cell>
          <cell r="F301">
            <v>15</v>
          </cell>
          <cell r="G301">
            <v>9</v>
          </cell>
          <cell r="H301">
            <v>9</v>
          </cell>
          <cell r="I301">
            <v>347</v>
          </cell>
        </row>
        <row r="302">
          <cell r="A302" t="str">
            <v>Grovyle</v>
          </cell>
          <cell r="B302" t="str">
            <v>Grama</v>
          </cell>
          <cell r="C302">
            <v>38</v>
          </cell>
          <cell r="D302">
            <v>6</v>
          </cell>
          <cell r="E302">
            <v>4</v>
          </cell>
          <cell r="F302">
            <v>8</v>
          </cell>
          <cell r="G302">
            <v>6</v>
          </cell>
          <cell r="H302">
            <v>9</v>
          </cell>
          <cell r="I302">
            <v>142</v>
          </cell>
        </row>
        <row r="303">
          <cell r="A303" t="str">
            <v>Growlithe</v>
          </cell>
          <cell r="B303" t="str">
            <v>Fogo</v>
          </cell>
          <cell r="C303">
            <v>42</v>
          </cell>
          <cell r="D303">
            <v>7</v>
          </cell>
          <cell r="E303">
            <v>4</v>
          </cell>
          <cell r="F303">
            <v>7</v>
          </cell>
          <cell r="G303">
            <v>5</v>
          </cell>
          <cell r="H303">
            <v>6</v>
          </cell>
          <cell r="I303">
            <v>70</v>
          </cell>
        </row>
        <row r="304">
          <cell r="A304" t="str">
            <v>Grubbin</v>
          </cell>
          <cell r="B304" t="str">
            <v>Inseto</v>
          </cell>
          <cell r="C304">
            <v>36</v>
          </cell>
          <cell r="D304">
            <v>6</v>
          </cell>
          <cell r="E304">
            <v>4</v>
          </cell>
          <cell r="F304">
            <v>5</v>
          </cell>
          <cell r="G304">
            <v>4</v>
          </cell>
          <cell r="H304">
            <v>5</v>
          </cell>
          <cell r="I304">
            <v>60</v>
          </cell>
        </row>
        <row r="305">
          <cell r="A305" t="str">
            <v>Grumpig</v>
          </cell>
          <cell r="B305" t="str">
            <v>Psíquico</v>
          </cell>
          <cell r="C305">
            <v>60</v>
          </cell>
          <cell r="D305">
            <v>4</v>
          </cell>
          <cell r="E305">
            <v>6</v>
          </cell>
          <cell r="F305">
            <v>9</v>
          </cell>
          <cell r="G305">
            <v>11</v>
          </cell>
          <cell r="H305">
            <v>8</v>
          </cell>
          <cell r="I305">
            <v>165</v>
          </cell>
        </row>
        <row r="306">
          <cell r="A306" t="str">
            <v>Gulpin</v>
          </cell>
          <cell r="B306" t="str">
            <v>Veneno</v>
          </cell>
          <cell r="C306">
            <v>53</v>
          </cell>
          <cell r="D306">
            <v>4</v>
          </cell>
          <cell r="E306">
            <v>5</v>
          </cell>
          <cell r="F306">
            <v>4</v>
          </cell>
          <cell r="G306">
            <v>5</v>
          </cell>
          <cell r="H306">
            <v>4</v>
          </cell>
          <cell r="I306">
            <v>60</v>
          </cell>
        </row>
        <row r="307">
          <cell r="A307" t="str">
            <v>Gumshoos</v>
          </cell>
          <cell r="B307" t="str">
            <v>Normal</v>
          </cell>
          <cell r="C307">
            <v>66</v>
          </cell>
          <cell r="D307">
            <v>11</v>
          </cell>
          <cell r="E307">
            <v>6</v>
          </cell>
          <cell r="F307">
            <v>5</v>
          </cell>
          <cell r="G307">
            <v>6</v>
          </cell>
          <cell r="H307">
            <v>4</v>
          </cell>
          <cell r="I307">
            <v>146</v>
          </cell>
        </row>
        <row r="308">
          <cell r="A308" t="str">
            <v>Gurdurr</v>
          </cell>
          <cell r="B308" t="str">
            <v>Lutador</v>
          </cell>
          <cell r="C308">
            <v>64</v>
          </cell>
          <cell r="D308">
            <v>10</v>
          </cell>
          <cell r="E308">
            <v>8</v>
          </cell>
          <cell r="F308">
            <v>4</v>
          </cell>
          <cell r="G308">
            <v>5</v>
          </cell>
          <cell r="H308">
            <v>4</v>
          </cell>
          <cell r="I308">
            <v>142</v>
          </cell>
        </row>
        <row r="309">
          <cell r="A309" t="str">
            <v>Guzzlord</v>
          </cell>
          <cell r="B309" t="str">
            <v>Noturno\Dragão</v>
          </cell>
          <cell r="C309">
            <v>168</v>
          </cell>
          <cell r="D309">
            <v>10</v>
          </cell>
          <cell r="E309">
            <v>5</v>
          </cell>
          <cell r="F309">
            <v>10</v>
          </cell>
          <cell r="G309">
            <v>5</v>
          </cell>
          <cell r="H309">
            <v>4</v>
          </cell>
          <cell r="I309">
            <v>257</v>
          </cell>
        </row>
        <row r="310">
          <cell r="A310" t="str">
            <v>Gyarados</v>
          </cell>
          <cell r="B310" t="str">
            <v>Água/Voador</v>
          </cell>
          <cell r="C310">
            <v>72</v>
          </cell>
          <cell r="D310">
            <v>12</v>
          </cell>
          <cell r="E310">
            <v>8</v>
          </cell>
          <cell r="F310">
            <v>6</v>
          </cell>
          <cell r="G310">
            <v>10</v>
          </cell>
          <cell r="H310">
            <v>8</v>
          </cell>
          <cell r="I310">
            <v>189</v>
          </cell>
        </row>
        <row r="311">
          <cell r="A311" t="str">
            <v>Hakamo-o</v>
          </cell>
          <cell r="B311" t="str">
            <v>Dragão\Lutador</v>
          </cell>
          <cell r="C311">
            <v>42</v>
          </cell>
          <cell r="D311">
            <v>7</v>
          </cell>
          <cell r="E311">
            <v>9</v>
          </cell>
          <cell r="F311">
            <v>6</v>
          </cell>
          <cell r="G311">
            <v>7</v>
          </cell>
          <cell r="H311">
            <v>6</v>
          </cell>
          <cell r="I311">
            <v>147</v>
          </cell>
        </row>
        <row r="312">
          <cell r="A312" t="str">
            <v>Happiny</v>
          </cell>
          <cell r="B312" t="str">
            <v>Normal</v>
          </cell>
          <cell r="C312">
            <v>75</v>
          </cell>
          <cell r="D312">
            <v>0</v>
          </cell>
          <cell r="E312">
            <v>0</v>
          </cell>
          <cell r="F312">
            <v>1</v>
          </cell>
          <cell r="G312">
            <v>6</v>
          </cell>
          <cell r="H312">
            <v>3</v>
          </cell>
          <cell r="I312">
            <v>110</v>
          </cell>
        </row>
        <row r="313">
          <cell r="A313" t="str">
            <v>Hariyama</v>
          </cell>
          <cell r="B313" t="str">
            <v>Lutador</v>
          </cell>
          <cell r="C313">
            <v>108</v>
          </cell>
          <cell r="D313">
            <v>12</v>
          </cell>
          <cell r="E313">
            <v>6</v>
          </cell>
          <cell r="F313">
            <v>4</v>
          </cell>
          <cell r="G313">
            <v>6</v>
          </cell>
          <cell r="H313">
            <v>5</v>
          </cell>
          <cell r="I313">
            <v>166</v>
          </cell>
        </row>
        <row r="314">
          <cell r="A314" t="str">
            <v>Haunter</v>
          </cell>
          <cell r="B314" t="str">
            <v>Fantasma/Veneno</v>
          </cell>
          <cell r="C314">
            <v>34</v>
          </cell>
          <cell r="D314">
            <v>5</v>
          </cell>
          <cell r="E314">
            <v>4</v>
          </cell>
          <cell r="F314">
            <v>11</v>
          </cell>
          <cell r="G314">
            <v>5</v>
          </cell>
          <cell r="H314">
            <v>9</v>
          </cell>
          <cell r="I314">
            <v>142</v>
          </cell>
        </row>
        <row r="315">
          <cell r="A315" t="str">
            <v>Hawlucha</v>
          </cell>
          <cell r="B315" t="str">
            <v>Lutador\Voador</v>
          </cell>
          <cell r="C315">
            <v>59</v>
          </cell>
          <cell r="D315">
            <v>9</v>
          </cell>
          <cell r="E315">
            <v>7</v>
          </cell>
          <cell r="F315">
            <v>7</v>
          </cell>
          <cell r="G315">
            <v>6</v>
          </cell>
          <cell r="H315">
            <v>12</v>
          </cell>
          <cell r="I315">
            <v>175</v>
          </cell>
        </row>
        <row r="316">
          <cell r="A316" t="str">
            <v>Haxorus</v>
          </cell>
          <cell r="B316" t="str">
            <v>Dragão</v>
          </cell>
          <cell r="C316">
            <v>57</v>
          </cell>
          <cell r="D316">
            <v>15</v>
          </cell>
          <cell r="E316">
            <v>9</v>
          </cell>
          <cell r="F316">
            <v>6</v>
          </cell>
          <cell r="G316">
            <v>7</v>
          </cell>
          <cell r="H316">
            <v>10</v>
          </cell>
          <cell r="I316">
            <v>243</v>
          </cell>
        </row>
        <row r="317">
          <cell r="A317" t="str">
            <v>Heatmor</v>
          </cell>
          <cell r="B317" t="str">
            <v>Fogo</v>
          </cell>
          <cell r="C317">
            <v>64</v>
          </cell>
          <cell r="D317">
            <v>10</v>
          </cell>
          <cell r="E317">
            <v>7</v>
          </cell>
          <cell r="F317">
            <v>10</v>
          </cell>
          <cell r="G317">
            <v>7</v>
          </cell>
          <cell r="H317">
            <v>6</v>
          </cell>
          <cell r="I317">
            <v>169</v>
          </cell>
        </row>
        <row r="318">
          <cell r="A318" t="str">
            <v>Heatran</v>
          </cell>
          <cell r="B318" t="str">
            <v>Fogo/Metal</v>
          </cell>
          <cell r="C318">
            <v>69</v>
          </cell>
          <cell r="D318">
            <v>9</v>
          </cell>
          <cell r="E318">
            <v>11</v>
          </cell>
          <cell r="F318">
            <v>13</v>
          </cell>
          <cell r="G318">
            <v>11</v>
          </cell>
          <cell r="H318">
            <v>8</v>
          </cell>
          <cell r="I318">
            <v>270</v>
          </cell>
        </row>
        <row r="319">
          <cell r="A319" t="str">
            <v>Heliolisk</v>
          </cell>
          <cell r="B319" t="str">
            <v>Elétrico\Normal</v>
          </cell>
          <cell r="C319">
            <v>47</v>
          </cell>
          <cell r="D319">
            <v>5</v>
          </cell>
          <cell r="E319">
            <v>5</v>
          </cell>
          <cell r="F319">
            <v>11</v>
          </cell>
          <cell r="G319">
            <v>9</v>
          </cell>
          <cell r="H319">
            <v>11</v>
          </cell>
          <cell r="I319">
            <v>168</v>
          </cell>
        </row>
        <row r="320">
          <cell r="A320" t="str">
            <v>Helioptile</v>
          </cell>
          <cell r="B320" t="str">
            <v>Elétrico\Normal</v>
          </cell>
          <cell r="C320">
            <v>33</v>
          </cell>
          <cell r="D320">
            <v>4</v>
          </cell>
          <cell r="E320">
            <v>3</v>
          </cell>
          <cell r="F320">
            <v>6</v>
          </cell>
          <cell r="G320">
            <v>4</v>
          </cell>
          <cell r="H320">
            <v>7</v>
          </cell>
          <cell r="I320">
            <v>58</v>
          </cell>
        </row>
        <row r="321">
          <cell r="A321" t="str">
            <v>Heracross</v>
          </cell>
          <cell r="B321" t="str">
            <v>Inseto/Lutador</v>
          </cell>
          <cell r="C321">
            <v>60</v>
          </cell>
          <cell r="D321">
            <v>12</v>
          </cell>
          <cell r="E321">
            <v>7</v>
          </cell>
          <cell r="F321">
            <v>4</v>
          </cell>
          <cell r="G321">
            <v>9</v>
          </cell>
          <cell r="H321">
            <v>8</v>
          </cell>
          <cell r="I321">
            <v>175</v>
          </cell>
        </row>
        <row r="322">
          <cell r="A322" t="str">
            <v>Herdier</v>
          </cell>
          <cell r="B322" t="str">
            <v>Normal</v>
          </cell>
          <cell r="C322">
            <v>49</v>
          </cell>
          <cell r="D322">
            <v>8</v>
          </cell>
          <cell r="E322">
            <v>6</v>
          </cell>
          <cell r="F322">
            <v>3</v>
          </cell>
          <cell r="G322">
            <v>6</v>
          </cell>
          <cell r="H322">
            <v>6</v>
          </cell>
          <cell r="I322">
            <v>130</v>
          </cell>
        </row>
        <row r="323">
          <cell r="A323" t="str">
            <v>Hippopotas</v>
          </cell>
          <cell r="B323" t="str">
            <v>Terra</v>
          </cell>
          <cell r="C323">
            <v>51</v>
          </cell>
          <cell r="D323">
            <v>7</v>
          </cell>
          <cell r="E323">
            <v>8</v>
          </cell>
          <cell r="F323">
            <v>4</v>
          </cell>
          <cell r="G323">
            <v>4</v>
          </cell>
          <cell r="H323">
            <v>3</v>
          </cell>
          <cell r="I323">
            <v>66</v>
          </cell>
        </row>
        <row r="324">
          <cell r="A324" t="str">
            <v>Hippowdon</v>
          </cell>
          <cell r="B324" t="str">
            <v>Terra</v>
          </cell>
          <cell r="C324">
            <v>81</v>
          </cell>
          <cell r="D324">
            <v>11</v>
          </cell>
          <cell r="E324">
            <v>12</v>
          </cell>
          <cell r="F324">
            <v>7</v>
          </cell>
          <cell r="G324">
            <v>7</v>
          </cell>
          <cell r="H324">
            <v>5</v>
          </cell>
          <cell r="I324">
            <v>184</v>
          </cell>
        </row>
        <row r="325">
          <cell r="A325" t="str">
            <v>Hitmonchan</v>
          </cell>
          <cell r="B325" t="str">
            <v>Lutador</v>
          </cell>
          <cell r="C325">
            <v>38</v>
          </cell>
          <cell r="D325">
            <v>10</v>
          </cell>
          <cell r="E325">
            <v>8</v>
          </cell>
          <cell r="F325">
            <v>3</v>
          </cell>
          <cell r="G325">
            <v>11</v>
          </cell>
          <cell r="H325">
            <v>8</v>
          </cell>
          <cell r="I325">
            <v>159</v>
          </cell>
        </row>
        <row r="326">
          <cell r="A326" t="str">
            <v>Hitmonlee</v>
          </cell>
          <cell r="B326" t="str">
            <v>Lutador</v>
          </cell>
          <cell r="C326">
            <v>38</v>
          </cell>
          <cell r="D326">
            <v>12</v>
          </cell>
          <cell r="E326">
            <v>5</v>
          </cell>
          <cell r="F326">
            <v>3</v>
          </cell>
          <cell r="G326">
            <v>11</v>
          </cell>
          <cell r="H326">
            <v>9</v>
          </cell>
          <cell r="I326">
            <v>159</v>
          </cell>
        </row>
        <row r="327">
          <cell r="A327" t="str">
            <v>Hitmontop</v>
          </cell>
          <cell r="B327" t="str">
            <v>Lutador</v>
          </cell>
          <cell r="C327">
            <v>38</v>
          </cell>
          <cell r="D327">
            <v>9</v>
          </cell>
          <cell r="E327">
            <v>9</v>
          </cell>
          <cell r="F327">
            <v>3</v>
          </cell>
          <cell r="G327">
            <v>11</v>
          </cell>
          <cell r="H327">
            <v>7</v>
          </cell>
          <cell r="I327">
            <v>159</v>
          </cell>
        </row>
        <row r="328">
          <cell r="A328" t="str">
            <v>Honchkrow</v>
          </cell>
          <cell r="B328" t="str">
            <v>Noturno/Voador</v>
          </cell>
          <cell r="C328">
            <v>75</v>
          </cell>
          <cell r="D328">
            <v>12</v>
          </cell>
          <cell r="E328">
            <v>5</v>
          </cell>
          <cell r="F328">
            <v>10</v>
          </cell>
          <cell r="G328">
            <v>5</v>
          </cell>
          <cell r="H328">
            <v>7</v>
          </cell>
          <cell r="I328">
            <v>177</v>
          </cell>
        </row>
        <row r="329">
          <cell r="A329" t="str">
            <v>Honedge</v>
          </cell>
          <cell r="B329" t="str">
            <v>Metal\Fantasma</v>
          </cell>
          <cell r="C329">
            <v>34</v>
          </cell>
          <cell r="D329">
            <v>8</v>
          </cell>
          <cell r="E329">
            <v>10</v>
          </cell>
          <cell r="F329">
            <v>3</v>
          </cell>
          <cell r="G329">
            <v>4</v>
          </cell>
          <cell r="H329">
            <v>3</v>
          </cell>
          <cell r="I329">
            <v>65</v>
          </cell>
        </row>
        <row r="330">
          <cell r="A330" t="str">
            <v>Ho-Oh</v>
          </cell>
          <cell r="B330" t="str">
            <v>Fogo/Voador</v>
          </cell>
          <cell r="C330">
            <v>80</v>
          </cell>
          <cell r="D330">
            <v>13</v>
          </cell>
          <cell r="E330">
            <v>9</v>
          </cell>
          <cell r="F330">
            <v>11</v>
          </cell>
          <cell r="G330">
            <v>15</v>
          </cell>
          <cell r="H330">
            <v>9</v>
          </cell>
          <cell r="I330">
            <v>306</v>
          </cell>
        </row>
        <row r="331">
          <cell r="A331" t="str">
            <v>Hoopa (Confinado)</v>
          </cell>
          <cell r="B331" t="str">
            <v>Psíquico\Fantasma</v>
          </cell>
          <cell r="C331">
            <v>60</v>
          </cell>
          <cell r="D331">
            <v>11</v>
          </cell>
          <cell r="E331">
            <v>6</v>
          </cell>
          <cell r="F331">
            <v>15</v>
          </cell>
          <cell r="G331">
            <v>13</v>
          </cell>
          <cell r="H331">
            <v>7</v>
          </cell>
          <cell r="I331">
            <v>270</v>
          </cell>
        </row>
        <row r="332">
          <cell r="A332" t="str">
            <v>Hoopa (Livre)</v>
          </cell>
          <cell r="B332" t="str">
            <v>Psíquico\Noturno</v>
          </cell>
          <cell r="C332">
            <v>60</v>
          </cell>
          <cell r="D332">
            <v>16</v>
          </cell>
          <cell r="E332">
            <v>6</v>
          </cell>
          <cell r="F332">
            <v>17</v>
          </cell>
          <cell r="G332">
            <v>13</v>
          </cell>
          <cell r="H332">
            <v>8</v>
          </cell>
          <cell r="I332">
            <v>270</v>
          </cell>
        </row>
        <row r="333">
          <cell r="A333" t="str">
            <v>Hoothoot</v>
          </cell>
          <cell r="B333" t="str">
            <v>Normal/Voador</v>
          </cell>
          <cell r="C333">
            <v>45</v>
          </cell>
          <cell r="D333">
            <v>3</v>
          </cell>
          <cell r="E333">
            <v>3</v>
          </cell>
          <cell r="F333">
            <v>4</v>
          </cell>
          <cell r="G333">
            <v>6</v>
          </cell>
          <cell r="H333">
            <v>5</v>
          </cell>
          <cell r="I333">
            <v>52</v>
          </cell>
        </row>
        <row r="334">
          <cell r="A334" t="str">
            <v>Hoppip</v>
          </cell>
          <cell r="B334" t="str">
            <v>Grama/Voador</v>
          </cell>
          <cell r="C334">
            <v>27</v>
          </cell>
          <cell r="D334">
            <v>3</v>
          </cell>
          <cell r="E334">
            <v>4</v>
          </cell>
          <cell r="F334">
            <v>3</v>
          </cell>
          <cell r="G334">
            <v>5</v>
          </cell>
          <cell r="H334">
            <v>5</v>
          </cell>
          <cell r="I334">
            <v>50</v>
          </cell>
        </row>
        <row r="335">
          <cell r="A335" t="str">
            <v>Horsea</v>
          </cell>
          <cell r="B335" t="str">
            <v>Água</v>
          </cell>
          <cell r="C335">
            <v>23</v>
          </cell>
          <cell r="D335">
            <v>4</v>
          </cell>
          <cell r="E335">
            <v>7</v>
          </cell>
          <cell r="F335">
            <v>7</v>
          </cell>
          <cell r="G335">
            <v>2</v>
          </cell>
          <cell r="H335">
            <v>6</v>
          </cell>
          <cell r="I335">
            <v>59</v>
          </cell>
        </row>
        <row r="336">
          <cell r="A336" t="str">
            <v>Houndoom</v>
          </cell>
          <cell r="B336" t="str">
            <v>Noturno/Fogo</v>
          </cell>
          <cell r="C336">
            <v>57</v>
          </cell>
          <cell r="D336">
            <v>9</v>
          </cell>
          <cell r="E336">
            <v>5</v>
          </cell>
          <cell r="F336">
            <v>11</v>
          </cell>
          <cell r="G336">
            <v>8</v>
          </cell>
          <cell r="H336">
            <v>9</v>
          </cell>
          <cell r="I336">
            <v>175</v>
          </cell>
        </row>
        <row r="337">
          <cell r="A337" t="str">
            <v>Houndour</v>
          </cell>
          <cell r="B337" t="str">
            <v>Noturno/Fogo</v>
          </cell>
          <cell r="C337">
            <v>34</v>
          </cell>
          <cell r="D337">
            <v>6</v>
          </cell>
          <cell r="E337">
            <v>3</v>
          </cell>
          <cell r="F337">
            <v>8</v>
          </cell>
          <cell r="G337">
            <v>5</v>
          </cell>
          <cell r="H337">
            <v>6</v>
          </cell>
          <cell r="I337">
            <v>66</v>
          </cell>
        </row>
        <row r="338">
          <cell r="A338" t="str">
            <v>Huntail</v>
          </cell>
          <cell r="B338" t="str">
            <v>Água</v>
          </cell>
          <cell r="C338">
            <v>42</v>
          </cell>
          <cell r="D338">
            <v>10</v>
          </cell>
          <cell r="E338">
            <v>10</v>
          </cell>
          <cell r="F338">
            <v>9</v>
          </cell>
          <cell r="G338">
            <v>7</v>
          </cell>
          <cell r="H338">
            <v>5</v>
          </cell>
          <cell r="I338">
            <v>170</v>
          </cell>
        </row>
        <row r="339">
          <cell r="A339" t="str">
            <v>Hydreigon</v>
          </cell>
          <cell r="B339" t="str">
            <v>Noturno\Dragão</v>
          </cell>
          <cell r="C339">
            <v>69</v>
          </cell>
          <cell r="D339">
            <v>10</v>
          </cell>
          <cell r="E339">
            <v>9</v>
          </cell>
          <cell r="F339">
            <v>12</v>
          </cell>
          <cell r="G339">
            <v>9</v>
          </cell>
          <cell r="H339">
            <v>10</v>
          </cell>
          <cell r="I339">
            <v>270</v>
          </cell>
        </row>
        <row r="340">
          <cell r="A340" t="str">
            <v>Hypno</v>
          </cell>
          <cell r="B340" t="str">
            <v>Psíquico</v>
          </cell>
          <cell r="C340">
            <v>64</v>
          </cell>
          <cell r="D340">
            <v>7</v>
          </cell>
          <cell r="E340">
            <v>7</v>
          </cell>
          <cell r="F340">
            <v>7</v>
          </cell>
          <cell r="G340">
            <v>11</v>
          </cell>
          <cell r="H340">
            <v>7</v>
          </cell>
          <cell r="I340">
            <v>169</v>
          </cell>
        </row>
        <row r="341">
          <cell r="A341" t="str">
            <v>Igglybuff</v>
          </cell>
          <cell r="B341" t="str">
            <v>Normal/Fada</v>
          </cell>
          <cell r="C341">
            <v>68</v>
          </cell>
          <cell r="D341">
            <v>3</v>
          </cell>
          <cell r="E341">
            <v>1</v>
          </cell>
          <cell r="F341">
            <v>4</v>
          </cell>
          <cell r="G341">
            <v>2</v>
          </cell>
          <cell r="H341">
            <v>1</v>
          </cell>
          <cell r="I341">
            <v>42</v>
          </cell>
        </row>
        <row r="342">
          <cell r="A342" t="str">
            <v>Illumise</v>
          </cell>
          <cell r="B342" t="str">
            <v>Inseto</v>
          </cell>
          <cell r="C342">
            <v>49</v>
          </cell>
          <cell r="D342">
            <v>5</v>
          </cell>
          <cell r="E342">
            <v>5</v>
          </cell>
          <cell r="F342">
            <v>7</v>
          </cell>
          <cell r="G342">
            <v>7</v>
          </cell>
          <cell r="H342">
            <v>8</v>
          </cell>
          <cell r="I342">
            <v>151</v>
          </cell>
        </row>
        <row r="343">
          <cell r="A343" t="str">
            <v>Incineroar</v>
          </cell>
          <cell r="B343" t="str">
            <v>Fogo\Noturno</v>
          </cell>
          <cell r="C343">
            <v>72</v>
          </cell>
          <cell r="D343">
            <v>11</v>
          </cell>
          <cell r="E343">
            <v>9</v>
          </cell>
          <cell r="F343">
            <v>8</v>
          </cell>
          <cell r="G343">
            <v>9</v>
          </cell>
          <cell r="H343">
            <v>6</v>
          </cell>
          <cell r="I343">
            <v>239</v>
          </cell>
        </row>
        <row r="344">
          <cell r="A344" t="str">
            <v>Infernape</v>
          </cell>
          <cell r="B344" t="str">
            <v>Fogo/Lutador</v>
          </cell>
          <cell r="C344">
            <v>57</v>
          </cell>
          <cell r="D344">
            <v>10</v>
          </cell>
          <cell r="E344">
            <v>7</v>
          </cell>
          <cell r="F344">
            <v>10</v>
          </cell>
          <cell r="G344">
            <v>7</v>
          </cell>
          <cell r="H344">
            <v>11</v>
          </cell>
          <cell r="I344">
            <v>240</v>
          </cell>
        </row>
        <row r="345">
          <cell r="A345" t="str">
            <v>Inkay</v>
          </cell>
          <cell r="B345" t="str">
            <v>Noturno\Psíquico</v>
          </cell>
          <cell r="C345">
            <v>40</v>
          </cell>
          <cell r="D345">
            <v>5</v>
          </cell>
          <cell r="E345">
            <v>5</v>
          </cell>
          <cell r="F345">
            <v>4</v>
          </cell>
          <cell r="G345">
            <v>5</v>
          </cell>
          <cell r="H345">
            <v>4</v>
          </cell>
          <cell r="I345">
            <v>58</v>
          </cell>
        </row>
        <row r="346">
          <cell r="A346" t="str">
            <v>Ivysaur</v>
          </cell>
          <cell r="B346" t="str">
            <v>Grama/Veneno</v>
          </cell>
          <cell r="C346">
            <v>45</v>
          </cell>
          <cell r="D346">
            <v>6</v>
          </cell>
          <cell r="E346">
            <v>6</v>
          </cell>
          <cell r="F346">
            <v>8</v>
          </cell>
          <cell r="G346">
            <v>8</v>
          </cell>
          <cell r="H346">
            <v>6</v>
          </cell>
          <cell r="I346">
            <v>142</v>
          </cell>
        </row>
        <row r="347">
          <cell r="A347" t="str">
            <v>Jangmo-o</v>
          </cell>
          <cell r="B347" t="str">
            <v>Dragão</v>
          </cell>
          <cell r="C347">
            <v>34</v>
          </cell>
          <cell r="D347">
            <v>5</v>
          </cell>
          <cell r="E347">
            <v>6</v>
          </cell>
          <cell r="F347">
            <v>4</v>
          </cell>
          <cell r="G347">
            <v>4</v>
          </cell>
          <cell r="H347">
            <v>4</v>
          </cell>
          <cell r="I347">
            <v>60</v>
          </cell>
        </row>
        <row r="348">
          <cell r="A348" t="str">
            <v>Jellicent</v>
          </cell>
          <cell r="B348" t="str">
            <v>Água\Fantasma</v>
          </cell>
          <cell r="C348">
            <v>75</v>
          </cell>
          <cell r="D348">
            <v>6</v>
          </cell>
          <cell r="E348">
            <v>7</v>
          </cell>
          <cell r="F348">
            <v>8</v>
          </cell>
          <cell r="G348">
            <v>10</v>
          </cell>
          <cell r="H348">
            <v>6</v>
          </cell>
          <cell r="I348">
            <v>168</v>
          </cell>
        </row>
        <row r="349">
          <cell r="A349" t="str">
            <v>Jigglypuff</v>
          </cell>
          <cell r="B349" t="str">
            <v>Normal/Fada</v>
          </cell>
          <cell r="C349">
            <v>87</v>
          </cell>
          <cell r="D349">
            <v>4</v>
          </cell>
          <cell r="E349">
            <v>2</v>
          </cell>
          <cell r="F349">
            <v>4</v>
          </cell>
          <cell r="G349">
            <v>2</v>
          </cell>
          <cell r="H349">
            <v>2</v>
          </cell>
          <cell r="I349">
            <v>95</v>
          </cell>
        </row>
        <row r="350">
          <cell r="A350" t="str">
            <v>Jirachi</v>
          </cell>
          <cell r="B350" t="str">
            <v>Metal/Psíquico</v>
          </cell>
          <cell r="C350">
            <v>75</v>
          </cell>
          <cell r="D350">
            <v>10</v>
          </cell>
          <cell r="E350">
            <v>10</v>
          </cell>
          <cell r="F350">
            <v>10</v>
          </cell>
          <cell r="G350">
            <v>10</v>
          </cell>
          <cell r="H350">
            <v>10</v>
          </cell>
          <cell r="I350">
            <v>270</v>
          </cell>
        </row>
        <row r="351">
          <cell r="A351" t="str">
            <v>Jolteon</v>
          </cell>
          <cell r="B351" t="str">
            <v>Elétrico</v>
          </cell>
          <cell r="C351">
            <v>49</v>
          </cell>
          <cell r="D351">
            <v>6</v>
          </cell>
          <cell r="E351">
            <v>6</v>
          </cell>
          <cell r="F351">
            <v>11</v>
          </cell>
          <cell r="G351">
            <v>9</v>
          </cell>
          <cell r="H351">
            <v>13</v>
          </cell>
          <cell r="I351">
            <v>184</v>
          </cell>
        </row>
        <row r="352">
          <cell r="A352" t="str">
            <v>Joltik</v>
          </cell>
          <cell r="B352" t="str">
            <v>Inseto\Elétrico</v>
          </cell>
          <cell r="C352">
            <v>38</v>
          </cell>
          <cell r="D352">
            <v>5</v>
          </cell>
          <cell r="E352">
            <v>5</v>
          </cell>
          <cell r="F352">
            <v>6</v>
          </cell>
          <cell r="G352">
            <v>5</v>
          </cell>
          <cell r="H352">
            <v>6</v>
          </cell>
          <cell r="I352">
            <v>64</v>
          </cell>
        </row>
        <row r="353">
          <cell r="A353" t="str">
            <v>Jumpluff</v>
          </cell>
          <cell r="B353" t="str">
            <v>Grama/Voador</v>
          </cell>
          <cell r="C353">
            <v>57</v>
          </cell>
          <cell r="D353">
            <v>5</v>
          </cell>
          <cell r="E353">
            <v>7</v>
          </cell>
          <cell r="F353">
            <v>5</v>
          </cell>
          <cell r="G353">
            <v>8</v>
          </cell>
          <cell r="H353">
            <v>11</v>
          </cell>
          <cell r="I353">
            <v>207</v>
          </cell>
        </row>
        <row r="354">
          <cell r="A354" t="str">
            <v>Jynx</v>
          </cell>
          <cell r="B354" t="str">
            <v>Gelo/Psíquico</v>
          </cell>
          <cell r="C354">
            <v>49</v>
          </cell>
          <cell r="D354">
            <v>5</v>
          </cell>
          <cell r="E354">
            <v>3</v>
          </cell>
          <cell r="F354">
            <v>11</v>
          </cell>
          <cell r="G354">
            <v>9</v>
          </cell>
          <cell r="H354">
            <v>9</v>
          </cell>
          <cell r="I354">
            <v>159</v>
          </cell>
        </row>
        <row r="355">
          <cell r="A355" t="str">
            <v>Kabuto</v>
          </cell>
          <cell r="B355" t="str">
            <v>Pedra/Água</v>
          </cell>
          <cell r="C355">
            <v>23</v>
          </cell>
          <cell r="D355">
            <v>8</v>
          </cell>
          <cell r="E355">
            <v>9</v>
          </cell>
          <cell r="F355">
            <v>5</v>
          </cell>
          <cell r="G355">
            <v>4</v>
          </cell>
          <cell r="H355">
            <v>5</v>
          </cell>
          <cell r="I355">
            <v>71</v>
          </cell>
        </row>
        <row r="356">
          <cell r="A356" t="str">
            <v>Kabutops</v>
          </cell>
          <cell r="B356" t="str">
            <v>Pedra/Água</v>
          </cell>
          <cell r="C356">
            <v>45</v>
          </cell>
          <cell r="D356">
            <v>11</v>
          </cell>
          <cell r="E356">
            <v>10</v>
          </cell>
          <cell r="F356">
            <v>6</v>
          </cell>
          <cell r="G356">
            <v>7</v>
          </cell>
          <cell r="H356">
            <v>8</v>
          </cell>
          <cell r="I356">
            <v>173</v>
          </cell>
        </row>
        <row r="357">
          <cell r="A357" t="str">
            <v>Kadabra</v>
          </cell>
          <cell r="B357" t="str">
            <v>Psíquico</v>
          </cell>
          <cell r="C357">
            <v>30</v>
          </cell>
          <cell r="D357">
            <v>3</v>
          </cell>
          <cell r="E357">
            <v>3</v>
          </cell>
          <cell r="F357">
            <v>12</v>
          </cell>
          <cell r="G357">
            <v>7</v>
          </cell>
          <cell r="H357">
            <v>10</v>
          </cell>
          <cell r="I357">
            <v>140</v>
          </cell>
        </row>
        <row r="358">
          <cell r="A358" t="str">
            <v>Kakuna</v>
          </cell>
          <cell r="B358" t="str">
            <v>Inseto/Veneno</v>
          </cell>
          <cell r="C358">
            <v>34</v>
          </cell>
          <cell r="D358">
            <v>2</v>
          </cell>
          <cell r="E358">
            <v>5</v>
          </cell>
          <cell r="F358">
            <v>2</v>
          </cell>
          <cell r="G358">
            <v>2</v>
          </cell>
          <cell r="H358">
            <v>3</v>
          </cell>
          <cell r="I358">
            <v>72</v>
          </cell>
        </row>
        <row r="359">
          <cell r="A359" t="str">
            <v>Kangaskhan</v>
          </cell>
          <cell r="B359" t="str">
            <v>Normal</v>
          </cell>
          <cell r="C359">
            <v>79</v>
          </cell>
          <cell r="D359">
            <v>9</v>
          </cell>
          <cell r="E359">
            <v>8</v>
          </cell>
          <cell r="F359">
            <v>4</v>
          </cell>
          <cell r="G359">
            <v>8</v>
          </cell>
          <cell r="H359">
            <v>9</v>
          </cell>
          <cell r="I359">
            <v>172</v>
          </cell>
        </row>
        <row r="360">
          <cell r="A360" t="str">
            <v>Karrablast</v>
          </cell>
          <cell r="B360" t="str">
            <v>Inseto</v>
          </cell>
          <cell r="C360">
            <v>38</v>
          </cell>
          <cell r="D360">
            <v>7</v>
          </cell>
          <cell r="E360">
            <v>4</v>
          </cell>
          <cell r="F360">
            <v>4</v>
          </cell>
          <cell r="G360">
            <v>4</v>
          </cell>
          <cell r="H360">
            <v>6</v>
          </cell>
          <cell r="I360">
            <v>63</v>
          </cell>
        </row>
        <row r="361">
          <cell r="A361" t="str">
            <v>Kartana</v>
          </cell>
          <cell r="B361" t="str">
            <v>Grama\Metal</v>
          </cell>
          <cell r="C361">
            <v>45</v>
          </cell>
          <cell r="D361">
            <v>18</v>
          </cell>
          <cell r="E361">
            <v>13</v>
          </cell>
          <cell r="F361">
            <v>6</v>
          </cell>
          <cell r="G361">
            <v>3</v>
          </cell>
          <cell r="H361">
            <v>11</v>
          </cell>
          <cell r="I361">
            <v>257</v>
          </cell>
        </row>
        <row r="362">
          <cell r="A362" t="str">
            <v>Kecleon</v>
          </cell>
          <cell r="B362" t="str">
            <v>Normal</v>
          </cell>
          <cell r="C362">
            <v>45</v>
          </cell>
          <cell r="D362">
            <v>9</v>
          </cell>
          <cell r="E362">
            <v>7</v>
          </cell>
          <cell r="F362">
            <v>6</v>
          </cell>
          <cell r="G362">
            <v>12</v>
          </cell>
          <cell r="H362">
            <v>4</v>
          </cell>
          <cell r="I362">
            <v>154</v>
          </cell>
        </row>
        <row r="363">
          <cell r="A363" t="str">
            <v>Keldeo</v>
          </cell>
          <cell r="B363" t="str">
            <v>Água\Lutador</v>
          </cell>
          <cell r="C363">
            <v>69</v>
          </cell>
          <cell r="D363">
            <v>7</v>
          </cell>
          <cell r="E363">
            <v>9</v>
          </cell>
          <cell r="F363">
            <v>13</v>
          </cell>
          <cell r="G363">
            <v>9</v>
          </cell>
          <cell r="H363">
            <v>11</v>
          </cell>
          <cell r="I363">
            <v>261</v>
          </cell>
        </row>
        <row r="364">
          <cell r="A364" t="str">
            <v>Kingdra</v>
          </cell>
          <cell r="B364" t="str">
            <v>Água/Dragão</v>
          </cell>
          <cell r="C364">
            <v>57</v>
          </cell>
          <cell r="D364">
            <v>9</v>
          </cell>
          <cell r="E364">
            <v>9</v>
          </cell>
          <cell r="F364">
            <v>9</v>
          </cell>
          <cell r="G364">
            <v>9</v>
          </cell>
          <cell r="H364">
            <v>8</v>
          </cell>
          <cell r="I364">
            <v>243</v>
          </cell>
        </row>
        <row r="365">
          <cell r="A365" t="str">
            <v>Kingler</v>
          </cell>
          <cell r="B365" t="str">
            <v>Água</v>
          </cell>
          <cell r="C365">
            <v>42</v>
          </cell>
          <cell r="D365">
            <v>13</v>
          </cell>
          <cell r="E365">
            <v>11</v>
          </cell>
          <cell r="F365">
            <v>5</v>
          </cell>
          <cell r="G365">
            <v>5</v>
          </cell>
          <cell r="H365">
            <v>7</v>
          </cell>
          <cell r="I365">
            <v>166</v>
          </cell>
        </row>
        <row r="366">
          <cell r="A366" t="str">
            <v>Kirlia</v>
          </cell>
          <cell r="B366" t="str">
            <v>Psíquico/Fada</v>
          </cell>
          <cell r="C366">
            <v>29</v>
          </cell>
          <cell r="D366">
            <v>3</v>
          </cell>
          <cell r="E366">
            <v>3</v>
          </cell>
          <cell r="F366">
            <v>6</v>
          </cell>
          <cell r="G366">
            <v>5</v>
          </cell>
          <cell r="H366">
            <v>5</v>
          </cell>
          <cell r="I366">
            <v>97</v>
          </cell>
        </row>
        <row r="367">
          <cell r="A367" t="str">
            <v>Klang</v>
          </cell>
          <cell r="B367" t="str">
            <v>Metal</v>
          </cell>
          <cell r="C367">
            <v>45</v>
          </cell>
          <cell r="D367">
            <v>8</v>
          </cell>
          <cell r="E367">
            <v>9</v>
          </cell>
          <cell r="F367">
            <v>7</v>
          </cell>
          <cell r="G367">
            <v>8</v>
          </cell>
          <cell r="H367">
            <v>5</v>
          </cell>
          <cell r="I367">
            <v>154</v>
          </cell>
        </row>
        <row r="368">
          <cell r="A368" t="str">
            <v>Klefki</v>
          </cell>
          <cell r="B368" t="str">
            <v>Metal\Fada</v>
          </cell>
          <cell r="C368">
            <v>43</v>
          </cell>
          <cell r="D368">
            <v>8</v>
          </cell>
          <cell r="E368">
            <v>9</v>
          </cell>
          <cell r="F368">
            <v>8</v>
          </cell>
          <cell r="G368">
            <v>9</v>
          </cell>
          <cell r="H368">
            <v>7</v>
          </cell>
          <cell r="I368">
            <v>165</v>
          </cell>
        </row>
        <row r="369">
          <cell r="A369" t="str">
            <v>Klink</v>
          </cell>
          <cell r="B369" t="str">
            <v>Metal</v>
          </cell>
          <cell r="C369">
            <v>30</v>
          </cell>
          <cell r="D369">
            <v>5</v>
          </cell>
          <cell r="E369">
            <v>7</v>
          </cell>
          <cell r="F369">
            <v>4</v>
          </cell>
          <cell r="G369">
            <v>6</v>
          </cell>
          <cell r="H369">
            <v>3</v>
          </cell>
          <cell r="I369">
            <v>60</v>
          </cell>
        </row>
        <row r="370">
          <cell r="A370" t="str">
            <v>Klinklang</v>
          </cell>
          <cell r="B370" t="str">
            <v>Metal</v>
          </cell>
          <cell r="C370">
            <v>45</v>
          </cell>
          <cell r="D370">
            <v>10</v>
          </cell>
          <cell r="E370">
            <v>11</v>
          </cell>
          <cell r="F370">
            <v>7</v>
          </cell>
          <cell r="G370">
            <v>8</v>
          </cell>
          <cell r="H370">
            <v>9</v>
          </cell>
          <cell r="I370">
            <v>234</v>
          </cell>
        </row>
        <row r="371">
          <cell r="A371" t="str">
            <v>Koffing</v>
          </cell>
          <cell r="B371" t="str">
            <v>Veneno</v>
          </cell>
          <cell r="C371">
            <v>30</v>
          </cell>
          <cell r="D371">
            <v>6</v>
          </cell>
          <cell r="E371">
            <v>9</v>
          </cell>
          <cell r="F371">
            <v>6</v>
          </cell>
          <cell r="G371">
            <v>4</v>
          </cell>
          <cell r="H371">
            <v>3</v>
          </cell>
          <cell r="I371">
            <v>68</v>
          </cell>
        </row>
        <row r="372">
          <cell r="A372" t="str">
            <v>Komala</v>
          </cell>
          <cell r="B372" t="str">
            <v>Normal</v>
          </cell>
          <cell r="C372">
            <v>49</v>
          </cell>
          <cell r="D372">
            <v>11</v>
          </cell>
          <cell r="E372">
            <v>6</v>
          </cell>
          <cell r="F372">
            <v>7</v>
          </cell>
          <cell r="G372">
            <v>9</v>
          </cell>
          <cell r="H372">
            <v>6</v>
          </cell>
          <cell r="I372">
            <v>168</v>
          </cell>
        </row>
        <row r="373">
          <cell r="A373" t="str">
            <v>Kommo-o</v>
          </cell>
          <cell r="B373" t="str">
            <v>Dragão\Lutador</v>
          </cell>
          <cell r="C373">
            <v>57</v>
          </cell>
          <cell r="D373">
            <v>11</v>
          </cell>
          <cell r="E373">
            <v>12</v>
          </cell>
          <cell r="F373">
            <v>10</v>
          </cell>
          <cell r="G373">
            <v>10</v>
          </cell>
          <cell r="H373">
            <v>8</v>
          </cell>
          <cell r="I373">
            <v>270</v>
          </cell>
        </row>
        <row r="374">
          <cell r="A374" t="str">
            <v>Krabby</v>
          </cell>
          <cell r="B374" t="str">
            <v>Água</v>
          </cell>
          <cell r="C374">
            <v>23</v>
          </cell>
          <cell r="D374">
            <v>10</v>
          </cell>
          <cell r="E374">
            <v>9</v>
          </cell>
          <cell r="F374">
            <v>2</v>
          </cell>
          <cell r="G374">
            <v>2</v>
          </cell>
          <cell r="H374">
            <v>5</v>
          </cell>
          <cell r="I374">
            <v>65</v>
          </cell>
        </row>
        <row r="375">
          <cell r="A375" t="str">
            <v>Kricketot</v>
          </cell>
          <cell r="B375" t="str">
            <v>Inseto</v>
          </cell>
          <cell r="C375">
            <v>28</v>
          </cell>
          <cell r="D375">
            <v>2</v>
          </cell>
          <cell r="E375">
            <v>4</v>
          </cell>
          <cell r="F375">
            <v>2</v>
          </cell>
          <cell r="G375">
            <v>4</v>
          </cell>
          <cell r="H375">
            <v>2</v>
          </cell>
          <cell r="I375">
            <v>39</v>
          </cell>
        </row>
        <row r="376">
          <cell r="A376" t="str">
            <v>Kricketune</v>
          </cell>
          <cell r="B376" t="str">
            <v>Inseto</v>
          </cell>
          <cell r="C376">
            <v>58</v>
          </cell>
          <cell r="D376">
            <v>8</v>
          </cell>
          <cell r="E376">
            <v>5</v>
          </cell>
          <cell r="F376">
            <v>5</v>
          </cell>
          <cell r="G376">
            <v>5</v>
          </cell>
          <cell r="H376">
            <v>6</v>
          </cell>
          <cell r="I376">
            <v>134</v>
          </cell>
        </row>
        <row r="377">
          <cell r="A377" t="str">
            <v>Krokorok</v>
          </cell>
          <cell r="B377" t="str">
            <v>Terra\Noturno</v>
          </cell>
          <cell r="C377">
            <v>45</v>
          </cell>
          <cell r="D377">
            <v>8</v>
          </cell>
          <cell r="E377">
            <v>4</v>
          </cell>
          <cell r="F377">
            <v>4</v>
          </cell>
          <cell r="G377">
            <v>4</v>
          </cell>
          <cell r="H377">
            <v>7</v>
          </cell>
          <cell r="I377">
            <v>123</v>
          </cell>
        </row>
        <row r="378">
          <cell r="A378" t="str">
            <v>Krookodile</v>
          </cell>
          <cell r="B378" t="str">
            <v>Terra\Noturno</v>
          </cell>
          <cell r="C378">
            <v>72</v>
          </cell>
          <cell r="D378">
            <v>12</v>
          </cell>
          <cell r="E378">
            <v>7</v>
          </cell>
          <cell r="F378">
            <v>6</v>
          </cell>
          <cell r="G378">
            <v>7</v>
          </cell>
          <cell r="H378">
            <v>9</v>
          </cell>
          <cell r="I378">
            <v>234</v>
          </cell>
        </row>
        <row r="379">
          <cell r="A379" t="str">
            <v>Kyogre</v>
          </cell>
          <cell r="B379" t="str">
            <v>Água</v>
          </cell>
          <cell r="C379">
            <v>75</v>
          </cell>
          <cell r="D379">
            <v>10</v>
          </cell>
          <cell r="E379">
            <v>9</v>
          </cell>
          <cell r="F379">
            <v>15</v>
          </cell>
          <cell r="G379">
            <v>14</v>
          </cell>
          <cell r="H379">
            <v>9</v>
          </cell>
          <cell r="I379">
            <v>302</v>
          </cell>
        </row>
        <row r="380">
          <cell r="A380" t="str">
            <v>Kyogre (Primitivo)</v>
          </cell>
          <cell r="B380" t="str">
            <v>Água</v>
          </cell>
          <cell r="C380">
            <v>75</v>
          </cell>
          <cell r="D380">
            <v>15</v>
          </cell>
          <cell r="E380">
            <v>9</v>
          </cell>
          <cell r="F380">
            <v>18</v>
          </cell>
          <cell r="G380">
            <v>16</v>
          </cell>
          <cell r="H380">
            <v>9</v>
          </cell>
          <cell r="I380">
            <v>347</v>
          </cell>
        </row>
        <row r="381">
          <cell r="A381" t="str">
            <v>Kyurem</v>
          </cell>
          <cell r="B381" t="str">
            <v>Dragão\Gelo</v>
          </cell>
          <cell r="C381">
            <v>94</v>
          </cell>
          <cell r="D381">
            <v>13</v>
          </cell>
          <cell r="E381">
            <v>9</v>
          </cell>
          <cell r="F381">
            <v>13</v>
          </cell>
          <cell r="G381">
            <v>9</v>
          </cell>
          <cell r="H381">
            <v>9</v>
          </cell>
          <cell r="I381">
            <v>297</v>
          </cell>
        </row>
        <row r="382">
          <cell r="A382" t="str">
            <v>Kyurem (Branco)</v>
          </cell>
          <cell r="B382" t="str">
            <v>Dragão\Gelo</v>
          </cell>
          <cell r="C382">
            <v>94</v>
          </cell>
          <cell r="D382">
            <v>12</v>
          </cell>
          <cell r="E382">
            <v>9</v>
          </cell>
          <cell r="F382">
            <v>17</v>
          </cell>
          <cell r="G382">
            <v>10</v>
          </cell>
          <cell r="H382">
            <v>9</v>
          </cell>
          <cell r="I382">
            <v>297</v>
          </cell>
        </row>
        <row r="383">
          <cell r="A383" t="str">
            <v>Kyurem (Preto)</v>
          </cell>
          <cell r="B383" t="str">
            <v>Dragão\Gelo</v>
          </cell>
          <cell r="C383">
            <v>94</v>
          </cell>
          <cell r="D383">
            <v>17</v>
          </cell>
          <cell r="E383">
            <v>10</v>
          </cell>
          <cell r="F383">
            <v>12</v>
          </cell>
          <cell r="G383">
            <v>9</v>
          </cell>
          <cell r="H383">
            <v>9</v>
          </cell>
          <cell r="I383">
            <v>297</v>
          </cell>
        </row>
        <row r="384">
          <cell r="A384" t="str">
            <v>Lairon</v>
          </cell>
          <cell r="B384" t="str">
            <v>Metal/Pedra</v>
          </cell>
          <cell r="C384">
            <v>45</v>
          </cell>
          <cell r="D384">
            <v>9</v>
          </cell>
          <cell r="E384">
            <v>14</v>
          </cell>
          <cell r="F384">
            <v>5</v>
          </cell>
          <cell r="G384">
            <v>5</v>
          </cell>
          <cell r="H384">
            <v>4</v>
          </cell>
          <cell r="I384">
            <v>151</v>
          </cell>
        </row>
        <row r="385">
          <cell r="A385" t="str">
            <v>Lampent</v>
          </cell>
          <cell r="B385" t="str">
            <v>Fantasma\Fogo</v>
          </cell>
          <cell r="C385">
            <v>45</v>
          </cell>
          <cell r="D385">
            <v>4</v>
          </cell>
          <cell r="E385">
            <v>6</v>
          </cell>
          <cell r="F385">
            <v>9</v>
          </cell>
          <cell r="G385">
            <v>6</v>
          </cell>
          <cell r="H385">
            <v>5</v>
          </cell>
          <cell r="I385">
            <v>130</v>
          </cell>
        </row>
        <row r="386">
          <cell r="A386" t="str">
            <v>Landorus (Animal)</v>
          </cell>
          <cell r="B386" t="str">
            <v>Terra\Voador</v>
          </cell>
          <cell r="C386">
            <v>67</v>
          </cell>
          <cell r="D386">
            <v>14</v>
          </cell>
          <cell r="E386">
            <v>9</v>
          </cell>
          <cell r="F386">
            <v>10</v>
          </cell>
          <cell r="G386">
            <v>8</v>
          </cell>
          <cell r="H386">
            <v>9</v>
          </cell>
          <cell r="I386">
            <v>270</v>
          </cell>
        </row>
        <row r="387">
          <cell r="A387" t="str">
            <v>Landorus (Encarnado)</v>
          </cell>
          <cell r="B387" t="str">
            <v>Terra\Voador</v>
          </cell>
          <cell r="C387">
            <v>67</v>
          </cell>
          <cell r="D387">
            <v>12</v>
          </cell>
          <cell r="E387">
            <v>9</v>
          </cell>
          <cell r="F387">
            <v>11</v>
          </cell>
          <cell r="G387">
            <v>8</v>
          </cell>
          <cell r="H387">
            <v>10</v>
          </cell>
          <cell r="I387">
            <v>270</v>
          </cell>
        </row>
        <row r="388">
          <cell r="A388" t="str">
            <v>Lanturn</v>
          </cell>
          <cell r="B388" t="str">
            <v>Água/Elétrico</v>
          </cell>
          <cell r="C388">
            <v>94</v>
          </cell>
          <cell r="D388">
            <v>6</v>
          </cell>
          <cell r="E388">
            <v>6</v>
          </cell>
          <cell r="F388">
            <v>8</v>
          </cell>
          <cell r="G388">
            <v>8</v>
          </cell>
          <cell r="H388">
            <v>7</v>
          </cell>
          <cell r="I388">
            <v>161</v>
          </cell>
        </row>
        <row r="389">
          <cell r="A389" t="str">
            <v>Lapras</v>
          </cell>
          <cell r="B389" t="str">
            <v>Água/Gelo</v>
          </cell>
          <cell r="C389">
            <v>98</v>
          </cell>
          <cell r="D389">
            <v>8</v>
          </cell>
          <cell r="E389">
            <v>8</v>
          </cell>
          <cell r="F389">
            <v>8</v>
          </cell>
          <cell r="G389">
            <v>9</v>
          </cell>
          <cell r="H389">
            <v>6</v>
          </cell>
          <cell r="I389">
            <v>187</v>
          </cell>
        </row>
        <row r="390">
          <cell r="A390" t="str">
            <v>Larvesta</v>
          </cell>
          <cell r="B390" t="str">
            <v>Inseto\Fogo</v>
          </cell>
          <cell r="C390">
            <v>42</v>
          </cell>
          <cell r="D390">
            <v>8</v>
          </cell>
          <cell r="E390">
            <v>5</v>
          </cell>
          <cell r="F390">
            <v>5</v>
          </cell>
          <cell r="G390">
            <v>5</v>
          </cell>
          <cell r="H390">
            <v>6</v>
          </cell>
          <cell r="I390">
            <v>72</v>
          </cell>
        </row>
        <row r="391">
          <cell r="A391" t="str">
            <v>Larvitar</v>
          </cell>
          <cell r="B391" t="str">
            <v>Pedra/Terra</v>
          </cell>
          <cell r="C391">
            <v>38</v>
          </cell>
          <cell r="D391">
            <v>6</v>
          </cell>
          <cell r="E391">
            <v>5</v>
          </cell>
          <cell r="F391">
            <v>4</v>
          </cell>
          <cell r="G391">
            <v>5</v>
          </cell>
          <cell r="H391">
            <v>4</v>
          </cell>
          <cell r="I391">
            <v>60</v>
          </cell>
        </row>
        <row r="392">
          <cell r="A392" t="str">
            <v>Latias</v>
          </cell>
          <cell r="B392" t="str">
            <v>Dragão/Psíquico</v>
          </cell>
          <cell r="C392">
            <v>60</v>
          </cell>
          <cell r="D392">
            <v>8</v>
          </cell>
          <cell r="E392">
            <v>9</v>
          </cell>
          <cell r="F392">
            <v>11</v>
          </cell>
          <cell r="G392">
            <v>13</v>
          </cell>
          <cell r="H392">
            <v>11</v>
          </cell>
          <cell r="I392">
            <v>270</v>
          </cell>
        </row>
        <row r="393">
          <cell r="A393" t="str">
            <v>Latios</v>
          </cell>
          <cell r="B393" t="str">
            <v>Dragão/Psíquico</v>
          </cell>
          <cell r="C393">
            <v>60</v>
          </cell>
          <cell r="D393">
            <v>9</v>
          </cell>
          <cell r="E393">
            <v>8</v>
          </cell>
          <cell r="F393">
            <v>13</v>
          </cell>
          <cell r="G393">
            <v>11</v>
          </cell>
          <cell r="H393">
            <v>11</v>
          </cell>
          <cell r="I393">
            <v>270</v>
          </cell>
        </row>
        <row r="394">
          <cell r="A394" t="str">
            <v>Leafeon</v>
          </cell>
          <cell r="B394" t="str">
            <v>Grama</v>
          </cell>
          <cell r="C394">
            <v>49</v>
          </cell>
          <cell r="D394">
            <v>11</v>
          </cell>
          <cell r="E394">
            <v>13</v>
          </cell>
          <cell r="F394">
            <v>6</v>
          </cell>
          <cell r="G394">
            <v>6</v>
          </cell>
          <cell r="H394">
            <v>9</v>
          </cell>
          <cell r="I394">
            <v>184</v>
          </cell>
        </row>
        <row r="395">
          <cell r="A395" t="str">
            <v>Leavanny</v>
          </cell>
          <cell r="B395" t="str">
            <v>Inseto\Grama</v>
          </cell>
          <cell r="C395">
            <v>57</v>
          </cell>
          <cell r="D395">
            <v>10</v>
          </cell>
          <cell r="E395">
            <v>8</v>
          </cell>
          <cell r="F395">
            <v>7</v>
          </cell>
          <cell r="G395">
            <v>7</v>
          </cell>
          <cell r="H395">
            <v>9</v>
          </cell>
          <cell r="I395">
            <v>225</v>
          </cell>
        </row>
        <row r="396">
          <cell r="A396" t="str">
            <v>Ledian</v>
          </cell>
          <cell r="B396" t="str">
            <v>Inseto/Voador</v>
          </cell>
          <cell r="C396">
            <v>42</v>
          </cell>
          <cell r="D396">
            <v>3</v>
          </cell>
          <cell r="E396">
            <v>5</v>
          </cell>
          <cell r="F396">
            <v>5</v>
          </cell>
          <cell r="G396">
            <v>11</v>
          </cell>
          <cell r="H396">
            <v>8</v>
          </cell>
          <cell r="I396">
            <v>137</v>
          </cell>
        </row>
        <row r="397">
          <cell r="A397" t="str">
            <v>Ledyba</v>
          </cell>
          <cell r="B397" t="str">
            <v>Inseto/Voador</v>
          </cell>
          <cell r="C397">
            <v>30</v>
          </cell>
          <cell r="D397">
            <v>2</v>
          </cell>
          <cell r="E397">
            <v>3</v>
          </cell>
          <cell r="F397">
            <v>4</v>
          </cell>
          <cell r="G397">
            <v>8</v>
          </cell>
          <cell r="H397">
            <v>5</v>
          </cell>
          <cell r="I397">
            <v>53</v>
          </cell>
        </row>
        <row r="398">
          <cell r="A398" t="str">
            <v>Lickilicky</v>
          </cell>
          <cell r="B398" t="str">
            <v>Normal</v>
          </cell>
          <cell r="C398">
            <v>83</v>
          </cell>
          <cell r="D398">
            <v>8</v>
          </cell>
          <cell r="E398">
            <v>9</v>
          </cell>
          <cell r="F398">
            <v>8</v>
          </cell>
          <cell r="G398">
            <v>9</v>
          </cell>
          <cell r="H398">
            <v>5</v>
          </cell>
          <cell r="I398">
            <v>180</v>
          </cell>
        </row>
        <row r="399">
          <cell r="A399" t="str">
            <v>Lickitung</v>
          </cell>
          <cell r="B399" t="str">
            <v>Normal</v>
          </cell>
          <cell r="C399">
            <v>68</v>
          </cell>
          <cell r="D399">
            <v>5</v>
          </cell>
          <cell r="E399">
            <v>7</v>
          </cell>
          <cell r="F399">
            <v>6</v>
          </cell>
          <cell r="G399">
            <v>7</v>
          </cell>
          <cell r="H399">
            <v>3</v>
          </cell>
          <cell r="I399">
            <v>77</v>
          </cell>
        </row>
        <row r="400">
          <cell r="A400" t="str">
            <v>Liepard</v>
          </cell>
          <cell r="B400" t="str">
            <v>Noturno</v>
          </cell>
          <cell r="C400">
            <v>48</v>
          </cell>
          <cell r="D400">
            <v>9</v>
          </cell>
          <cell r="E400">
            <v>5</v>
          </cell>
          <cell r="F400">
            <v>9</v>
          </cell>
          <cell r="G400">
            <v>5</v>
          </cell>
          <cell r="H400">
            <v>11</v>
          </cell>
          <cell r="I400">
            <v>156</v>
          </cell>
        </row>
        <row r="401">
          <cell r="A401" t="str">
            <v>Lileep</v>
          </cell>
          <cell r="B401" t="str">
            <v>Pedra/Grama</v>
          </cell>
          <cell r="C401">
            <v>50</v>
          </cell>
          <cell r="D401">
            <v>4</v>
          </cell>
          <cell r="E401">
            <v>8</v>
          </cell>
          <cell r="F401">
            <v>6</v>
          </cell>
          <cell r="G401">
            <v>9</v>
          </cell>
          <cell r="H401">
            <v>2</v>
          </cell>
          <cell r="I401">
            <v>71</v>
          </cell>
        </row>
        <row r="402">
          <cell r="A402" t="str">
            <v>Lilligant</v>
          </cell>
          <cell r="B402" t="str">
            <v>Grama</v>
          </cell>
          <cell r="C402">
            <v>53</v>
          </cell>
          <cell r="D402">
            <v>6</v>
          </cell>
          <cell r="E402">
            <v>7</v>
          </cell>
          <cell r="F402">
            <v>11</v>
          </cell>
          <cell r="G402">
            <v>7</v>
          </cell>
          <cell r="H402">
            <v>9</v>
          </cell>
          <cell r="I402">
            <v>168</v>
          </cell>
        </row>
        <row r="403">
          <cell r="A403" t="str">
            <v>Lillipup</v>
          </cell>
          <cell r="B403" t="str">
            <v>Normal</v>
          </cell>
          <cell r="C403">
            <v>34</v>
          </cell>
          <cell r="D403">
            <v>6</v>
          </cell>
          <cell r="E403">
            <v>4</v>
          </cell>
          <cell r="F403">
            <v>2</v>
          </cell>
          <cell r="G403">
            <v>4</v>
          </cell>
          <cell r="H403">
            <v>5</v>
          </cell>
          <cell r="I403">
            <v>55</v>
          </cell>
        </row>
        <row r="404">
          <cell r="A404" t="str">
            <v>Linoone</v>
          </cell>
          <cell r="B404" t="str">
            <v>Normal</v>
          </cell>
          <cell r="C404">
            <v>59</v>
          </cell>
          <cell r="D404">
            <v>7</v>
          </cell>
          <cell r="E404">
            <v>6</v>
          </cell>
          <cell r="F404">
            <v>5</v>
          </cell>
          <cell r="G404">
            <v>6</v>
          </cell>
          <cell r="H404">
            <v>10</v>
          </cell>
          <cell r="I404">
            <v>147</v>
          </cell>
        </row>
        <row r="405">
          <cell r="A405" t="str">
            <v>Litleo</v>
          </cell>
          <cell r="B405" t="str">
            <v>Fogo\Normal</v>
          </cell>
          <cell r="C405">
            <v>47</v>
          </cell>
          <cell r="D405">
            <v>5</v>
          </cell>
          <cell r="E405">
            <v>6</v>
          </cell>
          <cell r="F405">
            <v>7</v>
          </cell>
          <cell r="G405">
            <v>5</v>
          </cell>
          <cell r="H405">
            <v>7</v>
          </cell>
          <cell r="I405">
            <v>74</v>
          </cell>
        </row>
        <row r="406">
          <cell r="A406" t="str">
            <v>Litten</v>
          </cell>
          <cell r="B406" t="str">
            <v>Fogo</v>
          </cell>
          <cell r="C406">
            <v>34</v>
          </cell>
          <cell r="D406">
            <v>6</v>
          </cell>
          <cell r="E406">
            <v>4</v>
          </cell>
          <cell r="F406">
            <v>6</v>
          </cell>
          <cell r="G406">
            <v>4</v>
          </cell>
          <cell r="H406">
            <v>7</v>
          </cell>
          <cell r="I406">
            <v>64</v>
          </cell>
        </row>
        <row r="407">
          <cell r="A407" t="str">
            <v>Litwick</v>
          </cell>
          <cell r="B407" t="str">
            <v>Fantasma\Fogo</v>
          </cell>
          <cell r="C407">
            <v>38</v>
          </cell>
          <cell r="D407">
            <v>3</v>
          </cell>
          <cell r="E407">
            <v>5</v>
          </cell>
          <cell r="F407">
            <v>6</v>
          </cell>
          <cell r="G407">
            <v>5</v>
          </cell>
          <cell r="H407">
            <v>2</v>
          </cell>
          <cell r="I407">
            <v>55</v>
          </cell>
        </row>
        <row r="408">
          <cell r="A408" t="str">
            <v>Lombre</v>
          </cell>
          <cell r="B408" t="str">
            <v>Água/Grama</v>
          </cell>
          <cell r="C408">
            <v>45</v>
          </cell>
          <cell r="D408">
            <v>5</v>
          </cell>
          <cell r="E408">
            <v>5</v>
          </cell>
          <cell r="F408">
            <v>6</v>
          </cell>
          <cell r="G408">
            <v>7</v>
          </cell>
          <cell r="H408">
            <v>5</v>
          </cell>
          <cell r="I408">
            <v>119</v>
          </cell>
        </row>
        <row r="409">
          <cell r="A409" t="str">
            <v>Lopunny</v>
          </cell>
          <cell r="B409" t="str">
            <v>Normal</v>
          </cell>
          <cell r="C409">
            <v>49</v>
          </cell>
          <cell r="D409">
            <v>8</v>
          </cell>
          <cell r="E409">
            <v>8</v>
          </cell>
          <cell r="F409">
            <v>5</v>
          </cell>
          <cell r="G409">
            <v>10</v>
          </cell>
          <cell r="H409">
            <v>10</v>
          </cell>
          <cell r="I409">
            <v>168</v>
          </cell>
        </row>
        <row r="410">
          <cell r="A410" t="str">
            <v>Lotad</v>
          </cell>
          <cell r="B410" t="str">
            <v>Água/Grama</v>
          </cell>
          <cell r="C410">
            <v>30</v>
          </cell>
          <cell r="D410">
            <v>3</v>
          </cell>
          <cell r="E410">
            <v>3</v>
          </cell>
          <cell r="F410">
            <v>4</v>
          </cell>
          <cell r="G410">
            <v>5</v>
          </cell>
          <cell r="H410">
            <v>3</v>
          </cell>
          <cell r="I410">
            <v>44</v>
          </cell>
        </row>
        <row r="411">
          <cell r="A411" t="str">
            <v>Loudred</v>
          </cell>
          <cell r="B411" t="str">
            <v>Normal</v>
          </cell>
          <cell r="C411">
            <v>63</v>
          </cell>
          <cell r="D411">
            <v>7</v>
          </cell>
          <cell r="E411">
            <v>4</v>
          </cell>
          <cell r="F411">
            <v>7</v>
          </cell>
          <cell r="G411">
            <v>4</v>
          </cell>
          <cell r="H411">
            <v>5</v>
          </cell>
          <cell r="I411">
            <v>126</v>
          </cell>
        </row>
        <row r="412">
          <cell r="A412" t="str">
            <v>Lucario</v>
          </cell>
          <cell r="B412" t="str">
            <v>Lutador/Metal</v>
          </cell>
          <cell r="C412">
            <v>53</v>
          </cell>
          <cell r="D412">
            <v>11</v>
          </cell>
          <cell r="E412">
            <v>7</v>
          </cell>
          <cell r="F412">
            <v>11</v>
          </cell>
          <cell r="G412">
            <v>7</v>
          </cell>
          <cell r="H412">
            <v>9</v>
          </cell>
          <cell r="I412">
            <v>184</v>
          </cell>
        </row>
        <row r="413">
          <cell r="A413" t="str">
            <v>Ludicolo</v>
          </cell>
          <cell r="B413" t="str">
            <v>Água/Grama</v>
          </cell>
          <cell r="C413">
            <v>60</v>
          </cell>
          <cell r="D413">
            <v>7</v>
          </cell>
          <cell r="E413">
            <v>7</v>
          </cell>
          <cell r="F413">
            <v>9</v>
          </cell>
          <cell r="G413">
            <v>10</v>
          </cell>
          <cell r="H413">
            <v>7</v>
          </cell>
          <cell r="I413">
            <v>216</v>
          </cell>
        </row>
        <row r="414">
          <cell r="A414" t="str">
            <v>Lugia</v>
          </cell>
          <cell r="B414" t="str">
            <v>Psíquico/Voador</v>
          </cell>
          <cell r="C414">
            <v>80</v>
          </cell>
          <cell r="D414">
            <v>9</v>
          </cell>
          <cell r="E414">
            <v>13</v>
          </cell>
          <cell r="F414">
            <v>9</v>
          </cell>
          <cell r="G414">
            <v>15</v>
          </cell>
          <cell r="H414">
            <v>11</v>
          </cell>
          <cell r="I414">
            <v>306</v>
          </cell>
        </row>
        <row r="415">
          <cell r="A415" t="str">
            <v>Lumineon</v>
          </cell>
          <cell r="B415" t="str">
            <v>Água</v>
          </cell>
          <cell r="C415">
            <v>52</v>
          </cell>
          <cell r="D415">
            <v>7</v>
          </cell>
          <cell r="E415">
            <v>8</v>
          </cell>
          <cell r="F415">
            <v>7</v>
          </cell>
          <cell r="G415">
            <v>9</v>
          </cell>
          <cell r="H415">
            <v>9</v>
          </cell>
          <cell r="I415">
            <v>161</v>
          </cell>
        </row>
        <row r="416">
          <cell r="A416" t="str">
            <v>Lunala</v>
          </cell>
          <cell r="B416" t="str">
            <v>Psíquico\Fantasma</v>
          </cell>
          <cell r="C416">
            <v>103</v>
          </cell>
          <cell r="D416">
            <v>11</v>
          </cell>
          <cell r="E416">
            <v>9</v>
          </cell>
          <cell r="F416">
            <v>14</v>
          </cell>
          <cell r="G416">
            <v>11</v>
          </cell>
          <cell r="H416">
            <v>10</v>
          </cell>
          <cell r="I416">
            <v>306</v>
          </cell>
        </row>
        <row r="417">
          <cell r="A417" t="str">
            <v>Lunatone</v>
          </cell>
          <cell r="B417" t="str">
            <v>Pedra/Psíquico</v>
          </cell>
          <cell r="C417">
            <v>53</v>
          </cell>
          <cell r="D417">
            <v>5</v>
          </cell>
          <cell r="E417">
            <v>6</v>
          </cell>
          <cell r="F417">
            <v>9</v>
          </cell>
          <cell r="G417">
            <v>8</v>
          </cell>
          <cell r="H417">
            <v>7</v>
          </cell>
          <cell r="I417">
            <v>161</v>
          </cell>
        </row>
        <row r="418">
          <cell r="A418" t="str">
            <v>Lurantis</v>
          </cell>
          <cell r="B418" t="str">
            <v>Grama</v>
          </cell>
          <cell r="C418">
            <v>53</v>
          </cell>
          <cell r="D418">
            <v>10</v>
          </cell>
          <cell r="E418">
            <v>9</v>
          </cell>
          <cell r="F418">
            <v>8</v>
          </cell>
          <cell r="G418">
            <v>9</v>
          </cell>
          <cell r="H418">
            <v>4</v>
          </cell>
          <cell r="I418">
            <v>168</v>
          </cell>
        </row>
        <row r="419">
          <cell r="A419" t="str">
            <v>Luvdisc</v>
          </cell>
          <cell r="B419" t="str">
            <v>Água</v>
          </cell>
          <cell r="C419">
            <v>33</v>
          </cell>
          <cell r="D419">
            <v>3</v>
          </cell>
          <cell r="E419">
            <v>5</v>
          </cell>
          <cell r="F419">
            <v>4</v>
          </cell>
          <cell r="G419">
            <v>6</v>
          </cell>
          <cell r="H419">
            <v>10</v>
          </cell>
          <cell r="I419">
            <v>116</v>
          </cell>
        </row>
        <row r="420">
          <cell r="A420" t="str">
            <v>Luxio</v>
          </cell>
          <cell r="B420" t="str">
            <v>Elétrico</v>
          </cell>
          <cell r="C420">
            <v>45</v>
          </cell>
          <cell r="D420">
            <v>8</v>
          </cell>
          <cell r="E420">
            <v>5</v>
          </cell>
          <cell r="F420">
            <v>6</v>
          </cell>
          <cell r="G420">
            <v>5</v>
          </cell>
          <cell r="H420">
            <v>6</v>
          </cell>
          <cell r="I420">
            <v>127</v>
          </cell>
        </row>
        <row r="421">
          <cell r="A421" t="str">
            <v>Luxray</v>
          </cell>
          <cell r="B421" t="str">
            <v>Elétrico</v>
          </cell>
          <cell r="C421">
            <v>60</v>
          </cell>
          <cell r="D421">
            <v>12</v>
          </cell>
          <cell r="E421">
            <v>8</v>
          </cell>
          <cell r="F421">
            <v>9</v>
          </cell>
          <cell r="G421">
            <v>8</v>
          </cell>
          <cell r="H421">
            <v>7</v>
          </cell>
          <cell r="I421">
            <v>235</v>
          </cell>
        </row>
        <row r="422">
          <cell r="A422" t="str">
            <v>Lycanroc (Crepúsculo)</v>
          </cell>
          <cell r="B422" t="str">
            <v>Pedra</v>
          </cell>
          <cell r="C422">
            <v>57</v>
          </cell>
          <cell r="D422">
            <v>12</v>
          </cell>
          <cell r="E422">
            <v>6</v>
          </cell>
          <cell r="F422">
            <v>5</v>
          </cell>
          <cell r="G422">
            <v>6</v>
          </cell>
          <cell r="H422">
            <v>11</v>
          </cell>
          <cell r="I422">
            <v>170</v>
          </cell>
        </row>
        <row r="423">
          <cell r="A423" t="str">
            <v>Lycanroc (Meia-noite)</v>
          </cell>
          <cell r="B423" t="str">
            <v>Pedra</v>
          </cell>
          <cell r="C423">
            <v>64</v>
          </cell>
          <cell r="D423">
            <v>11</v>
          </cell>
          <cell r="E423">
            <v>7</v>
          </cell>
          <cell r="F423">
            <v>5</v>
          </cell>
          <cell r="G423">
            <v>7</v>
          </cell>
          <cell r="H423">
            <v>8</v>
          </cell>
          <cell r="I423">
            <v>170</v>
          </cell>
        </row>
        <row r="424">
          <cell r="A424" t="str">
            <v>Lycanroc (Meio-dia)</v>
          </cell>
          <cell r="B424" t="str">
            <v>Pedra</v>
          </cell>
          <cell r="C424">
            <v>57</v>
          </cell>
          <cell r="D424">
            <v>11</v>
          </cell>
          <cell r="E424">
            <v>6</v>
          </cell>
          <cell r="F424">
            <v>5</v>
          </cell>
          <cell r="G424">
            <v>6</v>
          </cell>
          <cell r="H424">
            <v>11</v>
          </cell>
          <cell r="I424">
            <v>170</v>
          </cell>
        </row>
        <row r="425">
          <cell r="A425" t="str">
            <v>Machamp</v>
          </cell>
          <cell r="B425" t="str">
            <v>Lutador</v>
          </cell>
          <cell r="C425">
            <v>68</v>
          </cell>
          <cell r="D425">
            <v>13</v>
          </cell>
          <cell r="E425">
            <v>8</v>
          </cell>
          <cell r="F425">
            <v>6</v>
          </cell>
          <cell r="G425">
            <v>8</v>
          </cell>
          <cell r="H425">
            <v>5</v>
          </cell>
          <cell r="I425">
            <v>227</v>
          </cell>
        </row>
        <row r="426">
          <cell r="A426" t="str">
            <v>Machoke</v>
          </cell>
          <cell r="B426" t="str">
            <v>Lutador</v>
          </cell>
          <cell r="C426">
            <v>60</v>
          </cell>
          <cell r="D426">
            <v>10</v>
          </cell>
          <cell r="E426">
            <v>7</v>
          </cell>
          <cell r="F426">
            <v>5</v>
          </cell>
          <cell r="G426">
            <v>6</v>
          </cell>
          <cell r="H426">
            <v>4</v>
          </cell>
          <cell r="I426">
            <v>142</v>
          </cell>
        </row>
        <row r="427">
          <cell r="A427" t="str">
            <v>Machop</v>
          </cell>
          <cell r="B427" t="str">
            <v>Lutador</v>
          </cell>
          <cell r="C427">
            <v>53</v>
          </cell>
          <cell r="D427">
            <v>8</v>
          </cell>
          <cell r="E427">
            <v>5</v>
          </cell>
          <cell r="F427">
            <v>3</v>
          </cell>
          <cell r="G427">
            <v>3</v>
          </cell>
          <cell r="H427">
            <v>3</v>
          </cell>
          <cell r="I427">
            <v>61</v>
          </cell>
        </row>
        <row r="428">
          <cell r="A428" t="str">
            <v>Magby</v>
          </cell>
          <cell r="B428" t="str">
            <v>Fogo</v>
          </cell>
          <cell r="C428">
            <v>34</v>
          </cell>
          <cell r="D428">
            <v>7</v>
          </cell>
          <cell r="E428">
            <v>4</v>
          </cell>
          <cell r="F428">
            <v>7</v>
          </cell>
          <cell r="G428">
            <v>5</v>
          </cell>
          <cell r="H428">
            <v>8</v>
          </cell>
          <cell r="I428">
            <v>73</v>
          </cell>
        </row>
        <row r="429">
          <cell r="A429" t="str">
            <v>Magcargo</v>
          </cell>
          <cell r="B429" t="str">
            <v>Fogo/Pedra</v>
          </cell>
          <cell r="C429">
            <v>38</v>
          </cell>
          <cell r="D429">
            <v>5</v>
          </cell>
          <cell r="E429">
            <v>12</v>
          </cell>
          <cell r="F429">
            <v>8</v>
          </cell>
          <cell r="G429">
            <v>8</v>
          </cell>
          <cell r="H429">
            <v>3</v>
          </cell>
          <cell r="I429">
            <v>151</v>
          </cell>
        </row>
        <row r="430">
          <cell r="A430" t="str">
            <v>Magearna</v>
          </cell>
          <cell r="B430" t="str">
            <v>Metal\Fada</v>
          </cell>
          <cell r="C430">
            <v>60</v>
          </cell>
          <cell r="D430">
            <v>9</v>
          </cell>
          <cell r="E430">
            <v>11</v>
          </cell>
          <cell r="F430">
            <v>13</v>
          </cell>
          <cell r="G430">
            <v>11</v>
          </cell>
          <cell r="H430">
            <v>6</v>
          </cell>
          <cell r="I430">
            <v>270</v>
          </cell>
        </row>
        <row r="431">
          <cell r="A431" t="str">
            <v>Magikarp</v>
          </cell>
          <cell r="B431" t="str">
            <v>Água</v>
          </cell>
          <cell r="C431">
            <v>15</v>
          </cell>
          <cell r="D431">
            <v>1</v>
          </cell>
          <cell r="E431">
            <v>5</v>
          </cell>
          <cell r="F431">
            <v>1</v>
          </cell>
          <cell r="G431">
            <v>2</v>
          </cell>
          <cell r="H431">
            <v>8</v>
          </cell>
          <cell r="I431">
            <v>40</v>
          </cell>
        </row>
        <row r="432">
          <cell r="A432" t="str">
            <v>Magmar</v>
          </cell>
          <cell r="B432" t="str">
            <v>Fogo</v>
          </cell>
          <cell r="C432">
            <v>49</v>
          </cell>
          <cell r="D432">
            <v>9</v>
          </cell>
          <cell r="E432">
            <v>6</v>
          </cell>
          <cell r="F432">
            <v>10</v>
          </cell>
          <cell r="G432">
            <v>8</v>
          </cell>
          <cell r="H432">
            <v>9</v>
          </cell>
          <cell r="I432">
            <v>173</v>
          </cell>
        </row>
        <row r="433">
          <cell r="A433" t="str">
            <v>Magmortar</v>
          </cell>
          <cell r="B433" t="str">
            <v>Fogo</v>
          </cell>
          <cell r="C433">
            <v>57</v>
          </cell>
          <cell r="D433">
            <v>9</v>
          </cell>
          <cell r="E433">
            <v>7</v>
          </cell>
          <cell r="F433">
            <v>12</v>
          </cell>
          <cell r="G433">
            <v>9</v>
          </cell>
          <cell r="H433">
            <v>8</v>
          </cell>
          <cell r="I433">
            <v>243</v>
          </cell>
        </row>
        <row r="434">
          <cell r="A434" t="str">
            <v>Magnemite</v>
          </cell>
          <cell r="B434" t="str">
            <v>Elétrico/Metal</v>
          </cell>
          <cell r="C434">
            <v>19</v>
          </cell>
          <cell r="D434">
            <v>3</v>
          </cell>
          <cell r="E434">
            <v>7</v>
          </cell>
          <cell r="F434">
            <v>9</v>
          </cell>
          <cell r="G434">
            <v>5</v>
          </cell>
          <cell r="H434">
            <v>4</v>
          </cell>
          <cell r="I434">
            <v>65</v>
          </cell>
        </row>
        <row r="435">
          <cell r="A435" t="str">
            <v>Magneton</v>
          </cell>
          <cell r="B435" t="str">
            <v>Elétrico/Metal</v>
          </cell>
          <cell r="C435">
            <v>38</v>
          </cell>
          <cell r="D435">
            <v>6</v>
          </cell>
          <cell r="E435">
            <v>9</v>
          </cell>
          <cell r="F435">
            <v>12</v>
          </cell>
          <cell r="G435">
            <v>7</v>
          </cell>
          <cell r="H435">
            <v>7</v>
          </cell>
          <cell r="I435">
            <v>163</v>
          </cell>
        </row>
        <row r="436">
          <cell r="A436" t="str">
            <v>Magnezone</v>
          </cell>
          <cell r="B436" t="str">
            <v>Elétrico/Metal</v>
          </cell>
          <cell r="C436">
            <v>53</v>
          </cell>
          <cell r="D436">
            <v>7</v>
          </cell>
          <cell r="E436">
            <v>11</v>
          </cell>
          <cell r="F436">
            <v>13</v>
          </cell>
          <cell r="G436">
            <v>9</v>
          </cell>
          <cell r="H436">
            <v>6</v>
          </cell>
          <cell r="I436">
            <v>241</v>
          </cell>
        </row>
        <row r="437">
          <cell r="A437" t="str">
            <v>Makuhita</v>
          </cell>
          <cell r="B437" t="str">
            <v>Lutador</v>
          </cell>
          <cell r="C437">
            <v>54</v>
          </cell>
          <cell r="D437">
            <v>6</v>
          </cell>
          <cell r="E437">
            <v>3</v>
          </cell>
          <cell r="F437">
            <v>2</v>
          </cell>
          <cell r="G437">
            <v>3</v>
          </cell>
          <cell r="H437">
            <v>2</v>
          </cell>
          <cell r="I437">
            <v>47</v>
          </cell>
        </row>
        <row r="438">
          <cell r="A438" t="str">
            <v>Malamar</v>
          </cell>
          <cell r="B438" t="str">
            <v>Noturno\Psíquico</v>
          </cell>
          <cell r="C438">
            <v>65</v>
          </cell>
          <cell r="D438">
            <v>9</v>
          </cell>
          <cell r="E438">
            <v>9</v>
          </cell>
          <cell r="F438">
            <v>7</v>
          </cell>
          <cell r="G438">
            <v>7</v>
          </cell>
          <cell r="H438">
            <v>7</v>
          </cell>
          <cell r="I438">
            <v>169</v>
          </cell>
        </row>
        <row r="439">
          <cell r="A439" t="str">
            <v>Mamoswine</v>
          </cell>
          <cell r="B439" t="str">
            <v>Gelo/Terra</v>
          </cell>
          <cell r="C439">
            <v>83</v>
          </cell>
          <cell r="D439">
            <v>13</v>
          </cell>
          <cell r="E439">
            <v>8</v>
          </cell>
          <cell r="F439">
            <v>7</v>
          </cell>
          <cell r="G439">
            <v>6</v>
          </cell>
          <cell r="H439">
            <v>8</v>
          </cell>
          <cell r="I439">
            <v>239</v>
          </cell>
        </row>
        <row r="440">
          <cell r="A440" t="str">
            <v>Manaphy</v>
          </cell>
          <cell r="B440" t="str">
            <v>Água</v>
          </cell>
          <cell r="C440">
            <v>75</v>
          </cell>
          <cell r="D440">
            <v>10</v>
          </cell>
          <cell r="E440">
            <v>10</v>
          </cell>
          <cell r="F440">
            <v>10</v>
          </cell>
          <cell r="G440">
            <v>10</v>
          </cell>
          <cell r="H440">
            <v>10</v>
          </cell>
          <cell r="I440">
            <v>270</v>
          </cell>
        </row>
        <row r="441">
          <cell r="A441" t="str">
            <v>Mandibuzz</v>
          </cell>
          <cell r="B441" t="str">
            <v>Noturno\Voador</v>
          </cell>
          <cell r="C441">
            <v>83</v>
          </cell>
          <cell r="D441">
            <v>6</v>
          </cell>
          <cell r="E441">
            <v>10</v>
          </cell>
          <cell r="F441">
            <v>5</v>
          </cell>
          <cell r="G441">
            <v>9</v>
          </cell>
          <cell r="H441">
            <v>8</v>
          </cell>
          <cell r="I441">
            <v>179</v>
          </cell>
        </row>
        <row r="442">
          <cell r="A442" t="str">
            <v>Manectric</v>
          </cell>
          <cell r="B442" t="str">
            <v>Elétrico</v>
          </cell>
          <cell r="C442">
            <v>53</v>
          </cell>
          <cell r="D442">
            <v>7</v>
          </cell>
          <cell r="E442">
            <v>6</v>
          </cell>
          <cell r="F442">
            <v>10</v>
          </cell>
          <cell r="G442">
            <v>6</v>
          </cell>
          <cell r="H442">
            <v>10</v>
          </cell>
          <cell r="I442">
            <v>166</v>
          </cell>
        </row>
        <row r="443">
          <cell r="A443" t="str">
            <v>Mankey</v>
          </cell>
          <cell r="B443" t="str">
            <v>Lutador</v>
          </cell>
          <cell r="C443">
            <v>30</v>
          </cell>
          <cell r="D443">
            <v>8</v>
          </cell>
          <cell r="E443">
            <v>3</v>
          </cell>
          <cell r="F443">
            <v>3</v>
          </cell>
          <cell r="G443">
            <v>4</v>
          </cell>
          <cell r="H443">
            <v>7</v>
          </cell>
          <cell r="I443">
            <v>61</v>
          </cell>
        </row>
        <row r="444">
          <cell r="A444" t="str">
            <v>Mantine</v>
          </cell>
          <cell r="B444" t="str">
            <v>Água/Voador</v>
          </cell>
          <cell r="C444">
            <v>49</v>
          </cell>
          <cell r="D444">
            <v>4</v>
          </cell>
          <cell r="E444">
            <v>7</v>
          </cell>
          <cell r="F444">
            <v>8</v>
          </cell>
          <cell r="G444">
            <v>14</v>
          </cell>
          <cell r="H444">
            <v>7</v>
          </cell>
          <cell r="I444">
            <v>170</v>
          </cell>
        </row>
        <row r="445">
          <cell r="A445" t="str">
            <v>Mantyke</v>
          </cell>
          <cell r="B445" t="str">
            <v>Água/Voador</v>
          </cell>
          <cell r="C445">
            <v>34</v>
          </cell>
          <cell r="D445">
            <v>2</v>
          </cell>
          <cell r="E445">
            <v>5</v>
          </cell>
          <cell r="F445">
            <v>6</v>
          </cell>
          <cell r="G445">
            <v>12</v>
          </cell>
          <cell r="H445">
            <v>5</v>
          </cell>
          <cell r="I445">
            <v>69</v>
          </cell>
        </row>
        <row r="446">
          <cell r="A446" t="str">
            <v>Maractus</v>
          </cell>
          <cell r="B446" t="str">
            <v>Grama</v>
          </cell>
          <cell r="C446">
            <v>57</v>
          </cell>
          <cell r="D446">
            <v>9</v>
          </cell>
          <cell r="E446">
            <v>7</v>
          </cell>
          <cell r="F446">
            <v>11</v>
          </cell>
          <cell r="G446">
            <v>7</v>
          </cell>
          <cell r="H446">
            <v>6</v>
          </cell>
          <cell r="I446">
            <v>161</v>
          </cell>
        </row>
        <row r="447">
          <cell r="A447" t="str">
            <v>Mareanie</v>
          </cell>
          <cell r="B447" t="str">
            <v>Veneno\Água</v>
          </cell>
          <cell r="C447">
            <v>38</v>
          </cell>
          <cell r="D447">
            <v>5</v>
          </cell>
          <cell r="E447">
            <v>6</v>
          </cell>
          <cell r="F447">
            <v>4</v>
          </cell>
          <cell r="G447">
            <v>5</v>
          </cell>
          <cell r="H447">
            <v>4</v>
          </cell>
          <cell r="I447">
            <v>61</v>
          </cell>
        </row>
        <row r="448">
          <cell r="A448" t="str">
            <v>Mareep</v>
          </cell>
          <cell r="B448" t="str">
            <v>Elétrico</v>
          </cell>
          <cell r="C448">
            <v>42</v>
          </cell>
          <cell r="D448">
            <v>4</v>
          </cell>
          <cell r="E448">
            <v>4</v>
          </cell>
          <cell r="F448">
            <v>6</v>
          </cell>
          <cell r="G448">
            <v>4</v>
          </cell>
          <cell r="H448">
            <v>3</v>
          </cell>
          <cell r="I448">
            <v>56</v>
          </cell>
        </row>
        <row r="449">
          <cell r="A449" t="str">
            <v>Marill</v>
          </cell>
          <cell r="B449" t="str">
            <v>Água/Fada</v>
          </cell>
          <cell r="C449">
            <v>53</v>
          </cell>
          <cell r="D449">
            <v>2</v>
          </cell>
          <cell r="E449">
            <v>5</v>
          </cell>
          <cell r="F449">
            <v>2</v>
          </cell>
          <cell r="G449">
            <v>5</v>
          </cell>
          <cell r="H449">
            <v>4</v>
          </cell>
          <cell r="I449">
            <v>88</v>
          </cell>
        </row>
        <row r="450">
          <cell r="A450" t="str">
            <v>Marowak</v>
          </cell>
          <cell r="B450" t="str">
            <v>Terra</v>
          </cell>
          <cell r="C450">
            <v>45</v>
          </cell>
          <cell r="D450">
            <v>8</v>
          </cell>
          <cell r="E450">
            <v>11</v>
          </cell>
          <cell r="F450">
            <v>5</v>
          </cell>
          <cell r="G450">
            <v>8</v>
          </cell>
          <cell r="H450">
            <v>4</v>
          </cell>
          <cell r="I450">
            <v>149</v>
          </cell>
        </row>
        <row r="451">
          <cell r="A451" t="str">
            <v>Marowak (Alola)</v>
          </cell>
          <cell r="B451" t="str">
            <v>Fogo/Fantasma</v>
          </cell>
          <cell r="C451">
            <v>45</v>
          </cell>
          <cell r="D451">
            <v>8</v>
          </cell>
          <cell r="E451">
            <v>11</v>
          </cell>
          <cell r="F451">
            <v>5</v>
          </cell>
          <cell r="G451">
            <v>8</v>
          </cell>
          <cell r="H451">
            <v>4</v>
          </cell>
          <cell r="I451">
            <v>149</v>
          </cell>
        </row>
        <row r="452">
          <cell r="A452" t="str">
            <v>Marshadow</v>
          </cell>
          <cell r="B452" t="str">
            <v>Lutador\Fantasma</v>
          </cell>
          <cell r="C452">
            <v>68</v>
          </cell>
          <cell r="D452">
            <v>12</v>
          </cell>
          <cell r="E452">
            <v>8</v>
          </cell>
          <cell r="F452">
            <v>9</v>
          </cell>
          <cell r="G452">
            <v>9</v>
          </cell>
          <cell r="H452">
            <v>12</v>
          </cell>
          <cell r="I452">
            <v>270</v>
          </cell>
        </row>
        <row r="453">
          <cell r="A453" t="str">
            <v>Marshtomp</v>
          </cell>
          <cell r="B453" t="str">
            <v>Água/Terra</v>
          </cell>
          <cell r="C453">
            <v>53</v>
          </cell>
          <cell r="D453">
            <v>8</v>
          </cell>
          <cell r="E453">
            <v>7</v>
          </cell>
          <cell r="F453">
            <v>6</v>
          </cell>
          <cell r="G453">
            <v>7</v>
          </cell>
          <cell r="H453">
            <v>5</v>
          </cell>
          <cell r="I453">
            <v>142</v>
          </cell>
        </row>
        <row r="454">
          <cell r="A454" t="str">
            <v>Masquerain</v>
          </cell>
          <cell r="B454" t="str">
            <v>Inseto/Voador</v>
          </cell>
          <cell r="C454">
            <v>53</v>
          </cell>
          <cell r="D454">
            <v>6</v>
          </cell>
          <cell r="E454">
            <v>6</v>
          </cell>
          <cell r="F454">
            <v>8</v>
          </cell>
          <cell r="G454">
            <v>8</v>
          </cell>
          <cell r="H454">
            <v>6</v>
          </cell>
          <cell r="I454">
            <v>159</v>
          </cell>
        </row>
        <row r="455">
          <cell r="A455" t="str">
            <v>Mawile</v>
          </cell>
          <cell r="B455" t="str">
            <v>Metal/Fada</v>
          </cell>
          <cell r="C455">
            <v>38</v>
          </cell>
          <cell r="D455">
            <v>8</v>
          </cell>
          <cell r="E455">
            <v>8</v>
          </cell>
          <cell r="F455">
            <v>5</v>
          </cell>
          <cell r="G455">
            <v>5</v>
          </cell>
          <cell r="H455">
            <v>5</v>
          </cell>
          <cell r="I455">
            <v>133</v>
          </cell>
        </row>
        <row r="456">
          <cell r="A456" t="str">
            <v>Medicham</v>
          </cell>
          <cell r="B456" t="str">
            <v>Lutador/Psíquico</v>
          </cell>
          <cell r="C456">
            <v>45</v>
          </cell>
          <cell r="D456">
            <v>6</v>
          </cell>
          <cell r="E456">
            <v>7</v>
          </cell>
          <cell r="F456">
            <v>6</v>
          </cell>
          <cell r="G456">
            <v>7</v>
          </cell>
          <cell r="H456">
            <v>8</v>
          </cell>
          <cell r="I456">
            <v>144</v>
          </cell>
        </row>
        <row r="457">
          <cell r="A457" t="str">
            <v>Meditite</v>
          </cell>
          <cell r="B457" t="str">
            <v>Lutador/Psíquico</v>
          </cell>
          <cell r="C457">
            <v>23</v>
          </cell>
          <cell r="D457">
            <v>4</v>
          </cell>
          <cell r="E457">
            <v>5</v>
          </cell>
          <cell r="F457">
            <v>4</v>
          </cell>
          <cell r="G457">
            <v>5</v>
          </cell>
          <cell r="H457">
            <v>6</v>
          </cell>
          <cell r="I457">
            <v>56</v>
          </cell>
        </row>
        <row r="458">
          <cell r="A458" t="str">
            <v>Meganium</v>
          </cell>
          <cell r="B458" t="str">
            <v>Grama</v>
          </cell>
          <cell r="C458">
            <v>60</v>
          </cell>
          <cell r="D458">
            <v>8</v>
          </cell>
          <cell r="E458">
            <v>10</v>
          </cell>
          <cell r="F458">
            <v>8</v>
          </cell>
          <cell r="G458">
            <v>10</v>
          </cell>
          <cell r="H458">
            <v>8</v>
          </cell>
          <cell r="I458">
            <v>236</v>
          </cell>
        </row>
        <row r="459">
          <cell r="A459" t="str">
            <v>Melmetal</v>
          </cell>
          <cell r="B459" t="str">
            <v>Metal</v>
          </cell>
          <cell r="C459">
            <v>102</v>
          </cell>
          <cell r="D459">
            <v>14</v>
          </cell>
          <cell r="E459">
            <v>14</v>
          </cell>
          <cell r="F459">
            <v>8</v>
          </cell>
          <cell r="G459">
            <v>6</v>
          </cell>
          <cell r="H459">
            <v>3</v>
          </cell>
          <cell r="I459">
            <v>270</v>
          </cell>
        </row>
        <row r="460">
          <cell r="A460" t="str">
            <v>Meloetta (Melodia)</v>
          </cell>
          <cell r="B460" t="str">
            <v>Normal\Psíquico</v>
          </cell>
          <cell r="C460">
            <v>75</v>
          </cell>
          <cell r="D460">
            <v>8</v>
          </cell>
          <cell r="E460">
            <v>8</v>
          </cell>
          <cell r="F460">
            <v>13</v>
          </cell>
          <cell r="G460">
            <v>13</v>
          </cell>
          <cell r="H460">
            <v>9</v>
          </cell>
          <cell r="I460">
            <v>270</v>
          </cell>
        </row>
        <row r="461">
          <cell r="A461" t="str">
            <v>Meloetta (Pirueta)</v>
          </cell>
          <cell r="B461" t="str">
            <v>Normal\Lutador</v>
          </cell>
          <cell r="C461">
            <v>75</v>
          </cell>
          <cell r="D461">
            <v>13</v>
          </cell>
          <cell r="E461">
            <v>9</v>
          </cell>
          <cell r="F461">
            <v>8</v>
          </cell>
          <cell r="G461">
            <v>8</v>
          </cell>
          <cell r="H461">
            <v>13</v>
          </cell>
          <cell r="I461">
            <v>270</v>
          </cell>
        </row>
        <row r="462">
          <cell r="A462" t="str">
            <v>Meltan</v>
          </cell>
          <cell r="B462" t="str">
            <v>Metal</v>
          </cell>
          <cell r="C462">
            <v>35</v>
          </cell>
          <cell r="D462">
            <v>6</v>
          </cell>
          <cell r="E462">
            <v>6</v>
          </cell>
          <cell r="F462">
            <v>5</v>
          </cell>
          <cell r="G462">
            <v>3</v>
          </cell>
          <cell r="H462">
            <v>3</v>
          </cell>
          <cell r="I462">
            <v>135</v>
          </cell>
        </row>
        <row r="463">
          <cell r="A463" t="str">
            <v>Meowstic</v>
          </cell>
          <cell r="B463" t="str">
            <v>Psíquico</v>
          </cell>
          <cell r="C463">
            <v>56</v>
          </cell>
          <cell r="D463">
            <v>5</v>
          </cell>
          <cell r="E463">
            <v>8</v>
          </cell>
          <cell r="F463">
            <v>8</v>
          </cell>
          <cell r="G463">
            <v>8</v>
          </cell>
          <cell r="H463">
            <v>10</v>
          </cell>
          <cell r="I463">
            <v>163</v>
          </cell>
        </row>
        <row r="464">
          <cell r="A464" t="str">
            <v>Meowth</v>
          </cell>
          <cell r="B464" t="str">
            <v>Normal</v>
          </cell>
          <cell r="C464">
            <v>30</v>
          </cell>
          <cell r="D464">
            <v>4</v>
          </cell>
          <cell r="E464">
            <v>3</v>
          </cell>
          <cell r="F464">
            <v>4</v>
          </cell>
          <cell r="G464">
            <v>4</v>
          </cell>
          <cell r="H464">
            <v>9</v>
          </cell>
          <cell r="I464">
            <v>58</v>
          </cell>
        </row>
        <row r="465">
          <cell r="A465" t="str">
            <v>Meowth (Alola)</v>
          </cell>
          <cell r="B465" t="str">
            <v>Noturno</v>
          </cell>
          <cell r="C465">
            <v>30</v>
          </cell>
          <cell r="D465">
            <v>3</v>
          </cell>
          <cell r="E465">
            <v>3</v>
          </cell>
          <cell r="F465">
            <v>5</v>
          </cell>
          <cell r="G465">
            <v>4</v>
          </cell>
          <cell r="H465">
            <v>9</v>
          </cell>
          <cell r="I465">
            <v>58</v>
          </cell>
        </row>
        <row r="466">
          <cell r="A466" t="str">
            <v>Mesprit</v>
          </cell>
          <cell r="B466" t="str">
            <v>Psíquico</v>
          </cell>
          <cell r="C466">
            <v>60</v>
          </cell>
          <cell r="D466">
            <v>10</v>
          </cell>
          <cell r="E466">
            <v>10</v>
          </cell>
          <cell r="F466">
            <v>10</v>
          </cell>
          <cell r="G466">
            <v>10</v>
          </cell>
          <cell r="H466">
            <v>8</v>
          </cell>
          <cell r="I466">
            <v>261</v>
          </cell>
        </row>
        <row r="467">
          <cell r="A467" t="str">
            <v>Metagross</v>
          </cell>
          <cell r="B467" t="str">
            <v>Metal/Psíquico</v>
          </cell>
          <cell r="C467">
            <v>60</v>
          </cell>
          <cell r="D467">
            <v>13</v>
          </cell>
          <cell r="E467">
            <v>13</v>
          </cell>
          <cell r="F467">
            <v>9</v>
          </cell>
          <cell r="G467">
            <v>9</v>
          </cell>
          <cell r="H467">
            <v>7</v>
          </cell>
          <cell r="I467">
            <v>270</v>
          </cell>
        </row>
        <row r="468">
          <cell r="A468" t="str">
            <v>Metang</v>
          </cell>
          <cell r="B468" t="str">
            <v>Metal/Psíquico</v>
          </cell>
          <cell r="C468">
            <v>45</v>
          </cell>
          <cell r="D468">
            <v>7</v>
          </cell>
          <cell r="E468">
            <v>10</v>
          </cell>
          <cell r="F468">
            <v>5</v>
          </cell>
          <cell r="G468">
            <v>8</v>
          </cell>
          <cell r="H468">
            <v>5</v>
          </cell>
          <cell r="I468">
            <v>147</v>
          </cell>
        </row>
        <row r="469">
          <cell r="A469" t="str">
            <v>Metapod</v>
          </cell>
          <cell r="B469" t="str">
            <v>Inseto</v>
          </cell>
          <cell r="C469">
            <v>38</v>
          </cell>
          <cell r="D469">
            <v>2</v>
          </cell>
          <cell r="E469">
            <v>5</v>
          </cell>
          <cell r="F469">
            <v>2</v>
          </cell>
          <cell r="G469">
            <v>2</v>
          </cell>
          <cell r="H469">
            <v>3</v>
          </cell>
          <cell r="I469">
            <v>72</v>
          </cell>
        </row>
        <row r="470">
          <cell r="A470" t="str">
            <v>Mew</v>
          </cell>
          <cell r="B470" t="str">
            <v>Psíquico</v>
          </cell>
          <cell r="C470">
            <v>75</v>
          </cell>
          <cell r="D470">
            <v>10</v>
          </cell>
          <cell r="E470">
            <v>10</v>
          </cell>
          <cell r="F470">
            <v>10</v>
          </cell>
          <cell r="G470">
            <v>10</v>
          </cell>
          <cell r="H470">
            <v>10</v>
          </cell>
          <cell r="I470">
            <v>270</v>
          </cell>
        </row>
        <row r="471">
          <cell r="A471" t="str">
            <v>Mewtwo</v>
          </cell>
          <cell r="B471" t="str">
            <v>Psíquico</v>
          </cell>
          <cell r="C471">
            <v>80</v>
          </cell>
          <cell r="D471">
            <v>11</v>
          </cell>
          <cell r="E471">
            <v>9</v>
          </cell>
          <cell r="F471">
            <v>15</v>
          </cell>
          <cell r="G471">
            <v>9</v>
          </cell>
          <cell r="H471">
            <v>13</v>
          </cell>
          <cell r="I471">
            <v>306</v>
          </cell>
        </row>
        <row r="472">
          <cell r="A472" t="str">
            <v>Mienfoo</v>
          </cell>
          <cell r="B472" t="str">
            <v>Lutador</v>
          </cell>
          <cell r="C472">
            <v>34</v>
          </cell>
          <cell r="D472">
            <v>8</v>
          </cell>
          <cell r="E472">
            <v>5</v>
          </cell>
          <cell r="F472">
            <v>5</v>
          </cell>
          <cell r="G472">
            <v>5</v>
          </cell>
          <cell r="H472">
            <v>6</v>
          </cell>
          <cell r="I472">
            <v>70</v>
          </cell>
        </row>
        <row r="473">
          <cell r="A473" t="str">
            <v>Mienshao</v>
          </cell>
          <cell r="B473" t="str">
            <v>Lutador</v>
          </cell>
          <cell r="C473">
            <v>49</v>
          </cell>
          <cell r="D473">
            <v>12</v>
          </cell>
          <cell r="E473">
            <v>6</v>
          </cell>
          <cell r="F473">
            <v>9</v>
          </cell>
          <cell r="G473">
            <v>6</v>
          </cell>
          <cell r="H473">
            <v>10</v>
          </cell>
          <cell r="I473">
            <v>179</v>
          </cell>
        </row>
        <row r="474">
          <cell r="A474" t="str">
            <v>Mightyena</v>
          </cell>
          <cell r="B474" t="str">
            <v>Noturno</v>
          </cell>
          <cell r="C474">
            <v>53</v>
          </cell>
          <cell r="D474">
            <v>9</v>
          </cell>
          <cell r="E474">
            <v>7</v>
          </cell>
          <cell r="F474">
            <v>6</v>
          </cell>
          <cell r="G474">
            <v>6</v>
          </cell>
          <cell r="H474">
            <v>7</v>
          </cell>
          <cell r="I474">
            <v>147</v>
          </cell>
        </row>
        <row r="475">
          <cell r="A475" t="str">
            <v>Milotic</v>
          </cell>
          <cell r="B475" t="str">
            <v>Água</v>
          </cell>
          <cell r="C475">
            <v>72</v>
          </cell>
          <cell r="D475">
            <v>6</v>
          </cell>
          <cell r="E475">
            <v>8</v>
          </cell>
          <cell r="F475">
            <v>10</v>
          </cell>
          <cell r="G475">
            <v>12</v>
          </cell>
          <cell r="H475">
            <v>8</v>
          </cell>
          <cell r="I475">
            <v>189</v>
          </cell>
        </row>
        <row r="476">
          <cell r="A476" t="str">
            <v>Miltank</v>
          </cell>
          <cell r="B476" t="str">
            <v>Normal</v>
          </cell>
          <cell r="C476">
            <v>72</v>
          </cell>
          <cell r="D476">
            <v>8</v>
          </cell>
          <cell r="E476">
            <v>10</v>
          </cell>
          <cell r="F476">
            <v>4</v>
          </cell>
          <cell r="G476">
            <v>7</v>
          </cell>
          <cell r="H476">
            <v>10</v>
          </cell>
          <cell r="I476">
            <v>172</v>
          </cell>
        </row>
        <row r="477">
          <cell r="A477" t="str">
            <v>Mime Jr.</v>
          </cell>
          <cell r="B477" t="str">
            <v>Psíquico/Fada</v>
          </cell>
          <cell r="C477">
            <v>15</v>
          </cell>
          <cell r="D477">
            <v>2</v>
          </cell>
          <cell r="E477">
            <v>4</v>
          </cell>
          <cell r="F477">
            <v>7</v>
          </cell>
          <cell r="G477">
            <v>9</v>
          </cell>
          <cell r="H477">
            <v>6</v>
          </cell>
          <cell r="I477">
            <v>62</v>
          </cell>
        </row>
        <row r="478">
          <cell r="A478" t="str">
            <v>Mimikyu</v>
          </cell>
          <cell r="B478" t="str">
            <v>Fantasma\Fada</v>
          </cell>
          <cell r="C478">
            <v>42</v>
          </cell>
          <cell r="D478">
            <v>9</v>
          </cell>
          <cell r="E478">
            <v>8</v>
          </cell>
          <cell r="F478">
            <v>5</v>
          </cell>
          <cell r="G478">
            <v>10</v>
          </cell>
          <cell r="H478">
            <v>10</v>
          </cell>
          <cell r="I478">
            <v>167</v>
          </cell>
        </row>
        <row r="479">
          <cell r="A479" t="str">
            <v>Minccino</v>
          </cell>
          <cell r="B479" t="str">
            <v>Normal</v>
          </cell>
          <cell r="C479">
            <v>42</v>
          </cell>
          <cell r="D479">
            <v>5</v>
          </cell>
          <cell r="E479">
            <v>4</v>
          </cell>
          <cell r="F479">
            <v>4</v>
          </cell>
          <cell r="G479">
            <v>4</v>
          </cell>
          <cell r="H479">
            <v>7</v>
          </cell>
          <cell r="I479">
            <v>60</v>
          </cell>
        </row>
        <row r="480">
          <cell r="A480" t="str">
            <v>Minior (Meteoro)</v>
          </cell>
          <cell r="B480" t="str">
            <v>Pedra\Voador</v>
          </cell>
          <cell r="C480">
            <v>45</v>
          </cell>
          <cell r="D480">
            <v>6</v>
          </cell>
          <cell r="E480">
            <v>10</v>
          </cell>
          <cell r="F480">
            <v>6</v>
          </cell>
          <cell r="G480">
            <v>10</v>
          </cell>
          <cell r="H480">
            <v>6</v>
          </cell>
          <cell r="I480">
            <v>154</v>
          </cell>
        </row>
        <row r="481">
          <cell r="A481" t="str">
            <v>Minior (Núcleo)</v>
          </cell>
          <cell r="B481" t="str">
            <v>Pedra\Voador</v>
          </cell>
          <cell r="C481">
            <v>45</v>
          </cell>
          <cell r="D481">
            <v>10</v>
          </cell>
          <cell r="E481">
            <v>6</v>
          </cell>
          <cell r="F481">
            <v>10</v>
          </cell>
          <cell r="G481">
            <v>6</v>
          </cell>
          <cell r="H481">
            <v>12</v>
          </cell>
          <cell r="I481">
            <v>154</v>
          </cell>
        </row>
        <row r="482">
          <cell r="A482" t="str">
            <v>Minun</v>
          </cell>
          <cell r="B482" t="str">
            <v>Elétrico</v>
          </cell>
          <cell r="C482">
            <v>45</v>
          </cell>
          <cell r="D482">
            <v>4</v>
          </cell>
          <cell r="E482">
            <v>5</v>
          </cell>
          <cell r="F482">
            <v>7</v>
          </cell>
          <cell r="G482">
            <v>8</v>
          </cell>
          <cell r="H482">
            <v>9</v>
          </cell>
          <cell r="I482">
            <v>142</v>
          </cell>
        </row>
        <row r="483">
          <cell r="A483" t="str">
            <v>Misdreavus</v>
          </cell>
          <cell r="B483" t="str">
            <v>Fantasma</v>
          </cell>
          <cell r="C483">
            <v>45</v>
          </cell>
          <cell r="D483">
            <v>6</v>
          </cell>
          <cell r="E483">
            <v>6</v>
          </cell>
          <cell r="F483">
            <v>8</v>
          </cell>
          <cell r="G483">
            <v>8</v>
          </cell>
          <cell r="H483">
            <v>8</v>
          </cell>
          <cell r="I483">
            <v>87</v>
          </cell>
        </row>
        <row r="484">
          <cell r="A484" t="str">
            <v>Mismagius</v>
          </cell>
          <cell r="B484" t="str">
            <v>Fantasma</v>
          </cell>
          <cell r="C484">
            <v>45</v>
          </cell>
          <cell r="D484">
            <v>6</v>
          </cell>
          <cell r="E484">
            <v>6</v>
          </cell>
          <cell r="F484">
            <v>10</v>
          </cell>
          <cell r="G484">
            <v>10</v>
          </cell>
          <cell r="H484">
            <v>10</v>
          </cell>
          <cell r="I484">
            <v>173</v>
          </cell>
        </row>
        <row r="485">
          <cell r="A485" t="str">
            <v>Moltres</v>
          </cell>
          <cell r="B485" t="str">
            <v>Fogo/Voador</v>
          </cell>
          <cell r="C485">
            <v>68</v>
          </cell>
          <cell r="D485">
            <v>10</v>
          </cell>
          <cell r="E485">
            <v>9</v>
          </cell>
          <cell r="F485">
            <v>12</v>
          </cell>
          <cell r="G485">
            <v>8</v>
          </cell>
          <cell r="H485">
            <v>9</v>
          </cell>
          <cell r="I485">
            <v>261</v>
          </cell>
        </row>
        <row r="486">
          <cell r="A486" t="str">
            <v>Monferno</v>
          </cell>
          <cell r="B486" t="str">
            <v>Fogo/Lutador</v>
          </cell>
          <cell r="C486">
            <v>48</v>
          </cell>
          <cell r="D486">
            <v>8</v>
          </cell>
          <cell r="E486">
            <v>5</v>
          </cell>
          <cell r="F486">
            <v>8</v>
          </cell>
          <cell r="G486">
            <v>5</v>
          </cell>
          <cell r="H486">
            <v>8</v>
          </cell>
          <cell r="I486">
            <v>142</v>
          </cell>
        </row>
        <row r="487">
          <cell r="A487" t="str">
            <v>Morelull</v>
          </cell>
          <cell r="B487" t="str">
            <v>Grama\Fada</v>
          </cell>
          <cell r="C487">
            <v>30</v>
          </cell>
          <cell r="D487">
            <v>3</v>
          </cell>
          <cell r="E487">
            <v>5</v>
          </cell>
          <cell r="F487">
            <v>6</v>
          </cell>
          <cell r="G487">
            <v>7</v>
          </cell>
          <cell r="H487">
            <v>1</v>
          </cell>
          <cell r="I487">
            <v>57</v>
          </cell>
        </row>
        <row r="488">
          <cell r="A488" t="str">
            <v>Mothim</v>
          </cell>
          <cell r="B488" t="str">
            <v>Inseto/Voador</v>
          </cell>
          <cell r="C488">
            <v>53</v>
          </cell>
          <cell r="D488">
            <v>9</v>
          </cell>
          <cell r="E488">
            <v>5</v>
          </cell>
          <cell r="F488">
            <v>9</v>
          </cell>
          <cell r="G488">
            <v>5</v>
          </cell>
          <cell r="H488">
            <v>7</v>
          </cell>
          <cell r="I488">
            <v>148</v>
          </cell>
        </row>
        <row r="489">
          <cell r="A489" t="str">
            <v>Mr. Mime</v>
          </cell>
          <cell r="B489" t="str">
            <v>Psíquico/Fada</v>
          </cell>
          <cell r="C489">
            <v>30</v>
          </cell>
          <cell r="D489">
            <v>4</v>
          </cell>
          <cell r="E489">
            <v>6</v>
          </cell>
          <cell r="F489">
            <v>10</v>
          </cell>
          <cell r="G489">
            <v>12</v>
          </cell>
          <cell r="H489">
            <v>9</v>
          </cell>
          <cell r="I489">
            <v>161</v>
          </cell>
        </row>
        <row r="490">
          <cell r="A490" t="str">
            <v>Mudbray</v>
          </cell>
          <cell r="B490" t="str">
            <v>Terra</v>
          </cell>
          <cell r="C490">
            <v>53</v>
          </cell>
          <cell r="D490">
            <v>10</v>
          </cell>
          <cell r="E490">
            <v>7</v>
          </cell>
          <cell r="F490">
            <v>4</v>
          </cell>
          <cell r="G490">
            <v>5</v>
          </cell>
          <cell r="H490">
            <v>4</v>
          </cell>
          <cell r="I490">
            <v>77</v>
          </cell>
        </row>
        <row r="491">
          <cell r="A491" t="str">
            <v>Mudkip</v>
          </cell>
          <cell r="B491" t="str">
            <v>Água</v>
          </cell>
          <cell r="C491">
            <v>38</v>
          </cell>
          <cell r="D491">
            <v>7</v>
          </cell>
          <cell r="E491">
            <v>5</v>
          </cell>
          <cell r="F491">
            <v>5</v>
          </cell>
          <cell r="G491">
            <v>5</v>
          </cell>
          <cell r="H491">
            <v>4</v>
          </cell>
          <cell r="I491">
            <v>62</v>
          </cell>
        </row>
        <row r="492">
          <cell r="A492" t="str">
            <v>Mudsdale</v>
          </cell>
          <cell r="B492" t="str">
            <v>Terra</v>
          </cell>
          <cell r="C492">
            <v>75</v>
          </cell>
          <cell r="D492">
            <v>12</v>
          </cell>
          <cell r="E492">
            <v>10</v>
          </cell>
          <cell r="F492">
            <v>5</v>
          </cell>
          <cell r="G492">
            <v>8</v>
          </cell>
          <cell r="H492">
            <v>3</v>
          </cell>
          <cell r="I492">
            <v>175</v>
          </cell>
        </row>
        <row r="493">
          <cell r="A493" t="str">
            <v>Muk</v>
          </cell>
          <cell r="B493" t="str">
            <v>Veneno</v>
          </cell>
          <cell r="C493">
            <v>79</v>
          </cell>
          <cell r="D493">
            <v>10</v>
          </cell>
          <cell r="E493">
            <v>7</v>
          </cell>
          <cell r="F493">
            <v>6</v>
          </cell>
          <cell r="G493">
            <v>10</v>
          </cell>
          <cell r="H493">
            <v>5</v>
          </cell>
          <cell r="I493">
            <v>175</v>
          </cell>
        </row>
        <row r="494">
          <cell r="A494" t="str">
            <v>Muk (Alola)</v>
          </cell>
          <cell r="B494" t="str">
            <v>Veneno/Noturno</v>
          </cell>
          <cell r="C494">
            <v>60</v>
          </cell>
          <cell r="D494">
            <v>8</v>
          </cell>
          <cell r="E494">
            <v>5</v>
          </cell>
          <cell r="F494">
            <v>4</v>
          </cell>
          <cell r="G494">
            <v>5</v>
          </cell>
          <cell r="H494">
            <v>2</v>
          </cell>
          <cell r="I494">
            <v>65</v>
          </cell>
        </row>
        <row r="495">
          <cell r="A495" t="str">
            <v>Munchlax</v>
          </cell>
          <cell r="B495" t="str">
            <v>Normal</v>
          </cell>
          <cell r="C495">
            <v>102</v>
          </cell>
          <cell r="D495">
            <v>8</v>
          </cell>
          <cell r="E495">
            <v>4</v>
          </cell>
          <cell r="F495">
            <v>4</v>
          </cell>
          <cell r="G495">
            <v>8</v>
          </cell>
          <cell r="H495">
            <v>0</v>
          </cell>
          <cell r="I495">
            <v>78</v>
          </cell>
        </row>
        <row r="496">
          <cell r="A496" t="str">
            <v>Munna</v>
          </cell>
          <cell r="B496" t="str">
            <v>Psíquico</v>
          </cell>
          <cell r="C496">
            <v>57</v>
          </cell>
          <cell r="D496">
            <v>2</v>
          </cell>
          <cell r="E496">
            <v>4</v>
          </cell>
          <cell r="F496">
            <v>7</v>
          </cell>
          <cell r="G496">
            <v>5</v>
          </cell>
          <cell r="H496">
            <v>2</v>
          </cell>
          <cell r="I496">
            <v>58</v>
          </cell>
        </row>
        <row r="497">
          <cell r="A497" t="str">
            <v>Murkrow</v>
          </cell>
          <cell r="B497" t="str">
            <v>Noturno/Voador</v>
          </cell>
          <cell r="C497">
            <v>45</v>
          </cell>
          <cell r="D497">
            <v>8</v>
          </cell>
          <cell r="E497">
            <v>4</v>
          </cell>
          <cell r="F497">
            <v>8</v>
          </cell>
          <cell r="G497">
            <v>4</v>
          </cell>
          <cell r="H497">
            <v>9</v>
          </cell>
          <cell r="I497">
            <v>81</v>
          </cell>
        </row>
        <row r="498">
          <cell r="A498" t="str">
            <v>Musharna</v>
          </cell>
          <cell r="B498" t="str">
            <v>Psíquico</v>
          </cell>
          <cell r="C498">
            <v>87</v>
          </cell>
          <cell r="D498">
            <v>5</v>
          </cell>
          <cell r="E498">
            <v>8</v>
          </cell>
          <cell r="F498">
            <v>11</v>
          </cell>
          <cell r="G498">
            <v>9</v>
          </cell>
          <cell r="H498">
            <v>3</v>
          </cell>
          <cell r="I498">
            <v>170</v>
          </cell>
        </row>
        <row r="499">
          <cell r="A499" t="str">
            <v>Naganadel</v>
          </cell>
          <cell r="B499" t="str">
            <v>Veneno\Dragão</v>
          </cell>
          <cell r="C499">
            <v>55</v>
          </cell>
          <cell r="D499">
            <v>7</v>
          </cell>
          <cell r="E499">
            <v>7</v>
          </cell>
          <cell r="F499">
            <v>13</v>
          </cell>
          <cell r="G499">
            <v>7</v>
          </cell>
          <cell r="H499">
            <v>12</v>
          </cell>
          <cell r="I499">
            <v>243</v>
          </cell>
        </row>
        <row r="500">
          <cell r="A500" t="str">
            <v>Natu</v>
          </cell>
          <cell r="B500" t="str">
            <v>Psíquico/Voador</v>
          </cell>
          <cell r="C500">
            <v>30</v>
          </cell>
          <cell r="D500">
            <v>5</v>
          </cell>
          <cell r="E500">
            <v>4</v>
          </cell>
          <cell r="F500">
            <v>7</v>
          </cell>
          <cell r="G500">
            <v>4</v>
          </cell>
          <cell r="H500">
            <v>7</v>
          </cell>
          <cell r="I500">
            <v>64</v>
          </cell>
        </row>
        <row r="501">
          <cell r="A501" t="str">
            <v>Necrozma</v>
          </cell>
          <cell r="B501" t="str">
            <v>Psíquico</v>
          </cell>
          <cell r="C501">
            <v>73</v>
          </cell>
          <cell r="D501">
            <v>11</v>
          </cell>
          <cell r="E501">
            <v>10</v>
          </cell>
          <cell r="F501">
            <v>13</v>
          </cell>
          <cell r="G501">
            <v>9</v>
          </cell>
          <cell r="H501">
            <v>8</v>
          </cell>
          <cell r="I501">
            <v>270</v>
          </cell>
        </row>
        <row r="502">
          <cell r="A502" t="str">
            <v>Necrozma (Alvorecer)</v>
          </cell>
          <cell r="B502" t="str">
            <v>Psíquico\Fantasma</v>
          </cell>
          <cell r="C502">
            <v>73</v>
          </cell>
          <cell r="D502">
            <v>11</v>
          </cell>
          <cell r="E502">
            <v>11</v>
          </cell>
          <cell r="F502">
            <v>16</v>
          </cell>
          <cell r="G502">
            <v>13</v>
          </cell>
          <cell r="H502">
            <v>8</v>
          </cell>
          <cell r="I502">
            <v>306</v>
          </cell>
        </row>
        <row r="503">
          <cell r="A503" t="str">
            <v>Necrozma (Crepúsculo)</v>
          </cell>
          <cell r="B503" t="str">
            <v>Psíquico\Metal</v>
          </cell>
          <cell r="C503">
            <v>73</v>
          </cell>
          <cell r="D503">
            <v>16</v>
          </cell>
          <cell r="E503">
            <v>13</v>
          </cell>
          <cell r="F503">
            <v>11</v>
          </cell>
          <cell r="G503">
            <v>11</v>
          </cell>
          <cell r="H503">
            <v>8</v>
          </cell>
          <cell r="I503">
            <v>306</v>
          </cell>
        </row>
        <row r="504">
          <cell r="A504" t="str">
            <v>Necrozma (Ultra)</v>
          </cell>
          <cell r="B504" t="str">
            <v>Psíquico\Dragão</v>
          </cell>
          <cell r="C504">
            <v>73</v>
          </cell>
          <cell r="D504">
            <v>17</v>
          </cell>
          <cell r="E504">
            <v>10</v>
          </cell>
          <cell r="F504">
            <v>17</v>
          </cell>
          <cell r="G504">
            <v>10</v>
          </cell>
          <cell r="H504">
            <v>13</v>
          </cell>
          <cell r="I504">
            <v>339</v>
          </cell>
        </row>
        <row r="505">
          <cell r="A505" t="str">
            <v>Nidoking</v>
          </cell>
          <cell r="B505" t="str">
            <v>Veneno/Terra</v>
          </cell>
          <cell r="C505">
            <v>61</v>
          </cell>
          <cell r="D505">
            <v>9</v>
          </cell>
          <cell r="E505">
            <v>8</v>
          </cell>
          <cell r="F505">
            <v>8</v>
          </cell>
          <cell r="G505">
            <v>7</v>
          </cell>
          <cell r="H505">
            <v>8</v>
          </cell>
          <cell r="I505">
            <v>227</v>
          </cell>
        </row>
        <row r="506">
          <cell r="A506" t="str">
            <v>Nidoqueen</v>
          </cell>
          <cell r="B506" t="str">
            <v>Veneno/Terra</v>
          </cell>
          <cell r="C506">
            <v>68</v>
          </cell>
          <cell r="D506">
            <v>8</v>
          </cell>
          <cell r="E506">
            <v>9</v>
          </cell>
          <cell r="F506">
            <v>7</v>
          </cell>
          <cell r="G506">
            <v>8</v>
          </cell>
          <cell r="H506">
            <v>8</v>
          </cell>
          <cell r="I506">
            <v>227</v>
          </cell>
        </row>
        <row r="507">
          <cell r="A507" t="str">
            <v>NidoranF</v>
          </cell>
          <cell r="B507" t="str">
            <v>Veneno</v>
          </cell>
          <cell r="C507">
            <v>42</v>
          </cell>
          <cell r="D507">
            <v>5</v>
          </cell>
          <cell r="E507">
            <v>5</v>
          </cell>
          <cell r="F507">
            <v>4</v>
          </cell>
          <cell r="G507">
            <v>4</v>
          </cell>
          <cell r="H507">
            <v>4</v>
          </cell>
          <cell r="I507">
            <v>55</v>
          </cell>
        </row>
        <row r="508">
          <cell r="A508" t="str">
            <v>NidoranM</v>
          </cell>
          <cell r="B508" t="str">
            <v>Veneno</v>
          </cell>
          <cell r="C508">
            <v>35</v>
          </cell>
          <cell r="D508">
            <v>6</v>
          </cell>
          <cell r="E508">
            <v>4</v>
          </cell>
          <cell r="F508">
            <v>4</v>
          </cell>
          <cell r="G508">
            <v>4</v>
          </cell>
          <cell r="H508">
            <v>5</v>
          </cell>
          <cell r="I508">
            <v>55</v>
          </cell>
        </row>
        <row r="509">
          <cell r="A509" t="str">
            <v>Nidorina</v>
          </cell>
          <cell r="B509" t="str">
            <v>Veneno</v>
          </cell>
          <cell r="C509">
            <v>53</v>
          </cell>
          <cell r="D509">
            <v>6</v>
          </cell>
          <cell r="E509">
            <v>7</v>
          </cell>
          <cell r="F509">
            <v>5</v>
          </cell>
          <cell r="G509">
            <v>5</v>
          </cell>
          <cell r="H509">
            <v>6</v>
          </cell>
          <cell r="I509">
            <v>128</v>
          </cell>
        </row>
        <row r="510">
          <cell r="A510" t="str">
            <v>Nidorino</v>
          </cell>
          <cell r="B510" t="str">
            <v>Veneno</v>
          </cell>
          <cell r="C510">
            <v>46</v>
          </cell>
          <cell r="D510">
            <v>7</v>
          </cell>
          <cell r="E510">
            <v>6</v>
          </cell>
          <cell r="F510">
            <v>5</v>
          </cell>
          <cell r="G510">
            <v>5</v>
          </cell>
          <cell r="H510">
            <v>6</v>
          </cell>
          <cell r="I510">
            <v>128</v>
          </cell>
        </row>
        <row r="511">
          <cell r="A511" t="str">
            <v>Nihilego</v>
          </cell>
          <cell r="B511" t="str">
            <v>Pedra\Veneno</v>
          </cell>
          <cell r="C511">
            <v>82</v>
          </cell>
          <cell r="D511">
            <v>5</v>
          </cell>
          <cell r="E511">
            <v>5</v>
          </cell>
          <cell r="F511">
            <v>13</v>
          </cell>
          <cell r="G511">
            <v>13</v>
          </cell>
          <cell r="H511">
            <v>10</v>
          </cell>
          <cell r="I511">
            <v>257</v>
          </cell>
        </row>
        <row r="512">
          <cell r="A512" t="str">
            <v>Nincada</v>
          </cell>
          <cell r="B512" t="str">
            <v>Inseto/Terra</v>
          </cell>
          <cell r="C512">
            <v>24</v>
          </cell>
          <cell r="D512">
            <v>4</v>
          </cell>
          <cell r="E512">
            <v>9</v>
          </cell>
          <cell r="F512">
            <v>3</v>
          </cell>
          <cell r="G512">
            <v>3</v>
          </cell>
          <cell r="H512">
            <v>4</v>
          </cell>
          <cell r="I512">
            <v>53</v>
          </cell>
        </row>
        <row r="513">
          <cell r="A513" t="str">
            <v>Ninetales</v>
          </cell>
          <cell r="B513" t="str">
            <v>Fogo</v>
          </cell>
          <cell r="C513">
            <v>55</v>
          </cell>
          <cell r="D513">
            <v>8</v>
          </cell>
          <cell r="E513">
            <v>7</v>
          </cell>
          <cell r="F513">
            <v>8</v>
          </cell>
          <cell r="G513">
            <v>10</v>
          </cell>
          <cell r="H513">
            <v>10</v>
          </cell>
          <cell r="I513">
            <v>177</v>
          </cell>
        </row>
        <row r="514">
          <cell r="A514" t="str">
            <v>Ninetales (Alola)</v>
          </cell>
          <cell r="B514" t="str">
            <v>Gelo/Fada</v>
          </cell>
          <cell r="C514">
            <v>55</v>
          </cell>
          <cell r="D514">
            <v>7</v>
          </cell>
          <cell r="E514">
            <v>7</v>
          </cell>
          <cell r="F514">
            <v>8</v>
          </cell>
          <cell r="G514">
            <v>10</v>
          </cell>
          <cell r="H514">
            <v>11</v>
          </cell>
          <cell r="I514">
            <v>177</v>
          </cell>
        </row>
        <row r="515">
          <cell r="A515" t="str">
            <v>Ninjask</v>
          </cell>
          <cell r="B515" t="str">
            <v>Inseto/Voador</v>
          </cell>
          <cell r="C515">
            <v>46</v>
          </cell>
          <cell r="D515">
            <v>9</v>
          </cell>
          <cell r="E515">
            <v>4</v>
          </cell>
          <cell r="F515">
            <v>5</v>
          </cell>
          <cell r="G515">
            <v>5</v>
          </cell>
          <cell r="H515">
            <v>16</v>
          </cell>
          <cell r="I515">
            <v>160</v>
          </cell>
        </row>
        <row r="516">
          <cell r="A516" t="str">
            <v>Noctowl</v>
          </cell>
          <cell r="B516" t="str">
            <v>Normal/Voador</v>
          </cell>
          <cell r="C516">
            <v>75</v>
          </cell>
          <cell r="D516">
            <v>5</v>
          </cell>
          <cell r="E516">
            <v>5</v>
          </cell>
          <cell r="F516">
            <v>8</v>
          </cell>
          <cell r="G516">
            <v>10</v>
          </cell>
          <cell r="H516">
            <v>7</v>
          </cell>
          <cell r="I516">
            <v>158</v>
          </cell>
        </row>
        <row r="517">
          <cell r="A517" t="str">
            <v>Noibat</v>
          </cell>
          <cell r="B517" t="str">
            <v>Voador\Dragão</v>
          </cell>
          <cell r="C517">
            <v>30</v>
          </cell>
          <cell r="D517">
            <v>3</v>
          </cell>
          <cell r="E517">
            <v>3</v>
          </cell>
          <cell r="F517">
            <v>4</v>
          </cell>
          <cell r="G517">
            <v>4</v>
          </cell>
          <cell r="H517">
            <v>5</v>
          </cell>
          <cell r="I517">
            <v>49</v>
          </cell>
        </row>
        <row r="518">
          <cell r="A518" t="str">
            <v>Noivern</v>
          </cell>
          <cell r="B518" t="str">
            <v>Voador\Dragão</v>
          </cell>
          <cell r="C518">
            <v>64</v>
          </cell>
          <cell r="D518">
            <v>7</v>
          </cell>
          <cell r="E518">
            <v>8</v>
          </cell>
          <cell r="F518">
            <v>10</v>
          </cell>
          <cell r="G518">
            <v>8</v>
          </cell>
          <cell r="H518">
            <v>12</v>
          </cell>
          <cell r="I518">
            <v>187</v>
          </cell>
        </row>
        <row r="519">
          <cell r="A519" t="str">
            <v>Nosepass</v>
          </cell>
          <cell r="B519" t="str">
            <v>Pedra</v>
          </cell>
          <cell r="C519">
            <v>23</v>
          </cell>
          <cell r="D519">
            <v>4</v>
          </cell>
          <cell r="E519">
            <v>13</v>
          </cell>
          <cell r="F519">
            <v>4</v>
          </cell>
          <cell r="G519">
            <v>9</v>
          </cell>
          <cell r="H519">
            <v>3</v>
          </cell>
          <cell r="I519">
            <v>75</v>
          </cell>
        </row>
        <row r="520">
          <cell r="A520" t="str">
            <v>Numel</v>
          </cell>
          <cell r="B520" t="str">
            <v>Fogo/Terra</v>
          </cell>
          <cell r="C520">
            <v>45</v>
          </cell>
          <cell r="D520">
            <v>6</v>
          </cell>
          <cell r="E520">
            <v>4</v>
          </cell>
          <cell r="F520">
            <v>6</v>
          </cell>
          <cell r="G520">
            <v>4</v>
          </cell>
          <cell r="H520">
            <v>3</v>
          </cell>
          <cell r="I520">
            <v>61</v>
          </cell>
        </row>
        <row r="521">
          <cell r="A521" t="str">
            <v>Nuzleaf</v>
          </cell>
          <cell r="B521" t="str">
            <v>Grama/Noturno</v>
          </cell>
          <cell r="C521">
            <v>53</v>
          </cell>
          <cell r="D521">
            <v>7</v>
          </cell>
          <cell r="E521">
            <v>4</v>
          </cell>
          <cell r="F521">
            <v>6</v>
          </cell>
          <cell r="G521">
            <v>4</v>
          </cell>
          <cell r="H521">
            <v>6</v>
          </cell>
          <cell r="I521">
            <v>119</v>
          </cell>
        </row>
        <row r="522">
          <cell r="A522" t="str">
            <v>Octillery</v>
          </cell>
          <cell r="B522" t="str">
            <v>Água</v>
          </cell>
          <cell r="C522">
            <v>57</v>
          </cell>
          <cell r="D522">
            <v>10</v>
          </cell>
          <cell r="E522">
            <v>7</v>
          </cell>
          <cell r="F522">
            <v>10</v>
          </cell>
          <cell r="G522">
            <v>7</v>
          </cell>
          <cell r="H522">
            <v>4</v>
          </cell>
          <cell r="I522">
            <v>168</v>
          </cell>
        </row>
        <row r="523">
          <cell r="A523" t="str">
            <v>Oddish</v>
          </cell>
          <cell r="B523" t="str">
            <v>Grama/Veneno</v>
          </cell>
          <cell r="C523">
            <v>34</v>
          </cell>
          <cell r="D523">
            <v>5</v>
          </cell>
          <cell r="E523">
            <v>5</v>
          </cell>
          <cell r="F523">
            <v>7</v>
          </cell>
          <cell r="G523">
            <v>6</v>
          </cell>
          <cell r="H523">
            <v>3</v>
          </cell>
          <cell r="I523">
            <v>64</v>
          </cell>
        </row>
        <row r="524">
          <cell r="A524" t="str">
            <v>Omanyte</v>
          </cell>
          <cell r="B524" t="str">
            <v>Pedra/Água</v>
          </cell>
          <cell r="C524">
            <v>27</v>
          </cell>
          <cell r="D524">
            <v>4</v>
          </cell>
          <cell r="E524">
            <v>10</v>
          </cell>
          <cell r="F524">
            <v>9</v>
          </cell>
          <cell r="G524">
            <v>5</v>
          </cell>
          <cell r="H524">
            <v>3</v>
          </cell>
          <cell r="I524">
            <v>71</v>
          </cell>
        </row>
        <row r="525">
          <cell r="A525" t="str">
            <v>Omastar</v>
          </cell>
          <cell r="B525" t="str">
            <v>Pedra/Água</v>
          </cell>
          <cell r="C525">
            <v>53</v>
          </cell>
          <cell r="D525">
            <v>6</v>
          </cell>
          <cell r="E525">
            <v>12</v>
          </cell>
          <cell r="F525">
            <v>11</v>
          </cell>
          <cell r="G525">
            <v>7</v>
          </cell>
          <cell r="H525">
            <v>5</v>
          </cell>
          <cell r="I525">
            <v>173</v>
          </cell>
        </row>
        <row r="526">
          <cell r="A526" t="str">
            <v>Onix</v>
          </cell>
          <cell r="B526" t="str">
            <v>Pedra/Terra</v>
          </cell>
          <cell r="C526">
            <v>27</v>
          </cell>
          <cell r="D526">
            <v>4</v>
          </cell>
          <cell r="E526">
            <v>16</v>
          </cell>
          <cell r="F526">
            <v>3</v>
          </cell>
          <cell r="G526">
            <v>4</v>
          </cell>
          <cell r="H526">
            <v>7</v>
          </cell>
          <cell r="I526">
            <v>77</v>
          </cell>
        </row>
        <row r="527">
          <cell r="A527" t="str">
            <v>Oranguru</v>
          </cell>
          <cell r="B527" t="str">
            <v>Normal\Psíquico</v>
          </cell>
          <cell r="C527">
            <v>68</v>
          </cell>
          <cell r="D527">
            <v>6</v>
          </cell>
          <cell r="E527">
            <v>8</v>
          </cell>
          <cell r="F527">
            <v>9</v>
          </cell>
          <cell r="G527">
            <v>11</v>
          </cell>
          <cell r="H527">
            <v>6</v>
          </cell>
          <cell r="I527">
            <v>172</v>
          </cell>
        </row>
        <row r="528">
          <cell r="A528" t="str">
            <v>Oricorio (Baile)</v>
          </cell>
          <cell r="B528" t="str">
            <v>Fogo/Voador</v>
          </cell>
          <cell r="C528">
            <v>57</v>
          </cell>
          <cell r="D528">
            <v>7</v>
          </cell>
          <cell r="E528">
            <v>7</v>
          </cell>
          <cell r="F528">
            <v>10</v>
          </cell>
          <cell r="G528">
            <v>7</v>
          </cell>
          <cell r="H528">
            <v>9</v>
          </cell>
          <cell r="I528">
            <v>167</v>
          </cell>
        </row>
        <row r="529">
          <cell r="A529" t="str">
            <v>Oricorio (Pa'hu)</v>
          </cell>
          <cell r="B529" t="str">
            <v>Psíquico/Voador</v>
          </cell>
          <cell r="C529">
            <v>57</v>
          </cell>
          <cell r="D529">
            <v>7</v>
          </cell>
          <cell r="E529">
            <v>7</v>
          </cell>
          <cell r="F529">
            <v>10</v>
          </cell>
          <cell r="G529">
            <v>7</v>
          </cell>
          <cell r="H529">
            <v>9</v>
          </cell>
          <cell r="I529">
            <v>167</v>
          </cell>
        </row>
        <row r="530">
          <cell r="A530" t="str">
            <v>Oricorio (Pom-Pom)</v>
          </cell>
          <cell r="B530" t="str">
            <v>Elétrico/Voador</v>
          </cell>
          <cell r="C530">
            <v>57</v>
          </cell>
          <cell r="D530">
            <v>7</v>
          </cell>
          <cell r="E530">
            <v>7</v>
          </cell>
          <cell r="F530">
            <v>10</v>
          </cell>
          <cell r="G530">
            <v>7</v>
          </cell>
          <cell r="H530">
            <v>9</v>
          </cell>
          <cell r="I530">
            <v>167</v>
          </cell>
        </row>
        <row r="531">
          <cell r="A531" t="str">
            <v>Oricorio (Sensu)</v>
          </cell>
          <cell r="B531" t="str">
            <v>Fantasma/Voador</v>
          </cell>
          <cell r="C531">
            <v>57</v>
          </cell>
          <cell r="D531">
            <v>7</v>
          </cell>
          <cell r="E531">
            <v>7</v>
          </cell>
          <cell r="F531">
            <v>10</v>
          </cell>
          <cell r="G531">
            <v>7</v>
          </cell>
          <cell r="H531">
            <v>9</v>
          </cell>
          <cell r="I531">
            <v>167</v>
          </cell>
        </row>
        <row r="532">
          <cell r="A532" t="str">
            <v>Oshawott</v>
          </cell>
          <cell r="B532" t="str">
            <v>Água</v>
          </cell>
          <cell r="C532">
            <v>42</v>
          </cell>
          <cell r="D532">
            <v>5</v>
          </cell>
          <cell r="E532">
            <v>4</v>
          </cell>
          <cell r="F532">
            <v>6</v>
          </cell>
          <cell r="G532">
            <v>4</v>
          </cell>
          <cell r="H532">
            <v>4</v>
          </cell>
          <cell r="I532">
            <v>62</v>
          </cell>
        </row>
        <row r="533">
          <cell r="A533" t="str">
            <v>Pachirisu</v>
          </cell>
          <cell r="B533" t="str">
            <v>Elétrico</v>
          </cell>
          <cell r="C533">
            <v>45</v>
          </cell>
          <cell r="D533">
            <v>4</v>
          </cell>
          <cell r="E533">
            <v>7</v>
          </cell>
          <cell r="F533">
            <v>4</v>
          </cell>
          <cell r="G533">
            <v>9</v>
          </cell>
          <cell r="H533">
            <v>9</v>
          </cell>
          <cell r="I533">
            <v>142</v>
          </cell>
        </row>
        <row r="534">
          <cell r="A534" t="str">
            <v>Palkia</v>
          </cell>
          <cell r="B534" t="str">
            <v>Água/Dragão</v>
          </cell>
          <cell r="C534">
            <v>68</v>
          </cell>
          <cell r="D534">
            <v>12</v>
          </cell>
          <cell r="E534">
            <v>10</v>
          </cell>
          <cell r="F534">
            <v>15</v>
          </cell>
          <cell r="G534">
            <v>12</v>
          </cell>
          <cell r="H534">
            <v>10</v>
          </cell>
          <cell r="I534">
            <v>306</v>
          </cell>
        </row>
        <row r="535">
          <cell r="A535" t="str">
            <v>Palossand</v>
          </cell>
          <cell r="B535" t="str">
            <v>Fantasma\Terra</v>
          </cell>
          <cell r="C535">
            <v>64</v>
          </cell>
          <cell r="D535">
            <v>7</v>
          </cell>
          <cell r="E535">
            <v>11</v>
          </cell>
          <cell r="F535">
            <v>10</v>
          </cell>
          <cell r="G535">
            <v>7</v>
          </cell>
          <cell r="H535">
            <v>3</v>
          </cell>
          <cell r="I535">
            <v>168</v>
          </cell>
        </row>
        <row r="536">
          <cell r="A536" t="str">
            <v>Palpitoad</v>
          </cell>
          <cell r="B536" t="str">
            <v>Água\Terra</v>
          </cell>
          <cell r="C536">
            <v>57</v>
          </cell>
          <cell r="D536">
            <v>6</v>
          </cell>
          <cell r="E536">
            <v>5</v>
          </cell>
          <cell r="F536">
            <v>6</v>
          </cell>
          <cell r="G536">
            <v>5</v>
          </cell>
          <cell r="H536">
            <v>7</v>
          </cell>
          <cell r="I536">
            <v>134</v>
          </cell>
        </row>
        <row r="537">
          <cell r="A537" t="str">
            <v>Pancham</v>
          </cell>
          <cell r="B537" t="str">
            <v>Lutador</v>
          </cell>
          <cell r="C537">
            <v>51</v>
          </cell>
          <cell r="D537">
            <v>8</v>
          </cell>
          <cell r="E537">
            <v>6</v>
          </cell>
          <cell r="F537">
            <v>5</v>
          </cell>
          <cell r="G537">
            <v>5</v>
          </cell>
          <cell r="H537">
            <v>4</v>
          </cell>
          <cell r="I537">
            <v>70</v>
          </cell>
        </row>
        <row r="538">
          <cell r="A538" t="str">
            <v>Pangoro</v>
          </cell>
          <cell r="B538" t="str">
            <v>Lutador\Noturno</v>
          </cell>
          <cell r="C538">
            <v>72</v>
          </cell>
          <cell r="D538">
            <v>12</v>
          </cell>
          <cell r="E538">
            <v>8</v>
          </cell>
          <cell r="F538">
            <v>7</v>
          </cell>
          <cell r="G538">
            <v>7</v>
          </cell>
          <cell r="H538">
            <v>6</v>
          </cell>
          <cell r="I538">
            <v>173</v>
          </cell>
        </row>
        <row r="539">
          <cell r="A539" t="str">
            <v>Panpour</v>
          </cell>
          <cell r="B539" t="str">
            <v>Água</v>
          </cell>
          <cell r="C539">
            <v>38</v>
          </cell>
          <cell r="D539">
            <v>5</v>
          </cell>
          <cell r="E539">
            <v>5</v>
          </cell>
          <cell r="F539">
            <v>5</v>
          </cell>
          <cell r="G539">
            <v>5</v>
          </cell>
          <cell r="H539">
            <v>6</v>
          </cell>
          <cell r="I539">
            <v>63</v>
          </cell>
        </row>
        <row r="540">
          <cell r="A540" t="str">
            <v>Pansage</v>
          </cell>
          <cell r="B540" t="str">
            <v>Grama</v>
          </cell>
          <cell r="C540">
            <v>38</v>
          </cell>
          <cell r="D540">
            <v>5</v>
          </cell>
          <cell r="E540">
            <v>5</v>
          </cell>
          <cell r="F540">
            <v>5</v>
          </cell>
          <cell r="G540">
            <v>5</v>
          </cell>
          <cell r="H540">
            <v>6</v>
          </cell>
          <cell r="I540">
            <v>63</v>
          </cell>
        </row>
        <row r="541">
          <cell r="A541" t="str">
            <v>Pansear</v>
          </cell>
          <cell r="B541" t="str">
            <v>Fogo</v>
          </cell>
          <cell r="C541">
            <v>38</v>
          </cell>
          <cell r="D541">
            <v>5</v>
          </cell>
          <cell r="E541">
            <v>5</v>
          </cell>
          <cell r="F541">
            <v>5</v>
          </cell>
          <cell r="G541">
            <v>5</v>
          </cell>
          <cell r="H541">
            <v>6</v>
          </cell>
          <cell r="I541">
            <v>63</v>
          </cell>
        </row>
        <row r="542">
          <cell r="A542" t="str">
            <v>Paras</v>
          </cell>
          <cell r="B542" t="str">
            <v>Inseto/Grama</v>
          </cell>
          <cell r="C542">
            <v>27</v>
          </cell>
          <cell r="D542">
            <v>7</v>
          </cell>
          <cell r="E542">
            <v>5</v>
          </cell>
          <cell r="F542">
            <v>4</v>
          </cell>
          <cell r="G542">
            <v>5</v>
          </cell>
          <cell r="H542">
            <v>2</v>
          </cell>
          <cell r="I542">
            <v>57</v>
          </cell>
        </row>
        <row r="543">
          <cell r="A543" t="str">
            <v>Parasect</v>
          </cell>
          <cell r="B543" t="str">
            <v>Inseto/Grama</v>
          </cell>
          <cell r="C543">
            <v>45</v>
          </cell>
          <cell r="D543">
            <v>9</v>
          </cell>
          <cell r="E543">
            <v>8</v>
          </cell>
          <cell r="F543">
            <v>6</v>
          </cell>
          <cell r="G543">
            <v>8</v>
          </cell>
          <cell r="H543">
            <v>3</v>
          </cell>
          <cell r="I543">
            <v>142</v>
          </cell>
        </row>
        <row r="544">
          <cell r="A544" t="str">
            <v>Passimian</v>
          </cell>
          <cell r="B544" t="str">
            <v>Lutador</v>
          </cell>
          <cell r="C544">
            <v>75</v>
          </cell>
          <cell r="D544">
            <v>12</v>
          </cell>
          <cell r="E544">
            <v>9</v>
          </cell>
          <cell r="F544">
            <v>4</v>
          </cell>
          <cell r="G544">
            <v>6</v>
          </cell>
          <cell r="H544">
            <v>8</v>
          </cell>
          <cell r="I544">
            <v>172</v>
          </cell>
        </row>
        <row r="545">
          <cell r="A545" t="str">
            <v>Patrat</v>
          </cell>
          <cell r="B545" t="str">
            <v>Normal</v>
          </cell>
          <cell r="C545">
            <v>34</v>
          </cell>
          <cell r="D545">
            <v>5</v>
          </cell>
          <cell r="E545">
            <v>4</v>
          </cell>
          <cell r="F545">
            <v>3</v>
          </cell>
          <cell r="G545">
            <v>4</v>
          </cell>
          <cell r="H545">
            <v>4</v>
          </cell>
          <cell r="I545">
            <v>51</v>
          </cell>
        </row>
        <row r="546">
          <cell r="A546" t="str">
            <v>Pawniard</v>
          </cell>
          <cell r="B546" t="str">
            <v>Noturno\Metal</v>
          </cell>
          <cell r="C546">
            <v>34</v>
          </cell>
          <cell r="D546">
            <v>8</v>
          </cell>
          <cell r="E546">
            <v>7</v>
          </cell>
          <cell r="F546">
            <v>4</v>
          </cell>
          <cell r="G546">
            <v>4</v>
          </cell>
          <cell r="H546">
            <v>6</v>
          </cell>
          <cell r="I546">
            <v>68</v>
          </cell>
        </row>
        <row r="547">
          <cell r="A547" t="str">
            <v>Pelipper</v>
          </cell>
          <cell r="B547" t="str">
            <v>Água/Voador</v>
          </cell>
          <cell r="C547">
            <v>45</v>
          </cell>
          <cell r="D547">
            <v>5</v>
          </cell>
          <cell r="E547">
            <v>10</v>
          </cell>
          <cell r="F547">
            <v>8</v>
          </cell>
          <cell r="G547">
            <v>7</v>
          </cell>
          <cell r="H547">
            <v>6</v>
          </cell>
          <cell r="I547">
            <v>154</v>
          </cell>
        </row>
        <row r="548">
          <cell r="A548" t="str">
            <v>Persian</v>
          </cell>
          <cell r="B548" t="str">
            <v>Normal</v>
          </cell>
          <cell r="C548">
            <v>49</v>
          </cell>
          <cell r="D548">
            <v>7</v>
          </cell>
          <cell r="E548">
            <v>6</v>
          </cell>
          <cell r="F548">
            <v>6</v>
          </cell>
          <cell r="G548">
            <v>6</v>
          </cell>
          <cell r="H548">
            <v>11</v>
          </cell>
          <cell r="I548">
            <v>154</v>
          </cell>
        </row>
        <row r="549">
          <cell r="A549" t="str">
            <v>Persian (Alola)</v>
          </cell>
          <cell r="B549" t="str">
            <v>Noturno</v>
          </cell>
          <cell r="C549">
            <v>49</v>
          </cell>
          <cell r="D549">
            <v>6</v>
          </cell>
          <cell r="E549">
            <v>6</v>
          </cell>
          <cell r="F549">
            <v>7</v>
          </cell>
          <cell r="G549">
            <v>6</v>
          </cell>
          <cell r="H549">
            <v>11</v>
          </cell>
          <cell r="I549">
            <v>154</v>
          </cell>
        </row>
        <row r="550">
          <cell r="A550" t="str">
            <v>Petilil</v>
          </cell>
          <cell r="B550" t="str">
            <v>Grama</v>
          </cell>
          <cell r="C550">
            <v>34</v>
          </cell>
          <cell r="D550">
            <v>3</v>
          </cell>
          <cell r="E550">
            <v>5</v>
          </cell>
          <cell r="F550">
            <v>7</v>
          </cell>
          <cell r="G550">
            <v>5</v>
          </cell>
          <cell r="H550">
            <v>3</v>
          </cell>
          <cell r="I550">
            <v>56</v>
          </cell>
        </row>
        <row r="551">
          <cell r="A551" t="str">
            <v>Phanpy</v>
          </cell>
          <cell r="B551" t="str">
            <v>Terra</v>
          </cell>
          <cell r="C551">
            <v>68</v>
          </cell>
          <cell r="D551">
            <v>6</v>
          </cell>
          <cell r="E551">
            <v>6</v>
          </cell>
          <cell r="F551">
            <v>4</v>
          </cell>
          <cell r="G551">
            <v>4</v>
          </cell>
          <cell r="H551">
            <v>4</v>
          </cell>
          <cell r="I551">
            <v>66</v>
          </cell>
        </row>
        <row r="552">
          <cell r="A552" t="str">
            <v>Phantump</v>
          </cell>
          <cell r="B552" t="str">
            <v>Fantasma\Grama</v>
          </cell>
          <cell r="C552">
            <v>33</v>
          </cell>
          <cell r="D552">
            <v>7</v>
          </cell>
          <cell r="E552">
            <v>5</v>
          </cell>
          <cell r="F552">
            <v>5</v>
          </cell>
          <cell r="G552">
            <v>6</v>
          </cell>
          <cell r="H552">
            <v>4</v>
          </cell>
          <cell r="I552">
            <v>62</v>
          </cell>
        </row>
        <row r="553">
          <cell r="A553" t="str">
            <v>Pheromosa</v>
          </cell>
          <cell r="B553" t="str">
            <v>Inseto\Lutador</v>
          </cell>
          <cell r="C553">
            <v>54</v>
          </cell>
          <cell r="D553">
            <v>14</v>
          </cell>
          <cell r="E553">
            <v>4</v>
          </cell>
          <cell r="F553">
            <v>14</v>
          </cell>
          <cell r="G553">
            <v>4</v>
          </cell>
          <cell r="H553">
            <v>15</v>
          </cell>
          <cell r="I553">
            <v>257</v>
          </cell>
        </row>
        <row r="554">
          <cell r="A554" t="str">
            <v>Phione</v>
          </cell>
          <cell r="B554" t="str">
            <v>Água</v>
          </cell>
          <cell r="C554">
            <v>60</v>
          </cell>
          <cell r="D554">
            <v>8</v>
          </cell>
          <cell r="E554">
            <v>8</v>
          </cell>
          <cell r="F554">
            <v>8</v>
          </cell>
          <cell r="G554">
            <v>8</v>
          </cell>
          <cell r="H554">
            <v>8</v>
          </cell>
          <cell r="I554">
            <v>216</v>
          </cell>
        </row>
        <row r="555">
          <cell r="A555" t="str">
            <v>Pichu</v>
          </cell>
          <cell r="B555" t="str">
            <v>Elétrico</v>
          </cell>
          <cell r="C555">
            <v>15</v>
          </cell>
          <cell r="D555">
            <v>4</v>
          </cell>
          <cell r="E555">
            <v>1</v>
          </cell>
          <cell r="F555">
            <v>3</v>
          </cell>
          <cell r="G555">
            <v>3</v>
          </cell>
          <cell r="H555">
            <v>6</v>
          </cell>
          <cell r="I555">
            <v>41</v>
          </cell>
        </row>
        <row r="556">
          <cell r="A556" t="str">
            <v>Pidgeot</v>
          </cell>
          <cell r="B556" t="str">
            <v>Normal/Voador</v>
          </cell>
          <cell r="C556">
            <v>63</v>
          </cell>
          <cell r="D556">
            <v>8</v>
          </cell>
          <cell r="E556">
            <v>7</v>
          </cell>
          <cell r="F556">
            <v>7</v>
          </cell>
          <cell r="G556">
            <v>7</v>
          </cell>
          <cell r="H556">
            <v>9</v>
          </cell>
          <cell r="I556">
            <v>216</v>
          </cell>
        </row>
        <row r="557">
          <cell r="A557" t="str">
            <v>Pidgeotto</v>
          </cell>
          <cell r="B557" t="str">
            <v>Normal/Voador</v>
          </cell>
          <cell r="C557">
            <v>48</v>
          </cell>
          <cell r="D557">
            <v>6</v>
          </cell>
          <cell r="E557">
            <v>5</v>
          </cell>
          <cell r="F557">
            <v>5</v>
          </cell>
          <cell r="G557">
            <v>5</v>
          </cell>
          <cell r="H557">
            <v>7</v>
          </cell>
          <cell r="I557">
            <v>122</v>
          </cell>
        </row>
        <row r="558">
          <cell r="A558" t="str">
            <v>Pidgey</v>
          </cell>
          <cell r="B558" t="str">
            <v>Normal/Voador</v>
          </cell>
          <cell r="C558">
            <v>30</v>
          </cell>
          <cell r="D558">
            <v>4</v>
          </cell>
          <cell r="E558">
            <v>4</v>
          </cell>
          <cell r="F558">
            <v>3</v>
          </cell>
          <cell r="G558">
            <v>3</v>
          </cell>
          <cell r="H558">
            <v>6</v>
          </cell>
          <cell r="I558">
            <v>50</v>
          </cell>
        </row>
        <row r="559">
          <cell r="A559" t="str">
            <v>Pidove</v>
          </cell>
          <cell r="B559" t="str">
            <v>Normal\Voador</v>
          </cell>
          <cell r="C559">
            <v>38</v>
          </cell>
          <cell r="D559">
            <v>5</v>
          </cell>
          <cell r="E559">
            <v>5</v>
          </cell>
          <cell r="F559">
            <v>4</v>
          </cell>
          <cell r="G559">
            <v>3</v>
          </cell>
          <cell r="H559">
            <v>4</v>
          </cell>
          <cell r="I559">
            <v>53</v>
          </cell>
        </row>
        <row r="560">
          <cell r="A560" t="str">
            <v>Pignite</v>
          </cell>
          <cell r="B560" t="str">
            <v>Fogo\Lutador</v>
          </cell>
          <cell r="C560">
            <v>68</v>
          </cell>
          <cell r="D560">
            <v>9</v>
          </cell>
          <cell r="E560">
            <v>5</v>
          </cell>
          <cell r="F560">
            <v>7</v>
          </cell>
          <cell r="G560">
            <v>5</v>
          </cell>
          <cell r="H560">
            <v>5</v>
          </cell>
          <cell r="I560">
            <v>146</v>
          </cell>
        </row>
        <row r="561">
          <cell r="A561" t="str">
            <v>Pikachu</v>
          </cell>
          <cell r="B561" t="str">
            <v>Elétrico</v>
          </cell>
          <cell r="C561">
            <v>27</v>
          </cell>
          <cell r="D561">
            <v>5</v>
          </cell>
          <cell r="E561">
            <v>3</v>
          </cell>
          <cell r="F561">
            <v>5</v>
          </cell>
          <cell r="G561">
            <v>4</v>
          </cell>
          <cell r="H561">
            <v>9</v>
          </cell>
          <cell r="I561">
            <v>112</v>
          </cell>
        </row>
        <row r="562">
          <cell r="A562" t="str">
            <v>Pikipek</v>
          </cell>
          <cell r="B562" t="str">
            <v>Normal\Voador</v>
          </cell>
          <cell r="C562">
            <v>27</v>
          </cell>
          <cell r="D562">
            <v>7</v>
          </cell>
          <cell r="E562">
            <v>3</v>
          </cell>
          <cell r="F562">
            <v>3</v>
          </cell>
          <cell r="G562">
            <v>3</v>
          </cell>
          <cell r="H562">
            <v>6</v>
          </cell>
          <cell r="I562">
            <v>53</v>
          </cell>
        </row>
        <row r="563">
          <cell r="A563" t="str">
            <v>Piloswine</v>
          </cell>
          <cell r="B563" t="str">
            <v>Gelo/Terra</v>
          </cell>
          <cell r="C563">
            <v>75</v>
          </cell>
          <cell r="D563">
            <v>10</v>
          </cell>
          <cell r="E563">
            <v>8</v>
          </cell>
          <cell r="F563">
            <v>6</v>
          </cell>
          <cell r="G563">
            <v>6</v>
          </cell>
          <cell r="H563">
            <v>5</v>
          </cell>
          <cell r="I563">
            <v>158</v>
          </cell>
        </row>
        <row r="564">
          <cell r="A564" t="str">
            <v>Pineco</v>
          </cell>
          <cell r="B564" t="str">
            <v>Inseto</v>
          </cell>
          <cell r="C564">
            <v>38</v>
          </cell>
          <cell r="D564">
            <v>6</v>
          </cell>
          <cell r="E564">
            <v>9</v>
          </cell>
          <cell r="F564">
            <v>3</v>
          </cell>
          <cell r="G564">
            <v>3</v>
          </cell>
          <cell r="H564">
            <v>1</v>
          </cell>
          <cell r="I564">
            <v>58</v>
          </cell>
        </row>
        <row r="565">
          <cell r="A565" t="str">
            <v>Pinsir</v>
          </cell>
          <cell r="B565" t="str">
            <v>Inseto</v>
          </cell>
          <cell r="C565">
            <v>49</v>
          </cell>
          <cell r="D565">
            <v>12</v>
          </cell>
          <cell r="E565">
            <v>10</v>
          </cell>
          <cell r="F565">
            <v>5</v>
          </cell>
          <cell r="G565">
            <v>7</v>
          </cell>
          <cell r="H565">
            <v>8</v>
          </cell>
          <cell r="I565">
            <v>175</v>
          </cell>
        </row>
        <row r="566">
          <cell r="A566" t="str">
            <v>Piplup</v>
          </cell>
          <cell r="B566" t="str">
            <v>Água</v>
          </cell>
          <cell r="C566">
            <v>40</v>
          </cell>
          <cell r="D566">
            <v>5</v>
          </cell>
          <cell r="E566">
            <v>5</v>
          </cell>
          <cell r="F566">
            <v>6</v>
          </cell>
          <cell r="G566">
            <v>6</v>
          </cell>
          <cell r="H566">
            <v>4</v>
          </cell>
          <cell r="I566">
            <v>63</v>
          </cell>
        </row>
        <row r="567">
          <cell r="A567" t="str">
            <v>Plusle</v>
          </cell>
          <cell r="B567" t="str">
            <v>Elétrico</v>
          </cell>
          <cell r="C567">
            <v>45</v>
          </cell>
          <cell r="D567">
            <v>5</v>
          </cell>
          <cell r="E567">
            <v>4</v>
          </cell>
          <cell r="F567">
            <v>8</v>
          </cell>
          <cell r="G567">
            <v>7</v>
          </cell>
          <cell r="H567">
            <v>9</v>
          </cell>
          <cell r="I567">
            <v>142</v>
          </cell>
        </row>
        <row r="568">
          <cell r="A568" t="str">
            <v>Poipole</v>
          </cell>
          <cell r="B568" t="str">
            <v>Veneno</v>
          </cell>
          <cell r="C568">
            <v>51</v>
          </cell>
          <cell r="D568">
            <v>7</v>
          </cell>
          <cell r="E568">
            <v>7</v>
          </cell>
          <cell r="F568">
            <v>7</v>
          </cell>
          <cell r="G568">
            <v>7</v>
          </cell>
          <cell r="H568">
            <v>7</v>
          </cell>
          <cell r="I568">
            <v>189</v>
          </cell>
        </row>
        <row r="569">
          <cell r="A569" t="str">
            <v>Politoed</v>
          </cell>
          <cell r="B569" t="str">
            <v>Água</v>
          </cell>
          <cell r="C569">
            <v>68</v>
          </cell>
          <cell r="D569">
            <v>7</v>
          </cell>
          <cell r="E569">
            <v>7</v>
          </cell>
          <cell r="F569">
            <v>9</v>
          </cell>
          <cell r="G569">
            <v>10</v>
          </cell>
          <cell r="H569">
            <v>7</v>
          </cell>
          <cell r="I569">
            <v>225</v>
          </cell>
        </row>
        <row r="570">
          <cell r="A570" t="str">
            <v>Poliwag</v>
          </cell>
          <cell r="B570" t="str">
            <v>Água</v>
          </cell>
          <cell r="C570">
            <v>30</v>
          </cell>
          <cell r="D570">
            <v>5</v>
          </cell>
          <cell r="E570">
            <v>4</v>
          </cell>
          <cell r="F570">
            <v>4</v>
          </cell>
          <cell r="G570">
            <v>4</v>
          </cell>
          <cell r="H570">
            <v>9</v>
          </cell>
          <cell r="I570">
            <v>60</v>
          </cell>
        </row>
        <row r="571">
          <cell r="A571" t="str">
            <v>Poliwhirl</v>
          </cell>
          <cell r="B571" t="str">
            <v>Água</v>
          </cell>
          <cell r="C571">
            <v>49</v>
          </cell>
          <cell r="D571">
            <v>6</v>
          </cell>
          <cell r="E571">
            <v>6</v>
          </cell>
          <cell r="F571">
            <v>5</v>
          </cell>
          <cell r="G571">
            <v>5</v>
          </cell>
          <cell r="H571">
            <v>9</v>
          </cell>
          <cell r="I571">
            <v>135</v>
          </cell>
        </row>
        <row r="572">
          <cell r="A572" t="str">
            <v>Poliwrath</v>
          </cell>
          <cell r="B572" t="str">
            <v>Água/Lutador</v>
          </cell>
          <cell r="C572">
            <v>68</v>
          </cell>
          <cell r="D572">
            <v>8</v>
          </cell>
          <cell r="E572">
            <v>9</v>
          </cell>
          <cell r="F572">
            <v>7</v>
          </cell>
          <cell r="G572">
            <v>9</v>
          </cell>
          <cell r="H572">
            <v>7</v>
          </cell>
          <cell r="I572">
            <v>230</v>
          </cell>
        </row>
        <row r="573">
          <cell r="A573" t="str">
            <v>Ponyta</v>
          </cell>
          <cell r="B573" t="str">
            <v>Fogo</v>
          </cell>
          <cell r="C573">
            <v>38</v>
          </cell>
          <cell r="D573">
            <v>8</v>
          </cell>
          <cell r="E573">
            <v>5</v>
          </cell>
          <cell r="F573">
            <v>6</v>
          </cell>
          <cell r="G573">
            <v>6</v>
          </cell>
          <cell r="H573">
            <v>9</v>
          </cell>
          <cell r="I573">
            <v>82</v>
          </cell>
        </row>
        <row r="574">
          <cell r="A574" t="str">
            <v>Poochyena</v>
          </cell>
          <cell r="B574" t="str">
            <v>Noturno</v>
          </cell>
          <cell r="C574">
            <v>27</v>
          </cell>
          <cell r="D574">
            <v>5</v>
          </cell>
          <cell r="E574">
            <v>3</v>
          </cell>
          <cell r="F574">
            <v>3</v>
          </cell>
          <cell r="G574">
            <v>3</v>
          </cell>
          <cell r="H574">
            <v>3</v>
          </cell>
          <cell r="I574">
            <v>56</v>
          </cell>
        </row>
        <row r="575">
          <cell r="A575" t="str">
            <v>Popplio</v>
          </cell>
          <cell r="B575" t="str">
            <v>Água</v>
          </cell>
          <cell r="C575">
            <v>38</v>
          </cell>
          <cell r="D575">
            <v>5</v>
          </cell>
          <cell r="E575">
            <v>5</v>
          </cell>
          <cell r="F575">
            <v>7</v>
          </cell>
          <cell r="G575">
            <v>6</v>
          </cell>
          <cell r="H575">
            <v>4</v>
          </cell>
          <cell r="I575">
            <v>64</v>
          </cell>
        </row>
        <row r="576">
          <cell r="A576" t="str">
            <v>Porygon</v>
          </cell>
          <cell r="B576" t="str">
            <v>Normal</v>
          </cell>
          <cell r="C576">
            <v>49</v>
          </cell>
          <cell r="D576">
            <v>6</v>
          </cell>
          <cell r="E576">
            <v>7</v>
          </cell>
          <cell r="F576">
            <v>8</v>
          </cell>
          <cell r="G576">
            <v>7</v>
          </cell>
          <cell r="H576">
            <v>4</v>
          </cell>
          <cell r="I576">
            <v>79</v>
          </cell>
        </row>
        <row r="577">
          <cell r="A577" t="str">
            <v>Porygon2</v>
          </cell>
          <cell r="B577" t="str">
            <v>Normal</v>
          </cell>
          <cell r="C577">
            <v>64</v>
          </cell>
          <cell r="D577">
            <v>8</v>
          </cell>
          <cell r="E577">
            <v>9</v>
          </cell>
          <cell r="F577">
            <v>10</v>
          </cell>
          <cell r="G577">
            <v>9</v>
          </cell>
          <cell r="H577">
            <v>6</v>
          </cell>
          <cell r="I577">
            <v>180</v>
          </cell>
        </row>
        <row r="578">
          <cell r="A578" t="str">
            <v>Porygon-Z</v>
          </cell>
          <cell r="B578" t="str">
            <v>Normal</v>
          </cell>
          <cell r="C578">
            <v>64</v>
          </cell>
          <cell r="D578">
            <v>8</v>
          </cell>
          <cell r="E578">
            <v>7</v>
          </cell>
          <cell r="F578">
            <v>13</v>
          </cell>
          <cell r="G578">
            <v>7</v>
          </cell>
          <cell r="H578">
            <v>9</v>
          </cell>
          <cell r="I578">
            <v>241</v>
          </cell>
        </row>
        <row r="579">
          <cell r="A579" t="str">
            <v>Primarina</v>
          </cell>
          <cell r="B579" t="str">
            <v>Água\Fada</v>
          </cell>
          <cell r="C579">
            <v>60</v>
          </cell>
          <cell r="D579">
            <v>7</v>
          </cell>
          <cell r="E579">
            <v>7</v>
          </cell>
          <cell r="F579">
            <v>13</v>
          </cell>
          <cell r="G579">
            <v>12</v>
          </cell>
          <cell r="H579">
            <v>6</v>
          </cell>
          <cell r="I579">
            <v>239</v>
          </cell>
        </row>
        <row r="580">
          <cell r="A580" t="str">
            <v>Primeape</v>
          </cell>
          <cell r="B580" t="str">
            <v>Lutador</v>
          </cell>
          <cell r="C580">
            <v>49</v>
          </cell>
          <cell r="D580">
            <v>10</v>
          </cell>
          <cell r="E580">
            <v>6</v>
          </cell>
          <cell r="F580">
            <v>6</v>
          </cell>
          <cell r="G580">
            <v>7</v>
          </cell>
          <cell r="H580">
            <v>9</v>
          </cell>
          <cell r="I580">
            <v>159</v>
          </cell>
        </row>
        <row r="581">
          <cell r="A581" t="str">
            <v>Prinplup</v>
          </cell>
          <cell r="B581" t="str">
            <v>Água</v>
          </cell>
          <cell r="C581">
            <v>48</v>
          </cell>
          <cell r="D581">
            <v>7</v>
          </cell>
          <cell r="E581">
            <v>7</v>
          </cell>
          <cell r="F581">
            <v>8</v>
          </cell>
          <cell r="G581">
            <v>8</v>
          </cell>
          <cell r="H581">
            <v>5</v>
          </cell>
          <cell r="I581">
            <v>142</v>
          </cell>
        </row>
        <row r="582">
          <cell r="A582" t="str">
            <v>Probopass</v>
          </cell>
          <cell r="B582" t="str">
            <v>Pedra/Metal</v>
          </cell>
          <cell r="C582">
            <v>45</v>
          </cell>
          <cell r="D582">
            <v>5</v>
          </cell>
          <cell r="E582">
            <v>14</v>
          </cell>
          <cell r="F582">
            <v>7</v>
          </cell>
          <cell r="G582">
            <v>15</v>
          </cell>
          <cell r="H582">
            <v>4</v>
          </cell>
          <cell r="I582">
            <v>184</v>
          </cell>
        </row>
        <row r="583">
          <cell r="A583" t="str">
            <v>Psyduck</v>
          </cell>
          <cell r="B583" t="str">
            <v>Água</v>
          </cell>
          <cell r="C583">
            <v>38</v>
          </cell>
          <cell r="D583">
            <v>5</v>
          </cell>
          <cell r="E583">
            <v>5</v>
          </cell>
          <cell r="F583">
            <v>6</v>
          </cell>
          <cell r="G583">
            <v>5</v>
          </cell>
          <cell r="H583">
            <v>5</v>
          </cell>
          <cell r="I583">
            <v>64</v>
          </cell>
        </row>
        <row r="584">
          <cell r="A584" t="str">
            <v>Pumpkaboo (Gigante)</v>
          </cell>
          <cell r="B584" t="str">
            <v>Fantasma\Grama</v>
          </cell>
          <cell r="C584">
            <v>45</v>
          </cell>
          <cell r="D584">
            <v>7</v>
          </cell>
          <cell r="E584">
            <v>7</v>
          </cell>
          <cell r="F584">
            <v>4</v>
          </cell>
          <cell r="G584">
            <v>5</v>
          </cell>
          <cell r="H584">
            <v>4</v>
          </cell>
          <cell r="I584">
            <v>67</v>
          </cell>
        </row>
        <row r="585">
          <cell r="A585" t="str">
            <v>Pumpkaboo (Grande)</v>
          </cell>
          <cell r="B585" t="str">
            <v>Fantasma\Grama</v>
          </cell>
          <cell r="C585">
            <v>41</v>
          </cell>
          <cell r="D585">
            <v>7</v>
          </cell>
          <cell r="E585">
            <v>7</v>
          </cell>
          <cell r="F585">
            <v>4</v>
          </cell>
          <cell r="G585">
            <v>5</v>
          </cell>
          <cell r="H585">
            <v>5</v>
          </cell>
          <cell r="I585">
            <v>67</v>
          </cell>
        </row>
        <row r="586">
          <cell r="A586" t="str">
            <v>Pumpkaboo (Médio)</v>
          </cell>
          <cell r="B586" t="str">
            <v>Fantasma\Grama</v>
          </cell>
          <cell r="C586">
            <v>37</v>
          </cell>
          <cell r="D586">
            <v>7</v>
          </cell>
          <cell r="E586">
            <v>7</v>
          </cell>
          <cell r="F586">
            <v>4</v>
          </cell>
          <cell r="G586">
            <v>5</v>
          </cell>
          <cell r="H586">
            <v>5</v>
          </cell>
          <cell r="I586">
            <v>67</v>
          </cell>
        </row>
        <row r="587">
          <cell r="A587" t="str">
            <v>Pumpkaboo (Pequeno)</v>
          </cell>
          <cell r="B587" t="str">
            <v>Fantasma\Grama</v>
          </cell>
          <cell r="C587">
            <v>33</v>
          </cell>
          <cell r="D587">
            <v>7</v>
          </cell>
          <cell r="E587">
            <v>7</v>
          </cell>
          <cell r="F587">
            <v>4</v>
          </cell>
          <cell r="G587">
            <v>5</v>
          </cell>
          <cell r="H587">
            <v>6</v>
          </cell>
          <cell r="I587">
            <v>67</v>
          </cell>
        </row>
        <row r="588">
          <cell r="A588" t="str">
            <v>Pupitar</v>
          </cell>
          <cell r="B588" t="str">
            <v>Pedra/Terra</v>
          </cell>
          <cell r="C588">
            <v>53</v>
          </cell>
          <cell r="D588">
            <v>8</v>
          </cell>
          <cell r="E588">
            <v>7</v>
          </cell>
          <cell r="F588">
            <v>6</v>
          </cell>
          <cell r="G588">
            <v>7</v>
          </cell>
          <cell r="H588">
            <v>5</v>
          </cell>
          <cell r="I588">
            <v>144</v>
          </cell>
        </row>
        <row r="589">
          <cell r="A589" t="str">
            <v>Purrloin</v>
          </cell>
          <cell r="B589" t="str">
            <v>Noturno</v>
          </cell>
          <cell r="C589">
            <v>31</v>
          </cell>
          <cell r="D589">
            <v>5</v>
          </cell>
          <cell r="E589">
            <v>4</v>
          </cell>
          <cell r="F589">
            <v>5</v>
          </cell>
          <cell r="G589">
            <v>4</v>
          </cell>
          <cell r="H589">
            <v>7</v>
          </cell>
          <cell r="I589">
            <v>56</v>
          </cell>
        </row>
        <row r="590">
          <cell r="A590" t="str">
            <v>Purugly</v>
          </cell>
          <cell r="B590" t="str">
            <v>Normal</v>
          </cell>
          <cell r="C590">
            <v>54</v>
          </cell>
          <cell r="D590">
            <v>8</v>
          </cell>
          <cell r="E590">
            <v>6</v>
          </cell>
          <cell r="F590">
            <v>6</v>
          </cell>
          <cell r="G590">
            <v>6</v>
          </cell>
          <cell r="H590">
            <v>11</v>
          </cell>
          <cell r="I590">
            <v>158</v>
          </cell>
        </row>
        <row r="591">
          <cell r="A591" t="str">
            <v>Pyroar</v>
          </cell>
          <cell r="B591" t="str">
            <v>Fogo\Normal</v>
          </cell>
          <cell r="C591">
            <v>65</v>
          </cell>
          <cell r="D591">
            <v>7</v>
          </cell>
          <cell r="E591">
            <v>7</v>
          </cell>
          <cell r="F591">
            <v>11</v>
          </cell>
          <cell r="G591">
            <v>7</v>
          </cell>
          <cell r="H591">
            <v>11</v>
          </cell>
          <cell r="I591">
            <v>177</v>
          </cell>
        </row>
        <row r="592">
          <cell r="A592" t="str">
            <v>Pyukumuku</v>
          </cell>
          <cell r="B592" t="str">
            <v>Água</v>
          </cell>
          <cell r="C592">
            <v>42</v>
          </cell>
          <cell r="D592">
            <v>6</v>
          </cell>
          <cell r="E592">
            <v>13</v>
          </cell>
          <cell r="F592">
            <v>3</v>
          </cell>
          <cell r="G592">
            <v>13</v>
          </cell>
          <cell r="H592">
            <v>0</v>
          </cell>
          <cell r="I592">
            <v>144</v>
          </cell>
        </row>
        <row r="593">
          <cell r="A593" t="str">
            <v>Quagsire</v>
          </cell>
          <cell r="B593" t="str">
            <v>Água/Terra</v>
          </cell>
          <cell r="C593">
            <v>72</v>
          </cell>
          <cell r="D593">
            <v>8</v>
          </cell>
          <cell r="E593">
            <v>8</v>
          </cell>
          <cell r="F593">
            <v>6</v>
          </cell>
          <cell r="G593">
            <v>6</v>
          </cell>
          <cell r="H593">
            <v>3</v>
          </cell>
          <cell r="I593">
            <v>151</v>
          </cell>
        </row>
        <row r="594">
          <cell r="A594" t="str">
            <v>Quilava</v>
          </cell>
          <cell r="B594" t="str">
            <v>Fogo</v>
          </cell>
          <cell r="C594">
            <v>44</v>
          </cell>
          <cell r="D594">
            <v>6</v>
          </cell>
          <cell r="E594">
            <v>6</v>
          </cell>
          <cell r="F594">
            <v>8</v>
          </cell>
          <cell r="G594">
            <v>6</v>
          </cell>
          <cell r="H594">
            <v>8</v>
          </cell>
          <cell r="I594">
            <v>142</v>
          </cell>
        </row>
        <row r="595">
          <cell r="A595" t="str">
            <v>Quilladin</v>
          </cell>
          <cell r="B595" t="str">
            <v>Grama</v>
          </cell>
          <cell r="C595">
            <v>46</v>
          </cell>
          <cell r="D595">
            <v>8</v>
          </cell>
          <cell r="E595">
            <v>9</v>
          </cell>
          <cell r="F595">
            <v>6</v>
          </cell>
          <cell r="G595">
            <v>6</v>
          </cell>
          <cell r="H595">
            <v>6</v>
          </cell>
          <cell r="I595">
            <v>142</v>
          </cell>
        </row>
        <row r="596">
          <cell r="A596" t="str">
            <v>Qwilfish</v>
          </cell>
          <cell r="B596" t="str">
            <v>Água/Veneno</v>
          </cell>
          <cell r="C596">
            <v>49</v>
          </cell>
          <cell r="D596">
            <v>9</v>
          </cell>
          <cell r="E596">
            <v>7</v>
          </cell>
          <cell r="F596">
            <v>5</v>
          </cell>
          <cell r="G596">
            <v>5</v>
          </cell>
          <cell r="H596">
            <v>8</v>
          </cell>
          <cell r="I596">
            <v>88</v>
          </cell>
        </row>
        <row r="597">
          <cell r="A597" t="str">
            <v>Raichu</v>
          </cell>
          <cell r="B597" t="str">
            <v>Elétrico</v>
          </cell>
          <cell r="C597">
            <v>45</v>
          </cell>
          <cell r="D597">
            <v>9</v>
          </cell>
          <cell r="E597">
            <v>5</v>
          </cell>
          <cell r="F597">
            <v>9</v>
          </cell>
          <cell r="G597">
            <v>8</v>
          </cell>
          <cell r="H597">
            <v>11</v>
          </cell>
          <cell r="I597">
            <v>218</v>
          </cell>
        </row>
        <row r="598">
          <cell r="A598" t="str">
            <v>Raichu (Alola)</v>
          </cell>
          <cell r="B598" t="str">
            <v>Elétrico/Psíquico</v>
          </cell>
          <cell r="C598">
            <v>45</v>
          </cell>
          <cell r="D598">
            <v>8</v>
          </cell>
          <cell r="E598">
            <v>5</v>
          </cell>
          <cell r="F598">
            <v>9</v>
          </cell>
          <cell r="G598">
            <v>8</v>
          </cell>
          <cell r="H598">
            <v>11</v>
          </cell>
          <cell r="I598">
            <v>218</v>
          </cell>
        </row>
        <row r="599">
          <cell r="A599" t="str">
            <v>Raikou</v>
          </cell>
          <cell r="B599" t="str">
            <v>Elétrico</v>
          </cell>
          <cell r="C599">
            <v>68</v>
          </cell>
          <cell r="D599">
            <v>8</v>
          </cell>
          <cell r="E599">
            <v>7</v>
          </cell>
          <cell r="F599">
            <v>11</v>
          </cell>
          <cell r="G599">
            <v>10</v>
          </cell>
          <cell r="H599">
            <v>11</v>
          </cell>
          <cell r="I599">
            <v>261</v>
          </cell>
        </row>
        <row r="600">
          <cell r="A600" t="str">
            <v>Ralts</v>
          </cell>
          <cell r="B600" t="str">
            <v>Psíquico/Fada</v>
          </cell>
          <cell r="C600">
            <v>21</v>
          </cell>
          <cell r="D600">
            <v>2</v>
          </cell>
          <cell r="E600">
            <v>2</v>
          </cell>
          <cell r="F600">
            <v>4</v>
          </cell>
          <cell r="G600">
            <v>3</v>
          </cell>
          <cell r="H600">
            <v>4</v>
          </cell>
          <cell r="I600">
            <v>40</v>
          </cell>
        </row>
        <row r="601">
          <cell r="A601" t="str">
            <v>Rampardos</v>
          </cell>
          <cell r="B601" t="str">
            <v>Pedra</v>
          </cell>
          <cell r="C601">
            <v>73</v>
          </cell>
          <cell r="D601">
            <v>16</v>
          </cell>
          <cell r="E601">
            <v>6</v>
          </cell>
          <cell r="F601">
            <v>6</v>
          </cell>
          <cell r="G601">
            <v>5</v>
          </cell>
          <cell r="H601">
            <v>6</v>
          </cell>
          <cell r="I601">
            <v>173</v>
          </cell>
        </row>
        <row r="602">
          <cell r="A602" t="str">
            <v>Rapidash</v>
          </cell>
          <cell r="B602" t="str">
            <v>Fogo</v>
          </cell>
          <cell r="C602">
            <v>49</v>
          </cell>
          <cell r="D602">
            <v>10</v>
          </cell>
          <cell r="E602">
            <v>7</v>
          </cell>
          <cell r="F602">
            <v>8</v>
          </cell>
          <cell r="G602">
            <v>8</v>
          </cell>
          <cell r="H602">
            <v>10</v>
          </cell>
          <cell r="I602">
            <v>175</v>
          </cell>
        </row>
        <row r="603">
          <cell r="A603" t="str">
            <v>Raticate</v>
          </cell>
          <cell r="B603" t="str">
            <v>Normal</v>
          </cell>
          <cell r="C603">
            <v>42</v>
          </cell>
          <cell r="D603">
            <v>8</v>
          </cell>
          <cell r="E603">
            <v>6</v>
          </cell>
          <cell r="F603">
            <v>5</v>
          </cell>
          <cell r="G603">
            <v>7</v>
          </cell>
          <cell r="H603">
            <v>10</v>
          </cell>
          <cell r="I603">
            <v>145</v>
          </cell>
        </row>
        <row r="604">
          <cell r="A604" t="str">
            <v>Raticate (Alola)</v>
          </cell>
          <cell r="B604" t="str">
            <v>Noturno/Normal</v>
          </cell>
          <cell r="C604">
            <v>57</v>
          </cell>
          <cell r="D604">
            <v>7</v>
          </cell>
          <cell r="E604">
            <v>7</v>
          </cell>
          <cell r="F604">
            <v>4</v>
          </cell>
          <cell r="G604">
            <v>8</v>
          </cell>
          <cell r="H604">
            <v>8</v>
          </cell>
          <cell r="I604">
            <v>145</v>
          </cell>
        </row>
        <row r="605">
          <cell r="A605" t="str">
            <v>Rattata</v>
          </cell>
          <cell r="B605" t="str">
            <v>Normal</v>
          </cell>
          <cell r="C605">
            <v>23</v>
          </cell>
          <cell r="D605">
            <v>6</v>
          </cell>
          <cell r="E605">
            <v>3</v>
          </cell>
          <cell r="F605">
            <v>2</v>
          </cell>
          <cell r="G605">
            <v>3</v>
          </cell>
          <cell r="H605">
            <v>7</v>
          </cell>
          <cell r="I605">
            <v>51</v>
          </cell>
        </row>
        <row r="606">
          <cell r="A606" t="str">
            <v>Rattata (Alola)</v>
          </cell>
          <cell r="B606" t="str">
            <v>Noturno/Normal</v>
          </cell>
          <cell r="C606">
            <v>23</v>
          </cell>
          <cell r="D606">
            <v>6</v>
          </cell>
          <cell r="E606">
            <v>3</v>
          </cell>
          <cell r="F606">
            <v>2</v>
          </cell>
          <cell r="G606">
            <v>3</v>
          </cell>
          <cell r="H606">
            <v>7</v>
          </cell>
          <cell r="I606">
            <v>51</v>
          </cell>
        </row>
        <row r="607">
          <cell r="A607" t="str">
            <v>Rayquaza</v>
          </cell>
          <cell r="B607" t="str">
            <v>Dragão/Voador</v>
          </cell>
          <cell r="C607">
            <v>79</v>
          </cell>
          <cell r="D607">
            <v>15</v>
          </cell>
          <cell r="E607">
            <v>9</v>
          </cell>
          <cell r="F607">
            <v>15</v>
          </cell>
          <cell r="G607">
            <v>9</v>
          </cell>
          <cell r="H607">
            <v>9</v>
          </cell>
          <cell r="I607">
            <v>306</v>
          </cell>
        </row>
        <row r="608">
          <cell r="A608" t="str">
            <v>Regice</v>
          </cell>
          <cell r="B608" t="str">
            <v>Gelo</v>
          </cell>
          <cell r="C608">
            <v>60</v>
          </cell>
          <cell r="D608">
            <v>5</v>
          </cell>
          <cell r="E608">
            <v>10</v>
          </cell>
          <cell r="F608">
            <v>10</v>
          </cell>
          <cell r="G608">
            <v>20</v>
          </cell>
          <cell r="H608">
            <v>5</v>
          </cell>
          <cell r="I608">
            <v>261</v>
          </cell>
        </row>
        <row r="609">
          <cell r="A609" t="str">
            <v>Regigigas</v>
          </cell>
          <cell r="B609" t="str">
            <v>Normal</v>
          </cell>
          <cell r="C609">
            <v>83</v>
          </cell>
          <cell r="D609">
            <v>16</v>
          </cell>
          <cell r="E609">
            <v>11</v>
          </cell>
          <cell r="F609">
            <v>8</v>
          </cell>
          <cell r="G609">
            <v>11</v>
          </cell>
          <cell r="H609">
            <v>10</v>
          </cell>
          <cell r="I609">
            <v>302</v>
          </cell>
        </row>
        <row r="610">
          <cell r="A610" t="str">
            <v>Regirock</v>
          </cell>
          <cell r="B610" t="str">
            <v>Pedra</v>
          </cell>
          <cell r="C610">
            <v>60</v>
          </cell>
          <cell r="D610">
            <v>10</v>
          </cell>
          <cell r="E610">
            <v>20</v>
          </cell>
          <cell r="F610">
            <v>5</v>
          </cell>
          <cell r="G610">
            <v>10</v>
          </cell>
          <cell r="H610">
            <v>5</v>
          </cell>
          <cell r="I610">
            <v>261</v>
          </cell>
        </row>
        <row r="611">
          <cell r="A611" t="str">
            <v>Registeel</v>
          </cell>
          <cell r="B611" t="str">
            <v>Metal</v>
          </cell>
          <cell r="C611">
            <v>60</v>
          </cell>
          <cell r="D611">
            <v>7</v>
          </cell>
          <cell r="E611">
            <v>15</v>
          </cell>
          <cell r="F611">
            <v>7</v>
          </cell>
          <cell r="G611">
            <v>15</v>
          </cell>
          <cell r="H611">
            <v>5</v>
          </cell>
          <cell r="I611">
            <v>261</v>
          </cell>
        </row>
        <row r="612">
          <cell r="A612" t="str">
            <v>Relicanth</v>
          </cell>
          <cell r="B612" t="str">
            <v>Água/Pedra</v>
          </cell>
          <cell r="C612">
            <v>75</v>
          </cell>
          <cell r="D612">
            <v>9</v>
          </cell>
          <cell r="E612">
            <v>13</v>
          </cell>
          <cell r="F612">
            <v>4</v>
          </cell>
          <cell r="G612">
            <v>6</v>
          </cell>
          <cell r="H612">
            <v>5</v>
          </cell>
          <cell r="I612">
            <v>170</v>
          </cell>
        </row>
        <row r="613">
          <cell r="A613" t="str">
            <v>Remoraid</v>
          </cell>
          <cell r="B613" t="str">
            <v>Água</v>
          </cell>
          <cell r="C613">
            <v>27</v>
          </cell>
          <cell r="D613">
            <v>6</v>
          </cell>
          <cell r="E613">
            <v>3</v>
          </cell>
          <cell r="F613">
            <v>6</v>
          </cell>
          <cell r="G613">
            <v>3</v>
          </cell>
          <cell r="H613">
            <v>6</v>
          </cell>
          <cell r="I613">
            <v>60</v>
          </cell>
        </row>
        <row r="614">
          <cell r="A614" t="str">
            <v>Reshiram</v>
          </cell>
          <cell r="B614" t="str">
            <v>Dragão\Fogo</v>
          </cell>
          <cell r="C614">
            <v>75</v>
          </cell>
          <cell r="D614">
            <v>12</v>
          </cell>
          <cell r="E614">
            <v>10</v>
          </cell>
          <cell r="F614">
            <v>15</v>
          </cell>
          <cell r="G614">
            <v>12</v>
          </cell>
          <cell r="H614">
            <v>9</v>
          </cell>
          <cell r="I614">
            <v>306</v>
          </cell>
        </row>
        <row r="615">
          <cell r="A615" t="str">
            <v>Reuniclus</v>
          </cell>
          <cell r="B615" t="str">
            <v>Psíquico</v>
          </cell>
          <cell r="C615">
            <v>83</v>
          </cell>
          <cell r="D615">
            <v>6</v>
          </cell>
          <cell r="E615">
            <v>7</v>
          </cell>
          <cell r="F615">
            <v>12</v>
          </cell>
          <cell r="G615">
            <v>8</v>
          </cell>
          <cell r="H615">
            <v>3</v>
          </cell>
          <cell r="I615">
            <v>221</v>
          </cell>
        </row>
        <row r="616">
          <cell r="A616" t="str">
            <v>Rhydon</v>
          </cell>
          <cell r="B616" t="str">
            <v>Terra/Pedra</v>
          </cell>
          <cell r="C616">
            <v>79</v>
          </cell>
          <cell r="D616">
            <v>13</v>
          </cell>
          <cell r="E616">
            <v>12</v>
          </cell>
          <cell r="F616">
            <v>4</v>
          </cell>
          <cell r="G616">
            <v>4</v>
          </cell>
          <cell r="H616">
            <v>4</v>
          </cell>
          <cell r="I616">
            <v>170</v>
          </cell>
        </row>
        <row r="617">
          <cell r="A617" t="str">
            <v>Rhyhorn</v>
          </cell>
          <cell r="B617" t="str">
            <v>Terra/Pedra</v>
          </cell>
          <cell r="C617">
            <v>60</v>
          </cell>
          <cell r="D617">
            <v>8</v>
          </cell>
          <cell r="E617">
            <v>9</v>
          </cell>
          <cell r="F617">
            <v>3</v>
          </cell>
          <cell r="G617">
            <v>3</v>
          </cell>
          <cell r="H617">
            <v>2</v>
          </cell>
          <cell r="I617">
            <v>69</v>
          </cell>
        </row>
        <row r="618">
          <cell r="A618" t="str">
            <v>Rhyperior</v>
          </cell>
          <cell r="B618" t="str">
            <v>Terra/Pedra</v>
          </cell>
          <cell r="C618">
            <v>87</v>
          </cell>
          <cell r="D618">
            <v>14</v>
          </cell>
          <cell r="E618">
            <v>13</v>
          </cell>
          <cell r="F618">
            <v>5</v>
          </cell>
          <cell r="G618">
            <v>5</v>
          </cell>
          <cell r="H618">
            <v>4</v>
          </cell>
          <cell r="I618">
            <v>241</v>
          </cell>
        </row>
        <row r="619">
          <cell r="A619" t="str">
            <v>Ribombee</v>
          </cell>
          <cell r="B619" t="str">
            <v>Inseto\Fada</v>
          </cell>
          <cell r="C619">
            <v>45</v>
          </cell>
          <cell r="D619">
            <v>5</v>
          </cell>
          <cell r="E619">
            <v>6</v>
          </cell>
          <cell r="F619">
            <v>9</v>
          </cell>
          <cell r="G619">
            <v>7</v>
          </cell>
          <cell r="H619">
            <v>12</v>
          </cell>
          <cell r="I619">
            <v>162</v>
          </cell>
        </row>
        <row r="620">
          <cell r="A620" t="str">
            <v>Riolu</v>
          </cell>
          <cell r="B620" t="str">
            <v>Lutador</v>
          </cell>
          <cell r="C620">
            <v>30</v>
          </cell>
          <cell r="D620">
            <v>7</v>
          </cell>
          <cell r="E620">
            <v>4</v>
          </cell>
          <cell r="F620">
            <v>3</v>
          </cell>
          <cell r="G620">
            <v>4</v>
          </cell>
          <cell r="H620">
            <v>6</v>
          </cell>
          <cell r="I620">
            <v>57</v>
          </cell>
        </row>
        <row r="621">
          <cell r="A621" t="str">
            <v>Rockruff</v>
          </cell>
          <cell r="B621" t="str">
            <v>Pedra</v>
          </cell>
          <cell r="C621">
            <v>34</v>
          </cell>
          <cell r="D621">
            <v>6</v>
          </cell>
          <cell r="E621">
            <v>4</v>
          </cell>
          <cell r="F621">
            <v>3</v>
          </cell>
          <cell r="G621">
            <v>4</v>
          </cell>
          <cell r="H621">
            <v>6</v>
          </cell>
          <cell r="I621">
            <v>56</v>
          </cell>
        </row>
        <row r="622">
          <cell r="A622" t="str">
            <v>Roggenrola</v>
          </cell>
          <cell r="B622" t="str">
            <v>Pedra</v>
          </cell>
          <cell r="C622">
            <v>42</v>
          </cell>
          <cell r="D622">
            <v>7</v>
          </cell>
          <cell r="E622">
            <v>8</v>
          </cell>
          <cell r="F622">
            <v>2</v>
          </cell>
          <cell r="G622">
            <v>2</v>
          </cell>
          <cell r="H622">
            <v>1</v>
          </cell>
          <cell r="I622">
            <v>56</v>
          </cell>
        </row>
        <row r="623">
          <cell r="A623" t="str">
            <v>Roselia</v>
          </cell>
          <cell r="B623" t="str">
            <v>Grama/Veneno</v>
          </cell>
          <cell r="C623">
            <v>38</v>
          </cell>
          <cell r="D623">
            <v>6</v>
          </cell>
          <cell r="E623">
            <v>4</v>
          </cell>
          <cell r="F623">
            <v>10</v>
          </cell>
          <cell r="G623">
            <v>8</v>
          </cell>
          <cell r="H623">
            <v>6</v>
          </cell>
          <cell r="I623">
            <v>140</v>
          </cell>
        </row>
        <row r="624">
          <cell r="A624" t="str">
            <v>Roserade</v>
          </cell>
          <cell r="B624" t="str">
            <v>Grama/Veneno</v>
          </cell>
          <cell r="C624">
            <v>45</v>
          </cell>
          <cell r="D624">
            <v>7</v>
          </cell>
          <cell r="E624">
            <v>5</v>
          </cell>
          <cell r="F624">
            <v>12</v>
          </cell>
          <cell r="G624">
            <v>10</v>
          </cell>
          <cell r="H624">
            <v>9</v>
          </cell>
          <cell r="I624">
            <v>232</v>
          </cell>
        </row>
        <row r="625">
          <cell r="A625" t="str">
            <v>Rotom</v>
          </cell>
          <cell r="B625" t="str">
            <v>Elétrico/Fantasma</v>
          </cell>
          <cell r="C625">
            <v>38</v>
          </cell>
          <cell r="D625">
            <v>5</v>
          </cell>
          <cell r="E625">
            <v>8</v>
          </cell>
          <cell r="F625">
            <v>9</v>
          </cell>
          <cell r="G625">
            <v>8</v>
          </cell>
          <cell r="H625">
            <v>9</v>
          </cell>
          <cell r="I625">
            <v>154</v>
          </cell>
        </row>
        <row r="626">
          <cell r="A626" t="str">
            <v>Rotom (Aparador)</v>
          </cell>
          <cell r="B626" t="str">
            <v>Grama/Fantasma</v>
          </cell>
          <cell r="C626">
            <v>38</v>
          </cell>
          <cell r="D626">
            <v>6</v>
          </cell>
          <cell r="E626">
            <v>11</v>
          </cell>
          <cell r="F626">
            <v>10</v>
          </cell>
          <cell r="G626">
            <v>11</v>
          </cell>
          <cell r="H626">
            <v>9</v>
          </cell>
          <cell r="I626">
            <v>154</v>
          </cell>
        </row>
        <row r="627">
          <cell r="A627" t="str">
            <v>Rotom (Geladeira)</v>
          </cell>
          <cell r="B627" t="str">
            <v>Gelo/Fantasma</v>
          </cell>
          <cell r="C627">
            <v>38</v>
          </cell>
          <cell r="D627">
            <v>6</v>
          </cell>
          <cell r="E627">
            <v>11</v>
          </cell>
          <cell r="F627">
            <v>10</v>
          </cell>
          <cell r="G627">
            <v>11</v>
          </cell>
          <cell r="H627">
            <v>9</v>
          </cell>
          <cell r="I627">
            <v>154</v>
          </cell>
        </row>
        <row r="628">
          <cell r="A628" t="str">
            <v>Rotom (Máquina de Lavar)</v>
          </cell>
          <cell r="B628" t="str">
            <v>Água/Fantasma</v>
          </cell>
          <cell r="C628">
            <v>38</v>
          </cell>
          <cell r="D628">
            <v>6</v>
          </cell>
          <cell r="E628">
            <v>11</v>
          </cell>
          <cell r="F628">
            <v>10</v>
          </cell>
          <cell r="G628">
            <v>11</v>
          </cell>
          <cell r="H628">
            <v>9</v>
          </cell>
          <cell r="I628">
            <v>154</v>
          </cell>
        </row>
        <row r="629">
          <cell r="A629" t="str">
            <v>Rotom (Microondas)</v>
          </cell>
          <cell r="B629" t="str">
            <v>Fogo/Fantasma</v>
          </cell>
          <cell r="C629">
            <v>38</v>
          </cell>
          <cell r="D629">
            <v>6</v>
          </cell>
          <cell r="E629">
            <v>11</v>
          </cell>
          <cell r="F629">
            <v>10</v>
          </cell>
          <cell r="G629">
            <v>11</v>
          </cell>
          <cell r="H629">
            <v>9</v>
          </cell>
          <cell r="I629">
            <v>154</v>
          </cell>
        </row>
        <row r="630">
          <cell r="A630" t="str">
            <v>Rotom (Ventilador)</v>
          </cell>
          <cell r="B630" t="str">
            <v>Voador/Fantasma</v>
          </cell>
          <cell r="C630">
            <v>38</v>
          </cell>
          <cell r="D630">
            <v>6</v>
          </cell>
          <cell r="E630">
            <v>11</v>
          </cell>
          <cell r="F630">
            <v>10</v>
          </cell>
          <cell r="G630">
            <v>11</v>
          </cell>
          <cell r="H630">
            <v>9</v>
          </cell>
          <cell r="I630">
            <v>154</v>
          </cell>
        </row>
        <row r="631">
          <cell r="A631" t="str">
            <v>Rowlet</v>
          </cell>
          <cell r="B631" t="str">
            <v>Grama\Voador</v>
          </cell>
          <cell r="C631">
            <v>51</v>
          </cell>
          <cell r="D631">
            <v>5</v>
          </cell>
          <cell r="E631">
            <v>5</v>
          </cell>
          <cell r="F631">
            <v>5</v>
          </cell>
          <cell r="G631">
            <v>5</v>
          </cell>
          <cell r="H631">
            <v>4</v>
          </cell>
          <cell r="I631">
            <v>64</v>
          </cell>
        </row>
        <row r="632">
          <cell r="A632" t="str">
            <v>Rufflet</v>
          </cell>
          <cell r="B632" t="str">
            <v>Normal\Voador</v>
          </cell>
          <cell r="C632">
            <v>53</v>
          </cell>
          <cell r="D632">
            <v>8</v>
          </cell>
          <cell r="E632">
            <v>5</v>
          </cell>
          <cell r="F632">
            <v>4</v>
          </cell>
          <cell r="G632">
            <v>5</v>
          </cell>
          <cell r="H632">
            <v>6</v>
          </cell>
          <cell r="I632">
            <v>70</v>
          </cell>
        </row>
        <row r="633">
          <cell r="A633" t="str">
            <v>Sableye</v>
          </cell>
          <cell r="B633" t="str">
            <v>Noturno/Fantasma</v>
          </cell>
          <cell r="C633">
            <v>38</v>
          </cell>
          <cell r="D633">
            <v>7</v>
          </cell>
          <cell r="E633">
            <v>7</v>
          </cell>
          <cell r="F633">
            <v>6</v>
          </cell>
          <cell r="G633">
            <v>6</v>
          </cell>
          <cell r="H633">
            <v>5</v>
          </cell>
          <cell r="I633">
            <v>133</v>
          </cell>
        </row>
        <row r="634">
          <cell r="A634" t="str">
            <v>Salamence</v>
          </cell>
          <cell r="B634" t="str">
            <v>Dragão/Voador</v>
          </cell>
          <cell r="C634">
            <v>72</v>
          </cell>
          <cell r="D634">
            <v>13</v>
          </cell>
          <cell r="E634">
            <v>8</v>
          </cell>
          <cell r="F634">
            <v>11</v>
          </cell>
          <cell r="G634">
            <v>8</v>
          </cell>
          <cell r="H634">
            <v>10</v>
          </cell>
          <cell r="I634">
            <v>270</v>
          </cell>
        </row>
        <row r="635">
          <cell r="A635" t="str">
            <v>Salandit</v>
          </cell>
          <cell r="B635" t="str">
            <v>Veneno\Fogo</v>
          </cell>
          <cell r="C635">
            <v>36</v>
          </cell>
          <cell r="D635">
            <v>4</v>
          </cell>
          <cell r="E635">
            <v>4</v>
          </cell>
          <cell r="F635">
            <v>7</v>
          </cell>
          <cell r="G635">
            <v>4</v>
          </cell>
          <cell r="H635">
            <v>8</v>
          </cell>
          <cell r="I635">
            <v>64</v>
          </cell>
        </row>
        <row r="636">
          <cell r="A636" t="str">
            <v>Salazzle</v>
          </cell>
          <cell r="B636" t="str">
            <v>Veneno\Fogo</v>
          </cell>
          <cell r="C636">
            <v>51</v>
          </cell>
          <cell r="D636">
            <v>6</v>
          </cell>
          <cell r="E636">
            <v>6</v>
          </cell>
          <cell r="F636">
            <v>11</v>
          </cell>
          <cell r="G636">
            <v>6</v>
          </cell>
          <cell r="H636">
            <v>12</v>
          </cell>
          <cell r="I636">
            <v>168</v>
          </cell>
        </row>
        <row r="637">
          <cell r="A637" t="str">
            <v>Samurott</v>
          </cell>
          <cell r="B637" t="str">
            <v>Água</v>
          </cell>
          <cell r="C637">
            <v>72</v>
          </cell>
          <cell r="D637">
            <v>10</v>
          </cell>
          <cell r="E637">
            <v>8</v>
          </cell>
          <cell r="F637">
            <v>11</v>
          </cell>
          <cell r="G637">
            <v>7</v>
          </cell>
          <cell r="H637">
            <v>7</v>
          </cell>
          <cell r="I637">
            <v>238</v>
          </cell>
        </row>
        <row r="638">
          <cell r="A638" t="str">
            <v>Sandile</v>
          </cell>
          <cell r="B638" t="str">
            <v>Terra\Noturno</v>
          </cell>
          <cell r="C638">
            <v>38</v>
          </cell>
          <cell r="D638">
            <v>7</v>
          </cell>
          <cell r="E638">
            <v>3</v>
          </cell>
          <cell r="F638">
            <v>3</v>
          </cell>
          <cell r="G638">
            <v>3</v>
          </cell>
          <cell r="H638">
            <v>6</v>
          </cell>
          <cell r="I638">
            <v>58</v>
          </cell>
        </row>
        <row r="639">
          <cell r="A639" t="str">
            <v>Sandshrew</v>
          </cell>
          <cell r="B639" t="str">
            <v>Terra</v>
          </cell>
          <cell r="C639">
            <v>38</v>
          </cell>
          <cell r="D639">
            <v>7</v>
          </cell>
          <cell r="E639">
            <v>8</v>
          </cell>
          <cell r="F639">
            <v>2</v>
          </cell>
          <cell r="G639">
            <v>3</v>
          </cell>
          <cell r="H639">
            <v>4</v>
          </cell>
          <cell r="I639">
            <v>60</v>
          </cell>
        </row>
        <row r="640">
          <cell r="A640" t="str">
            <v>Sandshrew (Alola)</v>
          </cell>
          <cell r="B640" t="str">
            <v>Gelo/Metal</v>
          </cell>
          <cell r="C640">
            <v>38</v>
          </cell>
          <cell r="D640">
            <v>7</v>
          </cell>
          <cell r="E640">
            <v>9</v>
          </cell>
          <cell r="F640">
            <v>1</v>
          </cell>
          <cell r="G640">
            <v>3</v>
          </cell>
          <cell r="H640">
            <v>4</v>
          </cell>
          <cell r="I640">
            <v>60</v>
          </cell>
        </row>
        <row r="641">
          <cell r="A641" t="str">
            <v>Sandslash</v>
          </cell>
          <cell r="B641" t="str">
            <v>Terra</v>
          </cell>
          <cell r="C641">
            <v>57</v>
          </cell>
          <cell r="D641">
            <v>10</v>
          </cell>
          <cell r="E641">
            <v>11</v>
          </cell>
          <cell r="F641">
            <v>4</v>
          </cell>
          <cell r="G641">
            <v>5</v>
          </cell>
          <cell r="H641">
            <v>6</v>
          </cell>
          <cell r="I641">
            <v>158</v>
          </cell>
        </row>
        <row r="642">
          <cell r="A642" t="str">
            <v>Sandslash (Alola)</v>
          </cell>
          <cell r="B642" t="str">
            <v>Gelo/Metal</v>
          </cell>
          <cell r="C642">
            <v>57</v>
          </cell>
          <cell r="D642">
            <v>10</v>
          </cell>
          <cell r="E642">
            <v>12</v>
          </cell>
          <cell r="F642">
            <v>2</v>
          </cell>
          <cell r="G642">
            <v>6</v>
          </cell>
          <cell r="H642">
            <v>6</v>
          </cell>
          <cell r="I642">
            <v>158</v>
          </cell>
        </row>
        <row r="643">
          <cell r="A643" t="str">
            <v>Sandygast</v>
          </cell>
          <cell r="B643" t="str">
            <v>Fantasma\Terra</v>
          </cell>
          <cell r="C643">
            <v>42</v>
          </cell>
          <cell r="D643">
            <v>5</v>
          </cell>
          <cell r="E643">
            <v>8</v>
          </cell>
          <cell r="F643">
            <v>7</v>
          </cell>
          <cell r="G643">
            <v>4</v>
          </cell>
          <cell r="H643">
            <v>1</v>
          </cell>
          <cell r="I643">
            <v>64</v>
          </cell>
        </row>
        <row r="644">
          <cell r="A644" t="str">
            <v>Sawk</v>
          </cell>
          <cell r="B644" t="str">
            <v>Lutador</v>
          </cell>
          <cell r="C644">
            <v>57</v>
          </cell>
          <cell r="D644">
            <v>12</v>
          </cell>
          <cell r="E644">
            <v>7</v>
          </cell>
          <cell r="F644">
            <v>3</v>
          </cell>
          <cell r="G644">
            <v>7</v>
          </cell>
          <cell r="H644">
            <v>8</v>
          </cell>
          <cell r="I644">
            <v>163</v>
          </cell>
        </row>
        <row r="645">
          <cell r="A645" t="str">
            <v>Sawsbuck</v>
          </cell>
          <cell r="B645" t="str">
            <v>Normal\Grama</v>
          </cell>
          <cell r="C645">
            <v>60</v>
          </cell>
          <cell r="D645">
            <v>10</v>
          </cell>
          <cell r="E645">
            <v>7</v>
          </cell>
          <cell r="F645">
            <v>6</v>
          </cell>
          <cell r="G645">
            <v>7</v>
          </cell>
          <cell r="H645">
            <v>9</v>
          </cell>
          <cell r="I645">
            <v>166</v>
          </cell>
        </row>
        <row r="646">
          <cell r="A646" t="str">
            <v>Scatterbug</v>
          </cell>
          <cell r="B646" t="str">
            <v>Inseto</v>
          </cell>
          <cell r="C646">
            <v>29</v>
          </cell>
          <cell r="D646">
            <v>3</v>
          </cell>
          <cell r="E646">
            <v>4</v>
          </cell>
          <cell r="F646">
            <v>3</v>
          </cell>
          <cell r="G646">
            <v>2</v>
          </cell>
          <cell r="H646">
            <v>3</v>
          </cell>
          <cell r="I646">
            <v>40</v>
          </cell>
        </row>
        <row r="647">
          <cell r="A647" t="str">
            <v>Sceptile</v>
          </cell>
          <cell r="B647" t="str">
            <v>Grama</v>
          </cell>
          <cell r="C647">
            <v>53</v>
          </cell>
          <cell r="D647">
            <v>8</v>
          </cell>
          <cell r="E647">
            <v>6</v>
          </cell>
          <cell r="F647">
            <v>10</v>
          </cell>
          <cell r="G647">
            <v>8</v>
          </cell>
          <cell r="H647">
            <v>12</v>
          </cell>
          <cell r="I647">
            <v>239</v>
          </cell>
        </row>
        <row r="648">
          <cell r="A648" t="str">
            <v>Scizor</v>
          </cell>
          <cell r="B648" t="str">
            <v>Inseto/Metal</v>
          </cell>
          <cell r="C648">
            <v>53</v>
          </cell>
          <cell r="D648">
            <v>13</v>
          </cell>
          <cell r="E648">
            <v>10</v>
          </cell>
          <cell r="F648">
            <v>5</v>
          </cell>
          <cell r="G648">
            <v>8</v>
          </cell>
          <cell r="H648">
            <v>6</v>
          </cell>
          <cell r="I648">
            <v>175</v>
          </cell>
        </row>
        <row r="649">
          <cell r="A649" t="str">
            <v>Scolipede</v>
          </cell>
          <cell r="B649" t="str">
            <v>Inseto\Veneno</v>
          </cell>
          <cell r="C649">
            <v>45</v>
          </cell>
          <cell r="D649">
            <v>9</v>
          </cell>
          <cell r="E649">
            <v>9</v>
          </cell>
          <cell r="F649">
            <v>5</v>
          </cell>
          <cell r="G649">
            <v>7</v>
          </cell>
          <cell r="H649">
            <v>11</v>
          </cell>
          <cell r="I649">
            <v>218</v>
          </cell>
        </row>
        <row r="650">
          <cell r="A650" t="str">
            <v>Scrafty</v>
          </cell>
          <cell r="B650" t="str">
            <v>Noturno\Lutador</v>
          </cell>
          <cell r="C650">
            <v>49</v>
          </cell>
          <cell r="D650">
            <v>9</v>
          </cell>
          <cell r="E650">
            <v>11</v>
          </cell>
          <cell r="F650">
            <v>4</v>
          </cell>
          <cell r="G650">
            <v>11</v>
          </cell>
          <cell r="H650">
            <v>6</v>
          </cell>
          <cell r="I650">
            <v>171</v>
          </cell>
        </row>
        <row r="651">
          <cell r="A651" t="str">
            <v>Scraggy</v>
          </cell>
          <cell r="B651" t="str">
            <v>Noturno\Lutador</v>
          </cell>
          <cell r="C651">
            <v>38</v>
          </cell>
          <cell r="D651">
            <v>7</v>
          </cell>
          <cell r="E651">
            <v>7</v>
          </cell>
          <cell r="F651">
            <v>3</v>
          </cell>
          <cell r="G651">
            <v>7</v>
          </cell>
          <cell r="H651">
            <v>5</v>
          </cell>
          <cell r="I651">
            <v>70</v>
          </cell>
        </row>
        <row r="652">
          <cell r="A652" t="str">
            <v>Scyther</v>
          </cell>
          <cell r="B652" t="str">
            <v>Inseto/Voador</v>
          </cell>
          <cell r="C652">
            <v>53</v>
          </cell>
          <cell r="D652">
            <v>11</v>
          </cell>
          <cell r="E652">
            <v>8</v>
          </cell>
          <cell r="F652">
            <v>5</v>
          </cell>
          <cell r="G652">
            <v>8</v>
          </cell>
          <cell r="H652">
            <v>10</v>
          </cell>
          <cell r="I652">
            <v>100</v>
          </cell>
        </row>
        <row r="653">
          <cell r="A653" t="str">
            <v>Seadra</v>
          </cell>
          <cell r="B653" t="str">
            <v>Água</v>
          </cell>
          <cell r="C653">
            <v>42</v>
          </cell>
          <cell r="D653">
            <v>6</v>
          </cell>
          <cell r="E653">
            <v>9</v>
          </cell>
          <cell r="F653">
            <v>9</v>
          </cell>
          <cell r="G653">
            <v>4</v>
          </cell>
          <cell r="H653">
            <v>8</v>
          </cell>
          <cell r="I653">
            <v>154</v>
          </cell>
        </row>
        <row r="654">
          <cell r="A654" t="str">
            <v>Seaking</v>
          </cell>
          <cell r="B654" t="str">
            <v>Água</v>
          </cell>
          <cell r="C654">
            <v>60</v>
          </cell>
          <cell r="D654">
            <v>9</v>
          </cell>
          <cell r="E654">
            <v>6</v>
          </cell>
          <cell r="F654">
            <v>6</v>
          </cell>
          <cell r="G654">
            <v>8</v>
          </cell>
          <cell r="H654">
            <v>7</v>
          </cell>
          <cell r="I654">
            <v>158</v>
          </cell>
        </row>
        <row r="655">
          <cell r="A655" t="str">
            <v>Sealeo</v>
          </cell>
          <cell r="B655" t="str">
            <v>Gelo/Água</v>
          </cell>
          <cell r="C655">
            <v>68</v>
          </cell>
          <cell r="D655">
            <v>6</v>
          </cell>
          <cell r="E655">
            <v>7</v>
          </cell>
          <cell r="F655">
            <v>7</v>
          </cell>
          <cell r="G655">
            <v>7</v>
          </cell>
          <cell r="H655">
            <v>4</v>
          </cell>
          <cell r="I655">
            <v>144</v>
          </cell>
        </row>
        <row r="656">
          <cell r="A656" t="str">
            <v>Seedot</v>
          </cell>
          <cell r="B656" t="str">
            <v>Grama</v>
          </cell>
          <cell r="C656">
            <v>30</v>
          </cell>
          <cell r="D656">
            <v>4</v>
          </cell>
          <cell r="E656">
            <v>5</v>
          </cell>
          <cell r="F656">
            <v>3</v>
          </cell>
          <cell r="G656">
            <v>3</v>
          </cell>
          <cell r="H656">
            <v>3</v>
          </cell>
          <cell r="I656">
            <v>44</v>
          </cell>
        </row>
        <row r="657">
          <cell r="A657" t="str">
            <v>Seel</v>
          </cell>
          <cell r="B657" t="str">
            <v>Água</v>
          </cell>
          <cell r="C657">
            <v>49</v>
          </cell>
          <cell r="D657">
            <v>4</v>
          </cell>
          <cell r="E657">
            <v>5</v>
          </cell>
          <cell r="F657">
            <v>4</v>
          </cell>
          <cell r="G657">
            <v>7</v>
          </cell>
          <cell r="H657">
            <v>4</v>
          </cell>
          <cell r="I657">
            <v>65</v>
          </cell>
        </row>
        <row r="658">
          <cell r="A658" t="str">
            <v>Seismitoad</v>
          </cell>
          <cell r="B658" t="str">
            <v>Água\Terra</v>
          </cell>
          <cell r="C658">
            <v>79</v>
          </cell>
          <cell r="D658">
            <v>8</v>
          </cell>
          <cell r="E658">
            <v>7</v>
          </cell>
          <cell r="F658">
            <v>8</v>
          </cell>
          <cell r="G658">
            <v>7</v>
          </cell>
          <cell r="H658">
            <v>7</v>
          </cell>
          <cell r="I658">
            <v>229</v>
          </cell>
        </row>
        <row r="659">
          <cell r="A659" t="str">
            <v>Sentret</v>
          </cell>
          <cell r="B659" t="str">
            <v>Normal</v>
          </cell>
          <cell r="C659">
            <v>27</v>
          </cell>
          <cell r="D659">
            <v>5</v>
          </cell>
          <cell r="E659">
            <v>3</v>
          </cell>
          <cell r="F659">
            <v>3</v>
          </cell>
          <cell r="G659">
            <v>4</v>
          </cell>
          <cell r="H659">
            <v>2</v>
          </cell>
          <cell r="I659">
            <v>43</v>
          </cell>
        </row>
        <row r="660">
          <cell r="A660" t="str">
            <v>Serperior</v>
          </cell>
          <cell r="B660" t="str">
            <v>Grama</v>
          </cell>
          <cell r="C660">
            <v>57</v>
          </cell>
          <cell r="D660">
            <v>7</v>
          </cell>
          <cell r="E660">
            <v>9</v>
          </cell>
          <cell r="F660">
            <v>7</v>
          </cell>
          <cell r="G660">
            <v>9</v>
          </cell>
          <cell r="H660">
            <v>11</v>
          </cell>
          <cell r="I660">
            <v>238</v>
          </cell>
        </row>
        <row r="661">
          <cell r="A661" t="str">
            <v>Servine</v>
          </cell>
          <cell r="B661" t="str">
            <v>Grama</v>
          </cell>
          <cell r="C661">
            <v>45</v>
          </cell>
          <cell r="D661">
            <v>6</v>
          </cell>
          <cell r="E661">
            <v>7</v>
          </cell>
          <cell r="F661">
            <v>6</v>
          </cell>
          <cell r="G661">
            <v>7</v>
          </cell>
          <cell r="H661">
            <v>8</v>
          </cell>
          <cell r="I661">
            <v>145</v>
          </cell>
        </row>
        <row r="662">
          <cell r="A662" t="str">
            <v>Seviper</v>
          </cell>
          <cell r="B662" t="str">
            <v>Veneno</v>
          </cell>
          <cell r="C662">
            <v>55</v>
          </cell>
          <cell r="D662">
            <v>10</v>
          </cell>
          <cell r="E662">
            <v>6</v>
          </cell>
          <cell r="F662">
            <v>10</v>
          </cell>
          <cell r="G662">
            <v>6</v>
          </cell>
          <cell r="H662">
            <v>6</v>
          </cell>
          <cell r="I662">
            <v>160</v>
          </cell>
        </row>
        <row r="663">
          <cell r="A663" t="str">
            <v>Sewaddle</v>
          </cell>
          <cell r="B663" t="str">
            <v>Inseto\Grama</v>
          </cell>
          <cell r="C663">
            <v>34</v>
          </cell>
          <cell r="D663">
            <v>5</v>
          </cell>
          <cell r="E663">
            <v>7</v>
          </cell>
          <cell r="F663">
            <v>4</v>
          </cell>
          <cell r="G663">
            <v>6</v>
          </cell>
          <cell r="H663">
            <v>4</v>
          </cell>
          <cell r="I663">
            <v>62</v>
          </cell>
        </row>
        <row r="664">
          <cell r="A664" t="str">
            <v>Sharpedo</v>
          </cell>
          <cell r="B664" t="str">
            <v>Água/Noturno</v>
          </cell>
          <cell r="C664">
            <v>53</v>
          </cell>
          <cell r="D664">
            <v>12</v>
          </cell>
          <cell r="E664">
            <v>4</v>
          </cell>
          <cell r="F664">
            <v>9</v>
          </cell>
          <cell r="G664">
            <v>4</v>
          </cell>
          <cell r="H664">
            <v>9</v>
          </cell>
          <cell r="I664">
            <v>161</v>
          </cell>
        </row>
        <row r="665">
          <cell r="A665" t="str">
            <v>Shaymin (Céu)</v>
          </cell>
          <cell r="B665" t="str">
            <v>Grama/Voador</v>
          </cell>
          <cell r="C665">
            <v>75</v>
          </cell>
          <cell r="D665">
            <v>10</v>
          </cell>
          <cell r="E665">
            <v>7</v>
          </cell>
          <cell r="F665">
            <v>12</v>
          </cell>
          <cell r="G665">
            <v>7</v>
          </cell>
          <cell r="H665">
            <v>13</v>
          </cell>
          <cell r="I665">
            <v>270</v>
          </cell>
        </row>
        <row r="666">
          <cell r="A666" t="str">
            <v>Shaymin (Terreno)</v>
          </cell>
          <cell r="B666" t="str">
            <v>Grama</v>
          </cell>
          <cell r="C666">
            <v>75</v>
          </cell>
          <cell r="D666">
            <v>10</v>
          </cell>
          <cell r="E666">
            <v>10</v>
          </cell>
          <cell r="F666">
            <v>10</v>
          </cell>
          <cell r="G666">
            <v>10</v>
          </cell>
          <cell r="H666">
            <v>10</v>
          </cell>
          <cell r="I666">
            <v>270</v>
          </cell>
        </row>
        <row r="667">
          <cell r="A667" t="str">
            <v>Shedinja</v>
          </cell>
          <cell r="B667" t="str">
            <v>Inseto/Fantasma</v>
          </cell>
          <cell r="C667">
            <v>1</v>
          </cell>
          <cell r="D667">
            <v>9</v>
          </cell>
          <cell r="E667">
            <v>4</v>
          </cell>
          <cell r="F667">
            <v>3</v>
          </cell>
          <cell r="G667">
            <v>3</v>
          </cell>
          <cell r="H667">
            <v>4</v>
          </cell>
          <cell r="I667">
            <v>83</v>
          </cell>
        </row>
        <row r="668">
          <cell r="A668" t="str">
            <v>Shelgon</v>
          </cell>
          <cell r="B668" t="str">
            <v>Dragão</v>
          </cell>
          <cell r="C668">
            <v>49</v>
          </cell>
          <cell r="D668">
            <v>9</v>
          </cell>
          <cell r="E668">
            <v>10</v>
          </cell>
          <cell r="F668">
            <v>6</v>
          </cell>
          <cell r="G668">
            <v>5</v>
          </cell>
          <cell r="H668">
            <v>5</v>
          </cell>
          <cell r="I668">
            <v>147</v>
          </cell>
        </row>
        <row r="669">
          <cell r="A669" t="str">
            <v>Shellder</v>
          </cell>
          <cell r="B669" t="str">
            <v>Água</v>
          </cell>
          <cell r="C669">
            <v>23</v>
          </cell>
          <cell r="D669">
            <v>6</v>
          </cell>
          <cell r="E669">
            <v>10</v>
          </cell>
          <cell r="F669">
            <v>4</v>
          </cell>
          <cell r="G669">
            <v>2</v>
          </cell>
          <cell r="H669">
            <v>4</v>
          </cell>
          <cell r="I669">
            <v>61</v>
          </cell>
        </row>
        <row r="670">
          <cell r="A670" t="str">
            <v>Shellos</v>
          </cell>
          <cell r="B670" t="str">
            <v>Água</v>
          </cell>
          <cell r="C670">
            <v>57</v>
          </cell>
          <cell r="D670">
            <v>5</v>
          </cell>
          <cell r="E670">
            <v>5</v>
          </cell>
          <cell r="F670">
            <v>6</v>
          </cell>
          <cell r="G670">
            <v>6</v>
          </cell>
          <cell r="H670">
            <v>3</v>
          </cell>
          <cell r="I670">
            <v>65</v>
          </cell>
        </row>
        <row r="671">
          <cell r="A671" t="str">
            <v>Shelmet</v>
          </cell>
          <cell r="B671" t="str">
            <v>Inseto</v>
          </cell>
          <cell r="C671">
            <v>38</v>
          </cell>
          <cell r="D671">
            <v>4</v>
          </cell>
          <cell r="E671">
            <v>8</v>
          </cell>
          <cell r="F671">
            <v>4</v>
          </cell>
          <cell r="G671">
            <v>6</v>
          </cell>
          <cell r="H671">
            <v>2</v>
          </cell>
          <cell r="I671">
            <v>61</v>
          </cell>
        </row>
        <row r="672">
          <cell r="A672" t="str">
            <v>Shieldon</v>
          </cell>
          <cell r="B672" t="str">
            <v>Pedra/Metal</v>
          </cell>
          <cell r="C672">
            <v>23</v>
          </cell>
          <cell r="D672">
            <v>4</v>
          </cell>
          <cell r="E672">
            <v>12</v>
          </cell>
          <cell r="F672">
            <v>4</v>
          </cell>
          <cell r="G672">
            <v>9</v>
          </cell>
          <cell r="H672">
            <v>3</v>
          </cell>
          <cell r="I672">
            <v>70</v>
          </cell>
        </row>
        <row r="673">
          <cell r="A673" t="str">
            <v>Shiftry</v>
          </cell>
          <cell r="B673" t="str">
            <v>Grama/Noturno</v>
          </cell>
          <cell r="C673">
            <v>68</v>
          </cell>
          <cell r="D673">
            <v>10</v>
          </cell>
          <cell r="E673">
            <v>6</v>
          </cell>
          <cell r="F673">
            <v>9</v>
          </cell>
          <cell r="G673">
            <v>6</v>
          </cell>
          <cell r="H673">
            <v>8</v>
          </cell>
          <cell r="I673">
            <v>216</v>
          </cell>
        </row>
        <row r="674">
          <cell r="A674" t="str">
            <v>Shiinotic</v>
          </cell>
          <cell r="B674" t="str">
            <v>Grama\Fada</v>
          </cell>
          <cell r="C674">
            <v>45</v>
          </cell>
          <cell r="D674">
            <v>4</v>
          </cell>
          <cell r="E674">
            <v>8</v>
          </cell>
          <cell r="F674">
            <v>9</v>
          </cell>
          <cell r="G674">
            <v>10</v>
          </cell>
          <cell r="H674">
            <v>3</v>
          </cell>
          <cell r="I674">
            <v>142</v>
          </cell>
        </row>
        <row r="675">
          <cell r="A675" t="str">
            <v>Shinx</v>
          </cell>
          <cell r="B675" t="str">
            <v>Elétrico</v>
          </cell>
          <cell r="C675">
            <v>34</v>
          </cell>
          <cell r="D675">
            <v>6</v>
          </cell>
          <cell r="E675">
            <v>3</v>
          </cell>
          <cell r="F675">
            <v>4</v>
          </cell>
          <cell r="G675">
            <v>3</v>
          </cell>
          <cell r="H675">
            <v>4</v>
          </cell>
          <cell r="I675">
            <v>53</v>
          </cell>
        </row>
        <row r="676">
          <cell r="A676" t="str">
            <v>Shroomish</v>
          </cell>
          <cell r="B676" t="str">
            <v>Grama</v>
          </cell>
          <cell r="C676">
            <v>45</v>
          </cell>
          <cell r="D676">
            <v>4</v>
          </cell>
          <cell r="E676">
            <v>6</v>
          </cell>
          <cell r="F676">
            <v>4</v>
          </cell>
          <cell r="G676">
            <v>6</v>
          </cell>
          <cell r="H676">
            <v>3</v>
          </cell>
          <cell r="I676">
            <v>59</v>
          </cell>
        </row>
        <row r="677">
          <cell r="A677" t="str">
            <v>Shuckle</v>
          </cell>
          <cell r="B677" t="str">
            <v>Inseto/Pedra</v>
          </cell>
          <cell r="C677">
            <v>15</v>
          </cell>
          <cell r="D677">
            <v>1</v>
          </cell>
          <cell r="E677">
            <v>23</v>
          </cell>
          <cell r="F677">
            <v>1</v>
          </cell>
          <cell r="G677">
            <v>23</v>
          </cell>
          <cell r="H677">
            <v>0</v>
          </cell>
          <cell r="I677">
            <v>177</v>
          </cell>
        </row>
        <row r="678">
          <cell r="A678" t="str">
            <v>Shuppet</v>
          </cell>
          <cell r="B678" t="str">
            <v>Fantasma</v>
          </cell>
          <cell r="C678">
            <v>33</v>
          </cell>
          <cell r="D678">
            <v>7</v>
          </cell>
          <cell r="E678">
            <v>3</v>
          </cell>
          <cell r="F678">
            <v>6</v>
          </cell>
          <cell r="G678">
            <v>3</v>
          </cell>
          <cell r="H678">
            <v>4</v>
          </cell>
          <cell r="I678">
            <v>59</v>
          </cell>
        </row>
        <row r="679">
          <cell r="A679" t="str">
            <v>Sigilyph</v>
          </cell>
          <cell r="B679" t="str">
            <v>Psíquico\Voador</v>
          </cell>
          <cell r="C679">
            <v>54</v>
          </cell>
          <cell r="D679">
            <v>6</v>
          </cell>
          <cell r="E679">
            <v>8</v>
          </cell>
          <cell r="F679">
            <v>10</v>
          </cell>
          <cell r="G679">
            <v>8</v>
          </cell>
          <cell r="H679">
            <v>10</v>
          </cell>
          <cell r="I679">
            <v>172</v>
          </cell>
        </row>
        <row r="680">
          <cell r="A680" t="str">
            <v>Silcoon</v>
          </cell>
          <cell r="B680" t="str">
            <v>Inseto</v>
          </cell>
          <cell r="C680">
            <v>38</v>
          </cell>
          <cell r="D680">
            <v>3</v>
          </cell>
          <cell r="E680">
            <v>5</v>
          </cell>
          <cell r="F680">
            <v>2</v>
          </cell>
          <cell r="G680">
            <v>2</v>
          </cell>
          <cell r="H680">
            <v>1</v>
          </cell>
          <cell r="I680">
            <v>72</v>
          </cell>
        </row>
        <row r="681">
          <cell r="A681" t="str">
            <v>Silvally</v>
          </cell>
          <cell r="B681" t="str">
            <v>Normal</v>
          </cell>
          <cell r="C681">
            <v>72</v>
          </cell>
          <cell r="D681">
            <v>9</v>
          </cell>
          <cell r="E681">
            <v>9</v>
          </cell>
          <cell r="F681">
            <v>9</v>
          </cell>
          <cell r="G681">
            <v>9</v>
          </cell>
          <cell r="H681">
            <v>9</v>
          </cell>
          <cell r="I681">
            <v>257</v>
          </cell>
        </row>
        <row r="682">
          <cell r="A682" t="str">
            <v>Simipour</v>
          </cell>
          <cell r="B682" t="str">
            <v>Água</v>
          </cell>
          <cell r="C682">
            <v>57</v>
          </cell>
          <cell r="D682">
            <v>10</v>
          </cell>
          <cell r="E682">
            <v>6</v>
          </cell>
          <cell r="F682">
            <v>10</v>
          </cell>
          <cell r="G682">
            <v>6</v>
          </cell>
          <cell r="H682">
            <v>10</v>
          </cell>
          <cell r="I682">
            <v>174</v>
          </cell>
        </row>
        <row r="683">
          <cell r="A683" t="str">
            <v>Simisage</v>
          </cell>
          <cell r="B683" t="str">
            <v>Grama</v>
          </cell>
          <cell r="C683">
            <v>57</v>
          </cell>
          <cell r="D683">
            <v>10</v>
          </cell>
          <cell r="E683">
            <v>6</v>
          </cell>
          <cell r="F683">
            <v>10</v>
          </cell>
          <cell r="G683">
            <v>6</v>
          </cell>
          <cell r="H683">
            <v>10</v>
          </cell>
          <cell r="I683">
            <v>174</v>
          </cell>
        </row>
        <row r="684">
          <cell r="A684" t="str">
            <v>Simisear</v>
          </cell>
          <cell r="B684" t="str">
            <v>Fogo</v>
          </cell>
          <cell r="C684">
            <v>57</v>
          </cell>
          <cell r="D684">
            <v>10</v>
          </cell>
          <cell r="E684">
            <v>6</v>
          </cell>
          <cell r="F684">
            <v>10</v>
          </cell>
          <cell r="G684">
            <v>6</v>
          </cell>
          <cell r="H684">
            <v>10</v>
          </cell>
          <cell r="I684">
            <v>174</v>
          </cell>
        </row>
        <row r="685">
          <cell r="A685" t="str">
            <v>Skarmory</v>
          </cell>
          <cell r="B685" t="str">
            <v>Metal/Voador</v>
          </cell>
          <cell r="C685">
            <v>49</v>
          </cell>
          <cell r="D685">
            <v>8</v>
          </cell>
          <cell r="E685">
            <v>14</v>
          </cell>
          <cell r="F685">
            <v>4</v>
          </cell>
          <cell r="G685">
            <v>7</v>
          </cell>
          <cell r="H685">
            <v>7</v>
          </cell>
          <cell r="I685">
            <v>163</v>
          </cell>
        </row>
        <row r="686">
          <cell r="A686" t="str">
            <v>Skiddo</v>
          </cell>
          <cell r="B686" t="str">
            <v>Grama</v>
          </cell>
          <cell r="C686">
            <v>50</v>
          </cell>
          <cell r="D686">
            <v>6</v>
          </cell>
          <cell r="E686">
            <v>5</v>
          </cell>
          <cell r="F686">
            <v>6</v>
          </cell>
          <cell r="G686">
            <v>6</v>
          </cell>
          <cell r="H686">
            <v>5</v>
          </cell>
          <cell r="I686">
            <v>70</v>
          </cell>
        </row>
        <row r="687">
          <cell r="A687" t="str">
            <v>Skiploom</v>
          </cell>
          <cell r="B687" t="str">
            <v>Grama/Voador</v>
          </cell>
          <cell r="C687">
            <v>42</v>
          </cell>
          <cell r="D687">
            <v>4</v>
          </cell>
          <cell r="E687">
            <v>5</v>
          </cell>
          <cell r="F687">
            <v>4</v>
          </cell>
          <cell r="G687">
            <v>6</v>
          </cell>
          <cell r="H687">
            <v>8</v>
          </cell>
          <cell r="I687">
            <v>119</v>
          </cell>
        </row>
        <row r="688">
          <cell r="A688" t="str">
            <v>Skitty</v>
          </cell>
          <cell r="B688" t="str">
            <v>Normal</v>
          </cell>
          <cell r="C688">
            <v>38</v>
          </cell>
          <cell r="D688">
            <v>4</v>
          </cell>
          <cell r="E688">
            <v>4</v>
          </cell>
          <cell r="F688">
            <v>3</v>
          </cell>
          <cell r="G688">
            <v>3</v>
          </cell>
          <cell r="H688">
            <v>5</v>
          </cell>
          <cell r="I688">
            <v>52</v>
          </cell>
        </row>
        <row r="689">
          <cell r="A689" t="str">
            <v>Skorupi</v>
          </cell>
          <cell r="B689" t="str">
            <v>Veneno/Inseto</v>
          </cell>
          <cell r="C689">
            <v>30</v>
          </cell>
          <cell r="D689">
            <v>5</v>
          </cell>
          <cell r="E689">
            <v>9</v>
          </cell>
          <cell r="F689">
            <v>3</v>
          </cell>
          <cell r="G689">
            <v>5</v>
          </cell>
          <cell r="H689">
            <v>6</v>
          </cell>
          <cell r="I689">
            <v>66</v>
          </cell>
        </row>
        <row r="690">
          <cell r="A690" t="str">
            <v>Skrelp</v>
          </cell>
          <cell r="B690" t="str">
            <v>Veneno\Água</v>
          </cell>
          <cell r="C690">
            <v>38</v>
          </cell>
          <cell r="D690">
            <v>6</v>
          </cell>
          <cell r="E690">
            <v>6</v>
          </cell>
          <cell r="F690">
            <v>6</v>
          </cell>
          <cell r="G690">
            <v>6</v>
          </cell>
          <cell r="H690">
            <v>3</v>
          </cell>
          <cell r="I690">
            <v>64</v>
          </cell>
        </row>
        <row r="691">
          <cell r="A691" t="str">
            <v>Skuntank</v>
          </cell>
          <cell r="B691" t="str">
            <v>Veneno/Noturno</v>
          </cell>
          <cell r="C691">
            <v>78</v>
          </cell>
          <cell r="D691">
            <v>9</v>
          </cell>
          <cell r="E691">
            <v>7</v>
          </cell>
          <cell r="F691">
            <v>7</v>
          </cell>
          <cell r="G691">
            <v>6</v>
          </cell>
          <cell r="H691">
            <v>8</v>
          </cell>
          <cell r="I691">
            <v>168</v>
          </cell>
        </row>
        <row r="692">
          <cell r="A692" t="str">
            <v>Slaking</v>
          </cell>
          <cell r="B692" t="str">
            <v>Normal</v>
          </cell>
          <cell r="C692">
            <v>113</v>
          </cell>
          <cell r="D692">
            <v>16</v>
          </cell>
          <cell r="E692">
            <v>10</v>
          </cell>
          <cell r="F692">
            <v>9</v>
          </cell>
          <cell r="G692">
            <v>6</v>
          </cell>
          <cell r="H692">
            <v>10</v>
          </cell>
          <cell r="I692">
            <v>252</v>
          </cell>
        </row>
        <row r="693">
          <cell r="A693" t="str">
            <v>Slakoth</v>
          </cell>
          <cell r="B693" t="str">
            <v>Normal</v>
          </cell>
          <cell r="C693">
            <v>45</v>
          </cell>
          <cell r="D693">
            <v>6</v>
          </cell>
          <cell r="E693">
            <v>6</v>
          </cell>
          <cell r="F693">
            <v>3</v>
          </cell>
          <cell r="G693">
            <v>3</v>
          </cell>
          <cell r="H693">
            <v>3</v>
          </cell>
          <cell r="I693">
            <v>56</v>
          </cell>
        </row>
        <row r="694">
          <cell r="A694" t="str">
            <v>Sliggoo</v>
          </cell>
          <cell r="B694" t="str">
            <v>Dragão</v>
          </cell>
          <cell r="C694">
            <v>51</v>
          </cell>
          <cell r="D694">
            <v>7</v>
          </cell>
          <cell r="E694">
            <v>5</v>
          </cell>
          <cell r="F694">
            <v>8</v>
          </cell>
          <cell r="G694">
            <v>11</v>
          </cell>
          <cell r="H694">
            <v>6</v>
          </cell>
          <cell r="I694">
            <v>158</v>
          </cell>
        </row>
        <row r="695">
          <cell r="A695" t="str">
            <v>Slowbro</v>
          </cell>
          <cell r="B695" t="str">
            <v>Água/Psíquico</v>
          </cell>
          <cell r="C695">
            <v>72</v>
          </cell>
          <cell r="D695">
            <v>7</v>
          </cell>
          <cell r="E695">
            <v>11</v>
          </cell>
          <cell r="F695">
            <v>10</v>
          </cell>
          <cell r="G695">
            <v>8</v>
          </cell>
          <cell r="H695">
            <v>3</v>
          </cell>
          <cell r="I695">
            <v>172</v>
          </cell>
        </row>
        <row r="696">
          <cell r="A696" t="str">
            <v>Slowking</v>
          </cell>
          <cell r="B696" t="str">
            <v>Água/Psíquico</v>
          </cell>
          <cell r="C696">
            <v>72</v>
          </cell>
          <cell r="D696">
            <v>7</v>
          </cell>
          <cell r="E696">
            <v>8</v>
          </cell>
          <cell r="F696">
            <v>10</v>
          </cell>
          <cell r="G696">
            <v>11</v>
          </cell>
          <cell r="H696">
            <v>3</v>
          </cell>
          <cell r="I696">
            <v>172</v>
          </cell>
        </row>
        <row r="697">
          <cell r="A697" t="str">
            <v>Slowpoke</v>
          </cell>
          <cell r="B697" t="str">
            <v>Água/Psíquico</v>
          </cell>
          <cell r="C697">
            <v>68</v>
          </cell>
          <cell r="D697">
            <v>6</v>
          </cell>
          <cell r="E697">
            <v>6</v>
          </cell>
          <cell r="F697">
            <v>4</v>
          </cell>
          <cell r="G697">
            <v>4</v>
          </cell>
          <cell r="H697">
            <v>1</v>
          </cell>
          <cell r="I697">
            <v>63</v>
          </cell>
        </row>
        <row r="698">
          <cell r="A698" t="str">
            <v>Slugma</v>
          </cell>
          <cell r="B698" t="str">
            <v>Fogo</v>
          </cell>
          <cell r="C698">
            <v>30</v>
          </cell>
          <cell r="D698">
            <v>4</v>
          </cell>
          <cell r="E698">
            <v>4</v>
          </cell>
          <cell r="F698">
            <v>7</v>
          </cell>
          <cell r="G698">
            <v>4</v>
          </cell>
          <cell r="H698">
            <v>2</v>
          </cell>
          <cell r="I698">
            <v>50</v>
          </cell>
        </row>
        <row r="699">
          <cell r="A699" t="str">
            <v>Slurpuff</v>
          </cell>
          <cell r="B699" t="str">
            <v>Fada</v>
          </cell>
          <cell r="C699">
            <v>62</v>
          </cell>
          <cell r="D699">
            <v>8</v>
          </cell>
          <cell r="E699">
            <v>9</v>
          </cell>
          <cell r="F699">
            <v>8</v>
          </cell>
          <cell r="G699">
            <v>7</v>
          </cell>
          <cell r="H699">
            <v>7</v>
          </cell>
          <cell r="I699">
            <v>168</v>
          </cell>
        </row>
        <row r="700">
          <cell r="A700" t="str">
            <v>Smeargle</v>
          </cell>
          <cell r="B700" t="str">
            <v>Normal</v>
          </cell>
          <cell r="C700">
            <v>42</v>
          </cell>
          <cell r="D700">
            <v>2</v>
          </cell>
          <cell r="E700">
            <v>3</v>
          </cell>
          <cell r="F700">
            <v>2</v>
          </cell>
          <cell r="G700">
            <v>4</v>
          </cell>
          <cell r="H700">
            <v>7</v>
          </cell>
          <cell r="I700">
            <v>88</v>
          </cell>
        </row>
        <row r="701">
          <cell r="A701" t="str">
            <v>Smoochum</v>
          </cell>
          <cell r="B701" t="str">
            <v>Gelo/Psíquico</v>
          </cell>
          <cell r="C701">
            <v>34</v>
          </cell>
          <cell r="D701">
            <v>3</v>
          </cell>
          <cell r="E701">
            <v>1</v>
          </cell>
          <cell r="F701">
            <v>8</v>
          </cell>
          <cell r="G701">
            <v>6</v>
          </cell>
          <cell r="H701">
            <v>6</v>
          </cell>
          <cell r="I701">
            <v>61</v>
          </cell>
        </row>
        <row r="702">
          <cell r="A702" t="str">
            <v>Sneasel</v>
          </cell>
          <cell r="B702" t="str">
            <v>Noturno/Gelo</v>
          </cell>
          <cell r="C702">
            <v>42</v>
          </cell>
          <cell r="D702">
            <v>9</v>
          </cell>
          <cell r="E702">
            <v>5</v>
          </cell>
          <cell r="F702">
            <v>3</v>
          </cell>
          <cell r="G702">
            <v>7</v>
          </cell>
          <cell r="H702">
            <v>11</v>
          </cell>
          <cell r="I702">
            <v>86</v>
          </cell>
        </row>
        <row r="703">
          <cell r="A703" t="str">
            <v>Snivy</v>
          </cell>
          <cell r="B703" t="str">
            <v>Grama</v>
          </cell>
          <cell r="C703">
            <v>34</v>
          </cell>
          <cell r="D703">
            <v>4</v>
          </cell>
          <cell r="E703">
            <v>5</v>
          </cell>
          <cell r="F703">
            <v>4</v>
          </cell>
          <cell r="G703">
            <v>5</v>
          </cell>
          <cell r="H703">
            <v>6</v>
          </cell>
          <cell r="I703">
            <v>62</v>
          </cell>
        </row>
        <row r="704">
          <cell r="A704" t="str">
            <v>Snorlax</v>
          </cell>
          <cell r="B704" t="str">
            <v>Normal</v>
          </cell>
          <cell r="C704">
            <v>120</v>
          </cell>
          <cell r="D704">
            <v>11</v>
          </cell>
          <cell r="E704">
            <v>6</v>
          </cell>
          <cell r="F704">
            <v>6</v>
          </cell>
          <cell r="G704">
            <v>11</v>
          </cell>
          <cell r="H704">
            <v>3</v>
          </cell>
          <cell r="I704">
            <v>189</v>
          </cell>
        </row>
        <row r="705">
          <cell r="A705" t="str">
            <v>Snorunt</v>
          </cell>
          <cell r="B705" t="str">
            <v>Gelo</v>
          </cell>
          <cell r="C705">
            <v>38</v>
          </cell>
          <cell r="D705">
            <v>5</v>
          </cell>
          <cell r="E705">
            <v>5</v>
          </cell>
          <cell r="F705">
            <v>5</v>
          </cell>
          <cell r="G705">
            <v>5</v>
          </cell>
          <cell r="H705">
            <v>5</v>
          </cell>
          <cell r="I705">
            <v>60</v>
          </cell>
        </row>
        <row r="706">
          <cell r="A706" t="str">
            <v>Snover</v>
          </cell>
          <cell r="B706" t="str">
            <v>Grama/Gelo</v>
          </cell>
          <cell r="C706">
            <v>45</v>
          </cell>
          <cell r="D706">
            <v>6</v>
          </cell>
          <cell r="E706">
            <v>5</v>
          </cell>
          <cell r="F706">
            <v>6</v>
          </cell>
          <cell r="G706">
            <v>6</v>
          </cell>
          <cell r="H706">
            <v>4</v>
          </cell>
          <cell r="I706">
            <v>67</v>
          </cell>
        </row>
        <row r="707">
          <cell r="A707" t="str">
            <v>Snubbull</v>
          </cell>
          <cell r="B707" t="str">
            <v>Fada</v>
          </cell>
          <cell r="C707">
            <v>45</v>
          </cell>
          <cell r="D707">
            <v>8</v>
          </cell>
          <cell r="E707">
            <v>5</v>
          </cell>
          <cell r="F707">
            <v>4</v>
          </cell>
          <cell r="G707">
            <v>4</v>
          </cell>
          <cell r="H707">
            <v>3</v>
          </cell>
          <cell r="I707">
            <v>60</v>
          </cell>
        </row>
        <row r="708">
          <cell r="A708" t="str">
            <v>Solgaleo</v>
          </cell>
          <cell r="B708" t="str">
            <v>Psíquico\Metal</v>
          </cell>
          <cell r="C708">
            <v>103</v>
          </cell>
          <cell r="D708">
            <v>14</v>
          </cell>
          <cell r="E708">
            <v>11</v>
          </cell>
          <cell r="F708">
            <v>11</v>
          </cell>
          <cell r="G708">
            <v>9</v>
          </cell>
          <cell r="H708">
            <v>10</v>
          </cell>
          <cell r="I708">
            <v>306</v>
          </cell>
        </row>
        <row r="709">
          <cell r="A709" t="str">
            <v>Solosis</v>
          </cell>
          <cell r="B709" t="str">
            <v>Psíquico</v>
          </cell>
          <cell r="C709">
            <v>34</v>
          </cell>
          <cell r="D709">
            <v>3</v>
          </cell>
          <cell r="E709">
            <v>4</v>
          </cell>
          <cell r="F709">
            <v>10</v>
          </cell>
          <cell r="G709">
            <v>5</v>
          </cell>
          <cell r="H709">
            <v>2</v>
          </cell>
          <cell r="I709">
            <v>58</v>
          </cell>
        </row>
        <row r="710">
          <cell r="A710" t="str">
            <v>Solrock</v>
          </cell>
          <cell r="B710" t="str">
            <v>Pedra/Psíquico</v>
          </cell>
          <cell r="C710">
            <v>53</v>
          </cell>
          <cell r="D710">
            <v>9</v>
          </cell>
          <cell r="E710">
            <v>8</v>
          </cell>
          <cell r="F710">
            <v>5</v>
          </cell>
          <cell r="G710">
            <v>6</v>
          </cell>
          <cell r="H710">
            <v>7</v>
          </cell>
          <cell r="I710">
            <v>161</v>
          </cell>
        </row>
        <row r="711">
          <cell r="A711" t="str">
            <v>Spearow</v>
          </cell>
          <cell r="B711" t="str">
            <v>Normal/Voador</v>
          </cell>
          <cell r="C711">
            <v>30</v>
          </cell>
          <cell r="D711">
            <v>6</v>
          </cell>
          <cell r="E711">
            <v>3</v>
          </cell>
          <cell r="F711">
            <v>3</v>
          </cell>
          <cell r="G711">
            <v>3</v>
          </cell>
          <cell r="H711">
            <v>7</v>
          </cell>
          <cell r="I711">
            <v>52</v>
          </cell>
        </row>
        <row r="712">
          <cell r="A712" t="str">
            <v>Spewpa</v>
          </cell>
          <cell r="B712" t="str">
            <v>Inseto</v>
          </cell>
          <cell r="C712">
            <v>34</v>
          </cell>
          <cell r="D712">
            <v>2</v>
          </cell>
          <cell r="E712">
            <v>6</v>
          </cell>
          <cell r="F712">
            <v>3</v>
          </cell>
          <cell r="G712">
            <v>3</v>
          </cell>
          <cell r="H712">
            <v>3</v>
          </cell>
          <cell r="I712">
            <v>75</v>
          </cell>
        </row>
        <row r="713">
          <cell r="A713" t="str">
            <v>Spheal</v>
          </cell>
          <cell r="B713" t="str">
            <v>Gelo/Água</v>
          </cell>
          <cell r="C713">
            <v>53</v>
          </cell>
          <cell r="D713">
            <v>4</v>
          </cell>
          <cell r="E713">
            <v>5</v>
          </cell>
          <cell r="F713">
            <v>5</v>
          </cell>
          <cell r="G713">
            <v>5</v>
          </cell>
          <cell r="H713">
            <v>2</v>
          </cell>
          <cell r="I713">
            <v>58</v>
          </cell>
        </row>
        <row r="714">
          <cell r="A714" t="str">
            <v>Spinarak</v>
          </cell>
          <cell r="B714" t="str">
            <v>Inseto/Veneno</v>
          </cell>
          <cell r="C714">
            <v>30</v>
          </cell>
          <cell r="D714">
            <v>6</v>
          </cell>
          <cell r="E714">
            <v>4</v>
          </cell>
          <cell r="F714">
            <v>4</v>
          </cell>
          <cell r="G714">
            <v>4</v>
          </cell>
          <cell r="H714">
            <v>3</v>
          </cell>
          <cell r="I714">
            <v>50</v>
          </cell>
        </row>
        <row r="715">
          <cell r="A715" t="str">
            <v>Spinda</v>
          </cell>
          <cell r="B715" t="str">
            <v>Normal</v>
          </cell>
          <cell r="C715">
            <v>45</v>
          </cell>
          <cell r="D715">
            <v>6</v>
          </cell>
          <cell r="E715">
            <v>6</v>
          </cell>
          <cell r="F715">
            <v>6</v>
          </cell>
          <cell r="G715">
            <v>6</v>
          </cell>
          <cell r="H715">
            <v>6</v>
          </cell>
          <cell r="I715">
            <v>126</v>
          </cell>
        </row>
        <row r="716">
          <cell r="A716" t="str">
            <v>Spiritomb</v>
          </cell>
          <cell r="B716" t="str">
            <v>Fantasma/Noturno</v>
          </cell>
          <cell r="C716">
            <v>38</v>
          </cell>
          <cell r="D716">
            <v>9</v>
          </cell>
          <cell r="E716">
            <v>11</v>
          </cell>
          <cell r="F716">
            <v>9</v>
          </cell>
          <cell r="G716">
            <v>11</v>
          </cell>
          <cell r="H716">
            <v>3</v>
          </cell>
          <cell r="I716">
            <v>170</v>
          </cell>
        </row>
        <row r="717">
          <cell r="A717" t="str">
            <v>Spoink</v>
          </cell>
          <cell r="B717" t="str">
            <v>Psíquico</v>
          </cell>
          <cell r="C717">
            <v>45</v>
          </cell>
          <cell r="D717">
            <v>2</v>
          </cell>
          <cell r="E717">
            <v>3</v>
          </cell>
          <cell r="F717">
            <v>7</v>
          </cell>
          <cell r="G717">
            <v>8</v>
          </cell>
          <cell r="H717">
            <v>6</v>
          </cell>
          <cell r="I717">
            <v>66</v>
          </cell>
        </row>
        <row r="718">
          <cell r="A718" t="str">
            <v>Spritzee</v>
          </cell>
          <cell r="B718" t="str">
            <v>Fada</v>
          </cell>
          <cell r="C718">
            <v>59</v>
          </cell>
          <cell r="D718">
            <v>5</v>
          </cell>
          <cell r="E718">
            <v>6</v>
          </cell>
          <cell r="F718">
            <v>6</v>
          </cell>
          <cell r="G718">
            <v>6</v>
          </cell>
          <cell r="H718">
            <v>2</v>
          </cell>
          <cell r="I718">
            <v>68</v>
          </cell>
        </row>
        <row r="719">
          <cell r="A719" t="str">
            <v>Squirtle</v>
          </cell>
          <cell r="B719" t="str">
            <v>Água</v>
          </cell>
          <cell r="C719">
            <v>33</v>
          </cell>
          <cell r="D719">
            <v>5</v>
          </cell>
          <cell r="E719">
            <v>6</v>
          </cell>
          <cell r="F719">
            <v>5</v>
          </cell>
          <cell r="G719">
            <v>6</v>
          </cell>
          <cell r="H719">
            <v>4</v>
          </cell>
          <cell r="I719">
            <v>63</v>
          </cell>
        </row>
        <row r="720">
          <cell r="A720" t="str">
            <v>Stakataka</v>
          </cell>
          <cell r="B720" t="str">
            <v>Pedra\Metal</v>
          </cell>
          <cell r="C720">
            <v>46</v>
          </cell>
          <cell r="D720">
            <v>13</v>
          </cell>
          <cell r="E720">
            <v>21</v>
          </cell>
          <cell r="F720">
            <v>5</v>
          </cell>
          <cell r="G720">
            <v>10</v>
          </cell>
          <cell r="H720">
            <v>1</v>
          </cell>
          <cell r="I720">
            <v>257</v>
          </cell>
        </row>
        <row r="721">
          <cell r="A721" t="str">
            <v>Stantler</v>
          </cell>
          <cell r="B721" t="str">
            <v>Normal</v>
          </cell>
          <cell r="C721">
            <v>55</v>
          </cell>
          <cell r="D721">
            <v>9</v>
          </cell>
          <cell r="E721">
            <v>6</v>
          </cell>
          <cell r="F721">
            <v>8</v>
          </cell>
          <cell r="G721">
            <v>6</v>
          </cell>
          <cell r="H721">
            <v>8</v>
          </cell>
          <cell r="I721">
            <v>163</v>
          </cell>
        </row>
        <row r="722">
          <cell r="A722" t="str">
            <v>Staraptor</v>
          </cell>
          <cell r="B722" t="str">
            <v>Normal/Voador</v>
          </cell>
          <cell r="C722">
            <v>64</v>
          </cell>
          <cell r="D722">
            <v>12</v>
          </cell>
          <cell r="E722">
            <v>7</v>
          </cell>
          <cell r="F722">
            <v>5</v>
          </cell>
          <cell r="G722">
            <v>5</v>
          </cell>
          <cell r="H722">
            <v>10</v>
          </cell>
          <cell r="I722">
            <v>218</v>
          </cell>
        </row>
        <row r="723">
          <cell r="A723" t="str">
            <v>Staravia</v>
          </cell>
          <cell r="B723" t="str">
            <v>Normal/Voador</v>
          </cell>
          <cell r="C723">
            <v>42</v>
          </cell>
          <cell r="D723">
            <v>7</v>
          </cell>
          <cell r="E723">
            <v>5</v>
          </cell>
          <cell r="F723">
            <v>4</v>
          </cell>
          <cell r="G723">
            <v>4</v>
          </cell>
          <cell r="H723">
            <v>8</v>
          </cell>
          <cell r="I723">
            <v>119</v>
          </cell>
        </row>
        <row r="724">
          <cell r="A724" t="str">
            <v>Starly</v>
          </cell>
          <cell r="B724" t="str">
            <v>Normal/Voador</v>
          </cell>
          <cell r="C724">
            <v>30</v>
          </cell>
          <cell r="D724">
            <v>5</v>
          </cell>
          <cell r="E724">
            <v>3</v>
          </cell>
          <cell r="F724">
            <v>3</v>
          </cell>
          <cell r="G724">
            <v>3</v>
          </cell>
          <cell r="H724">
            <v>6</v>
          </cell>
          <cell r="I724">
            <v>49</v>
          </cell>
        </row>
        <row r="725">
          <cell r="A725" t="str">
            <v>Starmie</v>
          </cell>
          <cell r="B725" t="str">
            <v>Água/Psíquico</v>
          </cell>
          <cell r="C725">
            <v>45</v>
          </cell>
          <cell r="D725">
            <v>7</v>
          </cell>
          <cell r="E725">
            <v>8</v>
          </cell>
          <cell r="F725">
            <v>10</v>
          </cell>
          <cell r="G725">
            <v>8</v>
          </cell>
          <cell r="H725">
            <v>11</v>
          </cell>
          <cell r="I725">
            <v>182</v>
          </cell>
        </row>
        <row r="726">
          <cell r="A726" t="str">
            <v>Staryu</v>
          </cell>
          <cell r="B726" t="str">
            <v>Água</v>
          </cell>
          <cell r="C726">
            <v>23</v>
          </cell>
          <cell r="D726">
            <v>4</v>
          </cell>
          <cell r="E726">
            <v>5</v>
          </cell>
          <cell r="F726">
            <v>7</v>
          </cell>
          <cell r="G726">
            <v>5</v>
          </cell>
          <cell r="H726">
            <v>8</v>
          </cell>
          <cell r="I726">
            <v>68</v>
          </cell>
        </row>
        <row r="727">
          <cell r="A727" t="str">
            <v>Steelix</v>
          </cell>
          <cell r="B727" t="str">
            <v>Metal/Terra</v>
          </cell>
          <cell r="C727">
            <v>57</v>
          </cell>
          <cell r="D727">
            <v>8</v>
          </cell>
          <cell r="E727">
            <v>20</v>
          </cell>
          <cell r="F727">
            <v>5</v>
          </cell>
          <cell r="G727">
            <v>6</v>
          </cell>
          <cell r="H727">
            <v>3</v>
          </cell>
          <cell r="I727">
            <v>179</v>
          </cell>
        </row>
        <row r="728">
          <cell r="A728" t="str">
            <v>Steenee</v>
          </cell>
          <cell r="B728" t="str">
            <v>Grama</v>
          </cell>
          <cell r="C728">
            <v>39</v>
          </cell>
          <cell r="D728">
            <v>4</v>
          </cell>
          <cell r="E728">
            <v>5</v>
          </cell>
          <cell r="F728">
            <v>4</v>
          </cell>
          <cell r="G728">
            <v>5</v>
          </cell>
          <cell r="H728">
            <v>6</v>
          </cell>
          <cell r="I728">
            <v>102</v>
          </cell>
        </row>
        <row r="729">
          <cell r="A729" t="str">
            <v>Stoutland</v>
          </cell>
          <cell r="B729" t="str">
            <v>Normal</v>
          </cell>
          <cell r="C729">
            <v>64</v>
          </cell>
          <cell r="D729">
            <v>10</v>
          </cell>
          <cell r="E729">
            <v>9</v>
          </cell>
          <cell r="F729">
            <v>4</v>
          </cell>
          <cell r="G729">
            <v>9</v>
          </cell>
          <cell r="H729">
            <v>8</v>
          </cell>
          <cell r="I729">
            <v>225</v>
          </cell>
        </row>
        <row r="730">
          <cell r="A730" t="str">
            <v>Stufful</v>
          </cell>
          <cell r="B730" t="str">
            <v>Normal\Lutador</v>
          </cell>
          <cell r="C730">
            <v>53</v>
          </cell>
          <cell r="D730">
            <v>7</v>
          </cell>
          <cell r="E730">
            <v>5</v>
          </cell>
          <cell r="F730">
            <v>4</v>
          </cell>
          <cell r="G730">
            <v>5</v>
          </cell>
          <cell r="H730">
            <v>5</v>
          </cell>
          <cell r="I730">
            <v>68</v>
          </cell>
        </row>
        <row r="731">
          <cell r="A731" t="str">
            <v>Stunfisk</v>
          </cell>
          <cell r="B731" t="str">
            <v>Terra\Elétrico</v>
          </cell>
          <cell r="C731">
            <v>82</v>
          </cell>
          <cell r="D731">
            <v>7</v>
          </cell>
          <cell r="E731">
            <v>8</v>
          </cell>
          <cell r="F731">
            <v>8</v>
          </cell>
          <cell r="G731">
            <v>10</v>
          </cell>
          <cell r="H731">
            <v>3</v>
          </cell>
          <cell r="I731">
            <v>165</v>
          </cell>
        </row>
        <row r="732">
          <cell r="A732" t="str">
            <v>Stunky</v>
          </cell>
          <cell r="B732" t="str">
            <v>Veneno/Noturno</v>
          </cell>
          <cell r="C732">
            <v>48</v>
          </cell>
          <cell r="D732">
            <v>6</v>
          </cell>
          <cell r="E732">
            <v>5</v>
          </cell>
          <cell r="F732">
            <v>4</v>
          </cell>
          <cell r="G732">
            <v>4</v>
          </cell>
          <cell r="H732">
            <v>7</v>
          </cell>
          <cell r="I732">
            <v>66</v>
          </cell>
        </row>
        <row r="733">
          <cell r="A733" t="str">
            <v>Sudowoodo</v>
          </cell>
          <cell r="B733" t="str">
            <v>Pedra</v>
          </cell>
          <cell r="C733">
            <v>53</v>
          </cell>
          <cell r="D733">
            <v>10</v>
          </cell>
          <cell r="E733">
            <v>11</v>
          </cell>
          <cell r="F733">
            <v>3</v>
          </cell>
          <cell r="G733">
            <v>6</v>
          </cell>
          <cell r="H733">
            <v>3</v>
          </cell>
          <cell r="I733">
            <v>144</v>
          </cell>
        </row>
        <row r="734">
          <cell r="A734" t="str">
            <v>Suicune</v>
          </cell>
          <cell r="B734" t="str">
            <v>Água</v>
          </cell>
          <cell r="C734">
            <v>75</v>
          </cell>
          <cell r="D734">
            <v>7</v>
          </cell>
          <cell r="E734">
            <v>11</v>
          </cell>
          <cell r="F734">
            <v>9</v>
          </cell>
          <cell r="G734">
            <v>11</v>
          </cell>
          <cell r="H734">
            <v>8</v>
          </cell>
          <cell r="I734">
            <v>261</v>
          </cell>
        </row>
        <row r="735">
          <cell r="A735" t="str">
            <v>Sunflora</v>
          </cell>
          <cell r="B735" t="str">
            <v>Grama</v>
          </cell>
          <cell r="C735">
            <v>57</v>
          </cell>
          <cell r="D735">
            <v>7</v>
          </cell>
          <cell r="E735">
            <v>5</v>
          </cell>
          <cell r="F735">
            <v>10</v>
          </cell>
          <cell r="G735">
            <v>8</v>
          </cell>
          <cell r="H735">
            <v>3</v>
          </cell>
          <cell r="I735">
            <v>149</v>
          </cell>
        </row>
        <row r="736">
          <cell r="A736" t="str">
            <v>Sunkern</v>
          </cell>
          <cell r="B736" t="str">
            <v>Grama</v>
          </cell>
          <cell r="C736">
            <v>23</v>
          </cell>
          <cell r="D736">
            <v>3</v>
          </cell>
          <cell r="E736">
            <v>3</v>
          </cell>
          <cell r="F736">
            <v>3</v>
          </cell>
          <cell r="G736">
            <v>3</v>
          </cell>
          <cell r="H736">
            <v>3</v>
          </cell>
          <cell r="I736">
            <v>36</v>
          </cell>
        </row>
        <row r="737">
          <cell r="A737" t="str">
            <v>Surskit</v>
          </cell>
          <cell r="B737" t="str">
            <v>Inseto/Água</v>
          </cell>
          <cell r="C737">
            <v>30</v>
          </cell>
          <cell r="D737">
            <v>3</v>
          </cell>
          <cell r="E737">
            <v>3</v>
          </cell>
          <cell r="F737">
            <v>5</v>
          </cell>
          <cell r="G737">
            <v>5</v>
          </cell>
          <cell r="H737">
            <v>6</v>
          </cell>
          <cell r="I737">
            <v>54</v>
          </cell>
        </row>
        <row r="738">
          <cell r="A738" t="str">
            <v>Swablu</v>
          </cell>
          <cell r="B738" t="str">
            <v>Normal/Voador</v>
          </cell>
          <cell r="C738">
            <v>34</v>
          </cell>
          <cell r="D738">
            <v>4</v>
          </cell>
          <cell r="E738">
            <v>6</v>
          </cell>
          <cell r="F738">
            <v>4</v>
          </cell>
          <cell r="G738">
            <v>7</v>
          </cell>
          <cell r="H738">
            <v>5</v>
          </cell>
          <cell r="I738">
            <v>62</v>
          </cell>
        </row>
        <row r="739">
          <cell r="A739" t="str">
            <v>Swadloon</v>
          </cell>
          <cell r="B739" t="str">
            <v>Inseto\Grama</v>
          </cell>
          <cell r="C739">
            <v>42</v>
          </cell>
          <cell r="D739">
            <v>6</v>
          </cell>
          <cell r="E739">
            <v>9</v>
          </cell>
          <cell r="F739">
            <v>5</v>
          </cell>
          <cell r="G739">
            <v>8</v>
          </cell>
          <cell r="H739">
            <v>4</v>
          </cell>
          <cell r="I739">
            <v>133</v>
          </cell>
        </row>
        <row r="740">
          <cell r="A740" t="str">
            <v>Swalot</v>
          </cell>
          <cell r="B740" t="str">
            <v>Veneno</v>
          </cell>
          <cell r="C740">
            <v>75</v>
          </cell>
          <cell r="D740">
            <v>7</v>
          </cell>
          <cell r="E740">
            <v>8</v>
          </cell>
          <cell r="F740">
            <v>7</v>
          </cell>
          <cell r="G740">
            <v>8</v>
          </cell>
          <cell r="H740">
            <v>5</v>
          </cell>
          <cell r="I740">
            <v>163</v>
          </cell>
        </row>
        <row r="741">
          <cell r="A741" t="str">
            <v>Swampert</v>
          </cell>
          <cell r="B741" t="str">
            <v>Água/Terra</v>
          </cell>
          <cell r="C741">
            <v>75</v>
          </cell>
          <cell r="D741">
            <v>11</v>
          </cell>
          <cell r="E741">
            <v>9</v>
          </cell>
          <cell r="F741">
            <v>8</v>
          </cell>
          <cell r="G741">
            <v>9</v>
          </cell>
          <cell r="H741">
            <v>6</v>
          </cell>
          <cell r="I741">
            <v>241</v>
          </cell>
        </row>
        <row r="742">
          <cell r="A742" t="str">
            <v>Swanna</v>
          </cell>
          <cell r="B742" t="str">
            <v>Água\Voador</v>
          </cell>
          <cell r="C742">
            <v>57</v>
          </cell>
          <cell r="D742">
            <v>9</v>
          </cell>
          <cell r="E742">
            <v>6</v>
          </cell>
          <cell r="F742">
            <v>9</v>
          </cell>
          <cell r="G742">
            <v>6</v>
          </cell>
          <cell r="H742">
            <v>10</v>
          </cell>
          <cell r="I742">
            <v>166</v>
          </cell>
        </row>
        <row r="743">
          <cell r="A743" t="str">
            <v>Swellow</v>
          </cell>
          <cell r="B743" t="str">
            <v>Normal/Voador</v>
          </cell>
          <cell r="C743">
            <v>45</v>
          </cell>
          <cell r="D743">
            <v>8</v>
          </cell>
          <cell r="E743">
            <v>6</v>
          </cell>
          <cell r="F743">
            <v>5</v>
          </cell>
          <cell r="G743">
            <v>5</v>
          </cell>
          <cell r="H743">
            <v>12</v>
          </cell>
          <cell r="I743">
            <v>159</v>
          </cell>
        </row>
        <row r="744">
          <cell r="A744" t="str">
            <v>Swinub</v>
          </cell>
          <cell r="B744" t="str">
            <v>Gelo/Terra</v>
          </cell>
          <cell r="C744">
            <v>38</v>
          </cell>
          <cell r="D744">
            <v>5</v>
          </cell>
          <cell r="E744">
            <v>4</v>
          </cell>
          <cell r="F744">
            <v>3</v>
          </cell>
          <cell r="G744">
            <v>3</v>
          </cell>
          <cell r="H744">
            <v>5</v>
          </cell>
          <cell r="I744">
            <v>50</v>
          </cell>
        </row>
        <row r="745">
          <cell r="A745" t="str">
            <v>Swirlix</v>
          </cell>
          <cell r="B745" t="str">
            <v>Fada</v>
          </cell>
          <cell r="C745">
            <v>47</v>
          </cell>
          <cell r="D745">
            <v>5</v>
          </cell>
          <cell r="E745">
            <v>7</v>
          </cell>
          <cell r="F745">
            <v>6</v>
          </cell>
          <cell r="G745">
            <v>6</v>
          </cell>
          <cell r="H745">
            <v>5</v>
          </cell>
          <cell r="I745">
            <v>68</v>
          </cell>
        </row>
        <row r="746">
          <cell r="A746" t="str">
            <v>Swoobat</v>
          </cell>
          <cell r="B746" t="str">
            <v>Psíquico\Voador</v>
          </cell>
          <cell r="C746">
            <v>51</v>
          </cell>
          <cell r="D746">
            <v>6</v>
          </cell>
          <cell r="E746">
            <v>5</v>
          </cell>
          <cell r="F746">
            <v>8</v>
          </cell>
          <cell r="G746">
            <v>5</v>
          </cell>
          <cell r="H746">
            <v>11</v>
          </cell>
          <cell r="I746">
            <v>149</v>
          </cell>
        </row>
        <row r="747">
          <cell r="A747" t="str">
            <v>Sylveon</v>
          </cell>
          <cell r="B747" t="str">
            <v>Fada</v>
          </cell>
          <cell r="C747">
            <v>72</v>
          </cell>
          <cell r="D747">
            <v>6</v>
          </cell>
          <cell r="E747">
            <v>6</v>
          </cell>
          <cell r="F747">
            <v>11</v>
          </cell>
          <cell r="G747">
            <v>13</v>
          </cell>
          <cell r="H747">
            <v>6</v>
          </cell>
          <cell r="I747">
            <v>184</v>
          </cell>
        </row>
        <row r="748">
          <cell r="A748" t="str">
            <v>Taillow</v>
          </cell>
          <cell r="B748" t="str">
            <v>Normal/Voador</v>
          </cell>
          <cell r="C748">
            <v>30</v>
          </cell>
          <cell r="D748">
            <v>5</v>
          </cell>
          <cell r="E748">
            <v>3</v>
          </cell>
          <cell r="F748">
            <v>3</v>
          </cell>
          <cell r="G748">
            <v>3</v>
          </cell>
          <cell r="H748">
            <v>8</v>
          </cell>
          <cell r="I748">
            <v>54</v>
          </cell>
        </row>
        <row r="749">
          <cell r="A749" t="str">
            <v>Talonflame</v>
          </cell>
          <cell r="B749" t="str">
            <v>Fogo\Voador</v>
          </cell>
          <cell r="C749">
            <v>59</v>
          </cell>
          <cell r="D749">
            <v>8</v>
          </cell>
          <cell r="E749">
            <v>7</v>
          </cell>
          <cell r="F749">
            <v>7</v>
          </cell>
          <cell r="G749">
            <v>7</v>
          </cell>
          <cell r="H749">
            <v>13</v>
          </cell>
          <cell r="I749">
            <v>175</v>
          </cell>
        </row>
        <row r="750">
          <cell r="A750" t="str">
            <v>Tangela</v>
          </cell>
          <cell r="B750" t="str">
            <v>Grama</v>
          </cell>
          <cell r="C750">
            <v>49</v>
          </cell>
          <cell r="D750">
            <v>5</v>
          </cell>
          <cell r="E750">
            <v>11</v>
          </cell>
          <cell r="F750">
            <v>10</v>
          </cell>
          <cell r="G750">
            <v>4</v>
          </cell>
          <cell r="H750">
            <v>6</v>
          </cell>
          <cell r="I750">
            <v>87</v>
          </cell>
        </row>
        <row r="751">
          <cell r="A751" t="str">
            <v>Tangrowth</v>
          </cell>
          <cell r="B751" t="str">
            <v>Grama</v>
          </cell>
          <cell r="C751">
            <v>75</v>
          </cell>
          <cell r="D751">
            <v>10</v>
          </cell>
          <cell r="E751">
            <v>12</v>
          </cell>
          <cell r="F751">
            <v>11</v>
          </cell>
          <cell r="G751">
            <v>5</v>
          </cell>
          <cell r="H751">
            <v>5</v>
          </cell>
          <cell r="I751">
            <v>187</v>
          </cell>
        </row>
        <row r="752">
          <cell r="A752" t="str">
            <v>Tapu Bulu</v>
          </cell>
          <cell r="B752" t="str">
            <v>Grama\Fada</v>
          </cell>
          <cell r="C752">
            <v>53</v>
          </cell>
          <cell r="D752">
            <v>13</v>
          </cell>
          <cell r="E752">
            <v>11</v>
          </cell>
          <cell r="F752">
            <v>8</v>
          </cell>
          <cell r="G752">
            <v>9</v>
          </cell>
          <cell r="H752">
            <v>7</v>
          </cell>
          <cell r="I752">
            <v>257</v>
          </cell>
        </row>
        <row r="753">
          <cell r="A753" t="str">
            <v>Tapu Fini</v>
          </cell>
          <cell r="B753" t="str">
            <v>Água\Fada</v>
          </cell>
          <cell r="C753">
            <v>53</v>
          </cell>
          <cell r="D753">
            <v>7</v>
          </cell>
          <cell r="E753">
            <v>11</v>
          </cell>
          <cell r="F753">
            <v>9</v>
          </cell>
          <cell r="G753">
            <v>13</v>
          </cell>
          <cell r="H753">
            <v>8</v>
          </cell>
          <cell r="I753">
            <v>257</v>
          </cell>
        </row>
        <row r="754">
          <cell r="A754" t="str">
            <v>Tapu Koko</v>
          </cell>
          <cell r="B754" t="str">
            <v>Elétrico\Fada</v>
          </cell>
          <cell r="C754">
            <v>53</v>
          </cell>
          <cell r="D754">
            <v>11</v>
          </cell>
          <cell r="E754">
            <v>8</v>
          </cell>
          <cell r="F754">
            <v>9</v>
          </cell>
          <cell r="G754">
            <v>7</v>
          </cell>
          <cell r="H754">
            <v>13</v>
          </cell>
          <cell r="I754">
            <v>257</v>
          </cell>
        </row>
        <row r="755">
          <cell r="A755" t="str">
            <v>Tapu Lele</v>
          </cell>
          <cell r="B755" t="str">
            <v>Psíquico\Fada</v>
          </cell>
          <cell r="C755">
            <v>53</v>
          </cell>
          <cell r="D755">
            <v>8</v>
          </cell>
          <cell r="E755">
            <v>7</v>
          </cell>
          <cell r="F755">
            <v>13</v>
          </cell>
          <cell r="G755">
            <v>11</v>
          </cell>
          <cell r="H755">
            <v>9</v>
          </cell>
          <cell r="I755">
            <v>257</v>
          </cell>
        </row>
        <row r="756">
          <cell r="A756" t="str">
            <v>Tauros</v>
          </cell>
          <cell r="B756" t="str">
            <v>Normal</v>
          </cell>
          <cell r="C756">
            <v>57</v>
          </cell>
          <cell r="D756">
            <v>10</v>
          </cell>
          <cell r="E756">
            <v>9</v>
          </cell>
          <cell r="F756">
            <v>4</v>
          </cell>
          <cell r="G756">
            <v>7</v>
          </cell>
          <cell r="H756">
            <v>11</v>
          </cell>
          <cell r="I756">
            <v>172</v>
          </cell>
        </row>
        <row r="757">
          <cell r="A757" t="str">
            <v>Teddiursa</v>
          </cell>
          <cell r="B757" t="str">
            <v>Normal</v>
          </cell>
          <cell r="C757">
            <v>45</v>
          </cell>
          <cell r="D757">
            <v>8</v>
          </cell>
          <cell r="E757">
            <v>5</v>
          </cell>
          <cell r="F757">
            <v>5</v>
          </cell>
          <cell r="G757">
            <v>5</v>
          </cell>
          <cell r="H757">
            <v>4</v>
          </cell>
          <cell r="I757">
            <v>66</v>
          </cell>
        </row>
        <row r="758">
          <cell r="A758" t="str">
            <v>Tentacool</v>
          </cell>
          <cell r="B758" t="str">
            <v>Água/Veneno</v>
          </cell>
          <cell r="C758">
            <v>30</v>
          </cell>
          <cell r="D758">
            <v>4</v>
          </cell>
          <cell r="E758">
            <v>3</v>
          </cell>
          <cell r="F758">
            <v>5</v>
          </cell>
          <cell r="G758">
            <v>10</v>
          </cell>
          <cell r="H758">
            <v>7</v>
          </cell>
          <cell r="I758">
            <v>67</v>
          </cell>
        </row>
        <row r="759">
          <cell r="A759" t="str">
            <v>Tentacruel</v>
          </cell>
          <cell r="B759" t="str">
            <v>Água/Veneno</v>
          </cell>
          <cell r="C759">
            <v>60</v>
          </cell>
          <cell r="D759">
            <v>7</v>
          </cell>
          <cell r="E759">
            <v>6</v>
          </cell>
          <cell r="F759">
            <v>8</v>
          </cell>
          <cell r="G759">
            <v>12</v>
          </cell>
          <cell r="H759">
            <v>10</v>
          </cell>
          <cell r="I759">
            <v>180</v>
          </cell>
        </row>
        <row r="760">
          <cell r="A760" t="str">
            <v>Tepig</v>
          </cell>
          <cell r="B760" t="str">
            <v>Fogo</v>
          </cell>
          <cell r="C760">
            <v>49</v>
          </cell>
          <cell r="D760">
            <v>6</v>
          </cell>
          <cell r="E760">
            <v>4</v>
          </cell>
          <cell r="F760">
            <v>4</v>
          </cell>
          <cell r="G760">
            <v>4</v>
          </cell>
          <cell r="H760">
            <v>4</v>
          </cell>
          <cell r="I760">
            <v>62</v>
          </cell>
        </row>
        <row r="761">
          <cell r="A761" t="str">
            <v>Terrakion</v>
          </cell>
          <cell r="B761" t="str">
            <v>Pedra\Lutador</v>
          </cell>
          <cell r="C761">
            <v>69</v>
          </cell>
          <cell r="D761">
            <v>13</v>
          </cell>
          <cell r="E761">
            <v>9</v>
          </cell>
          <cell r="F761">
            <v>7</v>
          </cell>
          <cell r="G761">
            <v>9</v>
          </cell>
          <cell r="H761">
            <v>11</v>
          </cell>
          <cell r="I761">
            <v>261</v>
          </cell>
        </row>
        <row r="762">
          <cell r="A762" t="str">
            <v>Throh</v>
          </cell>
          <cell r="B762" t="str">
            <v>Lutador</v>
          </cell>
          <cell r="C762">
            <v>90</v>
          </cell>
          <cell r="D762">
            <v>10</v>
          </cell>
          <cell r="E762">
            <v>8</v>
          </cell>
          <cell r="F762">
            <v>3</v>
          </cell>
          <cell r="G762">
            <v>8</v>
          </cell>
          <cell r="H762">
            <v>4</v>
          </cell>
          <cell r="I762">
            <v>163</v>
          </cell>
        </row>
        <row r="763">
          <cell r="A763" t="str">
            <v>Thundurus (Animal)</v>
          </cell>
          <cell r="B763" t="str">
            <v>Elétrico\Voador</v>
          </cell>
          <cell r="C763">
            <v>60</v>
          </cell>
          <cell r="D763">
            <v>10</v>
          </cell>
          <cell r="E763">
            <v>7</v>
          </cell>
          <cell r="F763">
            <v>14</v>
          </cell>
          <cell r="G763">
            <v>8</v>
          </cell>
          <cell r="H763">
            <v>10</v>
          </cell>
          <cell r="I763">
            <v>261</v>
          </cell>
        </row>
        <row r="764">
          <cell r="A764" t="str">
            <v>Thundurus (Encarnado)</v>
          </cell>
          <cell r="B764" t="str">
            <v>Elétrico\Voador</v>
          </cell>
          <cell r="C764">
            <v>60</v>
          </cell>
          <cell r="D764">
            <v>11</v>
          </cell>
          <cell r="E764">
            <v>7</v>
          </cell>
          <cell r="F764">
            <v>12</v>
          </cell>
          <cell r="G764">
            <v>8</v>
          </cell>
          <cell r="H764">
            <v>11</v>
          </cell>
          <cell r="I764">
            <v>261</v>
          </cell>
        </row>
        <row r="765">
          <cell r="A765" t="str">
            <v>Timburr</v>
          </cell>
          <cell r="B765" t="str">
            <v>Lutador</v>
          </cell>
          <cell r="C765">
            <v>57</v>
          </cell>
          <cell r="D765">
            <v>8</v>
          </cell>
          <cell r="E765">
            <v>5</v>
          </cell>
          <cell r="F765">
            <v>2</v>
          </cell>
          <cell r="G765">
            <v>3</v>
          </cell>
          <cell r="H765">
            <v>3</v>
          </cell>
          <cell r="I765">
            <v>61</v>
          </cell>
        </row>
        <row r="766">
          <cell r="A766" t="str">
            <v>Tirtouga</v>
          </cell>
          <cell r="B766" t="str">
            <v>Água\Pedra</v>
          </cell>
          <cell r="C766">
            <v>41</v>
          </cell>
          <cell r="D766">
            <v>8</v>
          </cell>
          <cell r="E766">
            <v>10</v>
          </cell>
          <cell r="F766">
            <v>5</v>
          </cell>
          <cell r="G766">
            <v>4</v>
          </cell>
          <cell r="H766">
            <v>2</v>
          </cell>
          <cell r="I766">
            <v>71</v>
          </cell>
        </row>
        <row r="767">
          <cell r="A767" t="str">
            <v>Togedemaru</v>
          </cell>
          <cell r="B767" t="str">
            <v>Elétrico\Metal</v>
          </cell>
          <cell r="C767">
            <v>49</v>
          </cell>
          <cell r="D767">
            <v>10</v>
          </cell>
          <cell r="E767">
            <v>6</v>
          </cell>
          <cell r="F767">
            <v>4</v>
          </cell>
          <cell r="G767">
            <v>7</v>
          </cell>
          <cell r="H767">
            <v>10</v>
          </cell>
          <cell r="I767">
            <v>152</v>
          </cell>
        </row>
        <row r="768">
          <cell r="A768" t="str">
            <v>Togekiss</v>
          </cell>
          <cell r="B768" t="str">
            <v>Fada/Voador</v>
          </cell>
          <cell r="C768">
            <v>64</v>
          </cell>
          <cell r="D768">
            <v>5</v>
          </cell>
          <cell r="E768">
            <v>9</v>
          </cell>
          <cell r="F768">
            <v>12</v>
          </cell>
          <cell r="G768">
            <v>11</v>
          </cell>
          <cell r="H768">
            <v>8</v>
          </cell>
          <cell r="I768">
            <v>245</v>
          </cell>
        </row>
        <row r="769">
          <cell r="A769" t="str">
            <v>Togepi</v>
          </cell>
          <cell r="B769" t="str">
            <v>Fada</v>
          </cell>
          <cell r="C769">
            <v>27</v>
          </cell>
          <cell r="D769">
            <v>2</v>
          </cell>
          <cell r="E769">
            <v>6</v>
          </cell>
          <cell r="F769">
            <v>4</v>
          </cell>
          <cell r="G769">
            <v>6</v>
          </cell>
          <cell r="H769">
            <v>2</v>
          </cell>
          <cell r="I769">
            <v>49</v>
          </cell>
        </row>
        <row r="770">
          <cell r="A770" t="str">
            <v>Togetic</v>
          </cell>
          <cell r="B770" t="str">
            <v>Fada/Voador</v>
          </cell>
          <cell r="C770">
            <v>42</v>
          </cell>
          <cell r="D770">
            <v>4</v>
          </cell>
          <cell r="E770">
            <v>8</v>
          </cell>
          <cell r="F770">
            <v>8</v>
          </cell>
          <cell r="G770">
            <v>10</v>
          </cell>
          <cell r="H770">
            <v>4</v>
          </cell>
          <cell r="I770">
            <v>142</v>
          </cell>
        </row>
        <row r="771">
          <cell r="A771" t="str">
            <v>Torchic</v>
          </cell>
          <cell r="B771" t="str">
            <v>Fogo</v>
          </cell>
          <cell r="C771">
            <v>34</v>
          </cell>
          <cell r="D771">
            <v>6</v>
          </cell>
          <cell r="E771">
            <v>4</v>
          </cell>
          <cell r="F771">
            <v>7</v>
          </cell>
          <cell r="G771">
            <v>5</v>
          </cell>
          <cell r="H771">
            <v>4</v>
          </cell>
          <cell r="I771">
            <v>62</v>
          </cell>
        </row>
        <row r="772">
          <cell r="A772" t="str">
            <v>Torkoal</v>
          </cell>
          <cell r="B772" t="str">
            <v>Fogo</v>
          </cell>
          <cell r="C772">
            <v>53</v>
          </cell>
          <cell r="D772">
            <v>8</v>
          </cell>
          <cell r="E772">
            <v>14</v>
          </cell>
          <cell r="F772">
            <v>8</v>
          </cell>
          <cell r="G772">
            <v>7</v>
          </cell>
          <cell r="H772">
            <v>2</v>
          </cell>
          <cell r="I772">
            <v>165</v>
          </cell>
        </row>
        <row r="773">
          <cell r="A773" t="str">
            <v>Tornadus (Animal)</v>
          </cell>
          <cell r="B773" t="str">
            <v>Voador</v>
          </cell>
          <cell r="C773">
            <v>60</v>
          </cell>
          <cell r="D773">
            <v>10</v>
          </cell>
          <cell r="E773">
            <v>8</v>
          </cell>
          <cell r="F773">
            <v>11</v>
          </cell>
          <cell r="G773">
            <v>9</v>
          </cell>
          <cell r="H773">
            <v>12</v>
          </cell>
          <cell r="I773">
            <v>261</v>
          </cell>
        </row>
        <row r="774">
          <cell r="A774" t="str">
            <v>Tornadus (Encarnado)</v>
          </cell>
          <cell r="B774" t="str">
            <v>Voador</v>
          </cell>
          <cell r="C774">
            <v>60</v>
          </cell>
          <cell r="D774">
            <v>11</v>
          </cell>
          <cell r="E774">
            <v>7</v>
          </cell>
          <cell r="F774">
            <v>12</v>
          </cell>
          <cell r="G774">
            <v>8</v>
          </cell>
          <cell r="H774">
            <v>11</v>
          </cell>
          <cell r="I774">
            <v>261</v>
          </cell>
        </row>
        <row r="775">
          <cell r="A775" t="str">
            <v>Torracat</v>
          </cell>
          <cell r="B775" t="str">
            <v>Fogo</v>
          </cell>
          <cell r="C775">
            <v>49</v>
          </cell>
          <cell r="D775">
            <v>8</v>
          </cell>
          <cell r="E775">
            <v>5</v>
          </cell>
          <cell r="F775">
            <v>8</v>
          </cell>
          <cell r="G775">
            <v>5</v>
          </cell>
          <cell r="H775">
            <v>9</v>
          </cell>
          <cell r="I775">
            <v>147</v>
          </cell>
        </row>
        <row r="776">
          <cell r="A776" t="str">
            <v>Torterra</v>
          </cell>
          <cell r="B776" t="str">
            <v>Grama/Terra</v>
          </cell>
          <cell r="C776">
            <v>72</v>
          </cell>
          <cell r="D776">
            <v>11</v>
          </cell>
          <cell r="E776">
            <v>10</v>
          </cell>
          <cell r="F776">
            <v>7</v>
          </cell>
          <cell r="G776">
            <v>8</v>
          </cell>
          <cell r="H776">
            <v>6</v>
          </cell>
          <cell r="I776">
            <v>236</v>
          </cell>
        </row>
        <row r="777">
          <cell r="A777" t="str">
            <v>Totodile</v>
          </cell>
          <cell r="B777" t="str">
            <v>Água</v>
          </cell>
          <cell r="C777">
            <v>38</v>
          </cell>
          <cell r="D777">
            <v>6</v>
          </cell>
          <cell r="E777">
            <v>6</v>
          </cell>
          <cell r="F777">
            <v>4</v>
          </cell>
          <cell r="G777">
            <v>5</v>
          </cell>
          <cell r="H777">
            <v>4</v>
          </cell>
          <cell r="I777">
            <v>63</v>
          </cell>
        </row>
        <row r="778">
          <cell r="A778" t="str">
            <v>Toucannon</v>
          </cell>
          <cell r="B778" t="str">
            <v>Normal\Voador</v>
          </cell>
          <cell r="C778">
            <v>60</v>
          </cell>
          <cell r="D778">
            <v>12</v>
          </cell>
          <cell r="E778">
            <v>7</v>
          </cell>
          <cell r="F778">
            <v>7</v>
          </cell>
          <cell r="G778">
            <v>7</v>
          </cell>
          <cell r="H778">
            <v>6</v>
          </cell>
          <cell r="I778">
            <v>218</v>
          </cell>
        </row>
        <row r="779">
          <cell r="A779" t="str">
            <v>Toxapex</v>
          </cell>
          <cell r="B779" t="str">
            <v>Veneno\Água</v>
          </cell>
          <cell r="C779">
            <v>38</v>
          </cell>
          <cell r="D779">
            <v>6</v>
          </cell>
          <cell r="E779">
            <v>15</v>
          </cell>
          <cell r="F779">
            <v>5</v>
          </cell>
          <cell r="G779">
            <v>14</v>
          </cell>
          <cell r="H779">
            <v>3</v>
          </cell>
          <cell r="I779">
            <v>173</v>
          </cell>
        </row>
        <row r="780">
          <cell r="A780" t="str">
            <v>Toxicroak</v>
          </cell>
          <cell r="B780" t="str">
            <v>Veneno/Lutador</v>
          </cell>
          <cell r="C780">
            <v>63</v>
          </cell>
          <cell r="D780">
            <v>11</v>
          </cell>
          <cell r="E780">
            <v>6</v>
          </cell>
          <cell r="F780">
            <v>9</v>
          </cell>
          <cell r="G780">
            <v>6</v>
          </cell>
          <cell r="H780">
            <v>8</v>
          </cell>
          <cell r="I780">
            <v>172</v>
          </cell>
        </row>
        <row r="781">
          <cell r="A781" t="str">
            <v>Tranquill</v>
          </cell>
          <cell r="B781" t="str">
            <v>Normal\Voador</v>
          </cell>
          <cell r="C781">
            <v>47</v>
          </cell>
          <cell r="D781">
            <v>8</v>
          </cell>
          <cell r="E781">
            <v>6</v>
          </cell>
          <cell r="F781">
            <v>5</v>
          </cell>
          <cell r="G781">
            <v>4</v>
          </cell>
          <cell r="H781">
            <v>6</v>
          </cell>
          <cell r="I781">
            <v>125</v>
          </cell>
        </row>
        <row r="782">
          <cell r="A782" t="str">
            <v>Trapinch</v>
          </cell>
          <cell r="B782" t="str">
            <v>Terra</v>
          </cell>
          <cell r="C782">
            <v>34</v>
          </cell>
          <cell r="D782">
            <v>10</v>
          </cell>
          <cell r="E782">
            <v>4</v>
          </cell>
          <cell r="F782">
            <v>4</v>
          </cell>
          <cell r="G782">
            <v>4</v>
          </cell>
          <cell r="H782">
            <v>1</v>
          </cell>
          <cell r="I782">
            <v>58</v>
          </cell>
        </row>
        <row r="783">
          <cell r="A783" t="str">
            <v>Treecko</v>
          </cell>
          <cell r="B783" t="str">
            <v>Grama</v>
          </cell>
          <cell r="C783">
            <v>30</v>
          </cell>
          <cell r="D783">
            <v>4</v>
          </cell>
          <cell r="E783">
            <v>3</v>
          </cell>
          <cell r="F783">
            <v>6</v>
          </cell>
          <cell r="G783">
            <v>5</v>
          </cell>
          <cell r="H783">
            <v>7</v>
          </cell>
          <cell r="I783">
            <v>62</v>
          </cell>
        </row>
        <row r="784">
          <cell r="A784" t="str">
            <v>Trevenant</v>
          </cell>
          <cell r="B784" t="str">
            <v>Fantasma\Grama</v>
          </cell>
          <cell r="C784">
            <v>64</v>
          </cell>
          <cell r="D784">
            <v>11</v>
          </cell>
          <cell r="E784">
            <v>8</v>
          </cell>
          <cell r="F784">
            <v>6</v>
          </cell>
          <cell r="G784">
            <v>8</v>
          </cell>
          <cell r="H784">
            <v>6</v>
          </cell>
          <cell r="I784">
            <v>166</v>
          </cell>
        </row>
        <row r="785">
          <cell r="A785" t="str">
            <v>Tropius</v>
          </cell>
          <cell r="B785" t="str">
            <v>Grama/Voador</v>
          </cell>
          <cell r="C785">
            <v>75</v>
          </cell>
          <cell r="D785">
            <v>7</v>
          </cell>
          <cell r="E785">
            <v>8</v>
          </cell>
          <cell r="F785">
            <v>7</v>
          </cell>
          <cell r="G785">
            <v>9</v>
          </cell>
          <cell r="H785">
            <v>5</v>
          </cell>
          <cell r="I785">
            <v>161</v>
          </cell>
        </row>
        <row r="786">
          <cell r="A786" t="str">
            <v>Trubbish</v>
          </cell>
          <cell r="B786" t="str">
            <v>Veneno</v>
          </cell>
          <cell r="C786">
            <v>38</v>
          </cell>
          <cell r="D786">
            <v>5</v>
          </cell>
          <cell r="E786">
            <v>6</v>
          </cell>
          <cell r="F786">
            <v>4</v>
          </cell>
          <cell r="G786">
            <v>6</v>
          </cell>
          <cell r="H786">
            <v>6</v>
          </cell>
          <cell r="I786">
            <v>66</v>
          </cell>
        </row>
        <row r="787">
          <cell r="A787" t="str">
            <v>Trumbeak</v>
          </cell>
          <cell r="B787" t="str">
            <v>Normal\Voador</v>
          </cell>
          <cell r="C787">
            <v>42</v>
          </cell>
          <cell r="D787">
            <v>8</v>
          </cell>
          <cell r="E787">
            <v>5</v>
          </cell>
          <cell r="F787">
            <v>4</v>
          </cell>
          <cell r="G787">
            <v>5</v>
          </cell>
          <cell r="H787">
            <v>7</v>
          </cell>
          <cell r="I787">
            <v>124</v>
          </cell>
        </row>
        <row r="788">
          <cell r="A788" t="str">
            <v>Tsareena</v>
          </cell>
          <cell r="B788" t="str">
            <v>Grama</v>
          </cell>
          <cell r="C788">
            <v>54</v>
          </cell>
          <cell r="D788">
            <v>12</v>
          </cell>
          <cell r="E788">
            <v>10</v>
          </cell>
          <cell r="F788">
            <v>5</v>
          </cell>
          <cell r="G788">
            <v>10</v>
          </cell>
          <cell r="H788">
            <v>7</v>
          </cell>
          <cell r="I788">
            <v>230</v>
          </cell>
        </row>
        <row r="789">
          <cell r="A789" t="str">
            <v>Turtonator</v>
          </cell>
          <cell r="B789" t="str">
            <v>Fogo\Dragão</v>
          </cell>
          <cell r="C789">
            <v>45</v>
          </cell>
          <cell r="D789">
            <v>8</v>
          </cell>
          <cell r="E789">
            <v>13</v>
          </cell>
          <cell r="F789">
            <v>9</v>
          </cell>
          <cell r="G789">
            <v>8</v>
          </cell>
          <cell r="H789">
            <v>4</v>
          </cell>
          <cell r="I789">
            <v>170</v>
          </cell>
        </row>
        <row r="790">
          <cell r="A790" t="str">
            <v>Turtwig</v>
          </cell>
          <cell r="B790" t="str">
            <v>Grama</v>
          </cell>
          <cell r="C790">
            <v>42</v>
          </cell>
          <cell r="D790">
            <v>7</v>
          </cell>
          <cell r="E790">
            <v>6</v>
          </cell>
          <cell r="F790">
            <v>4</v>
          </cell>
          <cell r="G790">
            <v>5</v>
          </cell>
          <cell r="H790">
            <v>3</v>
          </cell>
          <cell r="I790">
            <v>64</v>
          </cell>
        </row>
        <row r="791">
          <cell r="A791" t="str">
            <v>Tympole</v>
          </cell>
          <cell r="B791" t="str">
            <v>Água</v>
          </cell>
          <cell r="C791">
            <v>38</v>
          </cell>
          <cell r="D791">
            <v>5</v>
          </cell>
          <cell r="E791">
            <v>4</v>
          </cell>
          <cell r="F791">
            <v>5</v>
          </cell>
          <cell r="G791">
            <v>4</v>
          </cell>
          <cell r="H791">
            <v>6</v>
          </cell>
          <cell r="I791">
            <v>59</v>
          </cell>
        </row>
        <row r="792">
          <cell r="A792" t="str">
            <v>Tynamo</v>
          </cell>
          <cell r="B792" t="str">
            <v>Elétrico</v>
          </cell>
          <cell r="C792">
            <v>27</v>
          </cell>
          <cell r="D792">
            <v>5</v>
          </cell>
          <cell r="E792">
            <v>4</v>
          </cell>
          <cell r="F792">
            <v>4</v>
          </cell>
          <cell r="G792">
            <v>4</v>
          </cell>
          <cell r="H792">
            <v>6</v>
          </cell>
          <cell r="I792">
            <v>55</v>
          </cell>
        </row>
        <row r="793">
          <cell r="A793" t="str">
            <v>Type: Null</v>
          </cell>
          <cell r="B793" t="str">
            <v>Normal</v>
          </cell>
          <cell r="C793">
            <v>72</v>
          </cell>
          <cell r="D793">
            <v>9</v>
          </cell>
          <cell r="E793">
            <v>9</v>
          </cell>
          <cell r="F793">
            <v>9</v>
          </cell>
          <cell r="G793">
            <v>9</v>
          </cell>
          <cell r="H793">
            <v>6</v>
          </cell>
          <cell r="I793">
            <v>107</v>
          </cell>
        </row>
        <row r="794">
          <cell r="A794" t="str">
            <v>Typhlosion</v>
          </cell>
          <cell r="B794" t="str">
            <v>Fogo</v>
          </cell>
          <cell r="C794">
            <v>59</v>
          </cell>
          <cell r="D794">
            <v>8</v>
          </cell>
          <cell r="E794">
            <v>8</v>
          </cell>
          <cell r="F794">
            <v>11</v>
          </cell>
          <cell r="G794">
            <v>8</v>
          </cell>
          <cell r="H794">
            <v>10</v>
          </cell>
          <cell r="I794">
            <v>240</v>
          </cell>
        </row>
        <row r="795">
          <cell r="A795" t="str">
            <v>Tyranitar</v>
          </cell>
          <cell r="B795" t="str">
            <v>Pedra/Noturno</v>
          </cell>
          <cell r="C795">
            <v>75</v>
          </cell>
          <cell r="D795">
            <v>13</v>
          </cell>
          <cell r="E795">
            <v>11</v>
          </cell>
          <cell r="F795">
            <v>9</v>
          </cell>
          <cell r="G795">
            <v>10</v>
          </cell>
          <cell r="H795">
            <v>6</v>
          </cell>
          <cell r="I795">
            <v>270</v>
          </cell>
        </row>
        <row r="796">
          <cell r="A796" t="str">
            <v>Tyrantrum</v>
          </cell>
          <cell r="B796" t="str">
            <v>Pedra\Dragão</v>
          </cell>
          <cell r="C796">
            <v>62</v>
          </cell>
          <cell r="D796">
            <v>12</v>
          </cell>
          <cell r="E796">
            <v>12</v>
          </cell>
          <cell r="F796">
            <v>7</v>
          </cell>
          <cell r="G796">
            <v>6</v>
          </cell>
          <cell r="H796">
            <v>7</v>
          </cell>
          <cell r="I796">
            <v>182</v>
          </cell>
        </row>
        <row r="797">
          <cell r="A797" t="str">
            <v>Tyrogue</v>
          </cell>
          <cell r="B797" t="str">
            <v>Lutador</v>
          </cell>
          <cell r="C797">
            <v>27</v>
          </cell>
          <cell r="D797">
            <v>3</v>
          </cell>
          <cell r="E797">
            <v>3</v>
          </cell>
          <cell r="F797">
            <v>3</v>
          </cell>
          <cell r="G797">
            <v>3</v>
          </cell>
          <cell r="H797">
            <v>3</v>
          </cell>
          <cell r="I797">
            <v>42</v>
          </cell>
        </row>
        <row r="798">
          <cell r="A798" t="str">
            <v>Tyrunt</v>
          </cell>
          <cell r="B798" t="str">
            <v>Pedra\Dragão</v>
          </cell>
          <cell r="C798">
            <v>44</v>
          </cell>
          <cell r="D798">
            <v>9</v>
          </cell>
          <cell r="E798">
            <v>8</v>
          </cell>
          <cell r="F798">
            <v>4</v>
          </cell>
          <cell r="G798">
            <v>4</v>
          </cell>
          <cell r="H798">
            <v>5</v>
          </cell>
          <cell r="I798">
            <v>72</v>
          </cell>
        </row>
        <row r="799">
          <cell r="A799" t="str">
            <v>Umbreon</v>
          </cell>
          <cell r="B799" t="str">
            <v>Noturno</v>
          </cell>
          <cell r="C799">
            <v>72</v>
          </cell>
          <cell r="D799">
            <v>6</v>
          </cell>
          <cell r="E799">
            <v>11</v>
          </cell>
          <cell r="F799">
            <v>6</v>
          </cell>
          <cell r="G799">
            <v>13</v>
          </cell>
          <cell r="H799">
            <v>6</v>
          </cell>
          <cell r="I799">
            <v>184</v>
          </cell>
        </row>
        <row r="800">
          <cell r="A800" t="str">
            <v>Unfezant</v>
          </cell>
          <cell r="B800" t="str">
            <v>Normal\Voador</v>
          </cell>
          <cell r="C800">
            <v>60</v>
          </cell>
          <cell r="D800">
            <v>10</v>
          </cell>
          <cell r="E800">
            <v>8</v>
          </cell>
          <cell r="F800">
            <v>6</v>
          </cell>
          <cell r="G800">
            <v>5</v>
          </cell>
          <cell r="H800">
            <v>9</v>
          </cell>
          <cell r="I800">
            <v>220</v>
          </cell>
        </row>
        <row r="801">
          <cell r="A801" t="str">
            <v>Unown</v>
          </cell>
          <cell r="B801" t="str">
            <v>Psíquico</v>
          </cell>
          <cell r="C801">
            <v>36</v>
          </cell>
          <cell r="D801">
            <v>7</v>
          </cell>
          <cell r="E801">
            <v>5</v>
          </cell>
          <cell r="F801">
            <v>7</v>
          </cell>
          <cell r="G801">
            <v>5</v>
          </cell>
          <cell r="H801">
            <v>5</v>
          </cell>
          <cell r="I801">
            <v>118</v>
          </cell>
        </row>
        <row r="802">
          <cell r="A802" t="str">
            <v>Ursaring</v>
          </cell>
          <cell r="B802" t="str">
            <v>Normal</v>
          </cell>
          <cell r="C802">
            <v>68</v>
          </cell>
          <cell r="D802">
            <v>13</v>
          </cell>
          <cell r="E802">
            <v>7</v>
          </cell>
          <cell r="F802">
            <v>7</v>
          </cell>
          <cell r="G802">
            <v>7</v>
          </cell>
          <cell r="H802">
            <v>5</v>
          </cell>
          <cell r="I802">
            <v>175</v>
          </cell>
        </row>
        <row r="803">
          <cell r="A803" t="str">
            <v>Uxie</v>
          </cell>
          <cell r="B803" t="str">
            <v>Psíquico</v>
          </cell>
          <cell r="C803">
            <v>57</v>
          </cell>
          <cell r="D803">
            <v>7</v>
          </cell>
          <cell r="E803">
            <v>13</v>
          </cell>
          <cell r="F803">
            <v>7</v>
          </cell>
          <cell r="G803">
            <v>13</v>
          </cell>
          <cell r="H803">
            <v>9</v>
          </cell>
          <cell r="I803">
            <v>261</v>
          </cell>
        </row>
        <row r="804">
          <cell r="A804" t="str">
            <v>Vanillish</v>
          </cell>
          <cell r="B804" t="str">
            <v>Gelo</v>
          </cell>
          <cell r="C804">
            <v>39</v>
          </cell>
          <cell r="D804">
            <v>6</v>
          </cell>
          <cell r="E804">
            <v>6</v>
          </cell>
          <cell r="F804">
            <v>8</v>
          </cell>
          <cell r="G804">
            <v>7</v>
          </cell>
          <cell r="H804">
            <v>6</v>
          </cell>
          <cell r="I804">
            <v>138</v>
          </cell>
        </row>
        <row r="805">
          <cell r="A805" t="str">
            <v>Vanillite</v>
          </cell>
          <cell r="B805" t="str">
            <v>Gelo</v>
          </cell>
          <cell r="C805">
            <v>27</v>
          </cell>
          <cell r="D805">
            <v>5</v>
          </cell>
          <cell r="E805">
            <v>5</v>
          </cell>
          <cell r="F805">
            <v>6</v>
          </cell>
          <cell r="G805">
            <v>6</v>
          </cell>
          <cell r="H805">
            <v>4</v>
          </cell>
          <cell r="I805">
            <v>61</v>
          </cell>
        </row>
        <row r="806">
          <cell r="A806" t="str">
            <v>Vanilluxe</v>
          </cell>
          <cell r="B806" t="str">
            <v>Gelo</v>
          </cell>
          <cell r="C806">
            <v>54</v>
          </cell>
          <cell r="D806">
            <v>9</v>
          </cell>
          <cell r="E806">
            <v>8</v>
          </cell>
          <cell r="F806">
            <v>11</v>
          </cell>
          <cell r="G806">
            <v>9</v>
          </cell>
          <cell r="H806">
            <v>8</v>
          </cell>
          <cell r="I806">
            <v>241</v>
          </cell>
        </row>
        <row r="807">
          <cell r="A807" t="str">
            <v>Vaporeon</v>
          </cell>
          <cell r="B807" t="str">
            <v>Água</v>
          </cell>
          <cell r="C807">
            <v>98</v>
          </cell>
          <cell r="D807">
            <v>6</v>
          </cell>
          <cell r="E807">
            <v>6</v>
          </cell>
          <cell r="F807">
            <v>11</v>
          </cell>
          <cell r="G807">
            <v>9</v>
          </cell>
          <cell r="H807">
            <v>6</v>
          </cell>
          <cell r="I807">
            <v>184</v>
          </cell>
        </row>
        <row r="808">
          <cell r="A808" t="str">
            <v>Venipede</v>
          </cell>
          <cell r="B808" t="str">
            <v>Inseto\Veneno</v>
          </cell>
          <cell r="C808">
            <v>23</v>
          </cell>
          <cell r="D808">
            <v>4</v>
          </cell>
          <cell r="E808">
            <v>6</v>
          </cell>
          <cell r="F808">
            <v>3</v>
          </cell>
          <cell r="G808">
            <v>4</v>
          </cell>
          <cell r="H808">
            <v>6</v>
          </cell>
          <cell r="I808">
            <v>52</v>
          </cell>
        </row>
        <row r="809">
          <cell r="A809" t="str">
            <v>Venomoth</v>
          </cell>
          <cell r="B809" t="str">
            <v>Inseto/Veneno</v>
          </cell>
          <cell r="C809">
            <v>53</v>
          </cell>
          <cell r="D809">
            <v>6</v>
          </cell>
          <cell r="E809">
            <v>6</v>
          </cell>
          <cell r="F809">
            <v>9</v>
          </cell>
          <cell r="G809">
            <v>7</v>
          </cell>
          <cell r="H809">
            <v>9</v>
          </cell>
          <cell r="I809">
            <v>158</v>
          </cell>
        </row>
        <row r="810">
          <cell r="A810" t="str">
            <v>Venonat</v>
          </cell>
          <cell r="B810" t="str">
            <v>Inseto/Veneno</v>
          </cell>
          <cell r="C810">
            <v>45</v>
          </cell>
          <cell r="D810">
            <v>5</v>
          </cell>
          <cell r="E810">
            <v>5</v>
          </cell>
          <cell r="F810">
            <v>4</v>
          </cell>
          <cell r="G810">
            <v>5</v>
          </cell>
          <cell r="H810">
            <v>4</v>
          </cell>
          <cell r="I810">
            <v>61</v>
          </cell>
        </row>
        <row r="811">
          <cell r="A811" t="str">
            <v>Venusaur</v>
          </cell>
          <cell r="B811" t="str">
            <v>Grama/Veneno</v>
          </cell>
          <cell r="C811">
            <v>60</v>
          </cell>
          <cell r="D811">
            <v>8</v>
          </cell>
          <cell r="E811">
            <v>8</v>
          </cell>
          <cell r="F811">
            <v>10</v>
          </cell>
          <cell r="G811">
            <v>10</v>
          </cell>
          <cell r="H811">
            <v>8</v>
          </cell>
          <cell r="I811">
            <v>236</v>
          </cell>
        </row>
        <row r="812">
          <cell r="A812" t="str">
            <v>Vespiquen</v>
          </cell>
          <cell r="B812" t="str">
            <v>Inseto/Voador</v>
          </cell>
          <cell r="C812">
            <v>53</v>
          </cell>
          <cell r="D812">
            <v>8</v>
          </cell>
          <cell r="E812">
            <v>10</v>
          </cell>
          <cell r="F812">
            <v>8</v>
          </cell>
          <cell r="G812">
            <v>10</v>
          </cell>
          <cell r="H812">
            <v>4</v>
          </cell>
          <cell r="I812">
            <v>166</v>
          </cell>
        </row>
        <row r="813">
          <cell r="A813" t="str">
            <v>Vibrava</v>
          </cell>
          <cell r="B813" t="str">
            <v>Terra/Dragão</v>
          </cell>
          <cell r="C813">
            <v>38</v>
          </cell>
          <cell r="D813">
            <v>7</v>
          </cell>
          <cell r="E813">
            <v>5</v>
          </cell>
          <cell r="F813">
            <v>5</v>
          </cell>
          <cell r="G813">
            <v>5</v>
          </cell>
          <cell r="H813">
            <v>7</v>
          </cell>
          <cell r="I813">
            <v>119</v>
          </cell>
        </row>
        <row r="814">
          <cell r="A814" t="str">
            <v>Victini</v>
          </cell>
          <cell r="B814" t="str">
            <v>Psíquico\Fogo</v>
          </cell>
          <cell r="C814">
            <v>75</v>
          </cell>
          <cell r="D814">
            <v>10</v>
          </cell>
          <cell r="E814">
            <v>10</v>
          </cell>
          <cell r="F814">
            <v>10</v>
          </cell>
          <cell r="G814">
            <v>10</v>
          </cell>
          <cell r="H814">
            <v>10</v>
          </cell>
          <cell r="I814">
            <v>270</v>
          </cell>
        </row>
        <row r="815">
          <cell r="A815" t="str">
            <v>Victreebel</v>
          </cell>
          <cell r="B815" t="str">
            <v>Grama/Veneno</v>
          </cell>
          <cell r="C815">
            <v>60</v>
          </cell>
          <cell r="D815">
            <v>10</v>
          </cell>
          <cell r="E815">
            <v>6</v>
          </cell>
          <cell r="F815">
            <v>10</v>
          </cell>
          <cell r="G815">
            <v>6</v>
          </cell>
          <cell r="H815">
            <v>7</v>
          </cell>
          <cell r="I815">
            <v>221</v>
          </cell>
        </row>
        <row r="816">
          <cell r="A816" t="str">
            <v>Vigoroth</v>
          </cell>
          <cell r="B816" t="str">
            <v>Normal</v>
          </cell>
          <cell r="C816">
            <v>60</v>
          </cell>
          <cell r="D816">
            <v>8</v>
          </cell>
          <cell r="E816">
            <v>8</v>
          </cell>
          <cell r="F816">
            <v>5</v>
          </cell>
          <cell r="G816">
            <v>5</v>
          </cell>
          <cell r="H816">
            <v>9</v>
          </cell>
          <cell r="I816">
            <v>154</v>
          </cell>
        </row>
        <row r="817">
          <cell r="A817" t="str">
            <v>Vikavolt</v>
          </cell>
          <cell r="B817" t="str">
            <v>Inseto\Elétrico</v>
          </cell>
          <cell r="C817">
            <v>58</v>
          </cell>
          <cell r="D817">
            <v>7</v>
          </cell>
          <cell r="E817">
            <v>9</v>
          </cell>
          <cell r="F817">
            <v>14</v>
          </cell>
          <cell r="G817">
            <v>7</v>
          </cell>
          <cell r="H817">
            <v>4</v>
          </cell>
          <cell r="I817">
            <v>225</v>
          </cell>
        </row>
        <row r="818">
          <cell r="A818" t="str">
            <v>Vileplume</v>
          </cell>
          <cell r="B818" t="str">
            <v>Grama/Veneno</v>
          </cell>
          <cell r="C818">
            <v>57</v>
          </cell>
          <cell r="D818">
            <v>8</v>
          </cell>
          <cell r="E818">
            <v>8</v>
          </cell>
          <cell r="F818">
            <v>10</v>
          </cell>
          <cell r="G818">
            <v>9</v>
          </cell>
          <cell r="H818">
            <v>5</v>
          </cell>
          <cell r="I818">
            <v>221</v>
          </cell>
        </row>
        <row r="819">
          <cell r="A819" t="str">
            <v>Virizion</v>
          </cell>
          <cell r="B819" t="str">
            <v>Grama\Lutador</v>
          </cell>
          <cell r="C819">
            <v>69</v>
          </cell>
          <cell r="D819">
            <v>9</v>
          </cell>
          <cell r="E819">
            <v>7</v>
          </cell>
          <cell r="F819">
            <v>9</v>
          </cell>
          <cell r="G819">
            <v>13</v>
          </cell>
          <cell r="H819">
            <v>11</v>
          </cell>
          <cell r="I819">
            <v>261</v>
          </cell>
        </row>
        <row r="820">
          <cell r="A820" t="str">
            <v>Vivillon</v>
          </cell>
          <cell r="B820" t="str">
            <v>Inseto\Voador</v>
          </cell>
          <cell r="C820">
            <v>60</v>
          </cell>
          <cell r="D820">
            <v>5</v>
          </cell>
          <cell r="E820">
            <v>5</v>
          </cell>
          <cell r="F820">
            <v>9</v>
          </cell>
          <cell r="G820">
            <v>5</v>
          </cell>
          <cell r="H820">
            <v>9</v>
          </cell>
          <cell r="I820">
            <v>185</v>
          </cell>
        </row>
        <row r="821">
          <cell r="A821" t="str">
            <v>Volbeat</v>
          </cell>
          <cell r="B821" t="str">
            <v>Inseto</v>
          </cell>
          <cell r="C821">
            <v>49</v>
          </cell>
          <cell r="D821">
            <v>7</v>
          </cell>
          <cell r="E821">
            <v>5</v>
          </cell>
          <cell r="F821">
            <v>5</v>
          </cell>
          <cell r="G821">
            <v>7</v>
          </cell>
          <cell r="H821">
            <v>8</v>
          </cell>
          <cell r="I821">
            <v>151</v>
          </cell>
        </row>
        <row r="822">
          <cell r="A822" t="str">
            <v>Volcanion</v>
          </cell>
          <cell r="B822" t="str">
            <v>Fogo\Água</v>
          </cell>
          <cell r="C822">
            <v>60</v>
          </cell>
          <cell r="D822">
            <v>11</v>
          </cell>
          <cell r="E822">
            <v>12</v>
          </cell>
          <cell r="F822">
            <v>13</v>
          </cell>
          <cell r="G822">
            <v>9</v>
          </cell>
          <cell r="H822">
            <v>7</v>
          </cell>
          <cell r="I822">
            <v>270</v>
          </cell>
        </row>
        <row r="823">
          <cell r="A823" t="str">
            <v>Volcarona</v>
          </cell>
          <cell r="B823" t="str">
            <v>Inseto\Fogo</v>
          </cell>
          <cell r="C823">
            <v>64</v>
          </cell>
          <cell r="D823">
            <v>6</v>
          </cell>
          <cell r="E823">
            <v>6</v>
          </cell>
          <cell r="F823">
            <v>13</v>
          </cell>
          <cell r="G823">
            <v>10</v>
          </cell>
          <cell r="H823">
            <v>10</v>
          </cell>
          <cell r="I823">
            <v>248</v>
          </cell>
        </row>
        <row r="824">
          <cell r="A824" t="str">
            <v>Voltorb</v>
          </cell>
          <cell r="B824" t="str">
            <v>Elétrico</v>
          </cell>
          <cell r="C824">
            <v>30</v>
          </cell>
          <cell r="D824">
            <v>3</v>
          </cell>
          <cell r="E824">
            <v>5</v>
          </cell>
          <cell r="F824">
            <v>5</v>
          </cell>
          <cell r="G824">
            <v>5</v>
          </cell>
          <cell r="H824">
            <v>10</v>
          </cell>
          <cell r="I824">
            <v>66</v>
          </cell>
        </row>
        <row r="825">
          <cell r="A825" t="str">
            <v>Vullaby</v>
          </cell>
          <cell r="B825" t="str">
            <v>Noturno\Voador</v>
          </cell>
          <cell r="C825">
            <v>53</v>
          </cell>
          <cell r="D825">
            <v>5</v>
          </cell>
          <cell r="E825">
            <v>7</v>
          </cell>
          <cell r="F825">
            <v>4</v>
          </cell>
          <cell r="G825">
            <v>6</v>
          </cell>
          <cell r="H825">
            <v>6</v>
          </cell>
          <cell r="I825">
            <v>74</v>
          </cell>
        </row>
        <row r="826">
          <cell r="A826" t="str">
            <v>Vulpix</v>
          </cell>
          <cell r="B826" t="str">
            <v>Fogo</v>
          </cell>
          <cell r="C826">
            <v>29</v>
          </cell>
          <cell r="D826">
            <v>4</v>
          </cell>
          <cell r="E826">
            <v>4</v>
          </cell>
          <cell r="F826">
            <v>5</v>
          </cell>
          <cell r="G826">
            <v>6</v>
          </cell>
          <cell r="H826">
            <v>6</v>
          </cell>
          <cell r="I826">
            <v>60</v>
          </cell>
        </row>
        <row r="827">
          <cell r="A827" t="str">
            <v>Vulpix (Alola)</v>
          </cell>
          <cell r="B827" t="str">
            <v>Gelo</v>
          </cell>
          <cell r="C827">
            <v>29</v>
          </cell>
          <cell r="D827">
            <v>4</v>
          </cell>
          <cell r="E827">
            <v>4</v>
          </cell>
          <cell r="F827">
            <v>5</v>
          </cell>
          <cell r="G827">
            <v>6</v>
          </cell>
          <cell r="H827">
            <v>6</v>
          </cell>
          <cell r="I827">
            <v>60</v>
          </cell>
        </row>
        <row r="828">
          <cell r="A828" t="str">
            <v>Wailmer</v>
          </cell>
          <cell r="B828" t="str">
            <v>Água</v>
          </cell>
          <cell r="C828">
            <v>98</v>
          </cell>
          <cell r="D828">
            <v>7</v>
          </cell>
          <cell r="E828">
            <v>3</v>
          </cell>
          <cell r="F828">
            <v>7</v>
          </cell>
          <cell r="G828">
            <v>3</v>
          </cell>
          <cell r="H828">
            <v>6</v>
          </cell>
          <cell r="I828">
            <v>80</v>
          </cell>
        </row>
        <row r="829">
          <cell r="A829" t="str">
            <v>Wailord</v>
          </cell>
          <cell r="B829" t="str">
            <v>Água</v>
          </cell>
          <cell r="C829">
            <v>128</v>
          </cell>
          <cell r="D829">
            <v>9</v>
          </cell>
          <cell r="E829">
            <v>4</v>
          </cell>
          <cell r="F829">
            <v>9</v>
          </cell>
          <cell r="G829">
            <v>4</v>
          </cell>
          <cell r="H829">
            <v>6</v>
          </cell>
          <cell r="I829">
            <v>175</v>
          </cell>
        </row>
        <row r="830">
          <cell r="A830" t="str">
            <v>Walrein</v>
          </cell>
          <cell r="B830" t="str">
            <v>Gelo/Água</v>
          </cell>
          <cell r="C830">
            <v>83</v>
          </cell>
          <cell r="D830">
            <v>8</v>
          </cell>
          <cell r="E830">
            <v>9</v>
          </cell>
          <cell r="F830">
            <v>9</v>
          </cell>
          <cell r="G830">
            <v>9</v>
          </cell>
          <cell r="H830">
            <v>6</v>
          </cell>
          <cell r="I830">
            <v>239</v>
          </cell>
        </row>
        <row r="831">
          <cell r="A831" t="str">
            <v>Wartortle</v>
          </cell>
          <cell r="B831" t="str">
            <v>Água</v>
          </cell>
          <cell r="C831">
            <v>45</v>
          </cell>
          <cell r="D831">
            <v>6</v>
          </cell>
          <cell r="E831">
            <v>8</v>
          </cell>
          <cell r="F831">
            <v>6</v>
          </cell>
          <cell r="G831">
            <v>8</v>
          </cell>
          <cell r="H831">
            <v>6</v>
          </cell>
          <cell r="I831">
            <v>142</v>
          </cell>
        </row>
        <row r="832">
          <cell r="A832" t="str">
            <v>Watchog</v>
          </cell>
          <cell r="B832" t="str">
            <v>Normal</v>
          </cell>
          <cell r="C832">
            <v>45</v>
          </cell>
          <cell r="D832">
            <v>8</v>
          </cell>
          <cell r="E832">
            <v>7</v>
          </cell>
          <cell r="F832">
            <v>6</v>
          </cell>
          <cell r="G832">
            <v>7</v>
          </cell>
          <cell r="H832">
            <v>8</v>
          </cell>
          <cell r="I832">
            <v>147</v>
          </cell>
        </row>
        <row r="833">
          <cell r="A833" t="str">
            <v>Weavile</v>
          </cell>
          <cell r="B833" t="str">
            <v>Noturno/Gelo</v>
          </cell>
          <cell r="C833">
            <v>53</v>
          </cell>
          <cell r="D833">
            <v>12</v>
          </cell>
          <cell r="E833">
            <v>6</v>
          </cell>
          <cell r="F833">
            <v>4</v>
          </cell>
          <cell r="G833">
            <v>8</v>
          </cell>
          <cell r="H833">
            <v>12</v>
          </cell>
          <cell r="I833">
            <v>179</v>
          </cell>
        </row>
        <row r="834">
          <cell r="A834" t="str">
            <v>Weedle</v>
          </cell>
          <cell r="B834" t="str">
            <v>Inseto/Veneno</v>
          </cell>
          <cell r="C834">
            <v>30</v>
          </cell>
          <cell r="D834">
            <v>3</v>
          </cell>
          <cell r="E834">
            <v>3</v>
          </cell>
          <cell r="F834">
            <v>2</v>
          </cell>
          <cell r="G834">
            <v>2</v>
          </cell>
          <cell r="H834">
            <v>5</v>
          </cell>
          <cell r="I834">
            <v>39</v>
          </cell>
        </row>
        <row r="835">
          <cell r="A835" t="str">
            <v>Weepinbell</v>
          </cell>
          <cell r="B835" t="str">
            <v>Grama/Veneno</v>
          </cell>
          <cell r="C835">
            <v>49</v>
          </cell>
          <cell r="D835">
            <v>9</v>
          </cell>
          <cell r="E835">
            <v>5</v>
          </cell>
          <cell r="F835">
            <v>8</v>
          </cell>
          <cell r="G835">
            <v>4</v>
          </cell>
          <cell r="H835">
            <v>5</v>
          </cell>
          <cell r="I835">
            <v>137</v>
          </cell>
        </row>
        <row r="836">
          <cell r="A836" t="str">
            <v>Weezing</v>
          </cell>
          <cell r="B836" t="str">
            <v>Veneno</v>
          </cell>
          <cell r="C836">
            <v>49</v>
          </cell>
          <cell r="D836">
            <v>9</v>
          </cell>
          <cell r="E836">
            <v>12</v>
          </cell>
          <cell r="F836">
            <v>8</v>
          </cell>
          <cell r="G836">
            <v>7</v>
          </cell>
          <cell r="H836">
            <v>6</v>
          </cell>
          <cell r="I836">
            <v>172</v>
          </cell>
        </row>
        <row r="837">
          <cell r="A837" t="str">
            <v>Whimsicott</v>
          </cell>
          <cell r="B837" t="str">
            <v>Grama\Fada</v>
          </cell>
          <cell r="C837">
            <v>45</v>
          </cell>
          <cell r="D837">
            <v>7</v>
          </cell>
          <cell r="E837">
            <v>8</v>
          </cell>
          <cell r="F837">
            <v>8</v>
          </cell>
          <cell r="G837">
            <v>7</v>
          </cell>
          <cell r="H837">
            <v>12</v>
          </cell>
          <cell r="I837">
            <v>168</v>
          </cell>
        </row>
        <row r="838">
          <cell r="A838" t="str">
            <v>Whirlipede</v>
          </cell>
          <cell r="B838" t="str">
            <v>Inseto\Veneno</v>
          </cell>
          <cell r="C838">
            <v>30</v>
          </cell>
          <cell r="D838">
            <v>5</v>
          </cell>
          <cell r="E838">
            <v>10</v>
          </cell>
          <cell r="F838">
            <v>4</v>
          </cell>
          <cell r="G838">
            <v>8</v>
          </cell>
          <cell r="H838">
            <v>5</v>
          </cell>
          <cell r="I838">
            <v>126</v>
          </cell>
        </row>
        <row r="839">
          <cell r="A839" t="str">
            <v>Whiscash</v>
          </cell>
          <cell r="B839" t="str">
            <v>Água/Terra</v>
          </cell>
          <cell r="C839">
            <v>83</v>
          </cell>
          <cell r="D839">
            <v>8</v>
          </cell>
          <cell r="E839">
            <v>7</v>
          </cell>
          <cell r="F839">
            <v>8</v>
          </cell>
          <cell r="G839">
            <v>7</v>
          </cell>
          <cell r="H839">
            <v>6</v>
          </cell>
          <cell r="I839">
            <v>164</v>
          </cell>
        </row>
        <row r="840">
          <cell r="A840" t="str">
            <v>Whismur</v>
          </cell>
          <cell r="B840" t="str">
            <v>Normal</v>
          </cell>
          <cell r="C840">
            <v>48</v>
          </cell>
          <cell r="D840">
            <v>5</v>
          </cell>
          <cell r="E840">
            <v>2</v>
          </cell>
          <cell r="F840">
            <v>5</v>
          </cell>
          <cell r="G840">
            <v>2</v>
          </cell>
          <cell r="H840">
            <v>3</v>
          </cell>
          <cell r="I840">
            <v>48</v>
          </cell>
        </row>
        <row r="841">
          <cell r="A841" t="str">
            <v>Wigglytuff</v>
          </cell>
          <cell r="B841" t="str">
            <v>Normal/Fada</v>
          </cell>
          <cell r="C841">
            <v>105</v>
          </cell>
          <cell r="D841">
            <v>7</v>
          </cell>
          <cell r="E841">
            <v>4</v>
          </cell>
          <cell r="F841">
            <v>7</v>
          </cell>
          <cell r="G841">
            <v>5</v>
          </cell>
          <cell r="H841">
            <v>4</v>
          </cell>
          <cell r="I841">
            <v>196</v>
          </cell>
        </row>
        <row r="842">
          <cell r="A842" t="str">
            <v>Wimpod</v>
          </cell>
          <cell r="B842" t="str">
            <v>Inseto\Água</v>
          </cell>
          <cell r="C842">
            <v>19</v>
          </cell>
          <cell r="D842">
            <v>3</v>
          </cell>
          <cell r="E842">
            <v>4</v>
          </cell>
          <cell r="F842">
            <v>2</v>
          </cell>
          <cell r="G842">
            <v>3</v>
          </cell>
          <cell r="H842">
            <v>8</v>
          </cell>
          <cell r="I842">
            <v>46</v>
          </cell>
        </row>
        <row r="843">
          <cell r="A843" t="str">
            <v>Wingull</v>
          </cell>
          <cell r="B843" t="str">
            <v>Água/Voador</v>
          </cell>
          <cell r="C843">
            <v>30</v>
          </cell>
          <cell r="D843">
            <v>3</v>
          </cell>
          <cell r="E843">
            <v>3</v>
          </cell>
          <cell r="F843">
            <v>5</v>
          </cell>
          <cell r="G843">
            <v>3</v>
          </cell>
          <cell r="H843">
            <v>8</v>
          </cell>
          <cell r="I843">
            <v>54</v>
          </cell>
        </row>
        <row r="844">
          <cell r="A844" t="str">
            <v>Wishiwashi (Cardume)</v>
          </cell>
          <cell r="B844" t="str">
            <v>Água</v>
          </cell>
          <cell r="C844">
            <v>34</v>
          </cell>
          <cell r="D844">
            <v>14</v>
          </cell>
          <cell r="E844">
            <v>13</v>
          </cell>
          <cell r="F844">
            <v>14</v>
          </cell>
          <cell r="G844">
            <v>13</v>
          </cell>
          <cell r="H844">
            <v>3</v>
          </cell>
          <cell r="I844">
            <v>61</v>
          </cell>
        </row>
        <row r="845">
          <cell r="A845" t="str">
            <v>Wishiwashi (Sozinho)</v>
          </cell>
          <cell r="B845" t="str">
            <v>Água</v>
          </cell>
          <cell r="C845">
            <v>34</v>
          </cell>
          <cell r="D845">
            <v>2</v>
          </cell>
          <cell r="E845">
            <v>2</v>
          </cell>
          <cell r="F845">
            <v>2</v>
          </cell>
          <cell r="G845">
            <v>2</v>
          </cell>
          <cell r="H845">
            <v>4</v>
          </cell>
          <cell r="I845">
            <v>61</v>
          </cell>
        </row>
        <row r="846">
          <cell r="A846" t="str">
            <v>Wobbuffet</v>
          </cell>
          <cell r="B846" t="str">
            <v>Psíquico</v>
          </cell>
          <cell r="C846">
            <v>143</v>
          </cell>
          <cell r="D846">
            <v>3</v>
          </cell>
          <cell r="E846">
            <v>6</v>
          </cell>
          <cell r="F846">
            <v>3</v>
          </cell>
          <cell r="G846">
            <v>6</v>
          </cell>
          <cell r="H846">
            <v>3</v>
          </cell>
          <cell r="I846">
            <v>142</v>
          </cell>
        </row>
        <row r="847">
          <cell r="A847" t="str">
            <v>Woobat</v>
          </cell>
          <cell r="B847" t="str">
            <v>Psíquico\Voador</v>
          </cell>
          <cell r="C847">
            <v>42</v>
          </cell>
          <cell r="D847">
            <v>4</v>
          </cell>
          <cell r="E847">
            <v>4</v>
          </cell>
          <cell r="F847">
            <v>5</v>
          </cell>
          <cell r="G847">
            <v>4</v>
          </cell>
          <cell r="H847">
            <v>7</v>
          </cell>
          <cell r="I847">
            <v>65</v>
          </cell>
        </row>
        <row r="848">
          <cell r="A848" t="str">
            <v>Wooper</v>
          </cell>
          <cell r="B848" t="str">
            <v>Água/Terra</v>
          </cell>
          <cell r="C848">
            <v>42</v>
          </cell>
          <cell r="D848">
            <v>4</v>
          </cell>
          <cell r="E848">
            <v>4</v>
          </cell>
          <cell r="F848">
            <v>2</v>
          </cell>
          <cell r="G848">
            <v>2</v>
          </cell>
          <cell r="H848">
            <v>1</v>
          </cell>
          <cell r="I848">
            <v>42</v>
          </cell>
        </row>
        <row r="849">
          <cell r="A849" t="str">
            <v>Wormadam (Arenoso)</v>
          </cell>
          <cell r="B849" t="str">
            <v>Inseto/Terra</v>
          </cell>
          <cell r="C849">
            <v>45</v>
          </cell>
          <cell r="D849">
            <v>8</v>
          </cell>
          <cell r="E849">
            <v>10</v>
          </cell>
          <cell r="F849">
            <v>6</v>
          </cell>
          <cell r="G849">
            <v>8</v>
          </cell>
          <cell r="H849">
            <v>4</v>
          </cell>
          <cell r="I849">
            <v>148</v>
          </cell>
        </row>
        <row r="850">
          <cell r="A850" t="str">
            <v>Wormadam (Entulho)</v>
          </cell>
          <cell r="B850" t="str">
            <v>Inseto/Metal</v>
          </cell>
          <cell r="C850">
            <v>45</v>
          </cell>
          <cell r="D850">
            <v>7</v>
          </cell>
          <cell r="E850">
            <v>9</v>
          </cell>
          <cell r="F850">
            <v>7</v>
          </cell>
          <cell r="G850">
            <v>9</v>
          </cell>
          <cell r="H850">
            <v>4</v>
          </cell>
          <cell r="I850">
            <v>148</v>
          </cell>
        </row>
        <row r="851">
          <cell r="A851" t="str">
            <v>Wormadam (Planta)</v>
          </cell>
          <cell r="B851" t="str">
            <v>Inseto/Grama</v>
          </cell>
          <cell r="C851">
            <v>45</v>
          </cell>
          <cell r="D851">
            <v>6</v>
          </cell>
          <cell r="E851">
            <v>8</v>
          </cell>
          <cell r="F851">
            <v>8</v>
          </cell>
          <cell r="G851">
            <v>10</v>
          </cell>
          <cell r="H851">
            <v>4</v>
          </cell>
          <cell r="I851">
            <v>148</v>
          </cell>
        </row>
        <row r="852">
          <cell r="A852" t="str">
            <v>Wurmple</v>
          </cell>
          <cell r="B852" t="str">
            <v>Inseto</v>
          </cell>
          <cell r="C852">
            <v>34</v>
          </cell>
          <cell r="D852">
            <v>4</v>
          </cell>
          <cell r="E852">
            <v>3</v>
          </cell>
          <cell r="F852">
            <v>2</v>
          </cell>
          <cell r="G852">
            <v>3</v>
          </cell>
          <cell r="H852">
            <v>2</v>
          </cell>
          <cell r="I852">
            <v>56</v>
          </cell>
        </row>
        <row r="853">
          <cell r="A853" t="str">
            <v>Wynaut</v>
          </cell>
          <cell r="B853" t="str">
            <v>Psíquico</v>
          </cell>
          <cell r="C853">
            <v>72</v>
          </cell>
          <cell r="D853">
            <v>2</v>
          </cell>
          <cell r="E853">
            <v>5</v>
          </cell>
          <cell r="F853">
            <v>2</v>
          </cell>
          <cell r="G853">
            <v>5</v>
          </cell>
          <cell r="H853">
            <v>2</v>
          </cell>
          <cell r="I853">
            <v>52</v>
          </cell>
        </row>
        <row r="854">
          <cell r="A854" t="str">
            <v>Xatu</v>
          </cell>
          <cell r="B854" t="str">
            <v>Psíquico/Voador</v>
          </cell>
          <cell r="C854">
            <v>49</v>
          </cell>
          <cell r="D854">
            <v>7</v>
          </cell>
          <cell r="E854">
            <v>7</v>
          </cell>
          <cell r="F854">
            <v>9</v>
          </cell>
          <cell r="G854">
            <v>7</v>
          </cell>
          <cell r="H854">
            <v>9</v>
          </cell>
          <cell r="I854">
            <v>165</v>
          </cell>
        </row>
        <row r="855">
          <cell r="A855" t="str">
            <v>Xerneas</v>
          </cell>
          <cell r="B855" t="str">
            <v>Fada</v>
          </cell>
          <cell r="C855">
            <v>95</v>
          </cell>
          <cell r="D855">
            <v>13</v>
          </cell>
          <cell r="E855">
            <v>9</v>
          </cell>
          <cell r="F855">
            <v>13</v>
          </cell>
          <cell r="G855">
            <v>10</v>
          </cell>
          <cell r="H855">
            <v>10</v>
          </cell>
          <cell r="I855">
            <v>306</v>
          </cell>
        </row>
        <row r="856">
          <cell r="A856" t="str">
            <v>Xurkitree</v>
          </cell>
          <cell r="B856" t="str">
            <v>Elétrico</v>
          </cell>
          <cell r="C856">
            <v>63</v>
          </cell>
          <cell r="D856">
            <v>9</v>
          </cell>
          <cell r="E856">
            <v>7</v>
          </cell>
          <cell r="F856">
            <v>17</v>
          </cell>
          <cell r="G856">
            <v>7</v>
          </cell>
          <cell r="H856">
            <v>8</v>
          </cell>
          <cell r="I856">
            <v>257</v>
          </cell>
        </row>
        <row r="857">
          <cell r="A857" t="str">
            <v>Yamask</v>
          </cell>
          <cell r="B857" t="str">
            <v>Fantasma</v>
          </cell>
          <cell r="C857">
            <v>29</v>
          </cell>
          <cell r="D857">
            <v>3</v>
          </cell>
          <cell r="E857">
            <v>8</v>
          </cell>
          <cell r="F857">
            <v>5</v>
          </cell>
          <cell r="G857">
            <v>6</v>
          </cell>
          <cell r="H857">
            <v>3</v>
          </cell>
          <cell r="I857">
            <v>61</v>
          </cell>
        </row>
        <row r="858">
          <cell r="A858" t="str">
            <v>Yanma</v>
          </cell>
          <cell r="B858" t="str">
            <v>Inseto/Voador</v>
          </cell>
          <cell r="C858">
            <v>49</v>
          </cell>
          <cell r="D858">
            <v>6</v>
          </cell>
          <cell r="E858">
            <v>4</v>
          </cell>
          <cell r="F858">
            <v>7</v>
          </cell>
          <cell r="G858">
            <v>4</v>
          </cell>
          <cell r="H858">
            <v>9</v>
          </cell>
          <cell r="I858">
            <v>78</v>
          </cell>
        </row>
        <row r="859">
          <cell r="A859" t="str">
            <v>Yanmega</v>
          </cell>
          <cell r="B859" t="str">
            <v>Inseto/Voador</v>
          </cell>
          <cell r="C859">
            <v>65</v>
          </cell>
          <cell r="D859">
            <v>8</v>
          </cell>
          <cell r="E859">
            <v>9</v>
          </cell>
          <cell r="F859">
            <v>12</v>
          </cell>
          <cell r="G859">
            <v>6</v>
          </cell>
          <cell r="H859">
            <v>9</v>
          </cell>
          <cell r="I859">
            <v>180</v>
          </cell>
        </row>
        <row r="860">
          <cell r="A860" t="str">
            <v>Yungoos</v>
          </cell>
          <cell r="B860" t="str">
            <v>Normal</v>
          </cell>
          <cell r="C860">
            <v>36</v>
          </cell>
          <cell r="D860">
            <v>7</v>
          </cell>
          <cell r="E860">
            <v>3</v>
          </cell>
          <cell r="F860">
            <v>3</v>
          </cell>
          <cell r="G860">
            <v>3</v>
          </cell>
          <cell r="H860">
            <v>4</v>
          </cell>
          <cell r="I860">
            <v>51</v>
          </cell>
        </row>
        <row r="861">
          <cell r="A861" t="str">
            <v>Yveltal</v>
          </cell>
          <cell r="B861" t="str">
            <v>Noturno\Voador</v>
          </cell>
          <cell r="C861">
            <v>95</v>
          </cell>
          <cell r="D861">
            <v>13</v>
          </cell>
          <cell r="E861">
            <v>9</v>
          </cell>
          <cell r="F861">
            <v>13</v>
          </cell>
          <cell r="G861">
            <v>10</v>
          </cell>
          <cell r="H861">
            <v>10</v>
          </cell>
          <cell r="I861">
            <v>306</v>
          </cell>
        </row>
        <row r="862">
          <cell r="A862" t="str">
            <v>Zangoose</v>
          </cell>
          <cell r="B862" t="str">
            <v>Normal</v>
          </cell>
          <cell r="C862">
            <v>55</v>
          </cell>
          <cell r="D862">
            <v>11</v>
          </cell>
          <cell r="E862">
            <v>6</v>
          </cell>
          <cell r="F862">
            <v>6</v>
          </cell>
          <cell r="G862">
            <v>6</v>
          </cell>
          <cell r="H862">
            <v>9</v>
          </cell>
          <cell r="I862">
            <v>160</v>
          </cell>
        </row>
        <row r="863">
          <cell r="A863" t="str">
            <v>Zapdos</v>
          </cell>
          <cell r="B863" t="str">
            <v>Elétrico/Voador</v>
          </cell>
          <cell r="C863">
            <v>68</v>
          </cell>
          <cell r="D863">
            <v>9</v>
          </cell>
          <cell r="E863">
            <v>8</v>
          </cell>
          <cell r="F863">
            <v>12</v>
          </cell>
          <cell r="G863">
            <v>9</v>
          </cell>
          <cell r="H863">
            <v>10</v>
          </cell>
          <cell r="I863">
            <v>261</v>
          </cell>
        </row>
        <row r="864">
          <cell r="A864" t="str">
            <v>Zebstrika</v>
          </cell>
          <cell r="B864" t="str">
            <v>Elétrico</v>
          </cell>
          <cell r="C864">
            <v>57</v>
          </cell>
          <cell r="D864">
            <v>10</v>
          </cell>
          <cell r="E864">
            <v>6</v>
          </cell>
          <cell r="F864">
            <v>8</v>
          </cell>
          <cell r="G864">
            <v>6</v>
          </cell>
          <cell r="H864">
            <v>12</v>
          </cell>
          <cell r="I864">
            <v>174</v>
          </cell>
        </row>
        <row r="865">
          <cell r="A865" t="str">
            <v>Zekrom</v>
          </cell>
          <cell r="B865" t="str">
            <v>Dragão\Elétrico</v>
          </cell>
          <cell r="C865">
            <v>75</v>
          </cell>
          <cell r="D865">
            <v>15</v>
          </cell>
          <cell r="E865">
            <v>12</v>
          </cell>
          <cell r="F865">
            <v>12</v>
          </cell>
          <cell r="G865">
            <v>10</v>
          </cell>
          <cell r="H865">
            <v>9</v>
          </cell>
          <cell r="I865">
            <v>306</v>
          </cell>
        </row>
        <row r="866">
          <cell r="A866" t="str">
            <v>Zeraora</v>
          </cell>
          <cell r="B866" t="str">
            <v>Elétrico</v>
          </cell>
          <cell r="C866">
            <v>66</v>
          </cell>
          <cell r="D866">
            <v>11</v>
          </cell>
          <cell r="E866">
            <v>7</v>
          </cell>
          <cell r="F866">
            <v>10</v>
          </cell>
          <cell r="G866">
            <v>8</v>
          </cell>
          <cell r="H866">
            <v>14</v>
          </cell>
          <cell r="I866">
            <v>270</v>
          </cell>
        </row>
        <row r="867">
          <cell r="A867" t="str">
            <v>Zigzagoon</v>
          </cell>
          <cell r="B867" t="str">
            <v>Normal</v>
          </cell>
          <cell r="C867">
            <v>29</v>
          </cell>
          <cell r="D867">
            <v>3</v>
          </cell>
          <cell r="E867">
            <v>4</v>
          </cell>
          <cell r="F867">
            <v>3</v>
          </cell>
          <cell r="G867">
            <v>4</v>
          </cell>
          <cell r="H867">
            <v>6</v>
          </cell>
          <cell r="I867">
            <v>56</v>
          </cell>
        </row>
        <row r="868">
          <cell r="A868" t="str">
            <v>Zoroark</v>
          </cell>
          <cell r="B868" t="str">
            <v>Noturno</v>
          </cell>
          <cell r="C868">
            <v>45</v>
          </cell>
          <cell r="D868">
            <v>10</v>
          </cell>
          <cell r="E868">
            <v>6</v>
          </cell>
          <cell r="F868">
            <v>12</v>
          </cell>
          <cell r="G868">
            <v>6</v>
          </cell>
          <cell r="H868">
            <v>10</v>
          </cell>
          <cell r="I868">
            <v>179</v>
          </cell>
        </row>
        <row r="869">
          <cell r="A869" t="str">
            <v>Zorua</v>
          </cell>
          <cell r="B869" t="str">
            <v>Noturno</v>
          </cell>
          <cell r="C869">
            <v>30</v>
          </cell>
          <cell r="D869">
            <v>6</v>
          </cell>
          <cell r="E869">
            <v>4</v>
          </cell>
          <cell r="F869">
            <v>8</v>
          </cell>
          <cell r="G869">
            <v>4</v>
          </cell>
          <cell r="H869">
            <v>6</v>
          </cell>
          <cell r="I869">
            <v>66</v>
          </cell>
        </row>
        <row r="870">
          <cell r="A870" t="str">
            <v>Zubat</v>
          </cell>
          <cell r="B870" t="str">
            <v>Veneno/Voador</v>
          </cell>
          <cell r="C870">
            <v>30</v>
          </cell>
          <cell r="D870">
            <v>4</v>
          </cell>
          <cell r="E870">
            <v>3</v>
          </cell>
          <cell r="F870">
            <v>3</v>
          </cell>
          <cell r="G870">
            <v>4</v>
          </cell>
          <cell r="H870">
            <v>5</v>
          </cell>
          <cell r="I870">
            <v>49</v>
          </cell>
        </row>
        <row r="871">
          <cell r="A871" t="str">
            <v>Zweilous</v>
          </cell>
          <cell r="B871" t="str">
            <v>Noturno\Dragão</v>
          </cell>
          <cell r="C871">
            <v>54</v>
          </cell>
          <cell r="D871">
            <v>8</v>
          </cell>
          <cell r="E871">
            <v>7</v>
          </cell>
          <cell r="F871">
            <v>6</v>
          </cell>
          <cell r="G871">
            <v>7</v>
          </cell>
          <cell r="H871">
            <v>6</v>
          </cell>
          <cell r="I871">
            <v>147</v>
          </cell>
        </row>
        <row r="872">
          <cell r="A872" t="str">
            <v>Zygarde (10%)</v>
          </cell>
          <cell r="B872" t="str">
            <v>Dragão\Terra</v>
          </cell>
          <cell r="C872">
            <v>41</v>
          </cell>
          <cell r="D872">
            <v>10</v>
          </cell>
          <cell r="E872">
            <v>7</v>
          </cell>
          <cell r="F872">
            <v>6</v>
          </cell>
          <cell r="G872">
            <v>8</v>
          </cell>
          <cell r="H872">
            <v>11</v>
          </cell>
          <cell r="I872">
            <v>270</v>
          </cell>
        </row>
        <row r="873">
          <cell r="A873" t="str">
            <v>Zygarde (100%)</v>
          </cell>
          <cell r="B873" t="str">
            <v>Dragão\Terra</v>
          </cell>
          <cell r="C873">
            <v>162</v>
          </cell>
          <cell r="D873">
            <v>10</v>
          </cell>
          <cell r="E873">
            <v>12</v>
          </cell>
          <cell r="F873">
            <v>9</v>
          </cell>
          <cell r="G873">
            <v>9</v>
          </cell>
          <cell r="H873">
            <v>8</v>
          </cell>
          <cell r="I873">
            <v>270</v>
          </cell>
        </row>
        <row r="874">
          <cell r="A874" t="str">
            <v>Zygarde (50%)</v>
          </cell>
          <cell r="B874" t="str">
            <v>Dragão\Terra</v>
          </cell>
          <cell r="C874">
            <v>81</v>
          </cell>
          <cell r="D874">
            <v>10</v>
          </cell>
          <cell r="E874">
            <v>12</v>
          </cell>
          <cell r="F874">
            <v>8</v>
          </cell>
          <cell r="G874">
            <v>9</v>
          </cell>
          <cell r="H874">
            <v>9</v>
          </cell>
          <cell r="I874">
            <v>270</v>
          </cell>
        </row>
      </sheetData>
      <sheetData sheetId="5" refreshError="1"/>
      <sheetData sheetId="6" refreshError="1">
        <row r="3">
          <cell r="C3">
            <v>0</v>
          </cell>
          <cell r="D3">
            <v>25</v>
          </cell>
          <cell r="E3">
            <v>1</v>
          </cell>
          <cell r="F3">
            <v>0</v>
          </cell>
          <cell r="H3">
            <v>0</v>
          </cell>
          <cell r="I3">
            <v>3</v>
          </cell>
          <cell r="J3">
            <v>1</v>
          </cell>
          <cell r="K3">
            <v>0</v>
          </cell>
        </row>
        <row r="4">
          <cell r="C4">
            <v>26</v>
          </cell>
          <cell r="D4">
            <v>40</v>
          </cell>
          <cell r="E4">
            <v>1</v>
          </cell>
          <cell r="F4">
            <v>1</v>
          </cell>
          <cell r="H4">
            <v>4</v>
          </cell>
          <cell r="I4">
            <v>5</v>
          </cell>
          <cell r="J4">
            <v>1</v>
          </cell>
          <cell r="K4">
            <v>1</v>
          </cell>
        </row>
        <row r="5">
          <cell r="C5">
            <v>41</v>
          </cell>
          <cell r="D5">
            <v>55</v>
          </cell>
          <cell r="E5">
            <v>2</v>
          </cell>
          <cell r="F5">
            <v>1</v>
          </cell>
          <cell r="H5">
            <v>6</v>
          </cell>
          <cell r="I5">
            <v>7</v>
          </cell>
          <cell r="J5">
            <v>2</v>
          </cell>
          <cell r="K5">
            <v>1</v>
          </cell>
        </row>
        <row r="6">
          <cell r="C6">
            <v>56</v>
          </cell>
          <cell r="D6">
            <v>70</v>
          </cell>
          <cell r="E6">
            <v>2</v>
          </cell>
          <cell r="F6">
            <v>2</v>
          </cell>
          <cell r="H6">
            <v>8</v>
          </cell>
          <cell r="I6">
            <v>9</v>
          </cell>
          <cell r="J6">
            <v>2</v>
          </cell>
          <cell r="K6">
            <v>2</v>
          </cell>
        </row>
        <row r="7">
          <cell r="C7">
            <v>71</v>
          </cell>
          <cell r="D7">
            <v>85</v>
          </cell>
          <cell r="E7">
            <v>3</v>
          </cell>
          <cell r="F7">
            <v>2</v>
          </cell>
          <cell r="H7">
            <v>10</v>
          </cell>
          <cell r="I7">
            <v>11</v>
          </cell>
          <cell r="J7">
            <v>3</v>
          </cell>
          <cell r="K7">
            <v>2</v>
          </cell>
        </row>
        <row r="8">
          <cell r="C8">
            <v>86</v>
          </cell>
          <cell r="D8">
            <v>100</v>
          </cell>
          <cell r="E8">
            <v>3</v>
          </cell>
          <cell r="F8">
            <v>3</v>
          </cell>
          <cell r="H8">
            <v>12</v>
          </cell>
          <cell r="I8">
            <v>13</v>
          </cell>
          <cell r="J8">
            <v>3</v>
          </cell>
          <cell r="K8">
            <v>3</v>
          </cell>
        </row>
        <row r="9">
          <cell r="C9">
            <v>101</v>
          </cell>
          <cell r="D9">
            <v>120</v>
          </cell>
          <cell r="E9">
            <v>4</v>
          </cell>
          <cell r="F9">
            <v>3</v>
          </cell>
          <cell r="H9">
            <v>14</v>
          </cell>
          <cell r="I9">
            <v>15</v>
          </cell>
          <cell r="J9">
            <v>4</v>
          </cell>
          <cell r="K9">
            <v>3</v>
          </cell>
        </row>
        <row r="10">
          <cell r="C10">
            <v>121</v>
          </cell>
          <cell r="D10">
            <v>140</v>
          </cell>
          <cell r="E10">
            <v>4</v>
          </cell>
          <cell r="F10">
            <v>4</v>
          </cell>
          <cell r="H10">
            <v>16</v>
          </cell>
          <cell r="I10">
            <v>18</v>
          </cell>
          <cell r="J10">
            <v>4</v>
          </cell>
          <cell r="K10">
            <v>4</v>
          </cell>
        </row>
        <row r="11">
          <cell r="C11">
            <v>141</v>
          </cell>
          <cell r="D11">
            <v>160</v>
          </cell>
          <cell r="E11">
            <v>5</v>
          </cell>
          <cell r="F11">
            <v>4</v>
          </cell>
          <cell r="H11">
            <v>19</v>
          </cell>
          <cell r="I11">
            <v>21</v>
          </cell>
          <cell r="J11">
            <v>5</v>
          </cell>
          <cell r="K11">
            <v>4</v>
          </cell>
        </row>
        <row r="12">
          <cell r="C12">
            <v>161</v>
          </cell>
          <cell r="D12">
            <v>200</v>
          </cell>
          <cell r="E12">
            <v>5</v>
          </cell>
          <cell r="F12">
            <v>5</v>
          </cell>
          <cell r="H12">
            <v>22</v>
          </cell>
          <cell r="I12">
            <v>23</v>
          </cell>
          <cell r="J12">
            <v>5</v>
          </cell>
          <cell r="K12">
            <v>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Gerador de Pokémon"/>
      <sheetName val="% de Captura"/>
      <sheetName val="Experiência"/>
      <sheetName val="CPP - Vender Pokémon"/>
      <sheetName val="Criadouro Pokémon"/>
      <sheetName val="Pokemon"/>
      <sheetName val="Dados"/>
      <sheetName val="Golp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-</v>
          </cell>
          <cell r="B1" t="str">
            <v>-</v>
          </cell>
          <cell r="C1" t="str">
            <v>-</v>
          </cell>
          <cell r="D1">
            <v>0</v>
          </cell>
          <cell r="E1" t="str">
            <v>-</v>
          </cell>
          <cell r="F1" t="str">
            <v>-</v>
          </cell>
          <cell r="G1" t="str">
            <v>-</v>
          </cell>
        </row>
        <row r="2">
          <cell r="A2" t="str">
            <v>Astonish</v>
          </cell>
          <cell r="B2" t="str">
            <v>Fantasma</v>
          </cell>
          <cell r="C2" t="str">
            <v>Físico</v>
          </cell>
          <cell r="D2">
            <v>4</v>
          </cell>
          <cell r="E2" t="str">
            <v>4d6</v>
          </cell>
          <cell r="F2">
            <v>1</v>
          </cell>
          <cell r="G2" t="str">
            <v>Causa dano e tem 30% de chance de causar condição Recuando.</v>
          </cell>
        </row>
        <row r="3">
          <cell r="A3" t="str">
            <v>Absorb</v>
          </cell>
          <cell r="B3" t="str">
            <v>Grama</v>
          </cell>
          <cell r="C3" t="str">
            <v>Especial</v>
          </cell>
          <cell r="D3">
            <v>5</v>
          </cell>
          <cell r="E3" t="str">
            <v>2d6</v>
          </cell>
          <cell r="F3">
            <v>1</v>
          </cell>
          <cell r="G3" t="str">
            <v>Causa dano e recupera 50% do PV diminuido do adversário.</v>
          </cell>
        </row>
        <row r="4">
          <cell r="A4" t="str">
            <v>Acid</v>
          </cell>
          <cell r="B4" t="str">
            <v>Veneno</v>
          </cell>
          <cell r="C4" t="str">
            <v>Especial</v>
          </cell>
          <cell r="D4">
            <v>3</v>
          </cell>
          <cell r="E4" t="str">
            <v>4d6</v>
          </cell>
          <cell r="F4">
            <v>1</v>
          </cell>
          <cell r="G4" t="str">
            <v>Causa dano e tem 10% de chance de diminuir a Defesa Especial do adversário em 10% do total (diminuição máxima de 60%).</v>
          </cell>
        </row>
        <row r="5">
          <cell r="A5" t="str">
            <v>Gastro Acid</v>
          </cell>
          <cell r="B5" t="str">
            <v>Veneno</v>
          </cell>
          <cell r="C5" t="str">
            <v>Estado</v>
          </cell>
          <cell r="D5">
            <v>2</v>
          </cell>
          <cell r="E5" t="str">
            <v>-</v>
          </cell>
          <cell r="F5">
            <v>1</v>
          </cell>
          <cell r="G5" t="str">
            <v>Inutiliza as habilidades do pokémon adversário (não aplicável para habilidades específicas dos pokémon)</v>
          </cell>
        </row>
        <row r="6">
          <cell r="A6" t="str">
            <v>Acrobatics</v>
          </cell>
          <cell r="B6" t="str">
            <v>Voador</v>
          </cell>
          <cell r="C6" t="str">
            <v>Físico</v>
          </cell>
          <cell r="D6">
            <v>7</v>
          </cell>
          <cell r="E6" t="str">
            <v>6d6</v>
          </cell>
          <cell r="F6">
            <v>1</v>
          </cell>
          <cell r="G6" t="str">
            <v>Causa dano e se não estiver carregando um item o dano é dobrado.</v>
          </cell>
        </row>
        <row r="7">
          <cell r="A7" t="str">
            <v>Acupressure</v>
          </cell>
          <cell r="B7" t="str">
            <v>Normal</v>
          </cell>
          <cell r="C7" t="str">
            <v>Estado</v>
          </cell>
          <cell r="D7">
            <v>2</v>
          </cell>
          <cell r="E7" t="str">
            <v>-</v>
          </cell>
          <cell r="F7">
            <v>1</v>
          </cell>
          <cell r="G7" t="str">
            <v>Aumenta aleatóriamente um atributo em 20% do total (aumento máximo de 60% em cada).</v>
          </cell>
        </row>
        <row r="8">
          <cell r="A8" t="str">
            <v>Crush Grip</v>
          </cell>
          <cell r="B8" t="str">
            <v>Normal</v>
          </cell>
          <cell r="C8" t="str">
            <v>Físico</v>
          </cell>
          <cell r="D8">
            <v>12</v>
          </cell>
          <cell r="E8" t="str">
            <v>-</v>
          </cell>
          <cell r="F8">
            <v>1</v>
          </cell>
          <cell r="G8" t="str">
            <v>Causa (PV restante do adversário dividido pelo PV total do adversário vezes 10)d6 de dano.</v>
          </cell>
        </row>
        <row r="9">
          <cell r="A9" t="str">
            <v>Agility</v>
          </cell>
          <cell r="B9" t="str">
            <v>Psíquico</v>
          </cell>
          <cell r="C9" t="str">
            <v>Estado</v>
          </cell>
          <cell r="D9">
            <v>4</v>
          </cell>
          <cell r="E9" t="str">
            <v>-</v>
          </cell>
          <cell r="F9">
            <v>1</v>
          </cell>
          <cell r="G9" t="str">
            <v>(+20%) VEL + 1 AGL (máx 1)</v>
          </cell>
        </row>
        <row r="10">
          <cell r="A10" t="str">
            <v>Muddy Water</v>
          </cell>
          <cell r="B10" t="str">
            <v>Água</v>
          </cell>
          <cell r="C10" t="str">
            <v>Especial</v>
          </cell>
          <cell r="D10">
            <v>9</v>
          </cell>
          <cell r="E10" t="str">
            <v>10d6</v>
          </cell>
          <cell r="F10">
            <v>0.85</v>
          </cell>
          <cell r="G10" t="str">
            <v>Causa dano e tem 30% de chance de diminuir a Precisão de todos os golpes do adversário em 10% (diminuição máxima de 60%).</v>
          </cell>
        </row>
        <row r="11">
          <cell r="A11" t="str">
            <v>Bide</v>
          </cell>
          <cell r="B11" t="str">
            <v>Normal</v>
          </cell>
          <cell r="C11" t="str">
            <v>Físico</v>
          </cell>
          <cell r="D11">
            <v>8</v>
          </cell>
          <cell r="E11" t="str">
            <v>-</v>
          </cell>
          <cell r="F11">
            <v>1</v>
          </cell>
          <cell r="G11" t="str">
            <v>Causa o dobro do dano recebido durante dois turnos, no final do segundo turno (nos turnos que aguarda, não pode atacar, nem rolar os dados para se defender).</v>
          </cell>
        </row>
        <row r="12">
          <cell r="A12" t="str">
            <v>Screech</v>
          </cell>
          <cell r="B12" t="str">
            <v>Normal</v>
          </cell>
          <cell r="C12" t="str">
            <v>Estado</v>
          </cell>
          <cell r="D12">
            <v>2</v>
          </cell>
          <cell r="E12" t="str">
            <v>-</v>
          </cell>
          <cell r="F12">
            <v>0.85</v>
          </cell>
          <cell r="G12" t="str">
            <v>Diminui a Defesa do adversário em 20% do total (diminuição máxima de 60%).</v>
          </cell>
        </row>
        <row r="13">
          <cell r="A13" t="str">
            <v>Twineedle</v>
          </cell>
          <cell r="B13" t="str">
            <v>Inseto</v>
          </cell>
          <cell r="C13" t="str">
            <v>Físico</v>
          </cell>
          <cell r="D13">
            <v>6</v>
          </cell>
          <cell r="E13" t="str">
            <v>3d6</v>
          </cell>
          <cell r="F13">
            <v>1</v>
          </cell>
          <cell r="G13" t="str">
            <v>Causa dano duas vezes e tem 20% de chance de causar Envenenado.</v>
          </cell>
        </row>
        <row r="14">
          <cell r="A14" t="str">
            <v>Clangorous Soul</v>
          </cell>
          <cell r="B14" t="str">
            <v>Dragão</v>
          </cell>
          <cell r="C14" t="str">
            <v>Estado</v>
          </cell>
          <cell r="D14">
            <v>20</v>
          </cell>
          <cell r="E14" t="str">
            <v>-</v>
          </cell>
          <cell r="F14">
            <v>1</v>
          </cell>
          <cell r="G14" t="str">
            <v>Aumenta todos os atributos em 20%, mas perde 20% do HP total (aumento máximo de 60% em cada).</v>
          </cell>
        </row>
        <row r="15">
          <cell r="A15" t="str">
            <v>Amnesia</v>
          </cell>
          <cell r="B15" t="str">
            <v>Psíquico</v>
          </cell>
          <cell r="C15" t="str">
            <v>Estado</v>
          </cell>
          <cell r="D15">
            <v>2</v>
          </cell>
          <cell r="E15" t="str">
            <v>-</v>
          </cell>
          <cell r="F15">
            <v>1</v>
          </cell>
          <cell r="G15" t="str">
            <v>Aumenta a Defesa Especial em 20% do total (aumento máximo de 60%).</v>
          </cell>
        </row>
        <row r="16">
          <cell r="A16" t="str">
            <v>Aqua ring</v>
          </cell>
          <cell r="B16" t="str">
            <v>Água</v>
          </cell>
          <cell r="C16" t="str">
            <v>Estado</v>
          </cell>
          <cell r="D16">
            <v>6</v>
          </cell>
          <cell r="E16" t="str">
            <v>-</v>
          </cell>
          <cell r="F16">
            <v>1</v>
          </cell>
          <cell r="G16" t="str">
            <v>Recupera 10% do PV total todos os turnos.</v>
          </cell>
        </row>
        <row r="17">
          <cell r="A17" t="str">
            <v>Flying Press</v>
          </cell>
          <cell r="B17" t="str">
            <v>Lutador</v>
          </cell>
          <cell r="C17" t="str">
            <v>Físico</v>
          </cell>
          <cell r="D17">
            <v>11</v>
          </cell>
          <cell r="E17" t="str">
            <v>12d6</v>
          </cell>
          <cell r="F17">
            <v>0.95</v>
          </cell>
          <cell r="G17" t="str">
            <v>Causa dano.</v>
          </cell>
        </row>
        <row r="18">
          <cell r="A18" t="str">
            <v>Fairy Lock</v>
          </cell>
          <cell r="B18" t="str">
            <v>Fada</v>
          </cell>
          <cell r="C18" t="str">
            <v>Estado</v>
          </cell>
          <cell r="D18">
            <v>1</v>
          </cell>
          <cell r="E18" t="str">
            <v>-</v>
          </cell>
          <cell r="F18">
            <v>1</v>
          </cell>
          <cell r="G18" t="str">
            <v>Impede que o adversário fuja no próximo turno.</v>
          </cell>
        </row>
        <row r="19">
          <cell r="A19" t="str">
            <v>Imprision</v>
          </cell>
          <cell r="B19" t="str">
            <v>Psíquico</v>
          </cell>
          <cell r="C19" t="str">
            <v>Estado</v>
          </cell>
          <cell r="D19">
            <v>6</v>
          </cell>
          <cell r="E19" t="str">
            <v>-</v>
          </cell>
          <cell r="F19">
            <v>1</v>
          </cell>
          <cell r="G19" t="str">
            <v>O adversário não pode usar os golpes que o pokémon atual tem.</v>
          </cell>
        </row>
        <row r="20">
          <cell r="A20" t="str">
            <v>Aqua Tail</v>
          </cell>
          <cell r="B20" t="str">
            <v>Água</v>
          </cell>
          <cell r="C20" t="str">
            <v>Físico</v>
          </cell>
          <cell r="D20">
            <v>9</v>
          </cell>
          <cell r="E20" t="str">
            <v>10d6</v>
          </cell>
          <cell r="F20">
            <v>0.9</v>
          </cell>
          <cell r="G20" t="str">
            <v>Causa dano.</v>
          </cell>
        </row>
        <row r="21">
          <cell r="A21" t="str">
            <v>Aqua Jet</v>
          </cell>
          <cell r="B21" t="str">
            <v>Água</v>
          </cell>
          <cell r="C21" t="str">
            <v>Físico</v>
          </cell>
          <cell r="D21">
            <v>4</v>
          </cell>
          <cell r="E21" t="str">
            <v>4d6</v>
          </cell>
          <cell r="F21">
            <v>1</v>
          </cell>
          <cell r="G21" t="str">
            <v>Causa dano, atacando primeiro que o adversário ao ignorar a Velocidade dele.</v>
          </cell>
        </row>
        <row r="22">
          <cell r="A22" t="str">
            <v>Sparkling Aria</v>
          </cell>
          <cell r="B22" t="str">
            <v>Água</v>
          </cell>
          <cell r="C22" t="str">
            <v>Especial</v>
          </cell>
          <cell r="D22">
            <v>9</v>
          </cell>
          <cell r="E22" t="str">
            <v>10d6</v>
          </cell>
          <cell r="F22">
            <v>1</v>
          </cell>
          <cell r="G22" t="str">
            <v>Causa dano e se o adversário estiver com a condição Queimado, remove-o.</v>
          </cell>
        </row>
        <row r="23">
          <cell r="A23" t="str">
            <v>Shell Trap</v>
          </cell>
          <cell r="B23" t="str">
            <v>Fogo</v>
          </cell>
          <cell r="C23" t="str">
            <v>Especial</v>
          </cell>
          <cell r="D23">
            <v>24</v>
          </cell>
          <cell r="E23" t="str">
            <v>22d6</v>
          </cell>
          <cell r="F23">
            <v>1</v>
          </cell>
          <cell r="G23" t="str">
            <v>Acontece primeiro que o golpe do adversário ao ignorar a Velocidade dele, criando uma armadilha: quando o adversário atacar com um Golpe físico, esse golpe acontecerá na sequência (o usuário não perde o turno quando esse golpe ocorre após o turno do uso).</v>
          </cell>
        </row>
        <row r="24">
          <cell r="A24" t="str">
            <v>Acid Armor</v>
          </cell>
          <cell r="B24" t="str">
            <v>Veneno</v>
          </cell>
          <cell r="C24" t="str">
            <v>Estado</v>
          </cell>
          <cell r="D24">
            <v>2</v>
          </cell>
          <cell r="E24" t="str">
            <v>-</v>
          </cell>
          <cell r="F24">
            <v>1</v>
          </cell>
          <cell r="G24" t="str">
            <v>Aumenta a Defesa em 20% do total (aumento máximo de 60%).</v>
          </cell>
        </row>
        <row r="25">
          <cell r="A25" t="str">
            <v>Sweet Scent</v>
          </cell>
          <cell r="B25" t="str">
            <v>Normal</v>
          </cell>
          <cell r="C25" t="str">
            <v>Estado</v>
          </cell>
          <cell r="D25">
            <v>4</v>
          </cell>
          <cell r="E25" t="str">
            <v>-</v>
          </cell>
          <cell r="F25">
            <v>1</v>
          </cell>
          <cell r="G25" t="str">
            <v>Diminui a Velocidade do adversário em 20% do total (diminuição máxima de 60%).</v>
          </cell>
        </row>
        <row r="26">
          <cell r="A26" t="str">
            <v>Aromatherapy</v>
          </cell>
          <cell r="B26" t="str">
            <v>Grama</v>
          </cell>
          <cell r="C26" t="str">
            <v>Estado</v>
          </cell>
          <cell r="D26">
            <v>6</v>
          </cell>
          <cell r="E26" t="str">
            <v>-</v>
          </cell>
          <cell r="F26">
            <v>1</v>
          </cell>
          <cell r="G26" t="str">
            <v>Cura qualquer condição.</v>
          </cell>
        </row>
        <row r="27">
          <cell r="A27" t="str">
            <v>Scratch</v>
          </cell>
          <cell r="B27" t="str">
            <v>Normal</v>
          </cell>
          <cell r="C27" t="str">
            <v>Físico</v>
          </cell>
          <cell r="D27">
            <v>2</v>
          </cell>
          <cell r="E27" t="str">
            <v>4d6</v>
          </cell>
          <cell r="F27">
            <v>1</v>
          </cell>
          <cell r="G27" t="str">
            <v>Causa dano.</v>
          </cell>
        </row>
        <row r="28">
          <cell r="A28" t="str">
            <v>Snatch</v>
          </cell>
          <cell r="B28" t="str">
            <v>Noturno</v>
          </cell>
          <cell r="C28" t="str">
            <v>Estado</v>
          </cell>
          <cell r="D28">
            <v>1</v>
          </cell>
          <cell r="E28" t="str">
            <v>-</v>
          </cell>
          <cell r="F28">
            <v>1</v>
          </cell>
          <cell r="G28" t="str">
            <v>Se o adversário usar algum golpe de mudança de Status ou cura, esse usa também.</v>
          </cell>
        </row>
        <row r="29">
          <cell r="A29" t="str">
            <v>Fling</v>
          </cell>
          <cell r="B29" t="str">
            <v>Noturno</v>
          </cell>
          <cell r="C29" t="str">
            <v>Físico</v>
          </cell>
          <cell r="D29">
            <v>1</v>
          </cell>
          <cell r="E29" t="str">
            <v>-</v>
          </cell>
          <cell r="F29">
            <v>1</v>
          </cell>
          <cell r="G29" t="str">
            <v>Dano combase no item do alvo</v>
          </cell>
        </row>
        <row r="30">
          <cell r="A30" t="str">
            <v>Seismic Toss</v>
          </cell>
          <cell r="B30" t="str">
            <v>Lutador</v>
          </cell>
          <cell r="C30" t="str">
            <v>Físico</v>
          </cell>
          <cell r="D30">
            <v>15</v>
          </cell>
          <cell r="E30" t="str">
            <v>-</v>
          </cell>
          <cell r="F30">
            <v>1</v>
          </cell>
          <cell r="G30" t="str">
            <v>Causa dano igual ao Nível atual.</v>
          </cell>
        </row>
        <row r="31">
          <cell r="A31" t="str">
            <v>Vital Throw</v>
          </cell>
          <cell r="B31" t="str">
            <v>Lutador</v>
          </cell>
          <cell r="C31" t="str">
            <v>Físico</v>
          </cell>
          <cell r="D31">
            <v>7</v>
          </cell>
          <cell r="E31" t="str">
            <v>7d6</v>
          </cell>
          <cell r="F31">
            <v>1</v>
          </cell>
          <cell r="G31" t="str">
            <v>Causa dano ignorando qualquer mudança em sua Precisão, porém sempre atacará depois que o adversário e falhará se o adversário estiver invunerável.</v>
          </cell>
        </row>
        <row r="32">
          <cell r="A32" t="str">
            <v>Swagger</v>
          </cell>
          <cell r="B32" t="str">
            <v>Normal</v>
          </cell>
          <cell r="C32" t="str">
            <v>Estado</v>
          </cell>
          <cell r="D32">
            <v>2</v>
          </cell>
          <cell r="E32" t="str">
            <v>-</v>
          </cell>
          <cell r="F32">
            <v>0.85</v>
          </cell>
          <cell r="G32" t="str">
            <v>Causa a condição Confuso, mas aumenta o Ataque do adversário em 20% do total.</v>
          </cell>
        </row>
        <row r="33">
          <cell r="A33" t="str">
            <v>Belch</v>
          </cell>
          <cell r="B33" t="str">
            <v>Veneno</v>
          </cell>
          <cell r="C33" t="str">
            <v>Especial</v>
          </cell>
          <cell r="D33">
            <v>13</v>
          </cell>
          <cell r="E33" t="str">
            <v>16d6</v>
          </cell>
          <cell r="F33">
            <v>0.9</v>
          </cell>
          <cell r="G33" t="str">
            <v>Causa dano apenas se tiver usado alguma fruta no turno anterior.</v>
          </cell>
        </row>
        <row r="34">
          <cell r="A34" t="str">
            <v>Aerial Ace</v>
          </cell>
          <cell r="B34" t="str">
            <v>Voador</v>
          </cell>
          <cell r="C34" t="str">
            <v>Físico</v>
          </cell>
          <cell r="D34">
            <v>4</v>
          </cell>
          <cell r="E34" t="str">
            <v>6d6</v>
          </cell>
          <cell r="F34">
            <v>1</v>
          </cell>
          <cell r="G34" t="str">
            <v>Causa dano.</v>
          </cell>
        </row>
        <row r="35">
          <cell r="A35" t="str">
            <v>Steel Wing</v>
          </cell>
          <cell r="B35" t="str">
            <v>Metal</v>
          </cell>
          <cell r="C35" t="str">
            <v>Físico</v>
          </cell>
          <cell r="D35">
            <v>6</v>
          </cell>
          <cell r="E35" t="str">
            <v>7d6</v>
          </cell>
          <cell r="F35">
            <v>0.9</v>
          </cell>
          <cell r="G35" t="str">
            <v>Causa dano e tem 10% de chance de aumentar a Defesa em 10% do total (aumento máximo de 60%).</v>
          </cell>
        </row>
        <row r="36">
          <cell r="A36" t="str">
            <v>Oblivion Wing</v>
          </cell>
          <cell r="B36" t="str">
            <v>Voador</v>
          </cell>
          <cell r="C36" t="str">
            <v>Especial</v>
          </cell>
          <cell r="D36">
            <v>14</v>
          </cell>
          <cell r="E36" t="str">
            <v>8d6</v>
          </cell>
          <cell r="F36">
            <v>1</v>
          </cell>
          <cell r="G36" t="str">
            <v>Causa dano e recupera 75% do PV diminuido do adversário.</v>
          </cell>
        </row>
        <row r="37">
          <cell r="A37" t="str">
            <v>Dragon Ascent</v>
          </cell>
          <cell r="B37" t="str">
            <v>Voador</v>
          </cell>
          <cell r="C37" t="str">
            <v>Físico</v>
          </cell>
          <cell r="D37">
            <v>12</v>
          </cell>
          <cell r="E37" t="str">
            <v>16d6</v>
          </cell>
          <cell r="F37">
            <v>1</v>
          </cell>
          <cell r="G37" t="str">
            <v>Causa dano mas diminui a própria Defesa e Defesa Especial em 10% do total (diminuição máxima de 60%).</v>
          </cell>
        </row>
        <row r="38">
          <cell r="A38" t="str">
            <v>Grass Whistle</v>
          </cell>
          <cell r="B38" t="str">
            <v>Grama</v>
          </cell>
          <cell r="C38" t="str">
            <v>Estado</v>
          </cell>
          <cell r="D38">
            <v>3</v>
          </cell>
          <cell r="E38" t="str">
            <v>-</v>
          </cell>
          <cell r="F38">
            <v>0.55000000000000004</v>
          </cell>
          <cell r="G38" t="str">
            <v>Causa a condição Dormindo.</v>
          </cell>
        </row>
        <row r="39">
          <cell r="A39" t="str">
            <v>Sand Attack</v>
          </cell>
          <cell r="B39" t="str">
            <v>Terra</v>
          </cell>
          <cell r="C39" t="str">
            <v>Estado</v>
          </cell>
          <cell r="D39">
            <v>2</v>
          </cell>
          <cell r="E39" t="str">
            <v>-</v>
          </cell>
          <cell r="F39">
            <v>1</v>
          </cell>
          <cell r="G39" t="str">
            <v>Diminui a Precisão de todos os golpes do adversário em 10% (diminuição máxima de 60%).</v>
          </cell>
        </row>
        <row r="40">
          <cell r="A40" t="str">
            <v>Wing Attack</v>
          </cell>
          <cell r="B40" t="str">
            <v>Voador</v>
          </cell>
          <cell r="C40" t="str">
            <v>Físico</v>
          </cell>
          <cell r="D40">
            <v>4</v>
          </cell>
          <cell r="E40" t="str">
            <v>6d6</v>
          </cell>
          <cell r="F40">
            <v>1</v>
          </cell>
          <cell r="G40" t="str">
            <v>Causa dano.</v>
          </cell>
        </row>
        <row r="41">
          <cell r="A41" t="str">
            <v>Flame Charge</v>
          </cell>
          <cell r="B41" t="str">
            <v>Fogo</v>
          </cell>
          <cell r="C41" t="str">
            <v>Físico</v>
          </cell>
          <cell r="D41">
            <v>4</v>
          </cell>
          <cell r="E41" t="str">
            <v>5d6</v>
          </cell>
          <cell r="F41">
            <v>1</v>
          </cell>
          <cell r="G41" t="str">
            <v>Causa dano e aumenta a Velocidade em 10% (aumento máximo de 60%).</v>
          </cell>
        </row>
        <row r="42">
          <cell r="A42" t="str">
            <v>Horn Attack</v>
          </cell>
          <cell r="B42" t="str">
            <v>Normal</v>
          </cell>
          <cell r="C42" t="str">
            <v>Físico</v>
          </cell>
          <cell r="D42">
            <v>6</v>
          </cell>
          <cell r="E42" t="str">
            <v>7d6</v>
          </cell>
          <cell r="F42">
            <v>1</v>
          </cell>
          <cell r="G42" t="str">
            <v>Causa dano.</v>
          </cell>
        </row>
        <row r="43">
          <cell r="A43" t="str">
            <v>Fury Attack</v>
          </cell>
          <cell r="B43" t="str">
            <v>Normal</v>
          </cell>
          <cell r="C43" t="str">
            <v>Físico</v>
          </cell>
          <cell r="D43">
            <v>1</v>
          </cell>
          <cell r="E43" t="str">
            <v>2d6</v>
          </cell>
          <cell r="F43">
            <v>0.85</v>
          </cell>
          <cell r="G43" t="str">
            <v>Causa dano 1d6 vezes.</v>
          </cell>
        </row>
        <row r="44">
          <cell r="A44" t="str">
            <v>Feint Attack</v>
          </cell>
          <cell r="B44" t="str">
            <v>Noturno</v>
          </cell>
          <cell r="C44" t="str">
            <v>Físico</v>
          </cell>
          <cell r="D44">
            <v>6</v>
          </cell>
          <cell r="E44" t="str">
            <v>6d6</v>
          </cell>
          <cell r="F44">
            <v>1</v>
          </cell>
          <cell r="G44" t="str">
            <v>Causa dano ignorando qualquer mudança em sua Precisão.</v>
          </cell>
        </row>
        <row r="45">
          <cell r="A45" t="str">
            <v>Sky Attack</v>
          </cell>
          <cell r="B45" t="str">
            <v>Voador</v>
          </cell>
          <cell r="C45" t="str">
            <v>Físico</v>
          </cell>
          <cell r="D45">
            <v>12</v>
          </cell>
          <cell r="E45" t="str">
            <v>20d6</v>
          </cell>
          <cell r="F45">
            <v>0.9</v>
          </cell>
          <cell r="G45" t="str">
            <v>Carrega no primeiro turno, no segundo turno causa dano e tem 30% de chance de causar condição Recuando.</v>
          </cell>
        </row>
        <row r="46">
          <cell r="A46" t="str">
            <v>Mirror Move</v>
          </cell>
          <cell r="B46" t="str">
            <v>Voador</v>
          </cell>
          <cell r="C46" t="str">
            <v>Estado</v>
          </cell>
          <cell r="D46">
            <v>8</v>
          </cell>
          <cell r="E46" t="str">
            <v>-</v>
          </cell>
          <cell r="F46">
            <v>1</v>
          </cell>
          <cell r="G46" t="str">
            <v>Ataca com o último golpe utilizado pelo adversário.</v>
          </cell>
        </row>
        <row r="47">
          <cell r="A47" t="str">
            <v>Quick Attack</v>
          </cell>
          <cell r="B47" t="str">
            <v>Normal</v>
          </cell>
          <cell r="C47" t="str">
            <v>Físico</v>
          </cell>
          <cell r="D47">
            <v>4</v>
          </cell>
          <cell r="E47" t="str">
            <v>4d6</v>
          </cell>
          <cell r="F47">
            <v>1</v>
          </cell>
          <cell r="G47" t="str">
            <v>Causa dano, atacando primeiro que o adversário ao ignorar a Velocidade dele.</v>
          </cell>
        </row>
        <row r="48">
          <cell r="A48" t="str">
            <v>Wild Charge</v>
          </cell>
          <cell r="B48" t="str">
            <v>Elétrico</v>
          </cell>
          <cell r="C48" t="str">
            <v>Físico</v>
          </cell>
          <cell r="D48">
            <v>8</v>
          </cell>
          <cell r="E48" t="str">
            <v>10d6</v>
          </cell>
          <cell r="F48">
            <v>1</v>
          </cell>
          <cell r="G48" t="str">
            <v>Causa dano e recebe 1/4 do dano causado.</v>
          </cell>
        </row>
        <row r="49">
          <cell r="A49" t="str">
            <v>Sunsteel Strike</v>
          </cell>
          <cell r="B49" t="str">
            <v>Metal</v>
          </cell>
          <cell r="C49" t="str">
            <v>Físico</v>
          </cell>
          <cell r="D49">
            <v>12</v>
          </cell>
          <cell r="E49" t="str">
            <v>12d6</v>
          </cell>
          <cell r="F49">
            <v>1</v>
          </cell>
          <cell r="G49" t="str">
            <v>Causa dano.</v>
          </cell>
        </row>
        <row r="50">
          <cell r="A50" t="str">
            <v>Tri Attakc</v>
          </cell>
          <cell r="B50" t="str">
            <v>Normal</v>
          </cell>
          <cell r="C50" t="str">
            <v>Especial</v>
          </cell>
          <cell r="D50">
            <v>9</v>
          </cell>
          <cell r="E50" t="str">
            <v>8d6</v>
          </cell>
          <cell r="F50">
            <v>1</v>
          </cell>
          <cell r="G50" t="str">
            <v>Causa dano, tem 10% de chance de causar condição Paralisado, tem 10% de chance de causar condição Queimado e 10% de chance de causar condição Congelado.</v>
          </cell>
        </row>
        <row r="51">
          <cell r="A51" t="str">
            <v>Swift</v>
          </cell>
          <cell r="B51" t="str">
            <v>Normal</v>
          </cell>
          <cell r="C51" t="str">
            <v>Especial</v>
          </cell>
          <cell r="D51">
            <v>6</v>
          </cell>
          <cell r="E51" t="str">
            <v>6d6</v>
          </cell>
          <cell r="F51">
            <v>1</v>
          </cell>
          <cell r="G51" t="str">
            <v>Causa dano ignorando qualquer mudança em sua Precisão.</v>
          </cell>
        </row>
        <row r="52">
          <cell r="A52" t="str">
            <v>Attract</v>
          </cell>
          <cell r="B52" t="str">
            <v>Normal</v>
          </cell>
          <cell r="C52" t="str">
            <v>Estado</v>
          </cell>
          <cell r="D52">
            <v>8</v>
          </cell>
          <cell r="E52" t="str">
            <v>-</v>
          </cell>
          <cell r="F52">
            <v>1</v>
          </cell>
          <cell r="G52" t="str">
            <v>Faz com que o adversário - se for de gênero oposto - tenha 50% de chance de perder o turno por estar apaixonado.</v>
          </cell>
        </row>
        <row r="53">
          <cell r="A53" t="str">
            <v>Power Trip</v>
          </cell>
          <cell r="B53" t="str">
            <v>Noturno</v>
          </cell>
          <cell r="C53" t="str">
            <v>Físico</v>
          </cell>
          <cell r="D53">
            <v>1</v>
          </cell>
          <cell r="E53" t="str">
            <v>1d6</v>
          </cell>
          <cell r="F53">
            <v>1</v>
          </cell>
          <cell r="G53" t="str">
            <v>A cada estágio de status positivos, dobra de dano (2^xd6)</v>
          </cell>
        </row>
        <row r="54">
          <cell r="A54" t="str">
            <v>Aura Sphere</v>
          </cell>
          <cell r="B54" t="str">
            <v>Lutador</v>
          </cell>
          <cell r="C54" t="str">
            <v>Especial</v>
          </cell>
          <cell r="D54">
            <v>3</v>
          </cell>
          <cell r="E54" t="str">
            <v>7d6</v>
          </cell>
          <cell r="F54">
            <v>1</v>
          </cell>
          <cell r="G54" t="str">
            <v>Causa dano.</v>
          </cell>
        </row>
        <row r="55">
          <cell r="A55" t="str">
            <v>Magnetic Flux</v>
          </cell>
          <cell r="B55" t="str">
            <v>Elétrico</v>
          </cell>
          <cell r="C55" t="str">
            <v>Estado</v>
          </cell>
          <cell r="D55">
            <v>5</v>
          </cell>
          <cell r="E55" t="str">
            <v>-</v>
          </cell>
          <cell r="F55">
            <v>1</v>
          </cell>
          <cell r="G55" t="str">
            <v>(+10%)DEF e DES de aliados com a habilidade Plus ou Minus</v>
          </cell>
        </row>
        <row r="56">
          <cell r="A56" t="str">
            <v>Self-Destruct</v>
          </cell>
          <cell r="B56" t="str">
            <v>Normal</v>
          </cell>
          <cell r="C56" t="str">
            <v>Físico</v>
          </cell>
          <cell r="D56">
            <v>16</v>
          </cell>
          <cell r="E56" t="str">
            <v>32d6</v>
          </cell>
          <cell r="F56">
            <v>1</v>
          </cell>
          <cell r="G56" t="str">
            <v>Causa dano, porém faz o usuário desmaiar.</v>
          </cell>
        </row>
        <row r="57">
          <cell r="A57" t="str">
            <v>Autotomize</v>
          </cell>
          <cell r="B57" t="str">
            <v>Metal</v>
          </cell>
          <cell r="C57" t="str">
            <v>Estado</v>
          </cell>
          <cell r="D57">
            <v>2</v>
          </cell>
          <cell r="E57" t="str">
            <v>-</v>
          </cell>
          <cell r="F57">
            <v>1</v>
          </cell>
          <cell r="G57" t="str">
            <v>Aumenta a Velocidade em 20% do total (aumento máximo de 60%).</v>
          </cell>
        </row>
        <row r="58">
          <cell r="A58" t="str">
            <v>Assist</v>
          </cell>
          <cell r="B58" t="str">
            <v>Normal</v>
          </cell>
          <cell r="C58" t="str">
            <v>Estado</v>
          </cell>
          <cell r="D58">
            <v>8</v>
          </cell>
          <cell r="E58" t="str">
            <v>-</v>
          </cell>
          <cell r="F58">
            <v>1</v>
          </cell>
          <cell r="G58" t="str">
            <v>Usa um golpe aleatório de um aliado</v>
          </cell>
        </row>
        <row r="59">
          <cell r="A59" t="str">
            <v>Avalanche</v>
          </cell>
          <cell r="B59" t="str">
            <v>Gelo</v>
          </cell>
          <cell r="C59" t="str">
            <v>Físico</v>
          </cell>
          <cell r="D59">
            <v>8</v>
          </cell>
          <cell r="E59" t="str">
            <v>6d6</v>
          </cell>
          <cell r="F59">
            <v>1</v>
          </cell>
          <cell r="G59" t="str">
            <v>Causa dano e, se o adversário atacou primeiro, o dano é dobrado, 6d6.</v>
          </cell>
        </row>
        <row r="60">
          <cell r="A60" t="str">
            <v>Brutal Swing</v>
          </cell>
          <cell r="B60" t="str">
            <v>Noturno</v>
          </cell>
          <cell r="C60" t="str">
            <v>Físico</v>
          </cell>
          <cell r="D60">
            <v>4</v>
          </cell>
          <cell r="E60" t="str">
            <v>6d6</v>
          </cell>
          <cell r="F60">
            <v>1</v>
          </cell>
          <cell r="G60" t="str">
            <v>Causa dano.</v>
          </cell>
        </row>
        <row r="61">
          <cell r="A61" t="str">
            <v>Synchronoise</v>
          </cell>
          <cell r="B61" t="str">
            <v>Psíquico</v>
          </cell>
          <cell r="C61" t="str">
            <v>Especial</v>
          </cell>
          <cell r="D61">
            <v>16</v>
          </cell>
          <cell r="E61" t="str">
            <v>16d6</v>
          </cell>
          <cell r="F61">
            <v>1</v>
          </cell>
          <cell r="G61" t="str">
            <v>Efeito do golpe indisponível ainda.</v>
          </cell>
        </row>
        <row r="62">
          <cell r="A62" t="str">
            <v>Head Smash</v>
          </cell>
          <cell r="B62" t="str">
            <v>Pedra</v>
          </cell>
          <cell r="C62" t="str">
            <v>Físico</v>
          </cell>
          <cell r="D62">
            <v>16</v>
          </cell>
          <cell r="E62" t="str">
            <v>22d6</v>
          </cell>
          <cell r="F62">
            <v>0.8</v>
          </cell>
          <cell r="G62" t="str">
            <v>Causa dano e recebe 50% do dano causado.</v>
          </cell>
        </row>
        <row r="63">
          <cell r="A63" t="str">
            <v>Clanging Scales</v>
          </cell>
          <cell r="B63" t="str">
            <v>Dragão</v>
          </cell>
          <cell r="C63" t="str">
            <v>Especial</v>
          </cell>
          <cell r="D63">
            <v>12</v>
          </cell>
          <cell r="E63" t="str">
            <v>14d6</v>
          </cell>
          <cell r="F63">
            <v>1</v>
          </cell>
          <cell r="G63" t="str">
            <v>Causa dano mas diminui a própria Defesa em 10% do total (diminuição máxima de 60%).</v>
          </cell>
        </row>
        <row r="64">
          <cell r="A64" t="str">
            <v>Lovely Kiss</v>
          </cell>
          <cell r="B64" t="str">
            <v>Normal</v>
          </cell>
          <cell r="C64" t="str">
            <v>Estado</v>
          </cell>
          <cell r="D64">
            <v>5</v>
          </cell>
          <cell r="E64" t="str">
            <v>-</v>
          </cell>
          <cell r="F64">
            <v>0.75</v>
          </cell>
          <cell r="G64" t="str">
            <v>Causa a condição Dormindo.</v>
          </cell>
        </row>
        <row r="65">
          <cell r="A65" t="str">
            <v>Sweet Kiss</v>
          </cell>
          <cell r="B65" t="str">
            <v>Fada</v>
          </cell>
          <cell r="C65" t="str">
            <v>Estado</v>
          </cell>
          <cell r="D65">
            <v>3</v>
          </cell>
          <cell r="E65" t="str">
            <v>-</v>
          </cell>
          <cell r="F65">
            <v>0.75</v>
          </cell>
          <cell r="G65" t="str">
            <v>Causa a condição Confuso.</v>
          </cell>
        </row>
        <row r="66">
          <cell r="A66" t="str">
            <v>Draining Kiss</v>
          </cell>
          <cell r="B66" t="str">
            <v>Fada</v>
          </cell>
          <cell r="C66" t="str">
            <v>Especial</v>
          </cell>
          <cell r="D66">
            <v>9</v>
          </cell>
          <cell r="E66" t="str">
            <v>5d6</v>
          </cell>
          <cell r="F66">
            <v>1</v>
          </cell>
          <cell r="G66" t="str">
            <v>Causa dano e recupera 75% do PV diminuido do adversário.</v>
          </cell>
        </row>
        <row r="67">
          <cell r="A67" t="str">
            <v>Peck</v>
          </cell>
          <cell r="B67" t="str">
            <v>Voador</v>
          </cell>
          <cell r="C67" t="str">
            <v>Físico</v>
          </cell>
          <cell r="D67">
            <v>2</v>
          </cell>
          <cell r="E67" t="str">
            <v>4d6</v>
          </cell>
          <cell r="F67">
            <v>1</v>
          </cell>
          <cell r="G67" t="str">
            <v>Causa dano.</v>
          </cell>
        </row>
        <row r="68">
          <cell r="A68" t="str">
            <v>Drill Peck</v>
          </cell>
          <cell r="B68" t="str">
            <v>Voador</v>
          </cell>
          <cell r="C68" t="str">
            <v>Físico</v>
          </cell>
          <cell r="D68">
            <v>8</v>
          </cell>
          <cell r="E68" t="str">
            <v>8d6</v>
          </cell>
          <cell r="F68">
            <v>1</v>
          </cell>
          <cell r="G68" t="str">
            <v>Causa dano.</v>
          </cell>
        </row>
        <row r="69">
          <cell r="A69" t="str">
            <v>Beak Blast</v>
          </cell>
          <cell r="B69" t="str">
            <v>Voador</v>
          </cell>
          <cell r="C69" t="str">
            <v>Físico</v>
          </cell>
          <cell r="D69">
            <v>12</v>
          </cell>
          <cell r="E69" t="str">
            <v>12d6</v>
          </cell>
          <cell r="F69">
            <v>1</v>
          </cell>
          <cell r="G69" t="str">
            <v>Leva dois turnos para ser executado, porém se causar dano deixará o adversário Burn.</v>
          </cell>
        </row>
        <row r="70">
          <cell r="A70" t="str">
            <v>Stomping Tantrum</v>
          </cell>
          <cell r="B70" t="str">
            <v>Terra</v>
          </cell>
          <cell r="C70" t="str">
            <v>Físico</v>
          </cell>
          <cell r="D70">
            <v>16</v>
          </cell>
          <cell r="E70" t="str">
            <v>8d6</v>
          </cell>
          <cell r="F70">
            <v>1</v>
          </cell>
          <cell r="G70" t="str">
            <v>Causa dano e, se to golpe anterior falhou o dano é dobrado 16d6.</v>
          </cell>
        </row>
        <row r="71">
          <cell r="A71" t="str">
            <v>Encore</v>
          </cell>
          <cell r="B71" t="str">
            <v>Normal</v>
          </cell>
          <cell r="C71" t="str">
            <v>Estado</v>
          </cell>
          <cell r="D71">
            <v>6</v>
          </cell>
          <cell r="E71" t="str">
            <v>-</v>
          </cell>
          <cell r="F71">
            <v>1</v>
          </cell>
          <cell r="G71" t="str">
            <v>Faz o adversário usar o último ataque por 3 turnos.</v>
          </cell>
        </row>
        <row r="72">
          <cell r="A72" t="str">
            <v>Flare Blitz</v>
          </cell>
          <cell r="B72" t="str">
            <v>Fogo</v>
          </cell>
          <cell r="C72" t="str">
            <v>Físico</v>
          </cell>
          <cell r="D72">
            <v>13</v>
          </cell>
          <cell r="E72" t="str">
            <v>16d6</v>
          </cell>
          <cell r="F72">
            <v>1</v>
          </cell>
          <cell r="G72" t="str">
            <v>Causa dano e tem 10% de chance de causar condição Queimado, porém recebe 1/3 do dano causado.</v>
          </cell>
        </row>
        <row r="73">
          <cell r="A73" t="str">
            <v>Block</v>
          </cell>
          <cell r="B73" t="str">
            <v>Normal</v>
          </cell>
          <cell r="C73" t="str">
            <v>Estado</v>
          </cell>
          <cell r="D73">
            <v>6</v>
          </cell>
          <cell r="E73" t="str">
            <v>-</v>
          </cell>
          <cell r="F73">
            <v>1</v>
          </cell>
          <cell r="G73" t="str">
            <v>Causa a condição Preso.</v>
          </cell>
        </row>
        <row r="74">
          <cell r="A74" t="str">
            <v>Yawn</v>
          </cell>
          <cell r="B74" t="str">
            <v>Normal</v>
          </cell>
          <cell r="C74" t="str">
            <v>Estado</v>
          </cell>
          <cell r="D74">
            <v>6</v>
          </cell>
          <cell r="E74" t="str">
            <v>-</v>
          </cell>
          <cell r="F74">
            <v>1</v>
          </cell>
          <cell r="G74" t="str">
            <v>Causa a condição Dormindo no final do próximo turno.</v>
          </cell>
        </row>
        <row r="75">
          <cell r="A75" t="str">
            <v>Energy Ball</v>
          </cell>
          <cell r="B75" t="str">
            <v>Grama</v>
          </cell>
          <cell r="C75" t="str">
            <v>Especial</v>
          </cell>
          <cell r="D75">
            <v>11</v>
          </cell>
          <cell r="E75" t="str">
            <v>10d6</v>
          </cell>
          <cell r="F75">
            <v>1</v>
          </cell>
          <cell r="G75" t="str">
            <v>Causa dano e tem 10% de chance de diminuir a Defesa Especial do adversário em 10% do total (diminuição máxima de 60%).</v>
          </cell>
        </row>
        <row r="76">
          <cell r="A76" t="str">
            <v>Mist Ball</v>
          </cell>
          <cell r="B76" t="str">
            <v>Psíquico</v>
          </cell>
          <cell r="C76" t="str">
            <v>Especial</v>
          </cell>
          <cell r="D76">
            <v>8</v>
          </cell>
          <cell r="E76" t="str">
            <v>7d6</v>
          </cell>
          <cell r="F76">
            <v>1</v>
          </cell>
          <cell r="G76" t="str">
            <v>Causa dano e tem 50% de chance de diminuir o Ataque Especial em 10% do total (diminuição máxima de 60%).</v>
          </cell>
        </row>
        <row r="77">
          <cell r="A77" t="str">
            <v>Pollen Puff</v>
          </cell>
          <cell r="B77" t="str">
            <v>Inseto</v>
          </cell>
          <cell r="C77" t="str">
            <v>Especial</v>
          </cell>
          <cell r="D77">
            <v>10</v>
          </cell>
          <cell r="E77" t="str">
            <v>10d6</v>
          </cell>
          <cell r="F77">
            <v>1</v>
          </cell>
          <cell r="G77" t="str">
            <v>Se o alvo for inimigo (dano 10d6) se for aliado (restora 10d6 de PV)</v>
          </cell>
        </row>
        <row r="78">
          <cell r="A78" t="str">
            <v>Electro Ball</v>
          </cell>
          <cell r="B78" t="str">
            <v>Elétrico</v>
          </cell>
          <cell r="C78" t="str">
            <v>Especial</v>
          </cell>
          <cell r="D78">
            <v>8</v>
          </cell>
          <cell r="E78" t="str">
            <v>-</v>
          </cell>
          <cell r="F78">
            <v>1</v>
          </cell>
          <cell r="G78" t="str">
            <v>Causa dano em (Velocidade do seu pokemon divido pela Velocidade do pokémon adversário mais 1)d6.</v>
          </cell>
        </row>
        <row r="79">
          <cell r="A79" t="str">
            <v>Shadow Ball</v>
          </cell>
          <cell r="B79" t="str">
            <v>Fantasma</v>
          </cell>
          <cell r="C79" t="str">
            <v>Especial</v>
          </cell>
          <cell r="D79">
            <v>9</v>
          </cell>
          <cell r="E79" t="str">
            <v>8d6</v>
          </cell>
          <cell r="F79">
            <v>1</v>
          </cell>
          <cell r="G79" t="str">
            <v>Causa dano e tem 20% de chance de diminuir a Defesa Especial do adversário em 10% do total (diminuição máxima de 60%).</v>
          </cell>
        </row>
        <row r="80">
          <cell r="A80" t="str">
            <v>Bubble</v>
          </cell>
          <cell r="B80" t="str">
            <v>Água</v>
          </cell>
          <cell r="C80" t="str">
            <v>Especial</v>
          </cell>
          <cell r="D80">
            <v>3</v>
          </cell>
          <cell r="E80" t="str">
            <v>4d6</v>
          </cell>
          <cell r="F80">
            <v>1</v>
          </cell>
          <cell r="G80" t="str">
            <v>Causa dano e tem 10% de chance de diminuir a Velocidade do adversário em 10% do total (diminuição máxima de 60%).</v>
          </cell>
        </row>
        <row r="81">
          <cell r="A81" t="str">
            <v>Mud Bomb</v>
          </cell>
          <cell r="B81" t="str">
            <v>Terra</v>
          </cell>
          <cell r="C81" t="str">
            <v>Especial</v>
          </cell>
          <cell r="D81">
            <v>5</v>
          </cell>
          <cell r="E81" t="str">
            <v>7d6</v>
          </cell>
          <cell r="F81">
            <v>0.85</v>
          </cell>
          <cell r="G81" t="str">
            <v>Causa dano e tem 30% de chance de diminuir a Precisão de todos os golpes do adversário em 10% (diminuição máxima de 60%).</v>
          </cell>
        </row>
        <row r="82">
          <cell r="A82" t="str">
            <v>Sludge Bomb</v>
          </cell>
          <cell r="B82" t="str">
            <v>Veneno</v>
          </cell>
          <cell r="C82" t="str">
            <v>Especial</v>
          </cell>
          <cell r="D82">
            <v>12</v>
          </cell>
          <cell r="E82" t="str">
            <v>10d6</v>
          </cell>
          <cell r="F82">
            <v>1</v>
          </cell>
          <cell r="G82" t="str">
            <v>Causa dano e tem 30% de chance de causar condição Envenenado.</v>
          </cell>
        </row>
        <row r="83">
          <cell r="A83" t="str">
            <v>Seed Bomb</v>
          </cell>
          <cell r="B83" t="str">
            <v>Grama</v>
          </cell>
          <cell r="C83" t="str">
            <v>Físico</v>
          </cell>
          <cell r="D83">
            <v>8</v>
          </cell>
          <cell r="E83" t="str">
            <v>8d6</v>
          </cell>
          <cell r="F83">
            <v>1</v>
          </cell>
          <cell r="G83" t="str">
            <v>Causa dano.</v>
          </cell>
        </row>
        <row r="84">
          <cell r="A84" t="str">
            <v>Magnet Bomb</v>
          </cell>
          <cell r="B84" t="str">
            <v>Metal</v>
          </cell>
          <cell r="C84" t="str">
            <v>Físico</v>
          </cell>
          <cell r="D84">
            <v>6</v>
          </cell>
          <cell r="E84" t="str">
            <v>6d6</v>
          </cell>
          <cell r="F84">
            <v>1</v>
          </cell>
          <cell r="G84" t="str">
            <v>Causa dano ignorando qualquer mudança em sua Precisão.</v>
          </cell>
        </row>
        <row r="85">
          <cell r="A85" t="str">
            <v>Splash</v>
          </cell>
          <cell r="B85" t="str">
            <v>Normal</v>
          </cell>
          <cell r="C85" t="str">
            <v>Estado</v>
          </cell>
          <cell r="D85">
            <v>1</v>
          </cell>
          <cell r="E85" t="str">
            <v>-</v>
          </cell>
          <cell r="F85">
            <v>1</v>
          </cell>
          <cell r="G85" t="str">
            <v>Não causa dano.</v>
          </cell>
        </row>
        <row r="86">
          <cell r="A86" t="str">
            <v>Bote</v>
          </cell>
          <cell r="B86" t="str">
            <v>Inseto</v>
          </cell>
          <cell r="C86" t="str">
            <v>Físico</v>
          </cell>
          <cell r="D86">
            <v>6</v>
          </cell>
          <cell r="E86" t="str">
            <v>8d6</v>
          </cell>
          <cell r="F86">
            <v>1</v>
          </cell>
          <cell r="G86" t="str">
            <v>Causa dano e 10% de chances de -10% ATA do alvo</v>
          </cell>
        </row>
        <row r="87">
          <cell r="A87" t="str">
            <v>Needle Arm</v>
          </cell>
          <cell r="B87" t="str">
            <v>Grama</v>
          </cell>
          <cell r="C87" t="str">
            <v>Físico</v>
          </cell>
          <cell r="D87">
            <v>6</v>
          </cell>
          <cell r="E87" t="str">
            <v>6d6</v>
          </cell>
          <cell r="F87">
            <v>1</v>
          </cell>
          <cell r="G87" t="str">
            <v>Causa dano e tem 30% de chance de causar condição Recuando.</v>
          </cell>
        </row>
        <row r="88">
          <cell r="A88" t="str">
            <v>Shell Side Arm</v>
          </cell>
          <cell r="B88" t="str">
            <v>Veneno</v>
          </cell>
          <cell r="C88" t="str">
            <v>Especial</v>
          </cell>
          <cell r="D88">
            <v>12</v>
          </cell>
          <cell r="E88" t="str">
            <v>10d6</v>
          </cell>
          <cell r="F88">
            <v>1</v>
          </cell>
          <cell r="G88" t="str">
            <v>Causa dano e tem 20% de chance de causar condição Envenenado.</v>
          </cell>
        </row>
        <row r="89">
          <cell r="A89" t="str">
            <v>Hammer Arm</v>
          </cell>
          <cell r="B89" t="str">
            <v>Lutador</v>
          </cell>
          <cell r="C89" t="str">
            <v>Físico</v>
          </cell>
          <cell r="D89">
            <v>9</v>
          </cell>
          <cell r="E89" t="str">
            <v>12d6</v>
          </cell>
          <cell r="F89">
            <v>0.9</v>
          </cell>
          <cell r="G89" t="str">
            <v>Causa dano mas diminui a propria Velocidade em 10% do total (diminuição máxima de 60%).</v>
          </cell>
        </row>
        <row r="90">
          <cell r="A90" t="str">
            <v>Ember</v>
          </cell>
          <cell r="B90" t="str">
            <v>Fogo</v>
          </cell>
          <cell r="C90" t="str">
            <v>Especial</v>
          </cell>
          <cell r="D90">
            <v>3</v>
          </cell>
          <cell r="E90" t="str">
            <v>4d6</v>
          </cell>
          <cell r="F90">
            <v>1</v>
          </cell>
          <cell r="G90" t="str">
            <v>Causa dano e tem 10% de chance de causar condição Queimado.</v>
          </cell>
        </row>
        <row r="91">
          <cell r="A91" t="str">
            <v>Feezing Glare</v>
          </cell>
          <cell r="B91" t="str">
            <v>Psíquico</v>
          </cell>
          <cell r="C91" t="str">
            <v>Especial</v>
          </cell>
          <cell r="D91">
            <v>11</v>
          </cell>
          <cell r="E91" t="str">
            <v>10d6</v>
          </cell>
          <cell r="F91">
            <v>1</v>
          </cell>
          <cell r="G91" t="str">
            <v>Causa dano e tem 10% de chance de causar condição Congelado.</v>
          </cell>
        </row>
        <row r="92">
          <cell r="A92" t="str">
            <v>Hyperspace Hole</v>
          </cell>
          <cell r="B92" t="str">
            <v>Psíquico</v>
          </cell>
          <cell r="C92" t="str">
            <v>Especial</v>
          </cell>
          <cell r="D92">
            <v>8</v>
          </cell>
          <cell r="E92" t="str">
            <v>8d6</v>
          </cell>
          <cell r="F92">
            <v>1</v>
          </cell>
          <cell r="G92" t="str">
            <v>Causa dano mesmo se o adversário estiver sob Proteção.</v>
          </cell>
        </row>
        <row r="93">
          <cell r="A93" t="str">
            <v>Iron Head</v>
          </cell>
          <cell r="B93" t="str">
            <v>Metal</v>
          </cell>
          <cell r="C93" t="str">
            <v>Físico</v>
          </cell>
          <cell r="D93">
            <v>10</v>
          </cell>
          <cell r="E93" t="str">
            <v>8d6</v>
          </cell>
          <cell r="F93">
            <v>1</v>
          </cell>
          <cell r="G93" t="str">
            <v>Causa dano e tem 30% de chance de causar condição Recuando.</v>
          </cell>
        </row>
        <row r="94">
          <cell r="A94" t="str">
            <v>Headbutt</v>
          </cell>
          <cell r="B94" t="str">
            <v>Normal</v>
          </cell>
          <cell r="C94" t="str">
            <v>Físico</v>
          </cell>
          <cell r="D94">
            <v>8</v>
          </cell>
          <cell r="E94" t="str">
            <v>7d6</v>
          </cell>
          <cell r="F94">
            <v>1</v>
          </cell>
          <cell r="G94" t="str">
            <v>Causa dano e tem 30% de chance de causar condição Recuando.</v>
          </cell>
        </row>
        <row r="95">
          <cell r="A95" t="str">
            <v>Zen Headbutt</v>
          </cell>
          <cell r="B95" t="str">
            <v>Psíquico</v>
          </cell>
          <cell r="C95" t="str">
            <v>Físico</v>
          </cell>
          <cell r="D95">
            <v>9</v>
          </cell>
          <cell r="E95" t="str">
            <v>8d6</v>
          </cell>
          <cell r="F95">
            <v>0.9</v>
          </cell>
          <cell r="G95" t="str">
            <v>Causa dano e tem 20% de chance de causar condição Recuando.</v>
          </cell>
        </row>
        <row r="96">
          <cell r="A96" t="str">
            <v>Ice Shard</v>
          </cell>
          <cell r="B96" t="str">
            <v>Gelo</v>
          </cell>
          <cell r="C96" t="str">
            <v>Físico</v>
          </cell>
          <cell r="D96">
            <v>4</v>
          </cell>
          <cell r="E96" t="str">
            <v>4d6</v>
          </cell>
          <cell r="F96">
            <v>1</v>
          </cell>
          <cell r="G96" t="str">
            <v>Causa dano, atacando primeiro que o adversário ao ignorar a Velocidade dele.</v>
          </cell>
        </row>
        <row r="97">
          <cell r="A97" t="str">
            <v>Baneful Bunker</v>
          </cell>
          <cell r="B97" t="str">
            <v>Veneno</v>
          </cell>
          <cell r="C97" t="str">
            <v>Estado</v>
          </cell>
          <cell r="D97">
            <v>6</v>
          </cell>
          <cell r="E97" t="str">
            <v>-</v>
          </cell>
          <cell r="F97">
            <v>1</v>
          </cell>
          <cell r="G97" t="str">
            <v>Um protect, mas se houver contato físico, o atacante fica Envenenado</v>
          </cell>
        </row>
        <row r="98">
          <cell r="A98" t="str">
            <v>Mud Sport</v>
          </cell>
          <cell r="B98" t="str">
            <v>Terra</v>
          </cell>
          <cell r="C98" t="str">
            <v>Estado</v>
          </cell>
          <cell r="D98">
            <v>8</v>
          </cell>
          <cell r="E98" t="str">
            <v>-</v>
          </cell>
          <cell r="F98">
            <v>1</v>
          </cell>
          <cell r="G98" t="str">
            <v>Reduz 50% do dano causado por golpes do tipo Elétrico.</v>
          </cell>
        </row>
        <row r="99">
          <cell r="A99" t="str">
            <v>Camouflage</v>
          </cell>
          <cell r="B99" t="str">
            <v>Normal</v>
          </cell>
          <cell r="C99" t="str">
            <v>Estado</v>
          </cell>
          <cell r="D99">
            <v>1</v>
          </cell>
          <cell r="E99" t="str">
            <v>-</v>
          </cell>
          <cell r="F99">
            <v>1</v>
          </cell>
          <cell r="G99" t="str">
            <v>Efeito do golpe indisponível ainda.</v>
          </cell>
        </row>
        <row r="100">
          <cell r="A100" t="str">
            <v>Sing</v>
          </cell>
          <cell r="B100" t="str">
            <v>Normal</v>
          </cell>
          <cell r="C100" t="str">
            <v>Estado</v>
          </cell>
          <cell r="D100">
            <v>3</v>
          </cell>
          <cell r="E100" t="str">
            <v>-</v>
          </cell>
          <cell r="F100">
            <v>0.55000000000000004</v>
          </cell>
          <cell r="G100" t="str">
            <v>Causa a condição Dormindo.</v>
          </cell>
        </row>
        <row r="101">
          <cell r="A101" t="str">
            <v>Perish Song</v>
          </cell>
          <cell r="B101" t="str">
            <v>Normal</v>
          </cell>
          <cell r="C101" t="str">
            <v>Estado</v>
          </cell>
          <cell r="D101">
            <v>25</v>
          </cell>
          <cell r="E101" t="str">
            <v>-</v>
          </cell>
          <cell r="F101">
            <v>1</v>
          </cell>
          <cell r="G101" t="str">
            <v>3 turnos após o uso faz o adversário desmaiar.</v>
          </cell>
        </row>
        <row r="102">
          <cell r="A102" t="str">
            <v>Flash Cannon</v>
          </cell>
          <cell r="B102" t="str">
            <v>Metal</v>
          </cell>
          <cell r="C102" t="str">
            <v>Especial</v>
          </cell>
          <cell r="D102">
            <v>9</v>
          </cell>
          <cell r="E102" t="str">
            <v>8d6</v>
          </cell>
          <cell r="F102">
            <v>1</v>
          </cell>
          <cell r="G102" t="str">
            <v>Causa dano e tem 10% de chance de diminuir a Defesa Especial do adversário em 10% do total (diminuição máxima de 60%).</v>
          </cell>
        </row>
        <row r="103">
          <cell r="A103" t="str">
            <v>Fleur Cannon</v>
          </cell>
          <cell r="B103" t="str">
            <v>Fada</v>
          </cell>
          <cell r="C103" t="str">
            <v>Especial</v>
          </cell>
          <cell r="D103">
            <v>13</v>
          </cell>
          <cell r="E103" t="str">
            <v>18d6</v>
          </cell>
          <cell r="F103">
            <v>0.9</v>
          </cell>
          <cell r="G103" t="str">
            <v>Causa dano mas diminui o próprio Ataque Especial em 20% do total (diminuição máxima de 60%).</v>
          </cell>
        </row>
        <row r="104">
          <cell r="A104" t="str">
            <v>Zap Cannon</v>
          </cell>
          <cell r="B104" t="str">
            <v>Elétrico</v>
          </cell>
          <cell r="C104" t="str">
            <v>Especial</v>
          </cell>
          <cell r="D104">
            <v>17</v>
          </cell>
          <cell r="E104" t="str">
            <v>16d6</v>
          </cell>
          <cell r="F104">
            <v>0.5</v>
          </cell>
          <cell r="G104" t="str">
            <v>Causa dano e a condição Paralisado.</v>
          </cell>
        </row>
        <row r="105">
          <cell r="A105" t="str">
            <v>Psychic Fangs</v>
          </cell>
          <cell r="B105" t="str">
            <v>Psíquico</v>
          </cell>
          <cell r="C105" t="str">
            <v>Físico</v>
          </cell>
          <cell r="D105">
            <v>12</v>
          </cell>
          <cell r="E105" t="str">
            <v>10d6</v>
          </cell>
          <cell r="F105">
            <v>1</v>
          </cell>
          <cell r="G105" t="str">
            <v>Causa dano e remove do adversário a Tela de Luz, Refletir e Véu Aurora.</v>
          </cell>
        </row>
        <row r="106">
          <cell r="A106" t="str">
            <v>Clamp</v>
          </cell>
          <cell r="B106" t="str">
            <v>Água</v>
          </cell>
          <cell r="C106" t="str">
            <v>Físico</v>
          </cell>
          <cell r="D106">
            <v>4</v>
          </cell>
          <cell r="E106" t="str">
            <v>3d6</v>
          </cell>
          <cell r="F106">
            <v>0.85</v>
          </cell>
          <cell r="G106" t="str">
            <v>Causa dano e deixa sob a condição Preso durante 1d6 de turnos, que causam 10% de dano do PV total.</v>
          </cell>
        </row>
        <row r="107">
          <cell r="A107" t="str">
            <v>Scary Face</v>
          </cell>
          <cell r="B107" t="str">
            <v>Normal</v>
          </cell>
          <cell r="C107" t="str">
            <v>Estado</v>
          </cell>
          <cell r="D107">
            <v>4</v>
          </cell>
          <cell r="E107" t="str">
            <v>-</v>
          </cell>
          <cell r="F107">
            <v>1</v>
          </cell>
          <cell r="G107" t="str">
            <v>Diminui a Velocidade do adversário em 20% do total (diminuição máxima de 60%).</v>
          </cell>
        </row>
        <row r="108">
          <cell r="A108" t="str">
            <v>Charge Beam</v>
          </cell>
          <cell r="B108" t="str">
            <v>Elétrico</v>
          </cell>
          <cell r="C108" t="str">
            <v>Especial</v>
          </cell>
          <cell r="D108">
            <v>3</v>
          </cell>
          <cell r="E108" t="str">
            <v>5d6</v>
          </cell>
          <cell r="F108">
            <v>0.9</v>
          </cell>
          <cell r="G108" t="str">
            <v>Causa dano e tem 10% de chance de aumentar o Ataque Especial em 10% do total (aumento máximo de 60%).</v>
          </cell>
        </row>
        <row r="109">
          <cell r="A109" t="str">
            <v>Parabolic Charge</v>
          </cell>
          <cell r="B109" t="str">
            <v>Elétrico</v>
          </cell>
          <cell r="C109" t="str">
            <v>Especial</v>
          </cell>
          <cell r="D109">
            <v>6</v>
          </cell>
          <cell r="E109" t="str">
            <v>7d6</v>
          </cell>
          <cell r="F109">
            <v>1</v>
          </cell>
          <cell r="G109" t="str">
            <v>Efeito do golpe indisponível ainda.</v>
          </cell>
        </row>
        <row r="110">
          <cell r="A110" t="str">
            <v>Charge</v>
          </cell>
          <cell r="B110" t="str">
            <v>Elétrico</v>
          </cell>
          <cell r="C110" t="str">
            <v>Estado</v>
          </cell>
          <cell r="D110">
            <v>5</v>
          </cell>
          <cell r="E110" t="str">
            <v>-</v>
          </cell>
          <cell r="F110">
            <v>1</v>
          </cell>
          <cell r="G110" t="str">
            <v>Aumenta o Ataque Especial em 10% do total (aumento máximo de 60% em cada). Se o golpe do próximo turno for Eletrico, será dobrado.</v>
          </cell>
        </row>
        <row r="111">
          <cell r="A111" t="str">
            <v>Mirror Coat</v>
          </cell>
          <cell r="B111" t="str">
            <v>Psíquico</v>
          </cell>
          <cell r="C111" t="str">
            <v>Especial</v>
          </cell>
          <cell r="D111">
            <v>15</v>
          </cell>
          <cell r="E111" t="str">
            <v>-</v>
          </cell>
          <cell r="F111">
            <v>1</v>
          </cell>
          <cell r="G111" t="str">
            <v>Se foi atacado com um golpe especial de 4d6, por exemplo, devolve em dobro, 8d6.</v>
          </cell>
        </row>
        <row r="112">
          <cell r="A112" t="str">
            <v>Waterfall</v>
          </cell>
          <cell r="B112" t="str">
            <v>Água</v>
          </cell>
          <cell r="C112" t="str">
            <v>Físico</v>
          </cell>
          <cell r="D112">
            <v>10</v>
          </cell>
          <cell r="E112" t="str">
            <v>8d6</v>
          </cell>
          <cell r="F112">
            <v>1</v>
          </cell>
          <cell r="G112" t="str">
            <v>Causa dano e tem 20% de chance de causar condição Recuando.</v>
          </cell>
        </row>
        <row r="113">
          <cell r="A113" t="str">
            <v>Thrash</v>
          </cell>
          <cell r="B113" t="str">
            <v>Normal</v>
          </cell>
          <cell r="C113" t="str">
            <v>Físico</v>
          </cell>
          <cell r="D113">
            <v>14</v>
          </cell>
          <cell r="E113" t="str">
            <v>16d6</v>
          </cell>
          <cell r="F113">
            <v>1</v>
          </cell>
          <cell r="G113" t="str">
            <v>Causa dano com o mesmo golpe por 3 turnos seguidos e depois fica com a condição Confuso.</v>
          </cell>
        </row>
        <row r="114">
          <cell r="A114" t="str">
            <v>Captivate</v>
          </cell>
          <cell r="B114" t="str">
            <v>Normal</v>
          </cell>
          <cell r="C114" t="str">
            <v>Estado</v>
          </cell>
          <cell r="D114">
            <v>3</v>
          </cell>
          <cell r="E114" t="str">
            <v>-</v>
          </cell>
          <cell r="F114">
            <v>1</v>
          </cell>
          <cell r="G114" t="str">
            <v>Diminui o Ataque Especial do adversário - se for do gênero oposto - em 20% do total (diminuição máxima de 60%).</v>
          </cell>
        </row>
        <row r="115">
          <cell r="A115" t="str">
            <v>Tail Glow</v>
          </cell>
          <cell r="B115" t="str">
            <v>Inseto</v>
          </cell>
          <cell r="C115" t="str">
            <v>Estado</v>
          </cell>
          <cell r="D115">
            <v>4</v>
          </cell>
          <cell r="E115" t="str">
            <v>-</v>
          </cell>
          <cell r="F115">
            <v>1</v>
          </cell>
          <cell r="G115" t="str">
            <v>Aumenta o Ataque Especial em 30% do total (aumento máximo de 60%).</v>
          </cell>
        </row>
        <row r="116">
          <cell r="A116" t="str">
            <v>Tail Whip</v>
          </cell>
          <cell r="B116" t="str">
            <v>Normal</v>
          </cell>
          <cell r="C116" t="str">
            <v>Estado</v>
          </cell>
          <cell r="D116">
            <v>2</v>
          </cell>
          <cell r="E116" t="str">
            <v>-</v>
          </cell>
          <cell r="F116">
            <v>1</v>
          </cell>
          <cell r="G116" t="str">
            <v>Diminui a Defesa do adversário em 10% do total (diminuição máxima de 60%).</v>
          </cell>
        </row>
        <row r="117">
          <cell r="A117" t="str">
            <v>Iron Tail</v>
          </cell>
          <cell r="B117" t="str">
            <v>Metal</v>
          </cell>
          <cell r="C117" t="str">
            <v>Físico</v>
          </cell>
          <cell r="D117">
            <v>10</v>
          </cell>
          <cell r="E117" t="str">
            <v>12d6</v>
          </cell>
          <cell r="F117">
            <v>0.75</v>
          </cell>
          <cell r="G117" t="str">
            <v>Causa dano e tem 30% de chance de diminuir a Defesa do adversário em 10% do total (diminuição máxima de 60%).</v>
          </cell>
        </row>
        <row r="118">
          <cell r="A118" t="str">
            <v>Tailwind</v>
          </cell>
          <cell r="B118" t="str">
            <v>Voador</v>
          </cell>
          <cell r="C118" t="str">
            <v>Estado</v>
          </cell>
          <cell r="D118">
            <v>8</v>
          </cell>
          <cell r="E118" t="str">
            <v>-</v>
          </cell>
          <cell r="F118">
            <v>1</v>
          </cell>
          <cell r="G118" t="str">
            <v>Dobra a Velocidade dos Aliados</v>
          </cell>
        </row>
        <row r="119">
          <cell r="A119" t="str">
            <v>Dragon Tail</v>
          </cell>
          <cell r="B119" t="str">
            <v>Dragão</v>
          </cell>
          <cell r="C119" t="str">
            <v>Físico</v>
          </cell>
          <cell r="D119">
            <v>9</v>
          </cell>
          <cell r="E119" t="str">
            <v>6d6</v>
          </cell>
          <cell r="F119">
            <v>0.9</v>
          </cell>
          <cell r="G119" t="str">
            <v>Causa dano e contra pokémons selvagens, faz ele fugir. Em batalha contra treinadores, obriga ele a trocar.</v>
          </cell>
        </row>
        <row r="120">
          <cell r="A120" t="str">
            <v>Poison Tail</v>
          </cell>
          <cell r="B120" t="str">
            <v>Veneno</v>
          </cell>
          <cell r="C120" t="str">
            <v>Físico</v>
          </cell>
          <cell r="D120">
            <v>6</v>
          </cell>
          <cell r="E120" t="str">
            <v>5d6</v>
          </cell>
          <cell r="F120">
            <v>1</v>
          </cell>
          <cell r="G120" t="str">
            <v>Causa dano, tem 10% de chance de causar condição Envenenado e aumenta a Taxa de Crítico de 10% para 30%.</v>
          </cell>
        </row>
        <row r="121">
          <cell r="A121" t="str">
            <v>Dig</v>
          </cell>
          <cell r="B121" t="str">
            <v>Terra</v>
          </cell>
          <cell r="C121" t="str">
            <v>Físico</v>
          </cell>
          <cell r="D121">
            <v>12</v>
          </cell>
          <cell r="E121" t="str">
            <v>8d6</v>
          </cell>
          <cell r="F121">
            <v>1</v>
          </cell>
          <cell r="G121" t="str">
            <v>Fica invulnerável no primeiro turno, causando dano no seguinte.</v>
          </cell>
        </row>
        <row r="122">
          <cell r="A122" t="str">
            <v>Blast Burn</v>
          </cell>
          <cell r="B122" t="str">
            <v>Fogo</v>
          </cell>
          <cell r="C122" t="str">
            <v>Especial</v>
          </cell>
          <cell r="D122">
            <v>24</v>
          </cell>
          <cell r="E122" t="str">
            <v>22d6</v>
          </cell>
          <cell r="F122">
            <v>1</v>
          </cell>
          <cell r="G122" t="str">
            <v>Precisa de um turno para recarregar.</v>
          </cell>
        </row>
        <row r="123">
          <cell r="A123" t="str">
            <v>Blue Flare</v>
          </cell>
          <cell r="B123" t="str">
            <v>Fogo</v>
          </cell>
          <cell r="C123" t="str">
            <v>Especial</v>
          </cell>
          <cell r="D123">
            <v>16</v>
          </cell>
          <cell r="E123" t="str">
            <v>18d6</v>
          </cell>
          <cell r="F123">
            <v>0.85</v>
          </cell>
          <cell r="G123" t="str">
            <v>Causa dano e tem 20% de chance de causar Burn.</v>
          </cell>
        </row>
        <row r="124">
          <cell r="A124" t="str">
            <v>Fire Spin</v>
          </cell>
          <cell r="B124" t="str">
            <v>Fogo</v>
          </cell>
          <cell r="C124" t="str">
            <v>Especial</v>
          </cell>
          <cell r="D124">
            <v>4</v>
          </cell>
          <cell r="E124" t="str">
            <v>3d6</v>
          </cell>
          <cell r="F124">
            <v>0.85</v>
          </cell>
          <cell r="G124" t="str">
            <v>Causa dano e deixa sob a condição Preso durante 1d6 de turnos, que causam 10% de dano do PV total.</v>
          </cell>
        </row>
        <row r="125">
          <cell r="A125" t="str">
            <v>Chama-Chicote</v>
          </cell>
          <cell r="B125" t="str">
            <v>Fogo</v>
          </cell>
          <cell r="C125" t="str">
            <v>Físico</v>
          </cell>
          <cell r="D125">
            <v>10</v>
          </cell>
          <cell r="E125" t="str">
            <v>8d6</v>
          </cell>
          <cell r="F125">
            <v>1</v>
          </cell>
          <cell r="G125" t="str">
            <v>Causa dano, -10% DEF do alvo</v>
          </cell>
        </row>
        <row r="126">
          <cell r="A126" t="str">
            <v>Nuzzle</v>
          </cell>
          <cell r="B126" t="str">
            <v>Elétrico</v>
          </cell>
          <cell r="C126" t="str">
            <v>Físico</v>
          </cell>
          <cell r="D126">
            <v>7</v>
          </cell>
          <cell r="E126" t="str">
            <v>2d6</v>
          </cell>
          <cell r="F126">
            <v>1</v>
          </cell>
          <cell r="G126" t="str">
            <v>Causa dano e a condição Paralisado.</v>
          </cell>
        </row>
        <row r="127">
          <cell r="A127" t="str">
            <v>Vine Whip</v>
          </cell>
          <cell r="B127" t="str">
            <v>Grama</v>
          </cell>
          <cell r="C127" t="str">
            <v>Físico</v>
          </cell>
          <cell r="D127">
            <v>3</v>
          </cell>
          <cell r="E127" t="str">
            <v>5d6</v>
          </cell>
          <cell r="F127">
            <v>1</v>
          </cell>
          <cell r="G127" t="str">
            <v>Causa dano.</v>
          </cell>
        </row>
        <row r="128">
          <cell r="A128" t="str">
            <v>Power Whip</v>
          </cell>
          <cell r="B128" t="str">
            <v>Grama</v>
          </cell>
          <cell r="C128" t="str">
            <v>Físico</v>
          </cell>
          <cell r="D128">
            <v>14</v>
          </cell>
          <cell r="E128" t="str">
            <v>16d6</v>
          </cell>
          <cell r="F128">
            <v>0.85</v>
          </cell>
          <cell r="G128" t="str">
            <v>Causa dano.</v>
          </cell>
        </row>
        <row r="129">
          <cell r="A129" t="str">
            <v>Smart Strike</v>
          </cell>
          <cell r="B129" t="str">
            <v>Metal</v>
          </cell>
          <cell r="C129" t="str">
            <v>Físico</v>
          </cell>
          <cell r="D129">
            <v>6</v>
          </cell>
          <cell r="E129" t="str">
            <v>7d6</v>
          </cell>
          <cell r="F129">
            <v>1</v>
          </cell>
          <cell r="G129" t="str">
            <v>Causa dano e nunca erra.</v>
          </cell>
        </row>
        <row r="130">
          <cell r="A130" t="str">
            <v>Horn Drill</v>
          </cell>
          <cell r="B130" t="str">
            <v>Normal</v>
          </cell>
          <cell r="C130" t="str">
            <v>Físico</v>
          </cell>
          <cell r="D130">
            <v>22</v>
          </cell>
          <cell r="E130" t="str">
            <v>-</v>
          </cell>
          <cell r="F130">
            <v>0.3</v>
          </cell>
          <cell r="G130" t="str">
            <v>Se acertar o adversário, o oponente desmaiará.</v>
          </cell>
        </row>
        <row r="131">
          <cell r="A131" t="str">
            <v>Horn Leech</v>
          </cell>
          <cell r="B131" t="str">
            <v>Grama</v>
          </cell>
          <cell r="C131" t="str">
            <v>Físico</v>
          </cell>
          <cell r="D131">
            <v>8</v>
          </cell>
          <cell r="E131" t="str">
            <v>8d6</v>
          </cell>
          <cell r="F131">
            <v>1</v>
          </cell>
          <cell r="G131" t="str">
            <v>Causa dano e recupera 50% do HP diminuido do adversário.</v>
          </cell>
        </row>
        <row r="132">
          <cell r="A132" t="str">
            <v>Freeze Shock</v>
          </cell>
          <cell r="B132" t="str">
            <v>Gelo</v>
          </cell>
          <cell r="C132" t="str">
            <v>Físico</v>
          </cell>
          <cell r="D132">
            <v>12</v>
          </cell>
          <cell r="E132" t="str">
            <v>20d6</v>
          </cell>
          <cell r="F132">
            <v>0.9</v>
          </cell>
          <cell r="G132" t="str">
            <v>Carrega no primeiro turno, no segundo turno causa dano e tem 30% de chance de causar condição Paralisado.</v>
          </cell>
        </row>
        <row r="133">
          <cell r="A133" t="str">
            <v>Thunderbolt</v>
          </cell>
          <cell r="B133" t="str">
            <v>Elétrico</v>
          </cell>
          <cell r="C133" t="str">
            <v>Especial</v>
          </cell>
          <cell r="D133">
            <v>11</v>
          </cell>
          <cell r="E133" t="str">
            <v>10d6</v>
          </cell>
          <cell r="F133">
            <v>1</v>
          </cell>
          <cell r="G133" t="str">
            <v>Causa dano e tem 10% de chance de causar condição Paralisado.</v>
          </cell>
        </row>
        <row r="134">
          <cell r="A134" t="str">
            <v>Psyshock</v>
          </cell>
          <cell r="B134" t="str">
            <v>Psíquico</v>
          </cell>
          <cell r="C134" t="str">
            <v>Especial</v>
          </cell>
          <cell r="D134">
            <v>12</v>
          </cell>
          <cell r="E134" t="str">
            <v>8d6</v>
          </cell>
          <cell r="F134">
            <v>1</v>
          </cell>
          <cell r="G134" t="str">
            <v>Causa dano, porém o adversário se defenderá com a Defesa ao invés da Defesa Especial.</v>
          </cell>
        </row>
        <row r="135">
          <cell r="A135" t="str">
            <v>Fake Tears</v>
          </cell>
          <cell r="B135" t="str">
            <v>Noturno</v>
          </cell>
          <cell r="C135" t="str">
            <v>Estado</v>
          </cell>
          <cell r="D135">
            <v>4</v>
          </cell>
          <cell r="E135" t="str">
            <v>-</v>
          </cell>
          <cell r="F135">
            <v>1</v>
          </cell>
          <cell r="G135" t="str">
            <v>Diminui a Defesa Especial do adversário em 20% do total (diminuição máxima de 60%).</v>
          </cell>
        </row>
        <row r="136">
          <cell r="A136" t="str">
            <v>High Jump Kick</v>
          </cell>
          <cell r="B136" t="str">
            <v>Lutador</v>
          </cell>
          <cell r="C136" t="str">
            <v>Físico</v>
          </cell>
          <cell r="D136">
            <v>15</v>
          </cell>
          <cell r="E136" t="str">
            <v>18d6</v>
          </cell>
          <cell r="F136">
            <v>0.9</v>
          </cell>
          <cell r="G136" t="str">
            <v>Causa dano, porém se falhar, perderá 50% do PV total.</v>
          </cell>
        </row>
        <row r="137">
          <cell r="A137" t="str">
            <v>Double Kick</v>
          </cell>
          <cell r="B137" t="str">
            <v>Lutador</v>
          </cell>
          <cell r="C137" t="str">
            <v>Físico</v>
          </cell>
          <cell r="D137">
            <v>4</v>
          </cell>
          <cell r="E137" t="str">
            <v>4d6</v>
          </cell>
          <cell r="F137">
            <v>1</v>
          </cell>
          <cell r="G137" t="str">
            <v>Causa dano duas vezes.</v>
          </cell>
        </row>
        <row r="138">
          <cell r="A138" t="str">
            <v>Thunderous Kick</v>
          </cell>
          <cell r="B138" t="str">
            <v>Lutador</v>
          </cell>
          <cell r="C138" t="str">
            <v>Físico</v>
          </cell>
          <cell r="D138">
            <v>12</v>
          </cell>
          <cell r="E138" t="str">
            <v>10d6</v>
          </cell>
          <cell r="F138">
            <v>1</v>
          </cell>
          <cell r="G138" t="str">
            <v>Causa dano e diminui a Defesa do adversário em 10% do total (diminuição máxima de 60%).</v>
          </cell>
        </row>
        <row r="139">
          <cell r="A139" t="str">
            <v>Blaze Kick</v>
          </cell>
          <cell r="B139" t="str">
            <v>Fogo</v>
          </cell>
          <cell r="C139" t="str">
            <v>Físico</v>
          </cell>
          <cell r="D139">
            <v>12</v>
          </cell>
          <cell r="E139" t="str">
            <v>10d6</v>
          </cell>
          <cell r="F139">
            <v>0.9</v>
          </cell>
          <cell r="G139" t="str">
            <v>Causa dano, tem 10% de chance de causar condição Queimado e aumenta a Taxa de Crítico de 10% para 30%</v>
          </cell>
        </row>
        <row r="140">
          <cell r="A140" t="str">
            <v>Triple Kick</v>
          </cell>
          <cell r="B140" t="str">
            <v>Lutador</v>
          </cell>
          <cell r="C140" t="str">
            <v>Físico</v>
          </cell>
          <cell r="D140">
            <v>4</v>
          </cell>
          <cell r="E140" t="str">
            <v>1d6</v>
          </cell>
          <cell r="F140">
            <v>0.9</v>
          </cell>
          <cell r="G140" t="str">
            <v>Causa 1d6, 2d6 e 4d6 de dano, porém cada rolagem deve testar o acerto com a Precisão separadamente.</v>
          </cell>
        </row>
        <row r="141">
          <cell r="A141" t="str">
            <v>Trop Kick</v>
          </cell>
          <cell r="B141" t="str">
            <v>Grama</v>
          </cell>
          <cell r="C141" t="str">
            <v>Físico</v>
          </cell>
          <cell r="D141">
            <v>8</v>
          </cell>
          <cell r="E141" t="str">
            <v>7d6</v>
          </cell>
          <cell r="F141">
            <v>1</v>
          </cell>
          <cell r="G141" t="str">
            <v>Causa dano e diminui o Ataque do adversário em 10% do total (diminuição máxima de 60%).</v>
          </cell>
        </row>
        <row r="142">
          <cell r="A142" t="str">
            <v>Ion Deluge</v>
          </cell>
          <cell r="B142" t="str">
            <v>Elétrico</v>
          </cell>
          <cell r="C142" t="str">
            <v>Estado</v>
          </cell>
          <cell r="D142">
            <v>4</v>
          </cell>
          <cell r="E142" t="str">
            <v>-</v>
          </cell>
          <cell r="F142">
            <v>1</v>
          </cell>
          <cell r="G142" t="str">
            <v>Troca o tipo de todos os pokémons de Normal para Elétrico até o final do turno.</v>
          </cell>
        </row>
        <row r="143">
          <cell r="A143" t="str">
            <v>Venom Drench</v>
          </cell>
          <cell r="B143" t="str">
            <v>Veneno</v>
          </cell>
          <cell r="C143" t="str">
            <v>Estado</v>
          </cell>
          <cell r="D143">
            <v>3</v>
          </cell>
          <cell r="E143" t="str">
            <v>-</v>
          </cell>
          <cell r="F143">
            <v>1</v>
          </cell>
          <cell r="G143" t="str">
            <v>Se o adversário estiver com a condição Envenenado, diminui o Ataque, Ataque Especial e Velocidade dele em 10% do total (diminuição máxima de 60%).</v>
          </cell>
        </row>
        <row r="144">
          <cell r="A144" t="str">
            <v>Kinesis</v>
          </cell>
          <cell r="B144" t="str">
            <v>Psíquico</v>
          </cell>
          <cell r="C144" t="str">
            <v>Estado</v>
          </cell>
          <cell r="D144">
            <v>1</v>
          </cell>
          <cell r="E144" t="str">
            <v>-</v>
          </cell>
          <cell r="F144">
            <v>0.8</v>
          </cell>
          <cell r="G144" t="str">
            <v>Diminui a Precisão de todos os golpes do adversário em 10% (diminuição máxima de 60%).</v>
          </cell>
        </row>
        <row r="145">
          <cell r="A145" t="str">
            <v>Flash</v>
          </cell>
          <cell r="B145" t="str">
            <v>Normal</v>
          </cell>
          <cell r="C145" t="str">
            <v>Estado</v>
          </cell>
          <cell r="D145">
            <v>2</v>
          </cell>
          <cell r="E145" t="str">
            <v>-</v>
          </cell>
          <cell r="F145">
            <v>1</v>
          </cell>
          <cell r="G145" t="str">
            <v>Diminui a Precisão de todos os golpes do adversário em 10% (diminuição máxima de 60%).</v>
          </cell>
        </row>
        <row r="146">
          <cell r="A146" t="str">
            <v>Dazzling Gleam</v>
          </cell>
          <cell r="B146" t="str">
            <v>Fada</v>
          </cell>
          <cell r="C146" t="str">
            <v>Especial</v>
          </cell>
          <cell r="D146">
            <v>8</v>
          </cell>
          <cell r="E146" t="str">
            <v>8d6</v>
          </cell>
          <cell r="F146">
            <v>1</v>
          </cell>
          <cell r="G146" t="str">
            <v>Efeito do golpe indisponível ainda.</v>
          </cell>
        </row>
        <row r="147">
          <cell r="A147" t="str">
            <v>Covet</v>
          </cell>
          <cell r="B147" t="str">
            <v>Normal</v>
          </cell>
          <cell r="C147" t="str">
            <v>Físico</v>
          </cell>
          <cell r="D147">
            <v>6</v>
          </cell>
          <cell r="E147" t="str">
            <v>6d6</v>
          </cell>
          <cell r="F147">
            <v>1</v>
          </cell>
          <cell r="G147" t="str">
            <v>Causa dano e furta o item carregado pelo adversário (caso o item furtado seja de um pokémon selvagem, permacerá no fim do combate, caso contrário retornará).</v>
          </cell>
        </row>
        <row r="148">
          <cell r="A148" t="str">
            <v>Tickle</v>
          </cell>
          <cell r="B148" t="str">
            <v>Normal</v>
          </cell>
          <cell r="C148" t="str">
            <v>Estado</v>
          </cell>
          <cell r="D148">
            <v>3</v>
          </cell>
          <cell r="E148" t="str">
            <v>-</v>
          </cell>
          <cell r="F148">
            <v>1</v>
          </cell>
          <cell r="G148" t="str">
            <v>Diminui o Ataque e a Defesa do adversário em 10% do total (diminuição máxima de 60%).</v>
          </cell>
        </row>
        <row r="149">
          <cell r="A149" t="str">
            <v>Pluck</v>
          </cell>
          <cell r="B149" t="str">
            <v>Voador</v>
          </cell>
          <cell r="C149" t="str">
            <v>Físico</v>
          </cell>
          <cell r="D149">
            <v>6</v>
          </cell>
          <cell r="E149" t="str">
            <v>6d6</v>
          </cell>
          <cell r="F149">
            <v>1</v>
          </cell>
          <cell r="G149" t="str">
            <v>Se o adversário estiver segurando uma fruta, roubará o efeito dela.</v>
          </cell>
        </row>
        <row r="150">
          <cell r="A150" t="str">
            <v>Heat Crash</v>
          </cell>
          <cell r="B150" t="str">
            <v>Fogo</v>
          </cell>
          <cell r="C150" t="str">
            <v>Físico</v>
          </cell>
          <cell r="D150">
            <v>8</v>
          </cell>
          <cell r="E150" t="str">
            <v>-</v>
          </cell>
          <cell r="F150">
            <v>1</v>
          </cell>
          <cell r="G150" t="str">
            <v>Dano depende da diferença de peso</v>
          </cell>
        </row>
        <row r="151">
          <cell r="A151" t="str">
            <v>Flatter</v>
          </cell>
          <cell r="B151" t="str">
            <v>Noturno</v>
          </cell>
          <cell r="C151" t="str">
            <v>Estado</v>
          </cell>
          <cell r="D151">
            <v>4</v>
          </cell>
          <cell r="E151" t="str">
            <v>-</v>
          </cell>
          <cell r="F151">
            <v>1</v>
          </cell>
          <cell r="G151" t="str">
            <v>Causa a condição Confuso, mas aumenta o Ataque Especial do adversário em 20%.</v>
          </cell>
        </row>
        <row r="152">
          <cell r="A152" t="str">
            <v>Laser Focus</v>
          </cell>
          <cell r="B152" t="str">
            <v>Normal</v>
          </cell>
          <cell r="C152" t="str">
            <v>Estado</v>
          </cell>
          <cell r="D152">
            <v>8</v>
          </cell>
          <cell r="E152" t="str">
            <v>-</v>
          </cell>
          <cell r="F152">
            <v>1</v>
          </cell>
          <cell r="G152" t="str">
            <v>Garante que o próximo golpe seja crítico.</v>
          </cell>
        </row>
        <row r="153">
          <cell r="A153" t="str">
            <v>Razor Shell</v>
          </cell>
          <cell r="B153" t="str">
            <v>Água</v>
          </cell>
          <cell r="C153" t="str">
            <v>Físico</v>
          </cell>
          <cell r="D153">
            <v>9</v>
          </cell>
          <cell r="E153" t="str">
            <v>8d6</v>
          </cell>
          <cell r="F153">
            <v>0.95</v>
          </cell>
          <cell r="G153" t="str">
            <v>Causa dano e tem 50% de chance de diminuir a Defesa do adversário em 10% do total (diminuição máxima de 60%).</v>
          </cell>
        </row>
        <row r="154">
          <cell r="A154" t="str">
            <v>Embargo</v>
          </cell>
          <cell r="B154" t="str">
            <v>Noturno</v>
          </cell>
          <cell r="C154" t="str">
            <v>Estado</v>
          </cell>
          <cell r="D154">
            <v>6</v>
          </cell>
          <cell r="E154" t="str">
            <v>-</v>
          </cell>
          <cell r="F154">
            <v>1</v>
          </cell>
          <cell r="G154" t="str">
            <v>Impede que o adversário use qualquer item por 5 turnos.</v>
          </cell>
        </row>
        <row r="155">
          <cell r="A155" t="str">
            <v>Confide</v>
          </cell>
          <cell r="B155" t="str">
            <v>Normal</v>
          </cell>
          <cell r="C155" t="str">
            <v>Estado</v>
          </cell>
          <cell r="D155">
            <v>2</v>
          </cell>
          <cell r="E155" t="str">
            <v>-</v>
          </cell>
          <cell r="F155">
            <v>1</v>
          </cell>
          <cell r="G155" t="str">
            <v>Diminui o Ataque Especial do adversário em 10% do total (diminuição máxima de 60%).</v>
          </cell>
        </row>
        <row r="156">
          <cell r="A156" t="str">
            <v>Confusion</v>
          </cell>
          <cell r="B156" t="str">
            <v>Psíquico</v>
          </cell>
          <cell r="C156" t="str">
            <v>Especial</v>
          </cell>
          <cell r="D156">
            <v>4</v>
          </cell>
          <cell r="E156" t="str">
            <v>5d6</v>
          </cell>
          <cell r="F156">
            <v>1</v>
          </cell>
          <cell r="G156" t="str">
            <v>Causa dano e tem 10% de chance de causar condição Confuso.</v>
          </cell>
        </row>
        <row r="157">
          <cell r="A157" t="str">
            <v>Night Daze</v>
          </cell>
          <cell r="B157" t="str">
            <v>Noturno</v>
          </cell>
          <cell r="C157" t="str">
            <v>Especial</v>
          </cell>
          <cell r="D157">
            <v>10</v>
          </cell>
          <cell r="E157" t="str">
            <v>10d6</v>
          </cell>
          <cell r="F157">
            <v>0.95</v>
          </cell>
          <cell r="G157" t="str">
            <v>Causa dano e tem 40% de chance de diminuir a Precisão de todos os golpes do adversário em 10% (diminuição máxima de 60%).</v>
          </cell>
        </row>
        <row r="158">
          <cell r="A158" t="str">
            <v>Counter</v>
          </cell>
          <cell r="B158" t="str">
            <v>Lutador</v>
          </cell>
          <cell r="C158" t="str">
            <v>Físico</v>
          </cell>
          <cell r="D158">
            <v>15</v>
          </cell>
          <cell r="E158" t="str">
            <v>-</v>
          </cell>
          <cell r="F158">
            <v>1</v>
          </cell>
          <cell r="G158" t="str">
            <v>Se foi atacado com um golpe físico de 4d6, por exemplo, devolve em dobro, 8d6.</v>
          </cell>
        </row>
        <row r="159">
          <cell r="A159" t="str">
            <v>Constrict</v>
          </cell>
          <cell r="B159" t="str">
            <v>Normal</v>
          </cell>
          <cell r="C159" t="str">
            <v>Físico</v>
          </cell>
          <cell r="D159">
            <v>2</v>
          </cell>
          <cell r="E159" t="str">
            <v>3d6</v>
          </cell>
          <cell r="F159">
            <v>1</v>
          </cell>
          <cell r="G159" t="str">
            <v>Causa dano e tem 10% de chance de diminuir a Velocidade do adversário em 10% do total (diminuição máxima de 60%).</v>
          </cell>
        </row>
        <row r="160">
          <cell r="A160" t="str">
            <v>Conversion</v>
          </cell>
          <cell r="B160" t="str">
            <v>Normal</v>
          </cell>
          <cell r="C160" t="str">
            <v>Estado</v>
          </cell>
          <cell r="D160">
            <v>1</v>
          </cell>
          <cell r="E160" t="str">
            <v>-</v>
          </cell>
          <cell r="F160">
            <v>1</v>
          </cell>
          <cell r="G160" t="str">
            <v>Troca o tipo para o tipo de um dos golpes.</v>
          </cell>
        </row>
        <row r="161">
          <cell r="A161" t="str">
            <v>Conversion 2</v>
          </cell>
          <cell r="B161" t="str">
            <v>Normal</v>
          </cell>
          <cell r="C161" t="str">
            <v>Estado</v>
          </cell>
          <cell r="D161">
            <v>1</v>
          </cell>
          <cell r="E161" t="str">
            <v>-</v>
          </cell>
          <cell r="F161">
            <v>1</v>
          </cell>
          <cell r="G161" t="str">
            <v>Troca o tipo para um tipo imune ou resistente do último golpe do adversário.</v>
          </cell>
        </row>
        <row r="162">
          <cell r="A162" t="str">
            <v>Close Combat</v>
          </cell>
          <cell r="B162" t="str">
            <v>Lutador</v>
          </cell>
          <cell r="C162" t="str">
            <v>Físico</v>
          </cell>
          <cell r="D162">
            <v>12</v>
          </cell>
          <cell r="E162" t="str">
            <v>16d6</v>
          </cell>
          <cell r="F162">
            <v>1</v>
          </cell>
          <cell r="G162" t="str">
            <v>Causa dano mas diminui a própria Defesa e Defesa Especial em 10% do total (diminuição máxima de 60%).</v>
          </cell>
        </row>
        <row r="163">
          <cell r="A163" t="str">
            <v>Air Cutter</v>
          </cell>
          <cell r="B163" t="str">
            <v>Voador</v>
          </cell>
          <cell r="C163" t="str">
            <v>Especial</v>
          </cell>
          <cell r="D163">
            <v>5</v>
          </cell>
          <cell r="E163" t="str">
            <v>6d6</v>
          </cell>
          <cell r="F163">
            <v>0.95</v>
          </cell>
          <cell r="G163" t="str">
            <v>Causa dano e aumenta a Taxa de Crítico de 10% para 30%.</v>
          </cell>
        </row>
        <row r="164">
          <cell r="A164" t="str">
            <v>Fury Cutter</v>
          </cell>
          <cell r="B164" t="str">
            <v>Inseto</v>
          </cell>
          <cell r="C164" t="str">
            <v>Físico</v>
          </cell>
          <cell r="D164">
            <v>4</v>
          </cell>
          <cell r="E164" t="str">
            <v>3d6</v>
          </cell>
          <cell r="F164">
            <v>0.95</v>
          </cell>
          <cell r="G164" t="str">
            <v>Causa dano. Toda vez que esse ataque é usado novamente por qualquer pokémon o dano aumentará em 3d6.</v>
          </cell>
        </row>
        <row r="165">
          <cell r="A165" t="str">
            <v>Cut</v>
          </cell>
          <cell r="B165" t="str">
            <v>Normal</v>
          </cell>
          <cell r="C165" t="str">
            <v>Físico</v>
          </cell>
          <cell r="D165">
            <v>2</v>
          </cell>
          <cell r="E165" t="str">
            <v>5d6</v>
          </cell>
          <cell r="F165">
            <v>0.95</v>
          </cell>
          <cell r="G165" t="str">
            <v>Causa dano.</v>
          </cell>
        </row>
        <row r="166">
          <cell r="A166" t="str">
            <v>False Swipe</v>
          </cell>
          <cell r="B166" t="str">
            <v>Normal</v>
          </cell>
          <cell r="C166" t="str">
            <v>Físico</v>
          </cell>
          <cell r="D166">
            <v>2</v>
          </cell>
          <cell r="E166" t="str">
            <v>4d6</v>
          </cell>
          <cell r="F166">
            <v>1</v>
          </cell>
          <cell r="G166" t="str">
            <v>Causa dano deixando o adversário com no mínimo 1PV.</v>
          </cell>
        </row>
        <row r="167">
          <cell r="A167" t="str">
            <v>Psycho Cut</v>
          </cell>
          <cell r="B167" t="str">
            <v>Psíquico</v>
          </cell>
          <cell r="C167" t="str">
            <v>Físico</v>
          </cell>
          <cell r="D167">
            <v>8</v>
          </cell>
          <cell r="E167" t="str">
            <v>7d6</v>
          </cell>
          <cell r="F167">
            <v>1</v>
          </cell>
          <cell r="G167" t="str">
            <v>Causa dano e aumenta a Taxa de Crítico de 10% para 30%.</v>
          </cell>
        </row>
        <row r="168">
          <cell r="A168" t="str">
            <v>Cross Poison</v>
          </cell>
          <cell r="B168" t="str">
            <v>Veneno</v>
          </cell>
          <cell r="C168" t="str">
            <v>Físico</v>
          </cell>
          <cell r="D168">
            <v>9</v>
          </cell>
          <cell r="E168" t="str">
            <v>7d6</v>
          </cell>
          <cell r="F168">
            <v>1</v>
          </cell>
          <cell r="G168" t="str">
            <v>Causa dano, tem 10% de chance de causar condição Envenenado e aumenta a Taxa de Crítico de 10% para 30%.</v>
          </cell>
        </row>
        <row r="169">
          <cell r="A169" t="str">
            <v>Smokescreen</v>
          </cell>
          <cell r="B169" t="str">
            <v>Normal</v>
          </cell>
          <cell r="C169" t="str">
            <v>Estado</v>
          </cell>
          <cell r="D169">
            <v>2</v>
          </cell>
          <cell r="E169" t="str">
            <v>-</v>
          </cell>
          <cell r="F169">
            <v>1</v>
          </cell>
          <cell r="G169" t="str">
            <v>Diminui a Precisão de todos os golpes do adversário em 10% (diminuição máxima de 60%).</v>
          </cell>
        </row>
        <row r="170">
          <cell r="A170" t="str">
            <v>Soft-Boiled</v>
          </cell>
          <cell r="B170" t="str">
            <v>Normal</v>
          </cell>
          <cell r="C170" t="str">
            <v>Estado</v>
          </cell>
          <cell r="D170">
            <v>10</v>
          </cell>
          <cell r="E170" t="str">
            <v>-</v>
          </cell>
          <cell r="F170">
            <v>1</v>
          </cell>
          <cell r="G170" t="str">
            <v>Recupera 50% do PV total.</v>
          </cell>
        </row>
        <row r="171">
          <cell r="A171" t="str">
            <v>Growth</v>
          </cell>
          <cell r="B171" t="str">
            <v>Normal</v>
          </cell>
          <cell r="C171" t="str">
            <v>Estado</v>
          </cell>
          <cell r="D171">
            <v>3</v>
          </cell>
          <cell r="E171" t="str">
            <v>-</v>
          </cell>
          <cell r="F171">
            <v>1</v>
          </cell>
          <cell r="G171" t="str">
            <v>Aumenta o Ataque e o Ataque Especial em 10% do total, se for durante o dia, será de 20% (aumento máximo de 60% em cada).</v>
          </cell>
        </row>
        <row r="172">
          <cell r="A172" t="str">
            <v>V Create</v>
          </cell>
          <cell r="B172" t="str">
            <v>Fogo</v>
          </cell>
          <cell r="C172" t="str">
            <v>Físico</v>
          </cell>
          <cell r="D172">
            <v>21</v>
          </cell>
          <cell r="E172" t="str">
            <v>28d6</v>
          </cell>
          <cell r="F172">
            <v>0.95</v>
          </cell>
          <cell r="G172" t="str">
            <v>Causa dano mas diminui a própria Defesa, Defesa Especial e Velocidade em 10% do total (diminuição máxima de 60%).</v>
          </cell>
        </row>
        <row r="173">
          <cell r="A173" t="str">
            <v>Floral Healing</v>
          </cell>
          <cell r="B173" t="str">
            <v>Fada</v>
          </cell>
          <cell r="C173" t="str">
            <v>Estado</v>
          </cell>
          <cell r="D173">
            <v>1</v>
          </cell>
          <cell r="E173" t="str">
            <v>-</v>
          </cell>
          <cell r="F173">
            <v>1</v>
          </cell>
          <cell r="G173" t="str">
            <v>Aumenta 50% dos PVs do alvo. Se está em Grass Terrain, aumenta 75%</v>
          </cell>
        </row>
        <row r="174">
          <cell r="A174" t="str">
            <v>Trump Card</v>
          </cell>
          <cell r="B174" t="str">
            <v>Normal</v>
          </cell>
          <cell r="C174" t="str">
            <v>Especial</v>
          </cell>
          <cell r="D174">
            <v>1</v>
          </cell>
          <cell r="E174" t="str">
            <v>-</v>
          </cell>
          <cell r="F174">
            <v>1</v>
          </cell>
          <cell r="G174" t="str">
            <v>Causa dano dependendo do valor restante de PP: 30 ou mais, 4d6, 20-29, 8d6, 10-19, 15d6.</v>
          </cell>
        </row>
        <row r="175">
          <cell r="A175" t="str">
            <v>Fiery Dance</v>
          </cell>
          <cell r="B175" t="str">
            <v>Fogo</v>
          </cell>
          <cell r="C175" t="str">
            <v>Especial</v>
          </cell>
          <cell r="D175">
            <v>9</v>
          </cell>
          <cell r="E175" t="str">
            <v>8d6</v>
          </cell>
          <cell r="F175">
            <v>1</v>
          </cell>
          <cell r="G175" t="str">
            <v>Causa dano e tem 50% de chance de aumentar Ataque Especial em 10% do total (diminuição máxima de 60%)</v>
          </cell>
        </row>
        <row r="176">
          <cell r="A176" t="str">
            <v>Rain Dance</v>
          </cell>
          <cell r="B176" t="str">
            <v>Água</v>
          </cell>
          <cell r="C176" t="str">
            <v>Estado</v>
          </cell>
          <cell r="D176">
            <v>1</v>
          </cell>
          <cell r="E176" t="str">
            <v>-</v>
          </cell>
          <cell r="F176">
            <v>1</v>
          </cell>
          <cell r="G176" t="str">
            <v>Por 5 turnos, aumenta em 50% a dano de golpes do tipo Água, os golpes Trovão e Furacão terão 100% de Precisão, o dano dos golpes Raio Solar e Lâmina Solar e a recuperação de Síntese, Sol da Manhã e Luar são reduzidos pela metade e o golpe Esfe...</v>
          </cell>
        </row>
        <row r="177">
          <cell r="A177" t="str">
            <v>Teeter Dance</v>
          </cell>
          <cell r="B177" t="str">
            <v>Normal</v>
          </cell>
          <cell r="C177" t="str">
            <v>Estado</v>
          </cell>
          <cell r="D177">
            <v>1</v>
          </cell>
          <cell r="E177" t="str">
            <v>-</v>
          </cell>
          <cell r="F177">
            <v>1</v>
          </cell>
          <cell r="G177" t="str">
            <v>Efeito do golpe indisponível ainda.</v>
          </cell>
        </row>
        <row r="178">
          <cell r="A178" t="str">
            <v>Sword Dance</v>
          </cell>
          <cell r="B178" t="str">
            <v>Normal</v>
          </cell>
          <cell r="C178" t="str">
            <v>Estado</v>
          </cell>
          <cell r="D178">
            <v>2</v>
          </cell>
          <cell r="E178" t="str">
            <v>-</v>
          </cell>
          <cell r="F178">
            <v>1</v>
          </cell>
          <cell r="G178" t="str">
            <v>Aumenta o Ataque em 20% do total (aumento máximo de 60%).</v>
          </cell>
        </row>
        <row r="179">
          <cell r="A179" t="str">
            <v>Feather Dance</v>
          </cell>
          <cell r="B179" t="str">
            <v>Voador</v>
          </cell>
          <cell r="C179" t="str">
            <v>Estado</v>
          </cell>
          <cell r="D179">
            <v>4</v>
          </cell>
          <cell r="E179" t="str">
            <v>-</v>
          </cell>
          <cell r="F179">
            <v>1</v>
          </cell>
          <cell r="G179" t="str">
            <v>Diminui a Defesa Especial do adversário em 20% do total (diminuição máxima de 60%).</v>
          </cell>
        </row>
        <row r="180">
          <cell r="A180" t="str">
            <v>Petal Dance</v>
          </cell>
          <cell r="B180" t="str">
            <v>Grama</v>
          </cell>
          <cell r="C180" t="str">
            <v>Especial</v>
          </cell>
          <cell r="D180">
            <v>14</v>
          </cell>
          <cell r="E180" t="str">
            <v>16d6</v>
          </cell>
          <cell r="F180">
            <v>1</v>
          </cell>
          <cell r="G180" t="str">
            <v>Causa dano com o mesmo golpe por 3 turnos seguidos e depois fica com a condição Confuso.</v>
          </cell>
        </row>
        <row r="181">
          <cell r="A181" t="str">
            <v>Dragon Dance</v>
          </cell>
          <cell r="B181" t="str">
            <v>Dragão</v>
          </cell>
          <cell r="C181" t="str">
            <v>Estado</v>
          </cell>
          <cell r="D181">
            <v>2</v>
          </cell>
          <cell r="E181" t="str">
            <v>-</v>
          </cell>
          <cell r="F181">
            <v>1</v>
          </cell>
          <cell r="G181" t="str">
            <v>Aumenta o Ataque e a Velocidade em 10% do total (aumento máximo de 60% em cada).</v>
          </cell>
        </row>
        <row r="182">
          <cell r="A182" t="str">
            <v>Lunar Dance</v>
          </cell>
          <cell r="B182" t="str">
            <v>Psíquico</v>
          </cell>
          <cell r="C182" t="str">
            <v>Estado</v>
          </cell>
          <cell r="D182">
            <v>10</v>
          </cell>
          <cell r="E182" t="str">
            <v>-</v>
          </cell>
          <cell r="F182">
            <v>1</v>
          </cell>
          <cell r="G182" t="str">
            <v>O pokémon desmaia e o próximo tem o PV recuperado completamente.</v>
          </cell>
        </row>
        <row r="183">
          <cell r="A183" t="str">
            <v>Revelation Dance</v>
          </cell>
          <cell r="B183" t="str">
            <v>Normal</v>
          </cell>
          <cell r="C183" t="str">
            <v>Especial</v>
          </cell>
          <cell r="D183">
            <v>10</v>
          </cell>
          <cell r="E183" t="str">
            <v>10d6</v>
          </cell>
          <cell r="F183">
            <v>1</v>
          </cell>
          <cell r="G183" t="str">
            <v>Efeito do golpe indisponível ainda.</v>
          </cell>
        </row>
        <row r="184">
          <cell r="A184" t="str">
            <v>Quiver Dance</v>
          </cell>
          <cell r="B184" t="str">
            <v>Inseto</v>
          </cell>
          <cell r="C184" t="str">
            <v>Estado</v>
          </cell>
          <cell r="D184">
            <v>3</v>
          </cell>
          <cell r="E184" t="str">
            <v>-</v>
          </cell>
          <cell r="F184">
            <v>1</v>
          </cell>
          <cell r="G184" t="str">
            <v>Aumenta o Ataque Especial, a Defesa Especial e a Velocidade em 10% do total (aumento máximo de 60% em cada).</v>
          </cell>
        </row>
        <row r="185">
          <cell r="A185" t="str">
            <v>Topsy-Turvy</v>
          </cell>
          <cell r="B185" t="str">
            <v>Noturno</v>
          </cell>
          <cell r="C185" t="str">
            <v>Estado</v>
          </cell>
          <cell r="D185">
            <v>4</v>
          </cell>
          <cell r="E185" t="str">
            <v>-</v>
          </cell>
          <cell r="F185">
            <v>1</v>
          </cell>
          <cell r="G185" t="str">
            <v>Inverte as mudanças de qualquer atributo do adversário, por exemplo, se o adversário aumentou o seu Ataque em 30%, irá inverter para diminuição em 30%.</v>
          </cell>
        </row>
        <row r="186">
          <cell r="A186" t="str">
            <v>Wide Guard</v>
          </cell>
          <cell r="B186" t="str">
            <v>Pedra</v>
          </cell>
          <cell r="C186" t="str">
            <v>Estado</v>
          </cell>
          <cell r="D186">
            <v>1</v>
          </cell>
          <cell r="E186" t="str">
            <v>-</v>
          </cell>
          <cell r="F186">
            <v>1</v>
          </cell>
          <cell r="G186" t="str">
            <v>Protege os aliados de golpes em area.</v>
          </cell>
        </row>
        <row r="187">
          <cell r="A187" t="str">
            <v>Iron Defense</v>
          </cell>
          <cell r="B187" t="str">
            <v>Metal</v>
          </cell>
          <cell r="C187" t="str">
            <v>Estado</v>
          </cell>
          <cell r="D187">
            <v>2</v>
          </cell>
          <cell r="E187" t="str">
            <v>-</v>
          </cell>
          <cell r="F187">
            <v>1</v>
          </cell>
          <cell r="G187" t="str">
            <v>Aumenta a Defesa em 20% do total (aumento máximo de 60%).</v>
          </cell>
        </row>
        <row r="188">
          <cell r="A188" t="str">
            <v>Defense Curl</v>
          </cell>
          <cell r="B188" t="str">
            <v>Normal</v>
          </cell>
          <cell r="C188" t="str">
            <v>Estado</v>
          </cell>
          <cell r="D188">
            <v>2</v>
          </cell>
          <cell r="E188" t="str">
            <v>-</v>
          </cell>
          <cell r="F188">
            <v>1</v>
          </cell>
          <cell r="G188" t="str">
            <v>Aumenta a Defesa em 10% do total (aumento máximo de 60%).</v>
          </cell>
        </row>
        <row r="189">
          <cell r="A189" t="str">
            <v>Quick Guard</v>
          </cell>
          <cell r="B189" t="str">
            <v>Lutador</v>
          </cell>
          <cell r="C189" t="str">
            <v>Estado</v>
          </cell>
          <cell r="D189">
            <v>1</v>
          </cell>
          <cell r="E189" t="str">
            <v>-</v>
          </cell>
          <cell r="F189">
            <v>1</v>
          </cell>
          <cell r="G189" t="str">
            <v>Protege a si e seus aliados de golpes de prioridade</v>
          </cell>
        </row>
        <row r="190">
          <cell r="A190" t="str">
            <v>Rock Wrecker</v>
          </cell>
          <cell r="B190" t="str">
            <v>Pedra</v>
          </cell>
          <cell r="C190" t="str">
            <v>Físico</v>
          </cell>
          <cell r="D190">
            <v>13</v>
          </cell>
          <cell r="E190" t="str">
            <v>22d6</v>
          </cell>
          <cell r="F190">
            <v>0.9</v>
          </cell>
          <cell r="G190" t="str">
            <v>Causa dano, porém no próximo turno não poderá utilizar nenhum golpe.</v>
          </cell>
        </row>
        <row r="191">
          <cell r="A191" t="str">
            <v>After You</v>
          </cell>
          <cell r="B191" t="str">
            <v>Normal</v>
          </cell>
          <cell r="C191" t="str">
            <v>Estado</v>
          </cell>
          <cell r="D191">
            <v>4</v>
          </cell>
          <cell r="E191" t="str">
            <v>-</v>
          </cell>
          <cell r="F191">
            <v>1</v>
          </cell>
          <cell r="G191" t="str">
            <v>Força o adversário atacar primeiro no próximo turno.</v>
          </cell>
        </row>
        <row r="192">
          <cell r="A192" t="str">
            <v>Smack Down</v>
          </cell>
          <cell r="B192" t="str">
            <v>Pedra</v>
          </cell>
          <cell r="C192" t="str">
            <v>Físico</v>
          </cell>
          <cell r="D192">
            <v>5</v>
          </cell>
          <cell r="E192" t="str">
            <v>5d6</v>
          </cell>
          <cell r="F192">
            <v>1</v>
          </cell>
          <cell r="G192" t="str">
            <v>Causa dano e derruba o adverário, assim, se o adversário estiver levitando/voando passará a ser atingido por golpes do tipo Terra. Atinge mesmo se estiver invulnerável pelo golpe Voar, Ricochetear e Queda Livre, cancelado o golpe.</v>
          </cell>
        </row>
        <row r="193">
          <cell r="A193" t="str">
            <v>Knock Off</v>
          </cell>
          <cell r="B193" t="str">
            <v>Noturno</v>
          </cell>
          <cell r="C193" t="str">
            <v>Físico</v>
          </cell>
          <cell r="D193">
            <v>8</v>
          </cell>
          <cell r="E193" t="str">
            <v>6d6</v>
          </cell>
          <cell r="F193">
            <v>1</v>
          </cell>
          <cell r="G193" t="str">
            <v>Causa dano, se o adversário estiver carregando algum item o dano é dobrado e o item é removido até o final do combate.</v>
          </cell>
        </row>
        <row r="194">
          <cell r="A194" t="str">
            <v>Disable</v>
          </cell>
          <cell r="B194" t="str">
            <v>Normal</v>
          </cell>
          <cell r="C194" t="str">
            <v>Estado</v>
          </cell>
          <cell r="D194">
            <v>6</v>
          </cell>
          <cell r="E194" t="str">
            <v>-</v>
          </cell>
          <cell r="F194">
            <v>1</v>
          </cell>
          <cell r="G194" t="str">
            <v>Desabilita o último golpe do adversário por 1d6 de turnos.</v>
          </cell>
        </row>
        <row r="195">
          <cell r="A195" t="str">
            <v>Rest</v>
          </cell>
          <cell r="B195" t="str">
            <v>Psíquico</v>
          </cell>
          <cell r="C195" t="str">
            <v>Estado</v>
          </cell>
          <cell r="D195">
            <v>8</v>
          </cell>
          <cell r="E195" t="str">
            <v>-</v>
          </cell>
          <cell r="F195">
            <v>1</v>
          </cell>
          <cell r="G195" t="str">
            <v>Recupera 100% do PV total, porém fica 2 turnos com a condição Dormindo.</v>
          </cell>
        </row>
        <row r="196">
          <cell r="A196" t="str">
            <v>Discharge</v>
          </cell>
          <cell r="B196" t="str">
            <v>Elétrico</v>
          </cell>
          <cell r="C196" t="str">
            <v>Especial</v>
          </cell>
          <cell r="D196">
            <v>10</v>
          </cell>
          <cell r="E196" t="str">
            <v>8d6</v>
          </cell>
          <cell r="F196">
            <v>1</v>
          </cell>
          <cell r="G196" t="str">
            <v>Causa dano e tem 30% de chance de causar condição Paralisado.</v>
          </cell>
        </row>
        <row r="197">
          <cell r="A197" t="str">
            <v>Defog</v>
          </cell>
          <cell r="B197" t="str">
            <v>Voador</v>
          </cell>
          <cell r="C197" t="str">
            <v>Estado</v>
          </cell>
          <cell r="D197">
            <v>1</v>
          </cell>
          <cell r="E197" t="str">
            <v>-</v>
          </cell>
          <cell r="F197">
            <v>1</v>
          </cell>
          <cell r="G197" t="str">
            <v>Efeito do golpe indisponível ainda.</v>
          </cell>
        </row>
        <row r="198">
          <cell r="A198" t="str">
            <v>Wish</v>
          </cell>
          <cell r="B198" t="str">
            <v>Normal</v>
          </cell>
          <cell r="C198" t="str">
            <v>Estado</v>
          </cell>
          <cell r="D198">
            <v>9</v>
          </cell>
          <cell r="E198" t="str">
            <v>-</v>
          </cell>
          <cell r="F198">
            <v>1</v>
          </cell>
          <cell r="G198" t="str">
            <v>Recupera 50% do PV total no próximo turno.</v>
          </cell>
        </row>
        <row r="199">
          <cell r="A199" t="str">
            <v>Doom Desire</v>
          </cell>
          <cell r="B199" t="str">
            <v>Metal</v>
          </cell>
          <cell r="C199" t="str">
            <v>Especial</v>
          </cell>
          <cell r="D199">
            <v>20</v>
          </cell>
          <cell r="E199" t="str">
            <v>20d6</v>
          </cell>
          <cell r="F199">
            <v>1</v>
          </cell>
          <cell r="G199" t="str">
            <v>Dois turnos após ser usado, causa dano no adversário que estiver em combate.</v>
          </cell>
        </row>
        <row r="200">
          <cell r="A200" t="str">
            <v>Healing Wish</v>
          </cell>
          <cell r="B200" t="str">
            <v>Psíquico</v>
          </cell>
          <cell r="C200" t="str">
            <v>Estado</v>
          </cell>
          <cell r="D200">
            <v>10</v>
          </cell>
          <cell r="E200" t="str">
            <v>-</v>
          </cell>
          <cell r="F200">
            <v>1</v>
          </cell>
          <cell r="G200" t="str">
            <v>O pokémon desmaia e o próximo tem o PV e os Estados recuperados completamente.</v>
          </cell>
        </row>
        <row r="201">
          <cell r="A201" t="str">
            <v>Rock Slide</v>
          </cell>
          <cell r="B201" t="str">
            <v>Pedra</v>
          </cell>
          <cell r="C201" t="str">
            <v>Físico</v>
          </cell>
          <cell r="D201">
            <v>9</v>
          </cell>
          <cell r="E201" t="str">
            <v>8d6</v>
          </cell>
          <cell r="F201">
            <v>0.9</v>
          </cell>
          <cell r="G201" t="str">
            <v>Causa dano e tem 30% de chance de causar condição Recuando.</v>
          </cell>
        </row>
        <row r="202">
          <cell r="A202" t="str">
            <v>Take Down</v>
          </cell>
          <cell r="B202" t="str">
            <v>Normal</v>
          </cell>
          <cell r="C202" t="str">
            <v>Físico</v>
          </cell>
          <cell r="D202">
            <v>6</v>
          </cell>
          <cell r="E202" t="str">
            <v>10d6</v>
          </cell>
          <cell r="F202">
            <v>0.85</v>
          </cell>
          <cell r="G202" t="str">
            <v>Causa dano e recebe 1/4 do dano causado.</v>
          </cell>
        </row>
        <row r="203">
          <cell r="A203" t="str">
            <v>Detect</v>
          </cell>
          <cell r="B203" t="str">
            <v>Lutador</v>
          </cell>
          <cell r="C203" t="str">
            <v>Estado</v>
          </cell>
          <cell r="D203">
            <v>6</v>
          </cell>
          <cell r="E203" t="str">
            <v>-</v>
          </cell>
          <cell r="F203">
            <v>1</v>
          </cell>
          <cell r="G203" t="str">
            <v>Impede que seja atacado no turno e acontece primeiro que o golpe adversário, ignorando a Velocidade dele. Cada uso diminui a Precisão desse golpe em 1/3.</v>
          </cell>
        </row>
        <row r="204">
          <cell r="A204" t="str">
            <v>Dream Eater</v>
          </cell>
          <cell r="B204" t="str">
            <v>Psíquico</v>
          </cell>
          <cell r="C204" t="str">
            <v>Especial</v>
          </cell>
          <cell r="D204">
            <v>18</v>
          </cell>
          <cell r="E204" t="str">
            <v>12d6</v>
          </cell>
          <cell r="F204">
            <v>1</v>
          </cell>
          <cell r="G204" t="str">
            <v>Causa dano apenas em um pokémon com a condição Dormindo e recupera 50% do PV diminuido do adversário.</v>
          </cell>
        </row>
        <row r="205">
          <cell r="A205" t="str">
            <v>Pay Day</v>
          </cell>
          <cell r="B205" t="str">
            <v>Normal</v>
          </cell>
          <cell r="C205" t="str">
            <v>Físico</v>
          </cell>
          <cell r="D205">
            <v>6</v>
          </cell>
          <cell r="E205" t="str">
            <v>4d6</v>
          </cell>
          <cell r="F205">
            <v>1</v>
          </cell>
          <cell r="G205" t="str">
            <v>Causa dano e, todo dano causado se converte em pokedólares.</v>
          </cell>
        </row>
        <row r="206">
          <cell r="A206" t="str">
            <v>Sunny Day</v>
          </cell>
          <cell r="B206" t="str">
            <v>Fogo</v>
          </cell>
          <cell r="C206" t="str">
            <v>Estado</v>
          </cell>
          <cell r="D206">
            <v>1</v>
          </cell>
          <cell r="E206" t="str">
            <v>-</v>
          </cell>
          <cell r="F206">
            <v>1</v>
          </cell>
          <cell r="G206" t="str">
            <v>Por 5 turnos, aumenta em 50% a dano de golpes do tipo Fogo e diminui em 50% os golpes do tipo Água, os golpes Trovão e Furacão terão 50% de Precisão, os golpes Raio Solar e Lâmina Solar não precisam carregar e a recuperação de Síntese, Sol da M...</v>
          </cell>
        </row>
        <row r="207">
          <cell r="A207" t="str">
            <v>Sky Uppercut</v>
          </cell>
          <cell r="B207" t="str">
            <v>Lutador</v>
          </cell>
          <cell r="C207" t="str">
            <v>Físico</v>
          </cell>
          <cell r="D207">
            <v>10</v>
          </cell>
          <cell r="E207" t="str">
            <v>10d6</v>
          </cell>
          <cell r="F207">
            <v>0.9</v>
          </cell>
          <cell r="G207" t="str">
            <v>Causa dano mesmo se estiver invulnerável pelo golpe Voar.</v>
          </cell>
        </row>
        <row r="208">
          <cell r="A208" t="str">
            <v>Guard Split</v>
          </cell>
          <cell r="B208" t="str">
            <v>Psíquico</v>
          </cell>
          <cell r="C208" t="str">
            <v>Estado</v>
          </cell>
          <cell r="D208">
            <v>2</v>
          </cell>
          <cell r="E208" t="str">
            <v>-</v>
          </cell>
          <cell r="F208">
            <v>1</v>
          </cell>
          <cell r="G208" t="str">
            <v>O valor da Defesa e da Defesa Especial, se torna uma média entre os valores atuais e do adversário.</v>
          </cell>
        </row>
        <row r="209">
          <cell r="A209" t="str">
            <v>Power Split</v>
          </cell>
          <cell r="B209" t="str">
            <v>Psíquico</v>
          </cell>
          <cell r="C209" t="str">
            <v>Estado</v>
          </cell>
          <cell r="D209">
            <v>2</v>
          </cell>
          <cell r="E209" t="str">
            <v>-</v>
          </cell>
          <cell r="F209">
            <v>1</v>
          </cell>
          <cell r="G209" t="str">
            <v>O valor do Ataque e da Ataque Especial, se torna uma média entre os valores atuais e do adversário.</v>
          </cell>
        </row>
        <row r="210">
          <cell r="A210" t="str">
            <v>Echoed Voice</v>
          </cell>
          <cell r="B210" t="str">
            <v>Normal</v>
          </cell>
          <cell r="C210" t="str">
            <v>Especial</v>
          </cell>
          <cell r="D210">
            <v>5</v>
          </cell>
          <cell r="E210" t="str">
            <v>3d6</v>
          </cell>
          <cell r="F210">
            <v>1</v>
          </cell>
          <cell r="G210" t="str">
            <v>Causa dano. Toda vez que esse ataque é usado novamente por qualquer pokémon o dano aumentará em 3d6.</v>
          </cell>
        </row>
        <row r="211">
          <cell r="A211" t="str">
            <v>Work Up</v>
          </cell>
          <cell r="B211" t="str">
            <v>Normal</v>
          </cell>
          <cell r="C211" t="str">
            <v>Estado</v>
          </cell>
          <cell r="D211">
            <v>2</v>
          </cell>
          <cell r="E211" t="str">
            <v>-</v>
          </cell>
          <cell r="F211">
            <v>1</v>
          </cell>
          <cell r="G211" t="str">
            <v>Aumenta o Ataque e o Ataque Especial em 10% do total (aumento máximo de 60% em cada).</v>
          </cell>
        </row>
        <row r="212">
          <cell r="A212" t="str">
            <v>Electrify</v>
          </cell>
          <cell r="B212" t="str">
            <v>Elétrico</v>
          </cell>
          <cell r="C212" t="str">
            <v>Estado</v>
          </cell>
          <cell r="D212">
            <v>1</v>
          </cell>
          <cell r="E212" t="str">
            <v>-</v>
          </cell>
          <cell r="F212">
            <v>1</v>
          </cell>
          <cell r="G212" t="str">
            <v>Transforma o próximo ataque do adversário - apenas no turno atual - em elétrico.</v>
          </cell>
        </row>
        <row r="213">
          <cell r="A213" t="str">
            <v>Electroweb</v>
          </cell>
          <cell r="B213" t="str">
            <v>Elétrico</v>
          </cell>
          <cell r="C213" t="str">
            <v>Especial</v>
          </cell>
          <cell r="D213">
            <v>1</v>
          </cell>
          <cell r="E213" t="str">
            <v>5d6</v>
          </cell>
          <cell r="F213">
            <v>0.95</v>
          </cell>
          <cell r="G213" t="str">
            <v>Causa dano e diminui a velocidade do adversário em 10% (diminuição máxima de 60%).</v>
          </cell>
        </row>
        <row r="214">
          <cell r="A214" t="str">
            <v>Zing Zap</v>
          </cell>
          <cell r="B214" t="str">
            <v>Elétrico</v>
          </cell>
          <cell r="C214" t="str">
            <v>Físico</v>
          </cell>
          <cell r="D214">
            <v>10</v>
          </cell>
          <cell r="E214" t="str">
            <v>8d6</v>
          </cell>
          <cell r="F214">
            <v>1</v>
          </cell>
          <cell r="G214" t="str">
            <v>Causa dano e tem 30% de chance de causar condição Recuando.</v>
          </cell>
        </row>
        <row r="215">
          <cell r="A215" t="str">
            <v>Psych Up</v>
          </cell>
          <cell r="B215" t="str">
            <v>Normal</v>
          </cell>
          <cell r="C215" t="str">
            <v>Estado</v>
          </cell>
          <cell r="D215">
            <v>6</v>
          </cell>
          <cell r="E215" t="str">
            <v>-</v>
          </cell>
          <cell r="F215">
            <v>1</v>
          </cell>
          <cell r="G215" t="str">
            <v>Copia as mudanças de atributos do adversário.</v>
          </cell>
        </row>
        <row r="216">
          <cell r="A216" t="str">
            <v>Entrainment</v>
          </cell>
          <cell r="B216" t="str">
            <v>Normal</v>
          </cell>
          <cell r="C216" t="str">
            <v>Estado</v>
          </cell>
          <cell r="D216">
            <v>1</v>
          </cell>
          <cell r="E216" t="str">
            <v>-</v>
          </cell>
          <cell r="F216">
            <v>1</v>
          </cell>
          <cell r="G216" t="str">
            <v>A habilidade do alvo se torna a mesma que a do usuário.</v>
          </cell>
        </row>
        <row r="217">
          <cell r="A217" t="str">
            <v>Wrap</v>
          </cell>
          <cell r="B217" t="str">
            <v>Normal</v>
          </cell>
          <cell r="C217" t="str">
            <v>Físico</v>
          </cell>
          <cell r="D217">
            <v>4</v>
          </cell>
          <cell r="E217" t="str">
            <v>2d6</v>
          </cell>
          <cell r="F217">
            <v>0.9</v>
          </cell>
          <cell r="G217" t="str">
            <v>Causa dano e deixa sob a condição Preso durante 1d6 de turnos, que causam 10% de dano do PV total.</v>
          </cell>
        </row>
        <row r="218">
          <cell r="A218" t="str">
            <v>Roost</v>
          </cell>
          <cell r="B218" t="str">
            <v>Voador</v>
          </cell>
          <cell r="C218" t="str">
            <v>Estado</v>
          </cell>
          <cell r="D218">
            <v>8</v>
          </cell>
          <cell r="E218" t="str">
            <v>-</v>
          </cell>
          <cell r="F218">
            <v>1</v>
          </cell>
          <cell r="G218" t="str">
            <v>Recupera 50% do PV total, porém perde o tipo Vodor até o final do combate.</v>
          </cell>
        </row>
        <row r="219">
          <cell r="A219" t="str">
            <v>Strength</v>
          </cell>
          <cell r="B219" t="str">
            <v>Normal</v>
          </cell>
          <cell r="C219" t="str">
            <v>Físico</v>
          </cell>
          <cell r="D219">
            <v>8</v>
          </cell>
          <cell r="E219" t="str">
            <v>8d6</v>
          </cell>
          <cell r="F219">
            <v>1</v>
          </cell>
          <cell r="G219" t="str">
            <v>Causa dano.</v>
          </cell>
        </row>
        <row r="220">
          <cell r="A220" t="str">
            <v>Charm</v>
          </cell>
          <cell r="B220" t="str">
            <v>Fada</v>
          </cell>
          <cell r="C220" t="str">
            <v>Estado</v>
          </cell>
          <cell r="D220">
            <v>4</v>
          </cell>
          <cell r="E220" t="str">
            <v>-</v>
          </cell>
          <cell r="F220">
            <v>1</v>
          </cell>
          <cell r="G220" t="str">
            <v>Diminui o Ataque do adversário em 20% do total (diminuição máxima de 60%).</v>
          </cell>
        </row>
        <row r="221">
          <cell r="A221" t="str">
            <v>Leet</v>
          </cell>
          <cell r="B221" t="str">
            <v>Normal</v>
          </cell>
          <cell r="C221" t="str">
            <v>Estado</v>
          </cell>
          <cell r="D221">
            <v>2</v>
          </cell>
          <cell r="E221" t="str">
            <v>-</v>
          </cell>
          <cell r="F221">
            <v>1</v>
          </cell>
          <cell r="G221" t="str">
            <v>Diminui a Defesa do adversário em 10% do total (diminuição máxima de 60%).</v>
          </cell>
        </row>
        <row r="222">
          <cell r="A222" t="str">
            <v>Harden</v>
          </cell>
          <cell r="B222" t="str">
            <v>Normal</v>
          </cell>
          <cell r="C222" t="str">
            <v>Estado</v>
          </cell>
          <cell r="D222">
            <v>1</v>
          </cell>
          <cell r="E222" t="str">
            <v>-</v>
          </cell>
          <cell r="F222">
            <v>1</v>
          </cell>
          <cell r="G222" t="str">
            <v>Aumenta a Defesa em 10% do total (aumento máximo de 60%).</v>
          </cell>
        </row>
        <row r="223">
          <cell r="A223" t="str">
            <v>Swallow</v>
          </cell>
          <cell r="B223" t="str">
            <v>Normal</v>
          </cell>
          <cell r="C223" t="str">
            <v>Estado</v>
          </cell>
          <cell r="D223">
            <v>1</v>
          </cell>
          <cell r="E223" t="str">
            <v>-</v>
          </cell>
          <cell r="F223">
            <v>1</v>
          </cell>
          <cell r="G223" t="str">
            <v>Efeito do golpe indisponível ainda.</v>
          </cell>
        </row>
        <row r="224">
          <cell r="A224" t="str">
            <v>Shift Gear</v>
          </cell>
          <cell r="B224" t="str">
            <v>Metal</v>
          </cell>
          <cell r="C224" t="str">
            <v>Estado</v>
          </cell>
          <cell r="D224">
            <v>15</v>
          </cell>
          <cell r="E224" t="str">
            <v>-</v>
          </cell>
          <cell r="F224">
            <v>1</v>
          </cell>
          <cell r="G224" t="str">
            <v>(+20%) ATA e (+50%)VEL</v>
          </cell>
        </row>
        <row r="225">
          <cell r="A225" t="str">
            <v>Bind</v>
          </cell>
          <cell r="B225" t="str">
            <v>Normal</v>
          </cell>
          <cell r="C225" t="str">
            <v>Físico</v>
          </cell>
          <cell r="D225">
            <v>3</v>
          </cell>
          <cell r="E225" t="str">
            <v>2d6</v>
          </cell>
          <cell r="F225">
            <v>0.85</v>
          </cell>
          <cell r="G225" t="str">
            <v>Causa dano e deixa sob a condição Preso durante 1d6 de turnos, que causam 10% de dano do PV total.</v>
          </cell>
        </row>
        <row r="226">
          <cell r="A226" t="str">
            <v>Ingrain</v>
          </cell>
          <cell r="B226" t="str">
            <v>Grama</v>
          </cell>
          <cell r="C226" t="str">
            <v>Estado</v>
          </cell>
          <cell r="D226">
            <v>6</v>
          </cell>
          <cell r="E226" t="str">
            <v>-</v>
          </cell>
          <cell r="F226">
            <v>1</v>
          </cell>
          <cell r="G226" t="str">
            <v>Recupera 10% do PV total todos os turnos, porém não pode ser trocado.</v>
          </cell>
        </row>
        <row r="227">
          <cell r="A227" t="str">
            <v>Coil</v>
          </cell>
          <cell r="B227" t="str">
            <v>Veneno</v>
          </cell>
          <cell r="C227" t="str">
            <v>Estado</v>
          </cell>
          <cell r="D227">
            <v>3</v>
          </cell>
          <cell r="E227" t="str">
            <v>-</v>
          </cell>
          <cell r="F227">
            <v>1</v>
          </cell>
          <cell r="G227" t="str">
            <v>Aumenta o Ataque, a Defesa e a Precisão de todos os golpes em 10% (aumento máximo de 60% em cada).</v>
          </cell>
        </row>
        <row r="228">
          <cell r="A228" t="str">
            <v>Soak</v>
          </cell>
          <cell r="B228" t="str">
            <v>Água</v>
          </cell>
          <cell r="C228" t="str">
            <v>Estado</v>
          </cell>
          <cell r="D228">
            <v>6</v>
          </cell>
          <cell r="E228" t="str">
            <v>-</v>
          </cell>
          <cell r="F228">
            <v>1</v>
          </cell>
          <cell r="G228" t="str">
            <v>Muda o tipo do adversário para Água.</v>
          </cell>
        </row>
        <row r="229">
          <cell r="A229" t="str">
            <v>Rock Tomb</v>
          </cell>
          <cell r="B229" t="str">
            <v>Pedra</v>
          </cell>
          <cell r="C229" t="str">
            <v>Físico</v>
          </cell>
          <cell r="D229">
            <v>5</v>
          </cell>
          <cell r="E229" t="str">
            <v>6d6</v>
          </cell>
          <cell r="F229">
            <v>0.95</v>
          </cell>
          <cell r="G229" t="str">
            <v>Causa dano e diminui a Velocidade do adversário em 10% do total (diminuição máxima de 60%).</v>
          </cell>
        </row>
        <row r="230">
          <cell r="A230" t="str">
            <v>Eruption</v>
          </cell>
          <cell r="B230" t="str">
            <v>Fogo</v>
          </cell>
          <cell r="C230" t="str">
            <v>Especial</v>
          </cell>
          <cell r="D230">
            <v>22</v>
          </cell>
          <cell r="E230" t="str">
            <v>22d6</v>
          </cell>
          <cell r="F230">
            <v>1</v>
          </cell>
          <cell r="G230" t="str">
            <v>Causa dano.</v>
          </cell>
        </row>
        <row r="231">
          <cell r="A231" t="str">
            <v>Steam Eruption</v>
          </cell>
          <cell r="B231" t="str">
            <v>Água</v>
          </cell>
          <cell r="C231" t="str">
            <v>Especial</v>
          </cell>
          <cell r="D231">
            <v>15</v>
          </cell>
          <cell r="E231" t="str">
            <v>14d6</v>
          </cell>
          <cell r="F231">
            <v>0.95</v>
          </cell>
          <cell r="G231" t="str">
            <v>Causa dano e tem 30% de chance de causar condição Queimado.</v>
          </cell>
        </row>
        <row r="232">
          <cell r="A232" t="str">
            <v>Sketch</v>
          </cell>
          <cell r="B232" t="str">
            <v>Normal</v>
          </cell>
          <cell r="C232" t="str">
            <v>Estado</v>
          </cell>
          <cell r="D232">
            <v>1</v>
          </cell>
          <cell r="E232" t="str">
            <v>-</v>
          </cell>
          <cell r="F232">
            <v>1</v>
          </cell>
          <cell r="G232" t="str">
            <v>Troca este golpe permanentemente pelo último golpe do adversário.</v>
          </cell>
        </row>
        <row r="233">
          <cell r="A233" t="str">
            <v>Scald</v>
          </cell>
          <cell r="B233" t="str">
            <v>Água</v>
          </cell>
          <cell r="C233" t="str">
            <v>Especial</v>
          </cell>
          <cell r="D233">
            <v>8</v>
          </cell>
          <cell r="E233" t="str">
            <v>8d6</v>
          </cell>
          <cell r="F233">
            <v>1</v>
          </cell>
          <cell r="G233" t="str">
            <v>Causa dano e tem 30% de chance de causar Burn.</v>
          </cell>
        </row>
        <row r="234">
          <cell r="A234" t="str">
            <v>King's Shield</v>
          </cell>
          <cell r="B234" t="str">
            <v>Metal</v>
          </cell>
          <cell r="C234" t="str">
            <v>Estado</v>
          </cell>
          <cell r="D234">
            <v>6</v>
          </cell>
          <cell r="E234" t="str">
            <v>-</v>
          </cell>
          <cell r="F234">
            <v>1</v>
          </cell>
          <cell r="G234" t="str">
            <v>Impede que qualquer ataque Físico ou Especial inflija dano e acontece primeiro que o golpe adversário, ignorando a Velocidade dele. Se o adversário utilizar um golpe que cause dano, terá seu Ataque e Ataque Especial diminuido em 20% (diminuição máxima de 60% em cada). Após sua execução, a precisão será diminuída em 35%.</v>
          </cell>
        </row>
        <row r="235">
          <cell r="A235" t="str">
            <v>Spiky Shield</v>
          </cell>
          <cell r="B235" t="str">
            <v>Grama</v>
          </cell>
          <cell r="C235" t="str">
            <v>Estado</v>
          </cell>
          <cell r="D235">
            <v>6</v>
          </cell>
          <cell r="E235" t="str">
            <v>-</v>
          </cell>
          <cell r="F235">
            <v>1</v>
          </cell>
          <cell r="G235" t="str">
            <v>Impede que seja causado dano no turno e acontece primeiro que o golpe adversário, ignorando a Velocidade dele. Se o adversário utilizar algum golpe físco, receberá de dano 10% do seu PV máximo.</v>
          </cell>
        </row>
        <row r="236">
          <cell r="A236" t="str">
            <v>Flower Shield</v>
          </cell>
          <cell r="B236" t="str">
            <v>Fada</v>
          </cell>
          <cell r="C236" t="str">
            <v>Estado</v>
          </cell>
          <cell r="D236">
            <v>2</v>
          </cell>
          <cell r="E236" t="str">
            <v>-</v>
          </cell>
          <cell r="F236">
            <v>1</v>
          </cell>
          <cell r="G236" t="str">
            <v>Aumenta a Defesa e a Defesa Especial em 10% do total (aumento máximo de 60% em cada) de todos os pokémons do tipo Grama.</v>
          </cell>
        </row>
        <row r="237">
          <cell r="A237" t="str">
            <v>Weather Ball</v>
          </cell>
          <cell r="B237" t="str">
            <v>Normal</v>
          </cell>
          <cell r="C237" t="str">
            <v>Especial</v>
          </cell>
          <cell r="D237">
            <v>5</v>
          </cell>
          <cell r="E237" t="str">
            <v>6d6</v>
          </cell>
          <cell r="F237">
            <v>1</v>
          </cell>
          <cell r="G237" t="str">
            <v>Causa dano de acordo com a condição do clima, se o clima foi alterado, o dano é dobrado e o tipo é alterado. Dia Ensolarado: Fogo, Tempestade de Areia: Pedra, Dança da Chuva: Água, Granizo: Gelo.</v>
          </cell>
        </row>
        <row r="238">
          <cell r="A238" t="str">
            <v>Endeavor</v>
          </cell>
          <cell r="B238" t="str">
            <v>Normal</v>
          </cell>
          <cell r="C238" t="str">
            <v>Físico</v>
          </cell>
          <cell r="D238">
            <v>6</v>
          </cell>
          <cell r="E238" t="str">
            <v>-</v>
          </cell>
          <cell r="F238">
            <v>1</v>
          </cell>
          <cell r="G238" t="str">
            <v>Reduz o PV do adversário para o mesmo do seu pokémon (se o PV do seu pokémon for maior, o golpe falha).</v>
          </cell>
        </row>
        <row r="239">
          <cell r="A239" t="str">
            <v>Rock Smash</v>
          </cell>
          <cell r="B239" t="str">
            <v>Lutador</v>
          </cell>
          <cell r="C239" t="str">
            <v>Físico</v>
          </cell>
          <cell r="D239">
            <v>4</v>
          </cell>
          <cell r="E239" t="str">
            <v>4d6</v>
          </cell>
          <cell r="F239">
            <v>1</v>
          </cell>
          <cell r="G239" t="str">
            <v>Causa dano e tem 50% de chance de diminuir a Defesa do adversário em 10% do total (diminuição máxima de 60%).</v>
          </cell>
        </row>
        <row r="240">
          <cell r="A240" t="str">
            <v>Sacred Sword</v>
          </cell>
          <cell r="B240" t="str">
            <v>Lutador</v>
          </cell>
          <cell r="C240" t="str">
            <v>Físico</v>
          </cell>
          <cell r="D240">
            <v>12</v>
          </cell>
          <cell r="E240" t="str">
            <v>10d6</v>
          </cell>
          <cell r="F240">
            <v>1</v>
          </cell>
          <cell r="G240" t="str">
            <v>Causa dano ignorando qualquer aumento da Defesa do adversário.</v>
          </cell>
        </row>
        <row r="241">
          <cell r="A241" t="str">
            <v>Secret Sword</v>
          </cell>
          <cell r="B241" t="str">
            <v>Lutador</v>
          </cell>
          <cell r="C241" t="str">
            <v>Especial</v>
          </cell>
          <cell r="D241">
            <v>14</v>
          </cell>
          <cell r="E241" t="str">
            <v>10d6</v>
          </cell>
          <cell r="F241">
            <v>1</v>
          </cell>
          <cell r="G241" t="str">
            <v>Causa dano, porém o adversário se defenderá com a Defesa ao invés da Defesa Especial.</v>
          </cell>
        </row>
        <row r="242">
          <cell r="A242" t="str">
            <v>Beat Up</v>
          </cell>
          <cell r="B242" t="str">
            <v>Noturno</v>
          </cell>
          <cell r="C242" t="str">
            <v>Físico</v>
          </cell>
          <cell r="D242">
            <v>1</v>
          </cell>
          <cell r="E242" t="str">
            <v>-</v>
          </cell>
          <cell r="F242">
            <v>1</v>
          </cell>
          <cell r="G242" t="str">
            <v>Efeito do golpe indisponível ainda.</v>
          </cell>
        </row>
        <row r="243">
          <cell r="A243" t="str">
            <v>Spikes</v>
          </cell>
          <cell r="B243" t="str">
            <v>Terra</v>
          </cell>
          <cell r="C243" t="str">
            <v>Estado</v>
          </cell>
          <cell r="D243">
            <v>4</v>
          </cell>
          <cell r="E243" t="str">
            <v>-</v>
          </cell>
          <cell r="F243">
            <v>1</v>
          </cell>
          <cell r="G243" t="str">
            <v>Causa dano apenas quando um novo adversário é colocado (pelo anterior ter desmaiado, ou troca). Cada vez que é utilizada, causará 10% de dano a mais (iniciando por 10% PV total) e, pokémons do tipo Voador não sofrem dano.</v>
          </cell>
        </row>
        <row r="244">
          <cell r="A244" t="str">
            <v>Toxic Spikes</v>
          </cell>
          <cell r="B244" t="str">
            <v>Veneno</v>
          </cell>
          <cell r="C244" t="str">
            <v>Estado</v>
          </cell>
          <cell r="D244">
            <v>8</v>
          </cell>
          <cell r="E244" t="str">
            <v>-</v>
          </cell>
          <cell r="F244">
            <v>1</v>
          </cell>
          <cell r="G244" t="str">
            <v>Causa a condição Envenenado apenas quando um novo adversário é colocado (pelo anterior ter desmaiado, ou troca). Se for usado novamente a condição será de Muito Envenenado, pokémons do tipo Voador não sofrem dano.</v>
          </cell>
        </row>
        <row r="245">
          <cell r="A245" t="str">
            <v>Cotton Spore</v>
          </cell>
          <cell r="B245" t="str">
            <v>Grama</v>
          </cell>
          <cell r="C245" t="str">
            <v>Estado</v>
          </cell>
          <cell r="D245">
            <v>2</v>
          </cell>
          <cell r="E245" t="str">
            <v>-</v>
          </cell>
          <cell r="F245">
            <v>1</v>
          </cell>
          <cell r="G245" t="str">
            <v>Diminui a Velocidade do adversário em 10% do total (diminuição máxima de 60%).</v>
          </cell>
        </row>
        <row r="246">
          <cell r="A246" t="str">
            <v>Spore</v>
          </cell>
          <cell r="B246" t="str">
            <v>Grama</v>
          </cell>
          <cell r="C246" t="str">
            <v>Estado</v>
          </cell>
          <cell r="D246">
            <v>8</v>
          </cell>
          <cell r="E246" t="str">
            <v>-</v>
          </cell>
          <cell r="F246">
            <v>1</v>
          </cell>
          <cell r="G246" t="str">
            <v>Causa a condição Dormindo.</v>
          </cell>
        </row>
        <row r="247">
          <cell r="A247" t="str">
            <v>Stun Spore</v>
          </cell>
          <cell r="B247" t="str">
            <v>Grama</v>
          </cell>
          <cell r="C247" t="str">
            <v>Estado</v>
          </cell>
          <cell r="D247">
            <v>3</v>
          </cell>
          <cell r="E247" t="str">
            <v>-</v>
          </cell>
          <cell r="F247">
            <v>0.75</v>
          </cell>
          <cell r="G247" t="str">
            <v>Causa a condição Paralisado.</v>
          </cell>
        </row>
        <row r="248">
          <cell r="A248" t="str">
            <v>Water Sport</v>
          </cell>
          <cell r="B248" t="str">
            <v>Água</v>
          </cell>
          <cell r="C248" t="str">
            <v>Estado</v>
          </cell>
          <cell r="D248">
            <v>8</v>
          </cell>
          <cell r="E248" t="str">
            <v>-</v>
          </cell>
          <cell r="F248">
            <v>1</v>
          </cell>
          <cell r="G248" t="str">
            <v>Diminui em 50% os golpes do tipo Fogo.</v>
          </cell>
        </row>
        <row r="249">
          <cell r="A249" t="str">
            <v>Icicle Crash</v>
          </cell>
          <cell r="B249" t="str">
            <v>Gelo</v>
          </cell>
          <cell r="C249" t="str">
            <v>Físico</v>
          </cell>
          <cell r="D249">
            <v>11</v>
          </cell>
          <cell r="E249" t="str">
            <v>10d6</v>
          </cell>
          <cell r="F249">
            <v>0.9</v>
          </cell>
          <cell r="G249" t="str">
            <v>Causa dano e tem 30% de chance de causar condição Recuando se o adversário ainda não atacou.</v>
          </cell>
        </row>
        <row r="250">
          <cell r="A250" t="str">
            <v>Heart Stamp</v>
          </cell>
          <cell r="B250" t="str">
            <v>Psíquico</v>
          </cell>
          <cell r="C250" t="str">
            <v>Físico</v>
          </cell>
          <cell r="D250">
            <v>6</v>
          </cell>
          <cell r="E250" t="str">
            <v>6d6</v>
          </cell>
          <cell r="F250">
            <v>1</v>
          </cell>
          <cell r="G250" t="str">
            <v>Causa dano e tem 30% de chance de causar condição Recuando.</v>
          </cell>
        </row>
        <row r="251">
          <cell r="A251" t="str">
            <v>Mat Block</v>
          </cell>
          <cell r="B251" t="str">
            <v>Lutador</v>
          </cell>
          <cell r="C251" t="str">
            <v>Estado</v>
          </cell>
          <cell r="D251">
            <v>1</v>
          </cell>
          <cell r="E251" t="str">
            <v>-</v>
          </cell>
          <cell r="F251">
            <v>1</v>
          </cell>
          <cell r="G251" t="str">
            <v>Efeito do golpe indisponível ainda.</v>
          </cell>
        </row>
        <row r="252">
          <cell r="A252" t="str">
            <v>String Shot</v>
          </cell>
          <cell r="B252" t="str">
            <v>Inseto</v>
          </cell>
          <cell r="C252" t="str">
            <v>Estado</v>
          </cell>
          <cell r="D252">
            <v>1</v>
          </cell>
          <cell r="E252" t="str">
            <v>-</v>
          </cell>
          <cell r="F252">
            <v>0.95</v>
          </cell>
          <cell r="G252" t="str">
            <v>Diminui a Velocidade do adversário em 10% do total (diminuição máxima de 60%).</v>
          </cell>
        </row>
        <row r="253">
          <cell r="A253" t="str">
            <v>Smelling Salts</v>
          </cell>
          <cell r="B253" t="str">
            <v>Normal</v>
          </cell>
          <cell r="C253" t="str">
            <v>Físico</v>
          </cell>
          <cell r="D253">
            <v>8</v>
          </cell>
          <cell r="E253" t="str">
            <v>7d6</v>
          </cell>
          <cell r="F253">
            <v>1</v>
          </cell>
          <cell r="G253" t="str">
            <v>Causa dano e é dobrado se o adversário estiver com a condição Paralisado, porém também removerá a condição.</v>
          </cell>
        </row>
        <row r="254">
          <cell r="A254" t="str">
            <v>Stockpile</v>
          </cell>
          <cell r="B254" t="str">
            <v>Normal</v>
          </cell>
          <cell r="C254" t="str">
            <v>Estado</v>
          </cell>
          <cell r="D254">
            <v>1</v>
          </cell>
          <cell r="E254" t="str">
            <v>-</v>
          </cell>
          <cell r="F254">
            <v>1</v>
          </cell>
          <cell r="G254" t="str">
            <v>Efeito do golpe indisponível ainda.</v>
          </cell>
        </row>
        <row r="255">
          <cell r="A255" t="str">
            <v>Water Shuriken</v>
          </cell>
          <cell r="B255" t="str">
            <v>Água</v>
          </cell>
          <cell r="C255" t="str">
            <v>Especial</v>
          </cell>
          <cell r="D255">
            <v>2</v>
          </cell>
          <cell r="E255" t="str">
            <v>2d6</v>
          </cell>
          <cell r="F255">
            <v>1</v>
          </cell>
          <cell r="G255" t="str">
            <v>Causa dano 1d6 vezes.</v>
          </cell>
        </row>
        <row r="256">
          <cell r="A256" t="str">
            <v>Explosion</v>
          </cell>
          <cell r="B256" t="str">
            <v>Normal</v>
          </cell>
          <cell r="C256" t="str">
            <v>Físico</v>
          </cell>
          <cell r="D256">
            <v>21</v>
          </cell>
          <cell r="E256" t="str">
            <v>42d6</v>
          </cell>
          <cell r="F256">
            <v>1</v>
          </cell>
          <cell r="G256" t="str">
            <v>Causa dano, porém faz o usuário desmaiar.</v>
          </cell>
        </row>
        <row r="257">
          <cell r="A257" t="str">
            <v>Aeroblast</v>
          </cell>
          <cell r="B257" t="str">
            <v>Voador</v>
          </cell>
          <cell r="C257" t="str">
            <v>Especial</v>
          </cell>
          <cell r="D257">
            <v>13</v>
          </cell>
          <cell r="E257" t="str">
            <v>12d6</v>
          </cell>
          <cell r="F257">
            <v>0.95</v>
          </cell>
          <cell r="G257" t="str">
            <v>Causa dano e aumenta a Taxa de Crítico de 10% para 30%.</v>
          </cell>
        </row>
        <row r="258">
          <cell r="A258" t="str">
            <v>Metal Burst</v>
          </cell>
          <cell r="B258" t="str">
            <v>Metal</v>
          </cell>
          <cell r="C258" t="str">
            <v>Físico</v>
          </cell>
          <cell r="D258">
            <v>8</v>
          </cell>
          <cell r="E258" t="str">
            <v>-</v>
          </cell>
          <cell r="F258">
            <v>1</v>
          </cell>
          <cell r="G258" t="str">
            <v>Causa dano igual ao dobro do valor do Ataque base do adversário.</v>
          </cell>
        </row>
        <row r="259">
          <cell r="A259" t="str">
            <v>Rock Blast</v>
          </cell>
          <cell r="B259" t="str">
            <v>Pedra</v>
          </cell>
          <cell r="C259" t="str">
            <v>Físico</v>
          </cell>
          <cell r="D259">
            <v>3</v>
          </cell>
          <cell r="E259" t="str">
            <v>2d6</v>
          </cell>
          <cell r="F259">
            <v>0.9</v>
          </cell>
          <cell r="G259" t="str">
            <v>Causa dano 1d6 vezes.</v>
          </cell>
        </row>
        <row r="260">
          <cell r="A260" t="str">
            <v>Focus Blast</v>
          </cell>
          <cell r="B260" t="str">
            <v>Lutador</v>
          </cell>
          <cell r="C260" t="str">
            <v>Especial</v>
          </cell>
          <cell r="D260">
            <v>14</v>
          </cell>
          <cell r="E260" t="str">
            <v>16d6</v>
          </cell>
          <cell r="F260">
            <v>0.7</v>
          </cell>
          <cell r="G260" t="str">
            <v>Causa dano e tem 10% de chance de diminuir a Defesa Especial do adversário em 10% do total (diminuição máxima de 60%).</v>
          </cell>
        </row>
        <row r="261">
          <cell r="A261" t="str">
            <v>Moonblast</v>
          </cell>
          <cell r="B261" t="str">
            <v>Fada</v>
          </cell>
          <cell r="C261" t="str">
            <v>Especial</v>
          </cell>
          <cell r="D261">
            <v>13</v>
          </cell>
          <cell r="E261" t="str">
            <v>12d6</v>
          </cell>
          <cell r="F261">
            <v>1</v>
          </cell>
          <cell r="G261" t="str">
            <v>Causa dano e tem 30% de chance de diminuir o Ataque Especial em 10% do total (diminuição máxima de 60%).</v>
          </cell>
        </row>
        <row r="262">
          <cell r="A262" t="str">
            <v>Mind Blown</v>
          </cell>
          <cell r="B262" t="str">
            <v>Fogo</v>
          </cell>
          <cell r="C262" t="str">
            <v>Especial</v>
          </cell>
          <cell r="D262">
            <v>22</v>
          </cell>
          <cell r="E262" t="str">
            <v>22d6</v>
          </cell>
          <cell r="F262">
            <v>1</v>
          </cell>
          <cell r="G262" t="str">
            <v>Causa dano porém sacrifica 50% do HP total.</v>
          </cell>
        </row>
        <row r="263">
          <cell r="A263" t="str">
            <v>Sonic Boom</v>
          </cell>
          <cell r="B263" t="str">
            <v>Normal</v>
          </cell>
          <cell r="C263" t="str">
            <v>Especial</v>
          </cell>
          <cell r="D263">
            <v>5</v>
          </cell>
          <cell r="E263" t="str">
            <v>-</v>
          </cell>
          <cell r="F263">
            <v>0.9</v>
          </cell>
          <cell r="G263" t="str">
            <v>Sempre causa 20 de dano, independente do tipo do adversário (Pokémon do tipo Fantasma, continua imune).</v>
          </cell>
        </row>
        <row r="264">
          <cell r="A264" t="str">
            <v>Techno Blast</v>
          </cell>
          <cell r="B264" t="str">
            <v>Normal</v>
          </cell>
          <cell r="C264" t="str">
            <v>Especial</v>
          </cell>
          <cell r="D264">
            <v>16</v>
          </cell>
          <cell r="E264" t="str">
            <v>16d6</v>
          </cell>
          <cell r="F264">
            <v>1</v>
          </cell>
          <cell r="G264" t="str">
            <v>O tipo depende do Drive que o pokémon carrega.</v>
          </cell>
        </row>
        <row r="265">
          <cell r="A265" t="str">
            <v>Extrasensory</v>
          </cell>
          <cell r="B265" t="str">
            <v>Psíquico</v>
          </cell>
          <cell r="C265" t="str">
            <v>Especial</v>
          </cell>
          <cell r="D265">
            <v>9</v>
          </cell>
          <cell r="E265" t="str">
            <v>8d6</v>
          </cell>
          <cell r="F265">
            <v>1</v>
          </cell>
          <cell r="G265" t="str">
            <v>Causa dano e tem 10% de chance de causar condição Recuando.</v>
          </cell>
        </row>
        <row r="266">
          <cell r="A266" t="str">
            <v>Double-Edge</v>
          </cell>
          <cell r="B266" t="str">
            <v>Normal</v>
          </cell>
          <cell r="C266" t="str">
            <v>Físico</v>
          </cell>
          <cell r="D266">
            <v>13</v>
          </cell>
          <cell r="E266" t="str">
            <v>16d6</v>
          </cell>
          <cell r="F266">
            <v>1</v>
          </cell>
          <cell r="G266" t="str">
            <v>Causa dano e recebe 1/3 do dano causado.</v>
          </cell>
        </row>
        <row r="267">
          <cell r="A267" t="str">
            <v>Facade</v>
          </cell>
          <cell r="B267" t="str">
            <v>Normal</v>
          </cell>
          <cell r="C267" t="str">
            <v>Físico</v>
          </cell>
          <cell r="D267">
            <v>12</v>
          </cell>
          <cell r="E267" t="str">
            <v>7d6</v>
          </cell>
          <cell r="F267">
            <v>1</v>
          </cell>
          <cell r="G267" t="str">
            <v>Causa dano e é dobrado se o adversário estiver com a condição Queimado, Envenenado ou Paralisado.</v>
          </cell>
        </row>
        <row r="268">
          <cell r="A268" t="str">
            <v>Spark</v>
          </cell>
          <cell r="B268" t="str">
            <v>Elétrico</v>
          </cell>
          <cell r="C268" t="str">
            <v>Físico</v>
          </cell>
          <cell r="D268">
            <v>8</v>
          </cell>
          <cell r="E268" t="str">
            <v>7d6</v>
          </cell>
          <cell r="F268">
            <v>1</v>
          </cell>
          <cell r="G268" t="str">
            <v>Causa dano e tem 30% de chance de causar condição Paralisado.</v>
          </cell>
        </row>
        <row r="269">
          <cell r="A269" t="str">
            <v>Odor Sleuth</v>
          </cell>
          <cell r="B269" t="str">
            <v>Normal</v>
          </cell>
          <cell r="C269" t="str">
            <v>Estado</v>
          </cell>
          <cell r="D269">
            <v>6</v>
          </cell>
          <cell r="E269" t="str">
            <v>-</v>
          </cell>
          <cell r="F269">
            <v>1</v>
          </cell>
          <cell r="G269" t="str">
            <v>Permite que golpes do tipo Normal e Lutador acertar pokémons do tipo Fantasma, e ataques do tipo Fantasma acertar pokémons do tipo Normal.</v>
          </cell>
        </row>
        <row r="270">
          <cell r="A270" t="str">
            <v>Hex</v>
          </cell>
          <cell r="B270" t="str">
            <v>Fantasma</v>
          </cell>
          <cell r="C270" t="str">
            <v>Especial</v>
          </cell>
          <cell r="D270">
            <v>12</v>
          </cell>
          <cell r="E270" t="str">
            <v>7d6</v>
          </cell>
          <cell r="F270">
            <v>1</v>
          </cell>
          <cell r="G270" t="str">
            <v>Causa dano e, se o pokémon estiver com alguma condição que diminua o PV, o dano dobra para 14d6.</v>
          </cell>
        </row>
        <row r="271">
          <cell r="A271" t="str">
            <v>Eerie Spell</v>
          </cell>
          <cell r="B271" t="str">
            <v>Psíquico</v>
          </cell>
          <cell r="C271" t="str">
            <v>Especial</v>
          </cell>
          <cell r="D271">
            <v>12</v>
          </cell>
          <cell r="E271" t="str">
            <v>8d6</v>
          </cell>
          <cell r="F271">
            <v>1</v>
          </cell>
          <cell r="G271" t="str">
            <v>Causa dano e diminui em 10% o PP total do adversário.</v>
          </cell>
        </row>
        <row r="272">
          <cell r="A272" t="str">
            <v>Moongeist Beam</v>
          </cell>
          <cell r="B272" t="str">
            <v>Fantasma</v>
          </cell>
          <cell r="C272" t="str">
            <v>Especial</v>
          </cell>
          <cell r="D272">
            <v>12</v>
          </cell>
          <cell r="E272" t="str">
            <v>12d6</v>
          </cell>
          <cell r="F272">
            <v>1</v>
          </cell>
          <cell r="G272" t="str">
            <v>Causa dano.</v>
          </cell>
        </row>
        <row r="273">
          <cell r="A273" t="str">
            <v>Psybeam</v>
          </cell>
          <cell r="B273" t="str">
            <v>Psíquico</v>
          </cell>
          <cell r="C273" t="str">
            <v>Especial</v>
          </cell>
          <cell r="D273">
            <v>7</v>
          </cell>
          <cell r="E273" t="str">
            <v>7d6</v>
          </cell>
          <cell r="F273">
            <v>1</v>
          </cell>
          <cell r="G273" t="str">
            <v>Causa dano e tem 10% de chance de causar condição Confuso.</v>
          </cell>
        </row>
        <row r="274">
          <cell r="A274" t="str">
            <v>Signal Beam</v>
          </cell>
          <cell r="B274" t="str">
            <v>Inseto</v>
          </cell>
          <cell r="C274" t="str">
            <v>Especial</v>
          </cell>
          <cell r="D274">
            <v>9</v>
          </cell>
          <cell r="E274" t="str">
            <v>8d6</v>
          </cell>
          <cell r="F274">
            <v>1</v>
          </cell>
          <cell r="G274" t="str">
            <v>Causa dano e tem 10% de chance de causar condição Confuso.</v>
          </cell>
        </row>
        <row r="275">
          <cell r="A275" t="str">
            <v>Spacial Rend</v>
          </cell>
          <cell r="B275" t="str">
            <v>Dragão</v>
          </cell>
          <cell r="C275" t="str">
            <v>Especial</v>
          </cell>
          <cell r="D275">
            <v>13</v>
          </cell>
          <cell r="E275" t="str">
            <v>12d6</v>
          </cell>
          <cell r="F275">
            <v>0.95</v>
          </cell>
          <cell r="G275" t="str">
            <v>Causa dano e aumenta a Taxa de Crítico de 10% para 30%.</v>
          </cell>
        </row>
        <row r="276">
          <cell r="A276" t="str">
            <v>Fell Stinger</v>
          </cell>
          <cell r="B276" t="str">
            <v>Inseto</v>
          </cell>
          <cell r="C276" t="str">
            <v>Físico</v>
          </cell>
          <cell r="D276">
            <v>7</v>
          </cell>
          <cell r="E276" t="str">
            <v>5d6</v>
          </cell>
          <cell r="F276">
            <v>1</v>
          </cell>
          <cell r="G276" t="str">
            <v>Causa dano e se o adversário for vencido, o Ataque aumenta em 30% do total (aumento máximo de 60%).</v>
          </cell>
        </row>
        <row r="277">
          <cell r="A277" t="str">
            <v>Poison Sting</v>
          </cell>
          <cell r="B277" t="str">
            <v>Veneno</v>
          </cell>
          <cell r="C277" t="str">
            <v>Físico</v>
          </cell>
          <cell r="D277">
            <v>3</v>
          </cell>
          <cell r="E277" t="str">
            <v>3d6</v>
          </cell>
          <cell r="F277">
            <v>1</v>
          </cell>
          <cell r="G277" t="str">
            <v>Causa dano e tem 30% de chance de causar condição Envenenado.</v>
          </cell>
        </row>
        <row r="278">
          <cell r="A278" t="str">
            <v>Rototiller</v>
          </cell>
          <cell r="B278" t="str">
            <v>Terra</v>
          </cell>
          <cell r="C278" t="str">
            <v>Estado</v>
          </cell>
          <cell r="D278">
            <v>2</v>
          </cell>
          <cell r="E278" t="str">
            <v>-</v>
          </cell>
          <cell r="F278">
            <v>1</v>
          </cell>
          <cell r="G278" t="str">
            <v>Aumenta o Ataque e o Ataque Especial em 10% do total (aumento máximo de 60% em cada) de todos os pokémons do tipo Grama.</v>
          </cell>
        </row>
        <row r="279">
          <cell r="A279" t="str">
            <v>Fake Out</v>
          </cell>
          <cell r="B279" t="str">
            <v>Normal</v>
          </cell>
          <cell r="C279" t="str">
            <v>Físico</v>
          </cell>
          <cell r="D279">
            <v>8</v>
          </cell>
          <cell r="E279" t="str">
            <v>4d6</v>
          </cell>
          <cell r="F279">
            <v>1</v>
          </cell>
          <cell r="G279" t="str">
            <v>Causa dano e a condição Recuando, atacando primeiro que o adversário ao ignorar a velocidade dele.</v>
          </cell>
        </row>
        <row r="280">
          <cell r="A280" t="str">
            <v>Feint</v>
          </cell>
          <cell r="B280" t="str">
            <v>Normal</v>
          </cell>
          <cell r="C280" t="str">
            <v>Físico</v>
          </cell>
          <cell r="D280">
            <v>2</v>
          </cell>
          <cell r="E280" t="str">
            <v>4d6</v>
          </cell>
          <cell r="F280">
            <v>1</v>
          </cell>
          <cell r="G280" t="str">
            <v>Causa dano apenas se o adversário usou no mesmo turno Detectar ou Proteção.</v>
          </cell>
        </row>
        <row r="281">
          <cell r="A281" t="str">
            <v>Fissure</v>
          </cell>
          <cell r="B281" t="str">
            <v>Terra</v>
          </cell>
          <cell r="C281" t="str">
            <v>Físico</v>
          </cell>
          <cell r="D281">
            <v>22</v>
          </cell>
          <cell r="E281" t="str">
            <v>-</v>
          </cell>
          <cell r="F281">
            <v>0.3</v>
          </cell>
          <cell r="G281" t="str">
            <v>Se acertar o adversário, o oponente desmaiará.</v>
          </cell>
        </row>
        <row r="282">
          <cell r="A282" t="str">
            <v>Focus Energy</v>
          </cell>
          <cell r="B282" t="str">
            <v>Normal</v>
          </cell>
          <cell r="C282" t="str">
            <v>Estado</v>
          </cell>
          <cell r="D282">
            <v>1</v>
          </cell>
          <cell r="E282" t="str">
            <v>-</v>
          </cell>
          <cell r="F282">
            <v>1</v>
          </cell>
          <cell r="G282" t="str">
            <v>Aumenta a Taxa de Crítico de todos os golpes de 10% para 20%.</v>
          </cell>
        </row>
        <row r="283">
          <cell r="A283" t="str">
            <v>Mystical Fire</v>
          </cell>
          <cell r="B283" t="str">
            <v>Fogo</v>
          </cell>
          <cell r="C283" t="str">
            <v>Especial</v>
          </cell>
          <cell r="D283">
            <v>10</v>
          </cell>
          <cell r="E283" t="str">
            <v>8d6</v>
          </cell>
          <cell r="F283">
            <v>1</v>
          </cell>
          <cell r="G283" t="str">
            <v>Causa dano e diminui o Ataque Especial do adversário em 10% do total (diminuição máxima de 60%).</v>
          </cell>
        </row>
        <row r="284">
          <cell r="A284" t="str">
            <v>Sacred Fire</v>
          </cell>
          <cell r="B284" t="str">
            <v>Fogo</v>
          </cell>
          <cell r="C284" t="str">
            <v>Físico</v>
          </cell>
          <cell r="D284">
            <v>15</v>
          </cell>
          <cell r="E284" t="str">
            <v>12d6</v>
          </cell>
          <cell r="F284">
            <v>0.95</v>
          </cell>
          <cell r="G284" t="str">
            <v>Causa dano e tem 50% de causar a condição Queimado.</v>
          </cell>
        </row>
        <row r="285">
          <cell r="A285" t="str">
            <v>Will O Wisp</v>
          </cell>
          <cell r="B285" t="str">
            <v>Fogo</v>
          </cell>
          <cell r="C285" t="str">
            <v>Estado</v>
          </cell>
          <cell r="D285">
            <v>4</v>
          </cell>
          <cell r="E285" t="str">
            <v>-</v>
          </cell>
          <cell r="F285">
            <v>0.85</v>
          </cell>
          <cell r="G285" t="str">
            <v>Causa a condição Queimado.</v>
          </cell>
        </row>
        <row r="286">
          <cell r="A286" t="str">
            <v>Magical Leaf</v>
          </cell>
          <cell r="B286" t="str">
            <v>Grama</v>
          </cell>
          <cell r="C286" t="str">
            <v>Especial</v>
          </cell>
          <cell r="D286">
            <v>6</v>
          </cell>
          <cell r="E286" t="str">
            <v>6d6</v>
          </cell>
          <cell r="F286">
            <v>1</v>
          </cell>
          <cell r="G286" t="str">
            <v>Causa dano ignorando qualquer mudança em sua Precisão.</v>
          </cell>
        </row>
        <row r="287">
          <cell r="A287" t="str">
            <v>Razor Leaf</v>
          </cell>
          <cell r="B287" t="str">
            <v>Grama</v>
          </cell>
          <cell r="C287" t="str">
            <v>Físico</v>
          </cell>
          <cell r="D287">
            <v>5</v>
          </cell>
          <cell r="E287" t="str">
            <v>6d6</v>
          </cell>
          <cell r="F287">
            <v>0.95</v>
          </cell>
          <cell r="G287" t="str">
            <v>Causa dano e aumenta a Taxa de Crítico de 10% para 30%.</v>
          </cell>
        </row>
        <row r="288">
          <cell r="A288" t="str">
            <v>Leafage</v>
          </cell>
          <cell r="B288" t="str">
            <v>Grama</v>
          </cell>
          <cell r="C288" t="str">
            <v>Físico</v>
          </cell>
          <cell r="D288">
            <v>2</v>
          </cell>
          <cell r="E288" t="str">
            <v>4d6</v>
          </cell>
          <cell r="F288">
            <v>1</v>
          </cell>
          <cell r="G288" t="str">
            <v>Causa dano.</v>
          </cell>
        </row>
        <row r="289">
          <cell r="A289" t="str">
            <v>Bulk Up</v>
          </cell>
          <cell r="B289" t="str">
            <v>Lutador</v>
          </cell>
          <cell r="C289" t="str">
            <v>Estado</v>
          </cell>
          <cell r="D289">
            <v>2</v>
          </cell>
          <cell r="E289" t="str">
            <v>-</v>
          </cell>
          <cell r="F289">
            <v>1</v>
          </cell>
          <cell r="G289" t="str">
            <v>Aumenta o Ataque e a Defesa em 10% do total (aumento máximo de 60% em cada).</v>
          </cell>
        </row>
        <row r="290">
          <cell r="A290" t="str">
            <v>Nature Power</v>
          </cell>
          <cell r="B290" t="str">
            <v>Normal</v>
          </cell>
          <cell r="C290" t="str">
            <v>Estado</v>
          </cell>
          <cell r="D290">
            <v>5</v>
          </cell>
          <cell r="E290" t="str">
            <v>-</v>
          </cell>
          <cell r="F290">
            <v>1</v>
          </cell>
          <cell r="G290" t="str">
            <v>O dano e efeitos dependem do ambiente</v>
          </cell>
        </row>
        <row r="291">
          <cell r="A291" t="str">
            <v>Shadow Force</v>
          </cell>
          <cell r="B291" t="str">
            <v>Fantasma</v>
          </cell>
          <cell r="C291" t="str">
            <v>Físico</v>
          </cell>
          <cell r="D291">
            <v>22</v>
          </cell>
          <cell r="E291" t="str">
            <v>16d6</v>
          </cell>
          <cell r="F291">
            <v>1</v>
          </cell>
          <cell r="G291" t="str">
            <v>Fica invulnerável no primeiro turno, causando dano no seguinte. Esse golpe acerta o adversário se tiver usado Detectar ou Protecão.</v>
          </cell>
        </row>
        <row r="292">
          <cell r="A292" t="str">
            <v>Sand Tomb</v>
          </cell>
          <cell r="B292" t="str">
            <v>Terra</v>
          </cell>
          <cell r="C292" t="str">
            <v>Físico</v>
          </cell>
          <cell r="D292">
            <v>4</v>
          </cell>
          <cell r="E292" t="str">
            <v>3d6</v>
          </cell>
          <cell r="F292">
            <v>0.85</v>
          </cell>
          <cell r="G292" t="str">
            <v>Causa dano e deixa sob a condição Preso durante 1d6 de turnos, que causam 10% de dano do PV total.</v>
          </cell>
        </row>
        <row r="293">
          <cell r="A293" t="str">
            <v>Sheer Cold</v>
          </cell>
          <cell r="B293" t="str">
            <v>Gelo</v>
          </cell>
          <cell r="C293" t="str">
            <v>Especial</v>
          </cell>
          <cell r="D293">
            <v>22</v>
          </cell>
          <cell r="E293" t="str">
            <v>-</v>
          </cell>
          <cell r="F293">
            <v>0.3</v>
          </cell>
          <cell r="G293" t="str">
            <v>Se acertar o adversário, o oponente desmaiará.</v>
          </cell>
        </row>
        <row r="294">
          <cell r="A294" t="str">
            <v>Clear Smog</v>
          </cell>
          <cell r="B294" t="str">
            <v>Veneno</v>
          </cell>
          <cell r="C294" t="str">
            <v>Especial</v>
          </cell>
          <cell r="D294">
            <v>7</v>
          </cell>
          <cell r="E294" t="str">
            <v>4d6</v>
          </cell>
          <cell r="F294">
            <v>1</v>
          </cell>
          <cell r="G294" t="str">
            <v>Causa dano e remove qualquer aumento de atributo do adversário.</v>
          </cell>
        </row>
        <row r="295">
          <cell r="A295" t="str">
            <v>Strange Steam</v>
          </cell>
          <cell r="B295" t="str">
            <v>Fada</v>
          </cell>
          <cell r="C295" t="str">
            <v>Especial</v>
          </cell>
          <cell r="D295">
            <v>9</v>
          </cell>
          <cell r="E295" t="str">
            <v>10d6</v>
          </cell>
          <cell r="F295">
            <v>0.95</v>
          </cell>
          <cell r="G295" t="str">
            <v>Causa dano, 30% de deixar Confuso.</v>
          </cell>
        </row>
        <row r="296">
          <cell r="A296" t="str">
            <v>Hurricane</v>
          </cell>
          <cell r="B296" t="str">
            <v>Voador</v>
          </cell>
          <cell r="C296" t="str">
            <v>Especial</v>
          </cell>
          <cell r="D296">
            <v>13</v>
          </cell>
          <cell r="E296" t="str">
            <v>14d6</v>
          </cell>
          <cell r="F296">
            <v>0.7</v>
          </cell>
          <cell r="G296" t="str">
            <v>Causa dano, tem 30% de causar condição Confuso e acertará nos casos de invulnerabilidade de Voar e Ricochete.</v>
          </cell>
        </row>
        <row r="297">
          <cell r="A297" t="str">
            <v>Drill Run</v>
          </cell>
          <cell r="B297" t="str">
            <v>Terra</v>
          </cell>
          <cell r="C297" t="str">
            <v>Físico</v>
          </cell>
          <cell r="D297">
            <v>9</v>
          </cell>
          <cell r="E297" t="str">
            <v>8d6</v>
          </cell>
          <cell r="F297">
            <v>0.95</v>
          </cell>
          <cell r="G297" t="str">
            <v>Causa dano e aumenta a Taxa de Crítico de 10% para 30%.</v>
          </cell>
        </row>
        <row r="298">
          <cell r="A298" t="str">
            <v>Nature Madness</v>
          </cell>
          <cell r="B298" t="str">
            <v>Fada</v>
          </cell>
          <cell r="C298" t="str">
            <v>Especial</v>
          </cell>
          <cell r="D298">
            <v>1</v>
          </cell>
          <cell r="E298" t="str">
            <v>-</v>
          </cell>
          <cell r="F298">
            <v>0.9</v>
          </cell>
          <cell r="G298" t="str">
            <v>Diminui o HP do adversário para metade do total.</v>
          </cell>
        </row>
        <row r="299">
          <cell r="A299" t="str">
            <v>Hyperspace Fury</v>
          </cell>
          <cell r="B299" t="str">
            <v>Noturno</v>
          </cell>
          <cell r="C299" t="str">
            <v>Físico</v>
          </cell>
          <cell r="D299">
            <v>10</v>
          </cell>
          <cell r="E299" t="str">
            <v>12d6</v>
          </cell>
          <cell r="F299">
            <v>1</v>
          </cell>
          <cell r="G299" t="str">
            <v>Causa dano mas diminui a própria Defesa em 10% do total (diminuição máxima de 60%). Esse golpe sempre acerta, mesmo se o adversário usar Proteção.</v>
          </cell>
        </row>
        <row r="300">
          <cell r="A300" t="str">
            <v>Bone Rush</v>
          </cell>
          <cell r="B300" t="str">
            <v>Terra</v>
          </cell>
          <cell r="C300" t="str">
            <v>Físico</v>
          </cell>
          <cell r="D300">
            <v>3</v>
          </cell>
          <cell r="E300" t="str">
            <v>2d6</v>
          </cell>
          <cell r="F300">
            <v>0.9</v>
          </cell>
          <cell r="G300" t="str">
            <v>Causa dano 1d6 vezes.</v>
          </cell>
        </row>
        <row r="301">
          <cell r="A301" t="str">
            <v>Shadow Sneak</v>
          </cell>
          <cell r="B301" t="str">
            <v>Fantasma</v>
          </cell>
          <cell r="C301" t="str">
            <v>Físico</v>
          </cell>
          <cell r="D301">
            <v>4</v>
          </cell>
          <cell r="E301" t="str">
            <v>4d6</v>
          </cell>
          <cell r="F301">
            <v>1</v>
          </cell>
          <cell r="G301" t="str">
            <v>Causa dano, atacando primeiro que o adversário ao ignorar a Velocidade dele.</v>
          </cell>
        </row>
        <row r="302">
          <cell r="A302" t="str">
            <v>Thief</v>
          </cell>
          <cell r="B302" t="str">
            <v>Noturno</v>
          </cell>
          <cell r="C302" t="str">
            <v>Físico</v>
          </cell>
          <cell r="D302">
            <v>6</v>
          </cell>
          <cell r="E302" t="str">
            <v>6d6</v>
          </cell>
          <cell r="F302">
            <v>1</v>
          </cell>
          <cell r="G302" t="str">
            <v>Causa dano e furta o item carregado pelo adversário (caso o item furtado seja de um pokémon selvagem, permacerá no fim do combate, caso contrário retornará).</v>
          </cell>
        </row>
        <row r="303">
          <cell r="A303" t="str">
            <v>Spectral Thief</v>
          </cell>
          <cell r="B303" t="str">
            <v>Fantasma</v>
          </cell>
          <cell r="C303" t="str">
            <v>Físico</v>
          </cell>
          <cell r="D303">
            <v>16</v>
          </cell>
          <cell r="E303" t="str">
            <v>10d6</v>
          </cell>
          <cell r="F303">
            <v>1</v>
          </cell>
          <cell r="G303" t="str">
            <v>Causa dano e, logo após, rouba toda alteração positiva dos atributos do adversário.</v>
          </cell>
        </row>
        <row r="304">
          <cell r="A304" t="str">
            <v>Fusion Flare</v>
          </cell>
          <cell r="B304" t="str">
            <v>Fogo</v>
          </cell>
          <cell r="C304" t="str">
            <v>Especial</v>
          </cell>
          <cell r="D304">
            <v>12</v>
          </cell>
          <cell r="E304" t="str">
            <v>12d6</v>
          </cell>
          <cell r="F304">
            <v>1</v>
          </cell>
          <cell r="G304" t="str">
            <v>Poder aumentado quando usado com Fusion Bolt (14d6)</v>
          </cell>
        </row>
        <row r="305">
          <cell r="A305" t="str">
            <v>Fusion Bolt</v>
          </cell>
          <cell r="B305" t="str">
            <v>Elétrico</v>
          </cell>
          <cell r="C305" t="str">
            <v>Físico</v>
          </cell>
          <cell r="D305">
            <v>12</v>
          </cell>
          <cell r="E305" t="str">
            <v>12d6</v>
          </cell>
          <cell r="F305">
            <v>1</v>
          </cell>
          <cell r="G305" t="str">
            <v>Poder aumentado quando usado com Fusion Flare (14d6)</v>
          </cell>
        </row>
        <row r="306">
          <cell r="A306" t="str">
            <v>Assurance</v>
          </cell>
          <cell r="B306" t="str">
            <v>Noturno</v>
          </cell>
          <cell r="C306" t="str">
            <v>Físico</v>
          </cell>
          <cell r="D306">
            <v>8</v>
          </cell>
          <cell r="E306" t="str">
            <v>6d6</v>
          </cell>
          <cell r="F306">
            <v>1</v>
          </cell>
          <cell r="G306" t="str">
            <v>Causa dano e, se o alvo já levou dano aquele turno, o dano é dobrado 12d6</v>
          </cell>
        </row>
        <row r="307">
          <cell r="A307" t="str">
            <v>Dragon Claw</v>
          </cell>
          <cell r="B307" t="str">
            <v>Dragão</v>
          </cell>
          <cell r="C307" t="str">
            <v>Físico</v>
          </cell>
          <cell r="D307">
            <v>8</v>
          </cell>
          <cell r="E307" t="str">
            <v>8d6</v>
          </cell>
          <cell r="F307">
            <v>1</v>
          </cell>
          <cell r="G307" t="str">
            <v>Causa dano.</v>
          </cell>
        </row>
        <row r="308">
          <cell r="A308" t="str">
            <v>Metal Claw</v>
          </cell>
          <cell r="B308" t="str">
            <v>Metal</v>
          </cell>
          <cell r="C308" t="str">
            <v>Físico</v>
          </cell>
          <cell r="D308">
            <v>3</v>
          </cell>
          <cell r="E308" t="str">
            <v>5d6</v>
          </cell>
          <cell r="F308">
            <v>0.95</v>
          </cell>
          <cell r="G308" t="str">
            <v>Causa dano e tem 10% de chance de aumentar o Ataque em 10% do total (aumento máximo de 60%).</v>
          </cell>
        </row>
        <row r="309">
          <cell r="A309" t="str">
            <v>Crush Claw</v>
          </cell>
          <cell r="B309" t="str">
            <v>Normal</v>
          </cell>
          <cell r="C309" t="str">
            <v>Físico</v>
          </cell>
          <cell r="D309">
            <v>9</v>
          </cell>
          <cell r="E309" t="str">
            <v>8d6</v>
          </cell>
          <cell r="F309">
            <v>0.95</v>
          </cell>
          <cell r="G309" t="str">
            <v>Causa dano e tem 50% de chance de diminuir a Defesa do adversário em 10% do total (diminuição máxima de 60%).</v>
          </cell>
        </row>
        <row r="310">
          <cell r="A310" t="str">
            <v>Shadow Claw</v>
          </cell>
          <cell r="B310" t="str">
            <v>Fantasma</v>
          </cell>
          <cell r="C310" t="str">
            <v>Físico</v>
          </cell>
          <cell r="D310">
            <v>8</v>
          </cell>
          <cell r="E310" t="str">
            <v>7d6</v>
          </cell>
          <cell r="F310">
            <v>1</v>
          </cell>
          <cell r="G310" t="str">
            <v>Causa dano e aumenta a Taxa de Crítico de 10% para 30%.</v>
          </cell>
        </row>
        <row r="311">
          <cell r="A311" t="str">
            <v>Hone Claw</v>
          </cell>
          <cell r="B311" t="str">
            <v>Noturno</v>
          </cell>
          <cell r="C311" t="str">
            <v>Estado</v>
          </cell>
          <cell r="D311">
            <v>2</v>
          </cell>
          <cell r="E311" t="str">
            <v>-</v>
          </cell>
          <cell r="F311">
            <v>1</v>
          </cell>
          <cell r="G311" t="str">
            <v>Aumenta o Ataque e a Precisão de todos os golpes em 10% do total (aumento máximo de 60% em cada).</v>
          </cell>
        </row>
        <row r="312">
          <cell r="A312" t="str">
            <v>Poison Gas</v>
          </cell>
          <cell r="B312" t="str">
            <v>Veneno</v>
          </cell>
          <cell r="C312" t="str">
            <v>Estado</v>
          </cell>
          <cell r="D312">
            <v>5</v>
          </cell>
          <cell r="E312" t="str">
            <v>-</v>
          </cell>
          <cell r="F312">
            <v>0.9</v>
          </cell>
          <cell r="G312" t="str">
            <v>Causa a condição Envenenado.</v>
          </cell>
        </row>
        <row r="313">
          <cell r="A313" t="str">
            <v>Photon Geyser</v>
          </cell>
          <cell r="B313" t="str">
            <v>Psíquico</v>
          </cell>
          <cell r="C313" t="str">
            <v>Especial</v>
          </cell>
          <cell r="D313">
            <v>14</v>
          </cell>
          <cell r="E313" t="str">
            <v>12d6</v>
          </cell>
          <cell r="F313">
            <v>1</v>
          </cell>
          <cell r="G313" t="str">
            <v>Causa dano utilizando como base no cálculo do ataque o que for maior, Ataque ou Ataque Especial.</v>
          </cell>
        </row>
        <row r="314">
          <cell r="A314" t="str">
            <v>Power Gem</v>
          </cell>
          <cell r="B314" t="str">
            <v>Pedra</v>
          </cell>
          <cell r="C314" t="str">
            <v>Especial</v>
          </cell>
          <cell r="D314">
            <v>8</v>
          </cell>
          <cell r="E314" t="str">
            <v>8d6</v>
          </cell>
          <cell r="F314">
            <v>1</v>
          </cell>
          <cell r="G314" t="str">
            <v>Causa dano.</v>
          </cell>
        </row>
        <row r="315">
          <cell r="A315" t="str">
            <v>Earth Power</v>
          </cell>
          <cell r="B315" t="str">
            <v>Terra</v>
          </cell>
          <cell r="C315" t="str">
            <v>Especial</v>
          </cell>
          <cell r="D315">
            <v>11</v>
          </cell>
          <cell r="E315" t="str">
            <v>10d6</v>
          </cell>
          <cell r="F315">
            <v>1</v>
          </cell>
          <cell r="G315" t="str">
            <v>Causa dano e tem 10% de chance de diminuir a Defesa Especial do adversário em 10% do total (diminuição máxima de 60%).</v>
          </cell>
        </row>
        <row r="316">
          <cell r="A316" t="str">
            <v>Geomancy</v>
          </cell>
          <cell r="B316" t="str">
            <v>Fada</v>
          </cell>
          <cell r="C316" t="str">
            <v>Estado</v>
          </cell>
          <cell r="D316">
            <v>6</v>
          </cell>
          <cell r="E316" t="str">
            <v>-</v>
          </cell>
          <cell r="F316">
            <v>1</v>
          </cell>
          <cell r="G316" t="str">
            <v>Carrega no primeiro turno e no segundo turno aumenta o Ataque Especial, a Defesa Especial e a Velocidade em 20% do total (aumento máximo de 60% em cada).</v>
          </cell>
        </row>
        <row r="317">
          <cell r="A317" t="str">
            <v>Giga Drain</v>
          </cell>
          <cell r="B317" t="str">
            <v>Grama</v>
          </cell>
          <cell r="C317" t="str">
            <v>Especial</v>
          </cell>
          <cell r="D317">
            <v>12</v>
          </cell>
          <cell r="E317" t="str">
            <v>8d6</v>
          </cell>
          <cell r="F317">
            <v>1</v>
          </cell>
          <cell r="G317" t="str">
            <v>Causa dano e recupera 50% do PV diminuido do adversário.</v>
          </cell>
        </row>
        <row r="318">
          <cell r="A318" t="str">
            <v>Giga impact</v>
          </cell>
          <cell r="B318" t="str">
            <v>Normal</v>
          </cell>
          <cell r="C318" t="str">
            <v>Físico</v>
          </cell>
          <cell r="D318">
            <v>13</v>
          </cell>
          <cell r="E318" t="str">
            <v>22d6</v>
          </cell>
          <cell r="F318">
            <v>0.9</v>
          </cell>
          <cell r="G318" t="str">
            <v>Causa dano, porém no próximo turno não poderá utilizar nenhum golpe.</v>
          </cell>
        </row>
        <row r="319">
          <cell r="A319" t="str">
            <v>Gyro Ball</v>
          </cell>
          <cell r="B319" t="str">
            <v>Metal</v>
          </cell>
          <cell r="C319" t="str">
            <v>Físico</v>
          </cell>
          <cell r="D319">
            <v>8</v>
          </cell>
          <cell r="E319" t="str">
            <v>-</v>
          </cell>
          <cell r="F319">
            <v>1</v>
          </cell>
          <cell r="G319" t="str">
            <v>Causa dano em (Velocidade do pokemon adversário divido pela Velocidade do seu pokémon mais 1)d6.</v>
          </cell>
        </row>
        <row r="320">
          <cell r="A320" t="str">
            <v>Rapid Spin</v>
          </cell>
          <cell r="B320" t="str">
            <v>Normal</v>
          </cell>
          <cell r="C320" t="str">
            <v>Físico</v>
          </cell>
          <cell r="D320">
            <v>7</v>
          </cell>
          <cell r="E320" t="str">
            <v>5d6</v>
          </cell>
          <cell r="F320">
            <v>1</v>
          </cell>
          <cell r="G320" t="str">
            <v>Causa dano e remove a condição Preso e qualquer outro efeito ligado a ele.</v>
          </cell>
        </row>
        <row r="321">
          <cell r="A321" t="str">
            <v>Glaciate</v>
          </cell>
          <cell r="B321" t="str">
            <v>Gelo</v>
          </cell>
          <cell r="C321" t="str">
            <v>Especial</v>
          </cell>
          <cell r="D321">
            <v>7</v>
          </cell>
          <cell r="E321" t="str">
            <v>7d6</v>
          </cell>
          <cell r="F321">
            <v>0.95</v>
          </cell>
          <cell r="G321" t="str">
            <v>Causa dano e diminui a Velocidade do adversário em 10% do total (diminuição máxima de 60%).</v>
          </cell>
        </row>
        <row r="322">
          <cell r="A322" t="str">
            <v>Cross Chop</v>
          </cell>
          <cell r="B322" t="str">
            <v>Lutador</v>
          </cell>
          <cell r="C322" t="str">
            <v>Físico</v>
          </cell>
          <cell r="D322">
            <v>12</v>
          </cell>
          <cell r="E322" t="str">
            <v>12d6</v>
          </cell>
          <cell r="F322">
            <v>0.8</v>
          </cell>
          <cell r="G322" t="str">
            <v>Causa dano e aumenta a Taxa de Crítico de 10% para 30%.</v>
          </cell>
        </row>
        <row r="323">
          <cell r="A323" t="str">
            <v>Air Slash</v>
          </cell>
          <cell r="B323" t="str">
            <v>Voador</v>
          </cell>
          <cell r="C323" t="str">
            <v>Especial</v>
          </cell>
          <cell r="D323">
            <v>9</v>
          </cell>
          <cell r="E323" t="str">
            <v>8d6</v>
          </cell>
          <cell r="F323">
            <v>0.95</v>
          </cell>
          <cell r="G323" t="str">
            <v>Causa dano e tem 30% de chance de causar condição Recuando.</v>
          </cell>
        </row>
        <row r="324">
          <cell r="A324" t="str">
            <v>Arm Thrust</v>
          </cell>
          <cell r="B324" t="str">
            <v>Lutador</v>
          </cell>
          <cell r="C324" t="str">
            <v>Físico</v>
          </cell>
          <cell r="D324">
            <v>2</v>
          </cell>
          <cell r="E324" t="str">
            <v>2d6</v>
          </cell>
          <cell r="F324">
            <v>1</v>
          </cell>
          <cell r="G324" t="str">
            <v>Causa dano 1d6 vezes.</v>
          </cell>
        </row>
        <row r="325">
          <cell r="A325" t="str">
            <v>Karate Chop</v>
          </cell>
          <cell r="B325" t="str">
            <v>Lutador</v>
          </cell>
          <cell r="C325" t="str">
            <v>Físico</v>
          </cell>
          <cell r="D325">
            <v>5</v>
          </cell>
          <cell r="E325" t="str">
            <v>5d6</v>
          </cell>
          <cell r="F325">
            <v>1</v>
          </cell>
          <cell r="G325" t="str">
            <v>Causa dano e aumenta a Taxa de Crítico de 10% para 30%.</v>
          </cell>
        </row>
        <row r="326">
          <cell r="A326" t="str">
            <v>Lucky Chant</v>
          </cell>
          <cell r="B326" t="str">
            <v>Normal</v>
          </cell>
          <cell r="C326" t="str">
            <v>Estado</v>
          </cell>
          <cell r="D326">
            <v>6</v>
          </cell>
          <cell r="E326" t="str">
            <v>-</v>
          </cell>
          <cell r="F326">
            <v>1</v>
          </cell>
          <cell r="G326" t="str">
            <v>Por 5 turnos o adversário não pode acertar golpes críticos.</v>
          </cell>
        </row>
        <row r="327">
          <cell r="A327" t="str">
            <v>Double Hit</v>
          </cell>
          <cell r="B327" t="str">
            <v>Normal</v>
          </cell>
          <cell r="C327" t="str">
            <v>Físico</v>
          </cell>
          <cell r="D327">
            <v>3</v>
          </cell>
          <cell r="E327" t="str">
            <v>4d6</v>
          </cell>
          <cell r="F327">
            <v>0.9</v>
          </cell>
          <cell r="G327" t="str">
            <v>Causa dano duas vezes.</v>
          </cell>
        </row>
        <row r="328">
          <cell r="A328" t="str">
            <v>Throat Chop</v>
          </cell>
          <cell r="B328" t="str">
            <v>Noturno</v>
          </cell>
          <cell r="C328" t="str">
            <v>Físico</v>
          </cell>
          <cell r="D328">
            <v>10</v>
          </cell>
          <cell r="E328" t="str">
            <v>8d6</v>
          </cell>
          <cell r="F328">
            <v>1</v>
          </cell>
          <cell r="G328" t="str">
            <v>Causa dano e o adversário não poderá usar golpe de voz por dois turnos (exemplo: Eco de Voz ou Hiper Voz)</v>
          </cell>
        </row>
        <row r="329">
          <cell r="A329" t="str">
            <v>Poison Jab</v>
          </cell>
          <cell r="B329" t="str">
            <v>Veneno</v>
          </cell>
          <cell r="C329" t="str">
            <v>Físico</v>
          </cell>
          <cell r="D329">
            <v>10</v>
          </cell>
          <cell r="E329" t="str">
            <v>8d6</v>
          </cell>
          <cell r="F329">
            <v>1</v>
          </cell>
          <cell r="G329" t="str">
            <v>Causa dano e tem 30% de chance de causar condição Envenenado.</v>
          </cell>
        </row>
        <row r="330">
          <cell r="A330" t="str">
            <v>Phantom Force</v>
          </cell>
          <cell r="B330" t="str">
            <v>Fantasma</v>
          </cell>
          <cell r="C330" t="str">
            <v>Físico</v>
          </cell>
          <cell r="D330">
            <v>16</v>
          </cell>
          <cell r="E330" t="str">
            <v>10d6</v>
          </cell>
          <cell r="F330">
            <v>1</v>
          </cell>
          <cell r="G330" t="str">
            <v>Fica invulnerável no primeiro turno, causando dano no seguinte. Esse golpe acerta o adversário se tiver usado Detectar ou Protecão.</v>
          </cell>
        </row>
        <row r="331">
          <cell r="A331" t="str">
            <v>Heavy Slam</v>
          </cell>
          <cell r="B331" t="str">
            <v>Metal</v>
          </cell>
          <cell r="C331" t="str">
            <v>Físico</v>
          </cell>
          <cell r="D331">
            <v>1</v>
          </cell>
          <cell r="E331" t="str">
            <v>-</v>
          </cell>
          <cell r="F331">
            <v>1</v>
          </cell>
          <cell r="G331" t="str">
            <v>Efeito do golpe indisponível ainda.</v>
          </cell>
        </row>
        <row r="332">
          <cell r="A332" t="str">
            <v>Psystrike</v>
          </cell>
          <cell r="B332" t="str">
            <v>Psíquico</v>
          </cell>
          <cell r="C332" t="str">
            <v>Especial</v>
          </cell>
          <cell r="D332">
            <v>16</v>
          </cell>
          <cell r="E332" t="str">
            <v>12d6</v>
          </cell>
          <cell r="F332">
            <v>1</v>
          </cell>
          <cell r="G332" t="str">
            <v>Causa dano, porém o adversário se defenderá com a Defesa ao invés da Defesa Especial.</v>
          </cell>
        </row>
        <row r="333">
          <cell r="A333" t="str">
            <v>Fury Swipes</v>
          </cell>
          <cell r="B333" t="str">
            <v>Normal</v>
          </cell>
          <cell r="C333" t="str">
            <v>Físico</v>
          </cell>
          <cell r="D333">
            <v>1</v>
          </cell>
          <cell r="E333" t="str">
            <v>2d6</v>
          </cell>
          <cell r="F333">
            <v>0.8</v>
          </cell>
          <cell r="G333" t="str">
            <v>Causa dano 1d6 vezes.</v>
          </cell>
        </row>
        <row r="334">
          <cell r="A334" t="str">
            <v>Hail</v>
          </cell>
          <cell r="B334" t="str">
            <v>Gelo</v>
          </cell>
          <cell r="C334" t="str">
            <v>Estado</v>
          </cell>
          <cell r="D334">
            <v>1</v>
          </cell>
          <cell r="E334" t="str">
            <v>-</v>
          </cell>
          <cell r="F334">
            <v>1</v>
          </cell>
          <cell r="G334" t="str">
            <v>Por 5 turnos, o golpe Nevasca terá 100% de Precisão, todo pokémon perderá 10% do PV total menos os de tipo Gelo, o dano dos golpes Raio Solar e Lâmina Solar e a recuperação de Síntese, Sol da Manhã e Luar são reduzidos pela metade e o golpe Esf...</v>
          </cell>
        </row>
        <row r="335">
          <cell r="A335" t="str">
            <v>Gravity</v>
          </cell>
          <cell r="B335" t="str">
            <v>Psíquico</v>
          </cell>
          <cell r="C335" t="str">
            <v>Estado</v>
          </cell>
          <cell r="D335">
            <v>4</v>
          </cell>
          <cell r="E335" t="str">
            <v>-</v>
          </cell>
          <cell r="F335">
            <v>1</v>
          </cell>
          <cell r="G335" t="str">
            <v>Por 5 turnos impede o adversário usar Voar, Ricochete ou Super Voadora.</v>
          </cell>
        </row>
        <row r="336">
          <cell r="A336" t="str">
            <v>Uproar</v>
          </cell>
          <cell r="B336" t="str">
            <v>Normal</v>
          </cell>
          <cell r="C336" t="str">
            <v>Especial</v>
          </cell>
          <cell r="D336">
            <v>12</v>
          </cell>
          <cell r="E336" t="str">
            <v>10d6</v>
          </cell>
          <cell r="F336">
            <v>1</v>
          </cell>
          <cell r="G336" t="str">
            <v>Causa dano com o mesmo golpe por 3 turnos seguidos e impede que qualquer pokémon fique sob a condição Dormindo.</v>
          </cell>
        </row>
        <row r="337">
          <cell r="A337" t="str">
            <v>Crafty Shield</v>
          </cell>
          <cell r="B337" t="str">
            <v>Fada</v>
          </cell>
          <cell r="C337" t="str">
            <v>Estado</v>
          </cell>
          <cell r="D337">
            <v>1</v>
          </cell>
          <cell r="E337" t="str">
            <v>-</v>
          </cell>
          <cell r="F337">
            <v>1</v>
          </cell>
          <cell r="G337" t="str">
            <v>Protege contra mudanças de Status</v>
          </cell>
        </row>
        <row r="338">
          <cell r="A338" t="str">
            <v>Guillotine</v>
          </cell>
          <cell r="B338" t="str">
            <v>Normal</v>
          </cell>
          <cell r="C338" t="str">
            <v>Físico</v>
          </cell>
          <cell r="D338">
            <v>22</v>
          </cell>
          <cell r="E338" t="str">
            <v>-</v>
          </cell>
          <cell r="F338">
            <v>0.3</v>
          </cell>
          <cell r="G338" t="str">
            <v>Se acertar o adversário, o oponente desmaiará.</v>
          </cell>
        </row>
        <row r="339">
          <cell r="A339" t="str">
            <v>Stone Edge</v>
          </cell>
          <cell r="B339" t="str">
            <v>Pedra</v>
          </cell>
          <cell r="C339" t="str">
            <v>Físico</v>
          </cell>
          <cell r="D339">
            <v>12</v>
          </cell>
          <cell r="E339" t="str">
            <v>12d6</v>
          </cell>
          <cell r="F339">
            <v>0.8</v>
          </cell>
          <cell r="G339" t="str">
            <v>Causa dano e aumenta a Taxa de Crítico de 10% para 30%.</v>
          </cell>
        </row>
        <row r="340">
          <cell r="A340" t="str">
            <v>Trick-or-Treat</v>
          </cell>
          <cell r="B340" t="str">
            <v>Fantasma</v>
          </cell>
          <cell r="C340" t="str">
            <v>Estado</v>
          </cell>
          <cell r="D340">
            <v>6</v>
          </cell>
          <cell r="E340" t="str">
            <v>-</v>
          </cell>
          <cell r="F340">
            <v>1</v>
          </cell>
          <cell r="G340" t="str">
            <v>Adiciona ao adversário o tipo Fantasma.</v>
          </cell>
        </row>
        <row r="341">
          <cell r="A341" t="str">
            <v>Hyper Fang</v>
          </cell>
          <cell r="B341" t="str">
            <v>Normal</v>
          </cell>
          <cell r="C341" t="str">
            <v>Físico</v>
          </cell>
          <cell r="D341">
            <v>8</v>
          </cell>
          <cell r="E341" t="str">
            <v>8d6</v>
          </cell>
          <cell r="F341">
            <v>0.9</v>
          </cell>
          <cell r="G341" t="str">
            <v>Causa dano e tem 10% de chance de causar condição Recuando.</v>
          </cell>
        </row>
        <row r="342">
          <cell r="A342" t="str">
            <v>Hyper Beam</v>
          </cell>
          <cell r="B342" t="str">
            <v>Normal</v>
          </cell>
          <cell r="C342" t="str">
            <v>Especial</v>
          </cell>
          <cell r="D342">
            <v>13</v>
          </cell>
          <cell r="E342" t="str">
            <v>22d6</v>
          </cell>
          <cell r="F342">
            <v>0.9</v>
          </cell>
          <cell r="G342" t="str">
            <v>Causa dano, porém no próximo turno não poderá utilizar nenhum golpe.</v>
          </cell>
        </row>
        <row r="343">
          <cell r="A343" t="str">
            <v>Hyper Voice</v>
          </cell>
          <cell r="B343" t="str">
            <v>Normal</v>
          </cell>
          <cell r="C343" t="str">
            <v>Especial</v>
          </cell>
          <cell r="D343">
            <v>10</v>
          </cell>
          <cell r="E343" t="str">
            <v>10d6</v>
          </cell>
          <cell r="F343">
            <v>1</v>
          </cell>
          <cell r="G343" t="str">
            <v>Causa dano.</v>
          </cell>
        </row>
        <row r="344">
          <cell r="A344" t="str">
            <v>Hypnosis</v>
          </cell>
          <cell r="B344" t="str">
            <v>Psíquico</v>
          </cell>
          <cell r="C344" t="str">
            <v>Estado</v>
          </cell>
          <cell r="D344">
            <v>4</v>
          </cell>
          <cell r="E344" t="str">
            <v>-</v>
          </cell>
          <cell r="F344">
            <v>0.6</v>
          </cell>
          <cell r="G344" t="str">
            <v>Causa a condição Dormindo.</v>
          </cell>
        </row>
        <row r="345">
          <cell r="A345" t="str">
            <v>Snap Trap</v>
          </cell>
          <cell r="B345" t="str">
            <v>Grama</v>
          </cell>
          <cell r="C345" t="str">
            <v>Físico</v>
          </cell>
          <cell r="D345">
            <v>8</v>
          </cell>
          <cell r="E345" t="str">
            <v>2d6</v>
          </cell>
          <cell r="F345">
            <v>1</v>
          </cell>
          <cell r="G345" t="str">
            <v>Causa dano e deixa sob a condição Preso durante 1d6 de turnos, que causam 20% de dano do PV total.</v>
          </cell>
        </row>
        <row r="346">
          <cell r="A346" t="str">
            <v>Copycat</v>
          </cell>
          <cell r="B346" t="str">
            <v>Normal</v>
          </cell>
          <cell r="C346" t="str">
            <v>Estado</v>
          </cell>
          <cell r="D346">
            <v>9</v>
          </cell>
          <cell r="E346" t="str">
            <v>3d6</v>
          </cell>
          <cell r="F346">
            <v>1</v>
          </cell>
          <cell r="G346" t="str">
            <v>Copia o último golpe utilizado pelo adversário.</v>
          </cell>
        </row>
        <row r="347">
          <cell r="A347" t="str">
            <v>Head Charge</v>
          </cell>
          <cell r="B347" t="str">
            <v>Normal</v>
          </cell>
          <cell r="C347" t="str">
            <v>Físico</v>
          </cell>
          <cell r="D347">
            <v>14</v>
          </cell>
          <cell r="E347" t="str">
            <v>16d6</v>
          </cell>
          <cell r="F347">
            <v>1</v>
          </cell>
          <cell r="G347" t="str">
            <v>Causa dano e recebe 1/4 do dano causado.</v>
          </cell>
        </row>
        <row r="348">
          <cell r="A348" t="str">
            <v>Eerie Impulse</v>
          </cell>
          <cell r="B348" t="str">
            <v>Elétrico</v>
          </cell>
          <cell r="C348" t="str">
            <v>Estado</v>
          </cell>
          <cell r="D348">
            <v>4</v>
          </cell>
          <cell r="E348" t="str">
            <v>-</v>
          </cell>
          <cell r="F348">
            <v>1</v>
          </cell>
          <cell r="G348" t="str">
            <v>Diminui o Ataque Especial do adversário em 20% do total (diminuição máxima de 60%).</v>
          </cell>
        </row>
        <row r="349">
          <cell r="A349" t="str">
            <v>Psycho Boost</v>
          </cell>
          <cell r="B349" t="str">
            <v>Psíquico</v>
          </cell>
          <cell r="C349" t="str">
            <v>Especial</v>
          </cell>
          <cell r="D349">
            <v>15</v>
          </cell>
          <cell r="E349" t="str">
            <v>20d6</v>
          </cell>
          <cell r="F349">
            <v>0.9</v>
          </cell>
          <cell r="G349" t="str">
            <v>Causa dano mas diminui o próprio Ataque Especial em 20% do total (diminuição máxima de 60%).</v>
          </cell>
        </row>
        <row r="350">
          <cell r="A350" t="str">
            <v>Incinerate</v>
          </cell>
          <cell r="B350" t="str">
            <v>Fogo</v>
          </cell>
          <cell r="C350" t="str">
            <v>Especial</v>
          </cell>
          <cell r="D350">
            <v>4</v>
          </cell>
          <cell r="E350" t="str">
            <v>6d6</v>
          </cell>
          <cell r="F350">
            <v>1</v>
          </cell>
          <cell r="G350" t="str">
            <v>Causa dano.</v>
          </cell>
        </row>
        <row r="351">
          <cell r="A351" t="str">
            <v>Inferno</v>
          </cell>
          <cell r="B351" t="str">
            <v>Fogo</v>
          </cell>
          <cell r="C351" t="str">
            <v>Especial</v>
          </cell>
          <cell r="D351">
            <v>13</v>
          </cell>
          <cell r="E351" t="str">
            <v>12d6</v>
          </cell>
          <cell r="F351">
            <v>0.5</v>
          </cell>
          <cell r="G351" t="str">
            <v>Causa dano e a condição Queimado.</v>
          </cell>
        </row>
        <row r="352">
          <cell r="A352" t="str">
            <v>Infestation</v>
          </cell>
          <cell r="B352" t="str">
            <v>Inseto</v>
          </cell>
          <cell r="C352" t="str">
            <v>Especial</v>
          </cell>
          <cell r="D352">
            <v>5</v>
          </cell>
          <cell r="E352" t="str">
            <v>2d6</v>
          </cell>
          <cell r="F352">
            <v>1</v>
          </cell>
          <cell r="G352" t="str">
            <v>Causa dano e deixa sob a condição Preso durante 1d6 de turnos, que causam 10% de dano do PV total.</v>
          </cell>
        </row>
        <row r="353">
          <cell r="A353" t="str">
            <v>Instruct</v>
          </cell>
          <cell r="B353" t="str">
            <v>Psíquico</v>
          </cell>
          <cell r="C353" t="str">
            <v>Estado</v>
          </cell>
          <cell r="D353">
            <v>1</v>
          </cell>
          <cell r="E353" t="str">
            <v>-</v>
          </cell>
          <cell r="F353">
            <v>1</v>
          </cell>
          <cell r="G353" t="str">
            <v>Efeito do golpe indisponível ainda.</v>
          </cell>
        </row>
        <row r="354">
          <cell r="A354" t="str">
            <v>Tackle</v>
          </cell>
          <cell r="B354" t="str">
            <v>Normal</v>
          </cell>
          <cell r="C354" t="str">
            <v>Físico</v>
          </cell>
          <cell r="D354">
            <v>2</v>
          </cell>
          <cell r="E354" t="str">
            <v>5d6</v>
          </cell>
          <cell r="F354">
            <v>1</v>
          </cell>
          <cell r="G354" t="str">
            <v>Causa dano.</v>
          </cell>
        </row>
        <row r="355">
          <cell r="A355" t="str">
            <v>Dragon Rush</v>
          </cell>
          <cell r="B355" t="str">
            <v>Dragão</v>
          </cell>
          <cell r="C355" t="str">
            <v>Físico</v>
          </cell>
          <cell r="D355">
            <v>11</v>
          </cell>
          <cell r="E355" t="str">
            <v>12d6</v>
          </cell>
          <cell r="F355">
            <v>0.75</v>
          </cell>
          <cell r="G355" t="str">
            <v>Causa dano e tem 20% de chance de causar condição Recuando.</v>
          </cell>
        </row>
        <row r="356">
          <cell r="A356" t="str">
            <v>Rage</v>
          </cell>
          <cell r="B356" t="str">
            <v>Normal</v>
          </cell>
          <cell r="C356" t="str">
            <v>Físico</v>
          </cell>
          <cell r="D356">
            <v>3</v>
          </cell>
          <cell r="E356" t="str">
            <v>3d6</v>
          </cell>
          <cell r="F356">
            <v>1</v>
          </cell>
          <cell r="G356" t="str">
            <v>Causa dano e nos turnos seguintes, toda vez que sofre dano, aumenta o Ataque em 10% (aumento máximo de 60% em cada).</v>
          </cell>
        </row>
        <row r="357">
          <cell r="A357" t="str">
            <v>Fiery Wrath</v>
          </cell>
          <cell r="B357" t="str">
            <v>Noturno</v>
          </cell>
          <cell r="C357" t="str">
            <v>Especial</v>
          </cell>
          <cell r="D357">
            <v>12</v>
          </cell>
          <cell r="E357" t="str">
            <v>10d6</v>
          </cell>
          <cell r="F357">
            <v>1</v>
          </cell>
          <cell r="G357" t="str">
            <v>Causa dano e tem 20% de chance de causar condição Recuando.</v>
          </cell>
        </row>
        <row r="358">
          <cell r="A358" t="str">
            <v>Land's Wrath</v>
          </cell>
          <cell r="B358" t="str">
            <v>Terra</v>
          </cell>
          <cell r="C358" t="str">
            <v>Físico</v>
          </cell>
          <cell r="D358">
            <v>10</v>
          </cell>
          <cell r="E358" t="str">
            <v>10d6</v>
          </cell>
          <cell r="F358">
            <v>1</v>
          </cell>
          <cell r="G358" t="str">
            <v>Causa dano.</v>
          </cell>
        </row>
        <row r="359">
          <cell r="A359" t="str">
            <v>Struggle Bug</v>
          </cell>
          <cell r="B359" t="str">
            <v>Inseto</v>
          </cell>
          <cell r="C359" t="str">
            <v>Especial</v>
          </cell>
          <cell r="D359">
            <v>5</v>
          </cell>
          <cell r="E359" t="str">
            <v>5d6</v>
          </cell>
          <cell r="F359">
            <v>1</v>
          </cell>
          <cell r="G359" t="str">
            <v>Causa dano e diminui o Ataque Especial do adversário em 10% do total (diminuição máxima de 60%).</v>
          </cell>
        </row>
        <row r="360">
          <cell r="A360" t="str">
            <v>Follow Me</v>
          </cell>
          <cell r="B360" t="str">
            <v>Normal</v>
          </cell>
          <cell r="C360" t="str">
            <v>Estado</v>
          </cell>
          <cell r="D360">
            <v>1</v>
          </cell>
          <cell r="E360" t="str">
            <v>-</v>
          </cell>
          <cell r="F360">
            <v>1</v>
          </cell>
          <cell r="G360" t="str">
            <v>Efeito do golpe indisponível ainda.</v>
          </cell>
        </row>
        <row r="361">
          <cell r="A361" t="str">
            <v>Hydro Pump</v>
          </cell>
          <cell r="B361" t="str">
            <v>Água</v>
          </cell>
          <cell r="C361" t="str">
            <v>Especial</v>
          </cell>
          <cell r="D361">
            <v>12</v>
          </cell>
          <cell r="E361" t="str">
            <v>14d6</v>
          </cell>
          <cell r="F361">
            <v>0.8</v>
          </cell>
          <cell r="G361" t="str">
            <v>Causa dano.</v>
          </cell>
        </row>
        <row r="362">
          <cell r="A362" t="str">
            <v>Bubble Beam</v>
          </cell>
          <cell r="B362" t="str">
            <v>Água</v>
          </cell>
          <cell r="C362" t="str">
            <v>Especial</v>
          </cell>
          <cell r="D362">
            <v>7</v>
          </cell>
          <cell r="E362" t="str">
            <v>7d6</v>
          </cell>
          <cell r="F362">
            <v>1</v>
          </cell>
          <cell r="G362" t="str">
            <v>Causa dano e tem 10% de chance de diminuir a Velocidade do adversario em 10% do total (diminuição maxima de 60%).</v>
          </cell>
        </row>
        <row r="363">
          <cell r="A363" t="str">
            <v>Sludge</v>
          </cell>
          <cell r="B363" t="str">
            <v>Veneno</v>
          </cell>
          <cell r="C363" t="str">
            <v>Especial</v>
          </cell>
          <cell r="D363">
            <v>8</v>
          </cell>
          <cell r="E363" t="str">
            <v>7d6</v>
          </cell>
          <cell r="F363">
            <v>1</v>
          </cell>
          <cell r="G363" t="str">
            <v>Causa dano e tem 30% de chance de causar condição Envenenado.</v>
          </cell>
        </row>
        <row r="364">
          <cell r="A364" t="str">
            <v>Play Rough</v>
          </cell>
          <cell r="B364" t="str">
            <v>Fada</v>
          </cell>
          <cell r="C364" t="str">
            <v>Físico</v>
          </cell>
          <cell r="D364">
            <v>10</v>
          </cell>
          <cell r="E364" t="str">
            <v>10d6</v>
          </cell>
          <cell r="F364">
            <v>0.9</v>
          </cell>
          <cell r="G364" t="str">
            <v>Causa dano e tem 10% de chance de diminuir o Ataque do adversário em 10% do total (diminuição máxima de 60%).</v>
          </cell>
        </row>
        <row r="365">
          <cell r="A365" t="str">
            <v>Play Nice</v>
          </cell>
          <cell r="B365" t="str">
            <v>Normal</v>
          </cell>
          <cell r="C365" t="str">
            <v>Estado</v>
          </cell>
          <cell r="D365">
            <v>2</v>
          </cell>
          <cell r="E365" t="str">
            <v>-</v>
          </cell>
          <cell r="F365">
            <v>1</v>
          </cell>
          <cell r="G365" t="str">
            <v>Diminui o Ataque do adversário em 10% do total (diminuição máxima de 60%).</v>
          </cell>
        </row>
        <row r="366">
          <cell r="A366" t="str">
            <v>Foul Play</v>
          </cell>
          <cell r="B366" t="str">
            <v>Noturno</v>
          </cell>
          <cell r="C366" t="str">
            <v>Físico</v>
          </cell>
          <cell r="D366">
            <v>14</v>
          </cell>
          <cell r="E366" t="str">
            <v>12d6</v>
          </cell>
          <cell r="F366">
            <v>1</v>
          </cell>
          <cell r="G366" t="str">
            <v>Causa dano usando o Ataque do adversário no cálculo.</v>
          </cell>
        </row>
        <row r="367">
          <cell r="A367" t="str">
            <v>Role Play</v>
          </cell>
          <cell r="B367" t="str">
            <v>Psíquico</v>
          </cell>
          <cell r="C367" t="str">
            <v>Estado</v>
          </cell>
          <cell r="D367">
            <v>1</v>
          </cell>
          <cell r="E367" t="str">
            <v>-</v>
          </cell>
          <cell r="F367">
            <v>1</v>
          </cell>
          <cell r="G367" t="str">
            <v>Copia a habilidade natural do pokémon.</v>
          </cell>
        </row>
        <row r="368">
          <cell r="A368" t="str">
            <v>Judgment</v>
          </cell>
          <cell r="B368" t="str">
            <v>Normal</v>
          </cell>
          <cell r="C368" t="str">
            <v>Especial</v>
          </cell>
          <cell r="D368">
            <v>12</v>
          </cell>
          <cell r="E368" t="str">
            <v>12d6</v>
          </cell>
          <cell r="F368">
            <v>1</v>
          </cell>
          <cell r="G368" t="str">
            <v>O tipo do golpe varia com o tipo do Pokémon usuário</v>
          </cell>
        </row>
        <row r="369">
          <cell r="A369" t="str">
            <v>Tearful Look</v>
          </cell>
          <cell r="B369" t="str">
            <v>Normal</v>
          </cell>
          <cell r="C369" t="str">
            <v>Estado</v>
          </cell>
          <cell r="D369">
            <v>6</v>
          </cell>
          <cell r="E369" t="str">
            <v>-</v>
          </cell>
          <cell r="F369">
            <v>1</v>
          </cell>
          <cell r="G369" t="str">
            <v>Diminui o Ataque e o Ataque Especial do adversário em 20% do total (diminuição máxima de 60% em cada).</v>
          </cell>
        </row>
        <row r="370">
          <cell r="A370" t="str">
            <v>Lick</v>
          </cell>
          <cell r="B370" t="str">
            <v>Fantasma</v>
          </cell>
          <cell r="C370" t="str">
            <v>Físico</v>
          </cell>
          <cell r="D370">
            <v>4</v>
          </cell>
          <cell r="E370" t="str">
            <v>4d6</v>
          </cell>
          <cell r="F370">
            <v>1</v>
          </cell>
          <cell r="G370" t="str">
            <v>Causa dano e tem 30% de chance de causar condição Paralisado.</v>
          </cell>
        </row>
        <row r="371">
          <cell r="A371" t="str">
            <v>Precipice Blades</v>
          </cell>
          <cell r="B371" t="str">
            <v>Terra</v>
          </cell>
          <cell r="C371" t="str">
            <v>Físico</v>
          </cell>
          <cell r="D371">
            <v>14</v>
          </cell>
          <cell r="E371" t="str">
            <v>16d6</v>
          </cell>
          <cell r="F371">
            <v>0.85</v>
          </cell>
          <cell r="G371" t="str">
            <v>Efeito do golpe indisponível ainda.</v>
          </cell>
        </row>
        <row r="372">
          <cell r="A372" t="str">
            <v>Leaf Blade</v>
          </cell>
          <cell r="B372" t="str">
            <v>Grama</v>
          </cell>
          <cell r="C372" t="str">
            <v>Físico</v>
          </cell>
          <cell r="D372">
            <v>12</v>
          </cell>
          <cell r="E372" t="str">
            <v>10d6</v>
          </cell>
          <cell r="F372">
            <v>1</v>
          </cell>
          <cell r="G372" t="str">
            <v>Causa dano e aumenta a Taxa de Crítico de 10% para 30%.</v>
          </cell>
        </row>
        <row r="373">
          <cell r="A373" t="str">
            <v>Solar Blade</v>
          </cell>
          <cell r="B373" t="str">
            <v>Grama</v>
          </cell>
          <cell r="C373" t="str">
            <v>Físico</v>
          </cell>
          <cell r="D373">
            <v>9</v>
          </cell>
          <cell r="E373" t="str">
            <v>18d6</v>
          </cell>
          <cell r="F373">
            <v>1</v>
          </cell>
          <cell r="G373" t="str">
            <v>Carrega no primeiro turno, no segundo turno causa dano.</v>
          </cell>
        </row>
        <row r="374">
          <cell r="A374" t="str">
            <v>Icicle Spear</v>
          </cell>
          <cell r="B374" t="str">
            <v>Gelo</v>
          </cell>
          <cell r="C374" t="str">
            <v>Físico</v>
          </cell>
          <cell r="D374">
            <v>4</v>
          </cell>
          <cell r="E374" t="str">
            <v>2d6</v>
          </cell>
          <cell r="F374">
            <v>1</v>
          </cell>
          <cell r="G374" t="str">
            <v>Causa dano 1d6 vezes.</v>
          </cell>
        </row>
        <row r="375">
          <cell r="A375" t="str">
            <v>Flamethrower</v>
          </cell>
          <cell r="B375" t="str">
            <v>Fogo</v>
          </cell>
          <cell r="C375" t="str">
            <v>Especial</v>
          </cell>
          <cell r="D375">
            <v>11</v>
          </cell>
          <cell r="E375" t="str">
            <v>10d6</v>
          </cell>
          <cell r="F375">
            <v>1</v>
          </cell>
          <cell r="G375" t="str">
            <v>Causa dano e tem 10% de chance de causar condição Queimado.</v>
          </cell>
        </row>
        <row r="376">
          <cell r="A376" t="str">
            <v>Circle Throw</v>
          </cell>
          <cell r="B376" t="str">
            <v>Lutador</v>
          </cell>
          <cell r="C376" t="str">
            <v>Físico</v>
          </cell>
          <cell r="D376">
            <v>9</v>
          </cell>
          <cell r="E376" t="str">
            <v>6d6</v>
          </cell>
          <cell r="F376">
            <v>0.9</v>
          </cell>
          <cell r="G376" t="str">
            <v>Causa dano e contra pokémons selvagens, faz ele fugir. Em batalha contra treinadores, obriga o adversário a trocar de pokémon.</v>
          </cell>
        </row>
        <row r="377">
          <cell r="A377" t="str">
            <v>Rock Throw</v>
          </cell>
          <cell r="B377" t="str">
            <v>Pedra</v>
          </cell>
          <cell r="C377" t="str">
            <v>Físico</v>
          </cell>
          <cell r="D377">
            <v>2</v>
          </cell>
          <cell r="E377" t="str">
            <v>5d6</v>
          </cell>
          <cell r="F377">
            <v>0.9</v>
          </cell>
          <cell r="G377" t="str">
            <v>Causa dano.</v>
          </cell>
        </row>
        <row r="378">
          <cell r="A378" t="str">
            <v>Storm Throw</v>
          </cell>
          <cell r="B378" t="str">
            <v>Lutador</v>
          </cell>
          <cell r="C378" t="str">
            <v>Físico</v>
          </cell>
          <cell r="D378">
            <v>7</v>
          </cell>
          <cell r="E378" t="str">
            <v>6d6</v>
          </cell>
          <cell r="F378">
            <v>1</v>
          </cell>
          <cell r="G378" t="str">
            <v>Causa dano crítico.</v>
          </cell>
        </row>
        <row r="379">
          <cell r="A379" t="str">
            <v>Chip Away</v>
          </cell>
          <cell r="B379" t="str">
            <v>Normal</v>
          </cell>
          <cell r="C379" t="str">
            <v>Físico</v>
          </cell>
          <cell r="D379">
            <v>8</v>
          </cell>
          <cell r="E379" t="str">
            <v>7d6</v>
          </cell>
          <cell r="F379">
            <v>1</v>
          </cell>
          <cell r="G379" t="str">
            <v>Causa dano ignorando qualquer aumento da Defesa do adversário.</v>
          </cell>
        </row>
        <row r="380">
          <cell r="A380" t="str">
            <v>Darkest Lariat</v>
          </cell>
          <cell r="B380" t="str">
            <v>Noturno</v>
          </cell>
          <cell r="C380" t="str">
            <v>Físico</v>
          </cell>
          <cell r="D380">
            <v>12</v>
          </cell>
          <cell r="E380" t="str">
            <v>10d6</v>
          </cell>
          <cell r="F380">
            <v>1</v>
          </cell>
          <cell r="G380" t="str">
            <v>Causa dano ignorando qualquer aumento da Defesa do adversário.</v>
          </cell>
        </row>
        <row r="381">
          <cell r="A381" t="str">
            <v>Prismatic Laser</v>
          </cell>
          <cell r="B381" t="str">
            <v>Psíquico</v>
          </cell>
          <cell r="C381" t="str">
            <v>Especial</v>
          </cell>
          <cell r="D381">
            <v>15</v>
          </cell>
          <cell r="E381" t="str">
            <v>24d6</v>
          </cell>
          <cell r="F381">
            <v>1</v>
          </cell>
          <cell r="G381" t="str">
            <v>Causa dano, porém no próximo turno não poderá utilizar nenhum golpe.</v>
          </cell>
        </row>
        <row r="382">
          <cell r="A382" t="str">
            <v>Milk Drink</v>
          </cell>
          <cell r="B382" t="str">
            <v>Normal</v>
          </cell>
          <cell r="C382" t="str">
            <v>Estado</v>
          </cell>
          <cell r="D382">
            <v>10</v>
          </cell>
          <cell r="E382" t="str">
            <v>-</v>
          </cell>
          <cell r="F382">
            <v>1</v>
          </cell>
          <cell r="G382" t="str">
            <v>Recupera 50% do PV total.</v>
          </cell>
        </row>
        <row r="383">
          <cell r="A383" t="str">
            <v>Mind Reader</v>
          </cell>
          <cell r="B383" t="str">
            <v>Normal</v>
          </cell>
          <cell r="C383" t="str">
            <v>Estado</v>
          </cell>
          <cell r="D383">
            <v>6</v>
          </cell>
          <cell r="E383" t="str">
            <v>-</v>
          </cell>
          <cell r="F383">
            <v>1</v>
          </cell>
          <cell r="G383" t="str">
            <v>O próximo golpe acertará independente da Precisão.</v>
          </cell>
        </row>
        <row r="384">
          <cell r="A384" t="str">
            <v>Magnet Rise</v>
          </cell>
          <cell r="B384" t="str">
            <v>Elétrico</v>
          </cell>
          <cell r="C384" t="str">
            <v>Estado</v>
          </cell>
          <cell r="D384">
            <v>8</v>
          </cell>
          <cell r="E384" t="str">
            <v>-</v>
          </cell>
          <cell r="F384">
            <v>1</v>
          </cell>
          <cell r="G384" t="str">
            <v>Por 5 turnos se torna imune a golpes do tipo Terrestre.</v>
          </cell>
        </row>
        <row r="385">
          <cell r="A385" t="str">
            <v>Spit Up</v>
          </cell>
          <cell r="B385" t="str">
            <v>Normal</v>
          </cell>
          <cell r="C385" t="str">
            <v>Especial</v>
          </cell>
          <cell r="D385">
            <v>1</v>
          </cell>
          <cell r="E385" t="str">
            <v>-</v>
          </cell>
          <cell r="F385">
            <v>1</v>
          </cell>
          <cell r="G385" t="str">
            <v>Cospe tudo que acumulou no Stockpile (1: 12d6; 2: 28d6; 3: 38d6)</v>
          </cell>
        </row>
        <row r="386">
          <cell r="A386" t="str">
            <v>Freeze-Dry</v>
          </cell>
          <cell r="B386" t="str">
            <v>Gelo</v>
          </cell>
          <cell r="C386" t="str">
            <v>Especial</v>
          </cell>
          <cell r="D386">
            <v>7</v>
          </cell>
          <cell r="E386" t="str">
            <v>7d6</v>
          </cell>
          <cell r="F386">
            <v>1</v>
          </cell>
          <cell r="G386" t="str">
            <v>Causa dano e tem 10% de chance de causar condição Congelado. Causa dano super-efetivo em pokémons tipo água.</v>
          </cell>
        </row>
        <row r="387">
          <cell r="A387" t="str">
            <v>Liquidation</v>
          </cell>
          <cell r="B387" t="str">
            <v>Água</v>
          </cell>
          <cell r="C387" t="str">
            <v>Físico</v>
          </cell>
          <cell r="D387">
            <v>11</v>
          </cell>
          <cell r="E387" t="str">
            <v>10d6</v>
          </cell>
          <cell r="F387">
            <v>1</v>
          </cell>
          <cell r="G387" t="str">
            <v>Causa dano e tem 10% de chance de diminuir a Defesa do adversário em 10% do total (diminuição máxima de 60%).</v>
          </cell>
        </row>
        <row r="388">
          <cell r="A388" t="str">
            <v>Moonlight</v>
          </cell>
          <cell r="B388" t="str">
            <v>Fada</v>
          </cell>
          <cell r="C388" t="str">
            <v>Estado</v>
          </cell>
          <cell r="D388">
            <v>7</v>
          </cell>
          <cell r="E388" t="str">
            <v>-</v>
          </cell>
          <cell r="F388">
            <v>1</v>
          </cell>
          <cell r="G388" t="str">
            <v>Recupera o PV de acordo com o dia. Se for de manhã ou a tarde, 25%, se for de noite 50% e qualquer outra situação, 10%.</v>
          </cell>
        </row>
        <row r="389">
          <cell r="A389" t="str">
            <v>Gust</v>
          </cell>
          <cell r="B389" t="str">
            <v>Voador</v>
          </cell>
          <cell r="C389" t="str">
            <v>Especial</v>
          </cell>
          <cell r="D389">
            <v>2</v>
          </cell>
          <cell r="E389" t="str">
            <v>4d6</v>
          </cell>
          <cell r="F389">
            <v>1</v>
          </cell>
          <cell r="G389" t="str">
            <v>Causa dano, e para os casos de invulnerabilidade de Voar, Sky Drop e Ricochete, o dano é dobrado.</v>
          </cell>
        </row>
        <row r="390">
          <cell r="A390" t="str">
            <v>Final Gambit</v>
          </cell>
          <cell r="B390" t="str">
            <v>Lutador</v>
          </cell>
          <cell r="C390" t="str">
            <v>Especial</v>
          </cell>
          <cell r="D390">
            <v>25</v>
          </cell>
          <cell r="E390" t="str">
            <v>-</v>
          </cell>
          <cell r="F390">
            <v>1</v>
          </cell>
          <cell r="G390" t="str">
            <v>Causa dano igual ao PV restante e logo após desmaia.</v>
          </cell>
        </row>
        <row r="391">
          <cell r="A391" t="str">
            <v>Magnitude</v>
          </cell>
          <cell r="B391" t="str">
            <v>Terra</v>
          </cell>
          <cell r="C391" t="str">
            <v>Físico</v>
          </cell>
          <cell r="D391">
            <v>6</v>
          </cell>
          <cell r="E391" t="str">
            <v>-</v>
          </cell>
          <cell r="F391">
            <v>1</v>
          </cell>
          <cell r="G391" t="str">
            <v>Randomiza 6 valores de dano e a escolha é feita ao rolar 1d6: 1 = 1d6, 2 = 2d6, 3 = 3d6, 4 = 6d6, 5 = 10d6, 6 = 14d6, se o adversário estiver usando Cavar, o dano é dobrado.</v>
          </cell>
        </row>
        <row r="392">
          <cell r="A392" t="str">
            <v>Pain Split</v>
          </cell>
          <cell r="B392" t="str">
            <v>Normal</v>
          </cell>
          <cell r="C392" t="str">
            <v>Estado</v>
          </cell>
          <cell r="D392">
            <v>6</v>
          </cell>
          <cell r="E392" t="str">
            <v>-</v>
          </cell>
          <cell r="F392">
            <v>1</v>
          </cell>
          <cell r="G392" t="str">
            <v>O valor do PV do pokémon e do pokémon adversário, se torna uma média entre os valores atuais de ambos.</v>
          </cell>
        </row>
        <row r="393">
          <cell r="A393" t="str">
            <v>Curse</v>
          </cell>
          <cell r="B393" t="str">
            <v>Fantasma</v>
          </cell>
          <cell r="C393" t="str">
            <v>Estado</v>
          </cell>
          <cell r="D393">
            <v>8</v>
          </cell>
          <cell r="E393" t="str">
            <v>-</v>
          </cell>
          <cell r="F393">
            <v>1</v>
          </cell>
          <cell r="G393" t="str">
            <v>Perde 50% do PV total e causa a condição Amaldiçoado.</v>
          </cell>
        </row>
        <row r="394">
          <cell r="A394" t="str">
            <v>Forest's Curse</v>
          </cell>
          <cell r="B394" t="str">
            <v>Grama</v>
          </cell>
          <cell r="C394" t="str">
            <v>Estado</v>
          </cell>
          <cell r="D394">
            <v>1</v>
          </cell>
          <cell r="E394" t="str">
            <v>-</v>
          </cell>
          <cell r="F394">
            <v>1</v>
          </cell>
          <cell r="G394" t="str">
            <v>Adiciona o tipo Grass ao pokémon adversário.</v>
          </cell>
        </row>
        <row r="395">
          <cell r="A395" t="str">
            <v>Flail</v>
          </cell>
          <cell r="B395" t="str">
            <v>Normal</v>
          </cell>
          <cell r="C395" t="str">
            <v>Físico</v>
          </cell>
          <cell r="D395">
            <v>8</v>
          </cell>
          <cell r="E395" t="str">
            <v>-</v>
          </cell>
          <cell r="F395">
            <v>1</v>
          </cell>
          <cell r="G395" t="str">
            <v>Causa (PV total dividido pelo PV restante)d6 de dano.</v>
          </cell>
        </row>
        <row r="396">
          <cell r="A396" t="str">
            <v>Spirit Shackle</v>
          </cell>
          <cell r="B396" t="str">
            <v>Fantasma</v>
          </cell>
          <cell r="C396" t="str">
            <v>Físico</v>
          </cell>
          <cell r="D396">
            <v>8</v>
          </cell>
          <cell r="E396" t="str">
            <v>8d6</v>
          </cell>
          <cell r="F396">
            <v>1</v>
          </cell>
          <cell r="G396" t="str">
            <v>Causa dano e a condição de Preso.</v>
          </cell>
        </row>
        <row r="397">
          <cell r="A397" t="str">
            <v>Helping Hand</v>
          </cell>
          <cell r="B397" t="str">
            <v>Normal</v>
          </cell>
          <cell r="C397" t="str">
            <v>Estado</v>
          </cell>
          <cell r="D397">
            <v>1</v>
          </cell>
          <cell r="E397" t="str">
            <v>-</v>
          </cell>
          <cell r="F397">
            <v>1</v>
          </cell>
          <cell r="G397" t="str">
            <v>Efeito do golpe indisponível ainda.</v>
          </cell>
        </row>
        <row r="398">
          <cell r="A398" t="str">
            <v>Crabhammer</v>
          </cell>
          <cell r="B398" t="str">
            <v>Água</v>
          </cell>
          <cell r="C398" t="str">
            <v>Físico</v>
          </cell>
          <cell r="D398">
            <v>13</v>
          </cell>
          <cell r="E398" t="str">
            <v>12d6</v>
          </cell>
          <cell r="F398">
            <v>0.9</v>
          </cell>
          <cell r="G398" t="str">
            <v>Causa dano e aumenta a Taxa de Crítico de 10% para 30%.</v>
          </cell>
        </row>
        <row r="399">
          <cell r="A399" t="str">
            <v>Ice Hammer</v>
          </cell>
          <cell r="B399" t="str">
            <v>Gelo</v>
          </cell>
          <cell r="C399" t="str">
            <v>Físico</v>
          </cell>
          <cell r="D399">
            <v>11</v>
          </cell>
          <cell r="E399" t="str">
            <v>12d6</v>
          </cell>
          <cell r="F399">
            <v>0.9</v>
          </cell>
          <cell r="G399" t="str">
            <v>Causa dano mas diminui a própria Velocidade em 10% do total (diminuição máxima de 60%).</v>
          </cell>
        </row>
        <row r="400">
          <cell r="A400" t="str">
            <v>Wood Hammer</v>
          </cell>
          <cell r="B400" t="str">
            <v>Grama</v>
          </cell>
          <cell r="C400" t="str">
            <v>Físico</v>
          </cell>
          <cell r="D400">
            <v>13</v>
          </cell>
          <cell r="E400" t="str">
            <v>16d6</v>
          </cell>
          <cell r="F400">
            <v>1</v>
          </cell>
          <cell r="G400" t="str">
            <v>Causa dano e recebe 1/3 do dano causado.</v>
          </cell>
        </row>
        <row r="401">
          <cell r="A401" t="str">
            <v>Dragon Hammer</v>
          </cell>
          <cell r="B401" t="str">
            <v>Dragão</v>
          </cell>
          <cell r="C401" t="str">
            <v>Físico</v>
          </cell>
          <cell r="D401">
            <v>10</v>
          </cell>
          <cell r="E401" t="str">
            <v>10d6</v>
          </cell>
          <cell r="F401">
            <v>1</v>
          </cell>
          <cell r="G401" t="str">
            <v>Causa dano.</v>
          </cell>
        </row>
        <row r="402">
          <cell r="A402" t="str">
            <v>Crunch</v>
          </cell>
          <cell r="B402" t="str">
            <v>Noturno</v>
          </cell>
          <cell r="C402" t="str">
            <v>Físico</v>
          </cell>
          <cell r="D402">
            <v>9</v>
          </cell>
          <cell r="E402" t="str">
            <v>8d6</v>
          </cell>
          <cell r="F402">
            <v>1</v>
          </cell>
          <cell r="G402" t="str">
            <v>Causa dano e tem 20% de chance de diminuir a Defesa do adversário em 10% do total (diminuição máxima de 60%).</v>
          </cell>
        </row>
        <row r="403">
          <cell r="A403" t="str">
            <v>Meditate</v>
          </cell>
          <cell r="B403" t="str">
            <v>Psíquico</v>
          </cell>
          <cell r="C403" t="str">
            <v>Estado</v>
          </cell>
          <cell r="D403">
            <v>1</v>
          </cell>
          <cell r="E403" t="str">
            <v>-</v>
          </cell>
          <cell r="F403">
            <v>1</v>
          </cell>
          <cell r="G403" t="str">
            <v>Aumenta o Ataque em 10% do total (aumento máximo de 60%).</v>
          </cell>
        </row>
        <row r="404">
          <cell r="A404" t="str">
            <v>Mega Kick</v>
          </cell>
          <cell r="B404" t="str">
            <v>Normal</v>
          </cell>
          <cell r="C404" t="str">
            <v>Físico</v>
          </cell>
          <cell r="D404">
            <v>13</v>
          </cell>
          <cell r="E404" t="str">
            <v>16d6</v>
          </cell>
          <cell r="F404">
            <v>0.75</v>
          </cell>
          <cell r="G404" t="str">
            <v>Causa dano.</v>
          </cell>
        </row>
        <row r="405">
          <cell r="A405" t="str">
            <v>Mega Drain</v>
          </cell>
          <cell r="B405" t="str">
            <v>Grama</v>
          </cell>
          <cell r="C405" t="str">
            <v>Especial</v>
          </cell>
          <cell r="D405">
            <v>6</v>
          </cell>
          <cell r="E405" t="str">
            <v>5d6</v>
          </cell>
          <cell r="F405">
            <v>1</v>
          </cell>
          <cell r="G405" t="str">
            <v>Causa dano e recupera 50% do PV diminuido do adversário.</v>
          </cell>
        </row>
        <row r="406">
          <cell r="A406" t="str">
            <v>Mega Punch</v>
          </cell>
          <cell r="B406" t="str">
            <v>Normal</v>
          </cell>
          <cell r="C406" t="str">
            <v>Físico</v>
          </cell>
          <cell r="D406">
            <v>6</v>
          </cell>
          <cell r="E406" t="str">
            <v>8d6</v>
          </cell>
          <cell r="F406">
            <v>0.85</v>
          </cell>
          <cell r="G406" t="str">
            <v>Causa dano.</v>
          </cell>
        </row>
        <row r="407">
          <cell r="A407" t="str">
            <v>Megahorn</v>
          </cell>
          <cell r="B407" t="str">
            <v>Inseto</v>
          </cell>
          <cell r="C407" t="str">
            <v>Físico</v>
          </cell>
          <cell r="D407">
            <v>14</v>
          </cell>
          <cell r="E407" t="str">
            <v>16d6</v>
          </cell>
          <cell r="F407">
            <v>0.85</v>
          </cell>
          <cell r="G407" t="str">
            <v>Causa dano.</v>
          </cell>
        </row>
        <row r="408">
          <cell r="A408" t="str">
            <v>Calm Mind</v>
          </cell>
          <cell r="B408" t="str">
            <v>Psíquico</v>
          </cell>
          <cell r="C408" t="str">
            <v>Estado</v>
          </cell>
          <cell r="D408">
            <v>2</v>
          </cell>
          <cell r="E408" t="str">
            <v>-</v>
          </cell>
          <cell r="F408">
            <v>1</v>
          </cell>
          <cell r="G408" t="str">
            <v>Aumenta o Ataque Especial e a Defesa Especial em 10% do total (aumento máximo de 60% em cada).</v>
          </cell>
        </row>
        <row r="409">
          <cell r="A409" t="str">
            <v>Dive</v>
          </cell>
          <cell r="B409" t="str">
            <v>Água</v>
          </cell>
          <cell r="C409" t="str">
            <v>Físico</v>
          </cell>
          <cell r="D409">
            <v>12</v>
          </cell>
          <cell r="E409" t="str">
            <v>8d6</v>
          </cell>
          <cell r="F409">
            <v>1</v>
          </cell>
          <cell r="G409" t="str">
            <v>Fica invulnerável no primeiro turno, causando dano no seguinte.</v>
          </cell>
        </row>
        <row r="410">
          <cell r="A410" t="str">
            <v>Meteor Smash</v>
          </cell>
          <cell r="B410" t="str">
            <v>Metal</v>
          </cell>
          <cell r="C410" t="str">
            <v>Físico</v>
          </cell>
          <cell r="D410">
            <v>10</v>
          </cell>
          <cell r="E410" t="str">
            <v>10d6</v>
          </cell>
          <cell r="F410">
            <v>0.9</v>
          </cell>
          <cell r="G410" t="str">
            <v>Causa dano e tem 20% de chance de aumentar o Ataque em 10% do total (aumento máximo de 60%).</v>
          </cell>
        </row>
        <row r="411">
          <cell r="A411" t="str">
            <v>Metronome</v>
          </cell>
          <cell r="B411" t="str">
            <v>Normal</v>
          </cell>
          <cell r="C411" t="str">
            <v>Estado</v>
          </cell>
          <cell r="D411">
            <v>6</v>
          </cell>
          <cell r="E411" t="str">
            <v>-</v>
          </cell>
          <cell r="F411">
            <v>1</v>
          </cell>
          <cell r="G411" t="str">
            <v>Randomiza um golpe de todos os existentes.</v>
          </cell>
        </row>
        <row r="412">
          <cell r="A412" t="str">
            <v>Thousand Arrows</v>
          </cell>
          <cell r="B412" t="str">
            <v>Terra</v>
          </cell>
          <cell r="C412" t="str">
            <v>Físico</v>
          </cell>
          <cell r="D412">
            <v>12</v>
          </cell>
          <cell r="E412" t="str">
            <v>10d6</v>
          </cell>
          <cell r="F412">
            <v>1</v>
          </cell>
          <cell r="G412" t="str">
            <v>Causa dano e derruba o adverário, assim, se o adversário estiver levitando/voando passará a ser atingido por golpes do tipo Terra. Atinge mesmo se estiver invulnerável pelo golpe Voar, Ricochetear e Queda Livre, cancelado o golpe.</v>
          </cell>
        </row>
        <row r="413">
          <cell r="A413" t="str">
            <v>Thousand Waves</v>
          </cell>
          <cell r="B413" t="str">
            <v>Terra</v>
          </cell>
          <cell r="C413" t="str">
            <v>Físico</v>
          </cell>
          <cell r="D413">
            <v>16</v>
          </cell>
          <cell r="E413" t="str">
            <v>10d6</v>
          </cell>
          <cell r="F413">
            <v>1</v>
          </cell>
          <cell r="G413" t="str">
            <v>Causa dano e a condição Preso.</v>
          </cell>
        </row>
        <row r="414">
          <cell r="A414" t="str">
            <v>Mimic</v>
          </cell>
          <cell r="B414" t="str">
            <v>Normal</v>
          </cell>
          <cell r="C414" t="str">
            <v>Estado</v>
          </cell>
          <cell r="D414">
            <v>6</v>
          </cell>
          <cell r="E414" t="str">
            <v>-</v>
          </cell>
          <cell r="F414">
            <v>1</v>
          </cell>
          <cell r="G414" t="str">
            <v>Copia o último golpe utilizado pelo adversário.</v>
          </cell>
        </row>
        <row r="415">
          <cell r="A415" t="str">
            <v>Minimize</v>
          </cell>
          <cell r="B415" t="str">
            <v>Normal</v>
          </cell>
          <cell r="C415" t="str">
            <v>Estado</v>
          </cell>
          <cell r="D415">
            <v>8</v>
          </cell>
          <cell r="E415" t="str">
            <v>-</v>
          </cell>
          <cell r="F415">
            <v>1</v>
          </cell>
          <cell r="G415" t="str">
            <v>(+4)AGL por dois turnos</v>
          </cell>
        </row>
        <row r="416">
          <cell r="A416" t="str">
            <v>Lock-On</v>
          </cell>
          <cell r="B416" t="str">
            <v>Normal</v>
          </cell>
          <cell r="C416" t="str">
            <v>Estado</v>
          </cell>
          <cell r="D416">
            <v>6</v>
          </cell>
          <cell r="E416" t="str">
            <v>-</v>
          </cell>
          <cell r="F416">
            <v>1</v>
          </cell>
          <cell r="G416" t="str">
            <v>O próximo golpe acertará independente da Precisão.</v>
          </cell>
        </row>
        <row r="417">
          <cell r="A417" t="str">
            <v>Pin Missile</v>
          </cell>
          <cell r="B417" t="str">
            <v>Inseto</v>
          </cell>
          <cell r="C417" t="str">
            <v>Físico</v>
          </cell>
          <cell r="D417">
            <v>3</v>
          </cell>
          <cell r="E417" t="str">
            <v>2d6</v>
          </cell>
          <cell r="F417">
            <v>0.95</v>
          </cell>
          <cell r="G417" t="str">
            <v>Causa dano 1d6 vezes.</v>
          </cell>
        </row>
        <row r="418">
          <cell r="A418" t="str">
            <v>Gear Grind</v>
          </cell>
          <cell r="B418" t="str">
            <v>Metal</v>
          </cell>
          <cell r="C418" t="str">
            <v>Físico</v>
          </cell>
          <cell r="D418">
            <v>4</v>
          </cell>
          <cell r="E418" t="str">
            <v>5d6</v>
          </cell>
          <cell r="F418">
            <v>0.85</v>
          </cell>
          <cell r="G418" t="str">
            <v>Causa dano duas vezes.</v>
          </cell>
        </row>
        <row r="419">
          <cell r="A419" t="str">
            <v>Bite</v>
          </cell>
          <cell r="B419" t="str">
            <v>Noturno</v>
          </cell>
          <cell r="C419" t="str">
            <v>Físico</v>
          </cell>
          <cell r="D419">
            <v>6</v>
          </cell>
          <cell r="E419" t="str">
            <v>6d6</v>
          </cell>
          <cell r="F419">
            <v>1</v>
          </cell>
          <cell r="G419" t="str">
            <v>Causa dano e tem 30% de chance de causar condição Recuando.</v>
          </cell>
        </row>
        <row r="420">
          <cell r="A420" t="str">
            <v>Low Sweep</v>
          </cell>
          <cell r="B420" t="str">
            <v>Lutador</v>
          </cell>
          <cell r="C420" t="str">
            <v>Físico</v>
          </cell>
          <cell r="D420">
            <v>8</v>
          </cell>
          <cell r="E420" t="str">
            <v>7d6</v>
          </cell>
          <cell r="F420">
            <v>1</v>
          </cell>
          <cell r="G420" t="str">
            <v>Causa dano e diminui a Velocidade do adversário em 10% do total (diminuição máxima de 60%).</v>
          </cell>
        </row>
        <row r="421">
          <cell r="A421" t="str">
            <v>Psychi Shift</v>
          </cell>
          <cell r="B421" t="str">
            <v>Psíquico</v>
          </cell>
          <cell r="C421" t="str">
            <v>Estado</v>
          </cell>
          <cell r="D421">
            <v>4</v>
          </cell>
          <cell r="E421" t="str">
            <v>-</v>
          </cell>
          <cell r="F421">
            <v>1</v>
          </cell>
          <cell r="G421" t="str">
            <v>Transfere a condição (Envenenado, Queimado, Paralizado, Dormindo e Congelado) para o adversário, se ele não estiver sob nenhuma.</v>
          </cell>
        </row>
        <row r="422">
          <cell r="A422" t="str">
            <v>Multi Attack</v>
          </cell>
          <cell r="B422" t="str">
            <v>Normal</v>
          </cell>
          <cell r="C422" t="str">
            <v>Físico</v>
          </cell>
          <cell r="D422">
            <v>16</v>
          </cell>
          <cell r="E422" t="str">
            <v>16d6</v>
          </cell>
          <cell r="F422">
            <v>1</v>
          </cell>
          <cell r="G422" t="str">
            <v>Causa dano do tipo do seu pokémon.</v>
          </cell>
        </row>
        <row r="423">
          <cell r="A423" t="str">
            <v>Double Team</v>
          </cell>
          <cell r="B423" t="str">
            <v>Normal</v>
          </cell>
          <cell r="C423" t="str">
            <v>Estado</v>
          </cell>
          <cell r="D423">
            <v>12</v>
          </cell>
          <cell r="E423" t="str">
            <v>-</v>
          </cell>
          <cell r="F423">
            <v>1</v>
          </cell>
          <cell r="G423" t="str">
            <v>O adversário errará até tirar 4 no d4 antes de seu turno ou ao usar um golpe em área</v>
          </cell>
        </row>
        <row r="424">
          <cell r="A424" t="str">
            <v>Mist</v>
          </cell>
          <cell r="B424" t="str">
            <v>Gelo</v>
          </cell>
          <cell r="C424" t="str">
            <v>Estado</v>
          </cell>
          <cell r="D424">
            <v>6</v>
          </cell>
          <cell r="E424" t="str">
            <v>-</v>
          </cell>
          <cell r="F424">
            <v>1</v>
          </cell>
          <cell r="G424" t="str">
            <v>Por 5 turnos os atributos do pokémon não pode ser alterado.</v>
          </cell>
        </row>
        <row r="425">
          <cell r="A425" t="str">
            <v>Blizzard</v>
          </cell>
          <cell r="B425" t="str">
            <v>Gelo</v>
          </cell>
          <cell r="C425" t="str">
            <v>Especial</v>
          </cell>
          <cell r="D425">
            <v>12</v>
          </cell>
          <cell r="E425" t="str">
            <v>14d6</v>
          </cell>
          <cell r="F425">
            <v>0.7</v>
          </cell>
          <cell r="G425" t="str">
            <v>Causa dano e tem 10% de chance de causar condição Congelado.</v>
          </cell>
        </row>
        <row r="426">
          <cell r="A426" t="str">
            <v>Petal Blizzard</v>
          </cell>
          <cell r="B426" t="str">
            <v>Grama</v>
          </cell>
          <cell r="C426" t="str">
            <v>Físico</v>
          </cell>
          <cell r="D426">
            <v>10</v>
          </cell>
          <cell r="E426" t="str">
            <v>10d6</v>
          </cell>
          <cell r="F426">
            <v>1</v>
          </cell>
          <cell r="G426" t="str">
            <v>Causa dano.</v>
          </cell>
        </row>
        <row r="427">
          <cell r="A427" t="str">
            <v>Powder Snow</v>
          </cell>
          <cell r="B427" t="str">
            <v>Gelo</v>
          </cell>
          <cell r="C427" t="str">
            <v>Especial</v>
          </cell>
          <cell r="D427">
            <v>3</v>
          </cell>
          <cell r="E427" t="str">
            <v>4d6</v>
          </cell>
          <cell r="F427">
            <v>1</v>
          </cell>
          <cell r="G427" t="str">
            <v>Causa dano e tem 10% de chance de causar condição Congelado.</v>
          </cell>
        </row>
        <row r="428">
          <cell r="A428" t="str">
            <v>Aromatic Mist</v>
          </cell>
          <cell r="B428" t="str">
            <v>Fada</v>
          </cell>
          <cell r="C428" t="str">
            <v>Estado</v>
          </cell>
          <cell r="D428">
            <v>1</v>
          </cell>
          <cell r="E428" t="str">
            <v>-</v>
          </cell>
          <cell r="F428">
            <v>1</v>
          </cell>
          <cell r="G428" t="str">
            <v>(+10%)DES de um aliado.</v>
          </cell>
        </row>
        <row r="429">
          <cell r="A429" t="str">
            <v>Haze</v>
          </cell>
          <cell r="B429" t="str">
            <v>Gelo</v>
          </cell>
          <cell r="C429" t="str">
            <v>Estado</v>
          </cell>
          <cell r="D429">
            <v>6</v>
          </cell>
          <cell r="E429" t="str">
            <v>-</v>
          </cell>
          <cell r="F429">
            <v>1</v>
          </cell>
          <cell r="G429" t="str">
            <v>Reseta qualquer mudança nos atributos.</v>
          </cell>
        </row>
        <row r="430">
          <cell r="A430" t="str">
            <v>Grass Knot</v>
          </cell>
          <cell r="B430" t="str">
            <v>Grama</v>
          </cell>
          <cell r="C430" t="str">
            <v>Especial</v>
          </cell>
          <cell r="D430">
            <v>1</v>
          </cell>
          <cell r="E430" t="str">
            <v>-</v>
          </cell>
          <cell r="F430">
            <v>1</v>
          </cell>
          <cell r="G430" t="str">
            <v>Efeito do golpe indisponível ainda.</v>
          </cell>
        </row>
        <row r="431">
          <cell r="A431" t="str">
            <v>Core Enforcer</v>
          </cell>
          <cell r="B431" t="str">
            <v>Dragão</v>
          </cell>
          <cell r="C431" t="str">
            <v>Especial</v>
          </cell>
          <cell r="D431">
            <v>12</v>
          </cell>
          <cell r="E431" t="str">
            <v>12d6</v>
          </cell>
          <cell r="F431">
            <v>1</v>
          </cell>
          <cell r="G431" t="str">
            <v>Causa dano.</v>
          </cell>
        </row>
        <row r="432">
          <cell r="A432" t="str">
            <v>Bestow</v>
          </cell>
          <cell r="B432" t="str">
            <v>Normal</v>
          </cell>
          <cell r="C432" t="str">
            <v>Estado</v>
          </cell>
          <cell r="D432">
            <v>4</v>
          </cell>
          <cell r="E432" t="str">
            <v>-</v>
          </cell>
          <cell r="F432">
            <v>1</v>
          </cell>
          <cell r="G432" t="str">
            <v>Entrega o item carregado para o adversário (no fim do combate ele retornará).</v>
          </cell>
        </row>
        <row r="433">
          <cell r="A433" t="str">
            <v>Mean Look</v>
          </cell>
          <cell r="B433" t="str">
            <v>Normal</v>
          </cell>
          <cell r="C433" t="str">
            <v>Estado</v>
          </cell>
          <cell r="D433">
            <v>6</v>
          </cell>
          <cell r="E433" t="str">
            <v>-</v>
          </cell>
          <cell r="F433">
            <v>1</v>
          </cell>
          <cell r="G433" t="str">
            <v>Causa a condição Preso.</v>
          </cell>
        </row>
        <row r="434">
          <cell r="A434" t="str">
            <v>Glare</v>
          </cell>
          <cell r="B434" t="str">
            <v>Normal</v>
          </cell>
          <cell r="C434" t="str">
            <v>Estado</v>
          </cell>
          <cell r="D434">
            <v>6</v>
          </cell>
          <cell r="E434" t="str">
            <v>-</v>
          </cell>
          <cell r="F434">
            <v>1</v>
          </cell>
          <cell r="G434" t="str">
            <v>Causa a condição Paralisado.</v>
          </cell>
        </row>
        <row r="435">
          <cell r="A435" t="str">
            <v>Baby-Doll Eyes</v>
          </cell>
          <cell r="B435" t="str">
            <v>Fada</v>
          </cell>
          <cell r="C435" t="str">
            <v>Estado</v>
          </cell>
          <cell r="D435">
            <v>3</v>
          </cell>
          <cell r="E435" t="str">
            <v>-</v>
          </cell>
          <cell r="F435">
            <v>1</v>
          </cell>
          <cell r="G435" t="str">
            <v>Diminui o Ataque do adversário em 10% (diminuição máxima de 60%), esse movimento ocorre primeiro que o adversário ao ignorar a velocidade dele.</v>
          </cell>
        </row>
        <row r="436">
          <cell r="A436" t="str">
            <v>Heat Wave</v>
          </cell>
          <cell r="B436" t="str">
            <v>Fogo</v>
          </cell>
          <cell r="C436" t="str">
            <v>Especial</v>
          </cell>
          <cell r="D436">
            <v>12</v>
          </cell>
          <cell r="E436" t="str">
            <v>12d6</v>
          </cell>
          <cell r="F436">
            <v>0.9</v>
          </cell>
          <cell r="G436" t="str">
            <v>Causa dano e tem 10% de chance de causar condição Queimado.</v>
          </cell>
        </row>
        <row r="437">
          <cell r="A437" t="str">
            <v>Shock Wave</v>
          </cell>
          <cell r="B437" t="str">
            <v>Elétrico</v>
          </cell>
          <cell r="C437" t="str">
            <v>Especial</v>
          </cell>
          <cell r="D437">
            <v>6</v>
          </cell>
          <cell r="E437" t="str">
            <v>5d6</v>
          </cell>
          <cell r="F437">
            <v>1</v>
          </cell>
          <cell r="G437" t="str">
            <v>Causa dano ignorando qualquer mudança em sua Precisão.</v>
          </cell>
        </row>
        <row r="438">
          <cell r="A438" t="str">
            <v>Sludge Wave</v>
          </cell>
          <cell r="B438" t="str">
            <v>Veneno</v>
          </cell>
          <cell r="C438" t="str">
            <v>Especial</v>
          </cell>
          <cell r="D438">
            <v>13</v>
          </cell>
          <cell r="E438" t="str">
            <v>12d6</v>
          </cell>
          <cell r="F438">
            <v>1</v>
          </cell>
          <cell r="G438" t="str">
            <v>Causa dano e tem 10% de chance de causar condição Envenenado.</v>
          </cell>
        </row>
        <row r="439">
          <cell r="A439" t="str">
            <v>Thunder Wave</v>
          </cell>
          <cell r="B439" t="str">
            <v>Elétrico</v>
          </cell>
          <cell r="C439" t="str">
            <v>Estado</v>
          </cell>
          <cell r="D439">
            <v>5</v>
          </cell>
          <cell r="E439" t="str">
            <v>-</v>
          </cell>
          <cell r="F439">
            <v>0.9</v>
          </cell>
          <cell r="G439" t="str">
            <v>Causa a condição Paralisado.</v>
          </cell>
        </row>
        <row r="440">
          <cell r="A440" t="str">
            <v>Vaccum Wave</v>
          </cell>
          <cell r="B440" t="str">
            <v>Lutador</v>
          </cell>
          <cell r="C440" t="str">
            <v>Especial</v>
          </cell>
          <cell r="D440">
            <v>4</v>
          </cell>
          <cell r="E440" t="str">
            <v>4d6</v>
          </cell>
          <cell r="F440">
            <v>1</v>
          </cell>
          <cell r="G440" t="str">
            <v>Causa dano, atacando primeiro que o adversário ao ignorar a Velocidade dele.</v>
          </cell>
        </row>
        <row r="441">
          <cell r="A441" t="str">
            <v>Psywave</v>
          </cell>
          <cell r="B441" t="str">
            <v>Psíquico</v>
          </cell>
          <cell r="C441" t="str">
            <v>Especial</v>
          </cell>
          <cell r="D441">
            <v>6</v>
          </cell>
          <cell r="E441" t="str">
            <v>-</v>
          </cell>
          <cell r="F441">
            <v>1</v>
          </cell>
          <cell r="G441" t="str">
            <v>Causa (50 + 1d100)% do nível de dano.</v>
          </cell>
        </row>
        <row r="442">
          <cell r="A442" t="str">
            <v>Attack Order</v>
          </cell>
          <cell r="B442" t="str">
            <v>Inseto</v>
          </cell>
          <cell r="C442" t="str">
            <v>Físico</v>
          </cell>
          <cell r="D442">
            <v>12</v>
          </cell>
          <cell r="E442" t="str">
            <v>10d6</v>
          </cell>
          <cell r="F442">
            <v>1</v>
          </cell>
          <cell r="G442" t="str">
            <v>Causa dano e aumenta a Taxa de Crítico de 10% para 30%.</v>
          </cell>
        </row>
        <row r="443">
          <cell r="A443" t="str">
            <v>Defend Order</v>
          </cell>
          <cell r="B443" t="str">
            <v>Inseto</v>
          </cell>
          <cell r="C443" t="str">
            <v>Estado</v>
          </cell>
          <cell r="D443">
            <v>2</v>
          </cell>
          <cell r="E443" t="str">
            <v>-</v>
          </cell>
          <cell r="F443">
            <v>1</v>
          </cell>
          <cell r="G443" t="str">
            <v>Aumenta a Defesa e a Defesa Especial em 10% do total (aumento máximo de 60% em cada).</v>
          </cell>
        </row>
        <row r="444">
          <cell r="A444" t="str">
            <v>Life Dew</v>
          </cell>
          <cell r="B444" t="str">
            <v>Água</v>
          </cell>
          <cell r="C444" t="str">
            <v>Estado</v>
          </cell>
          <cell r="D444">
            <v>1</v>
          </cell>
          <cell r="E444" t="str">
            <v>-</v>
          </cell>
          <cell r="F444">
            <v>1</v>
          </cell>
          <cell r="G444" t="str">
            <v>Cura 25% dos PVs do pokémon e dos aliados</v>
          </cell>
        </row>
        <row r="445">
          <cell r="A445" t="str">
            <v>Bonemerang</v>
          </cell>
          <cell r="B445" t="str">
            <v>Terra</v>
          </cell>
          <cell r="C445" t="str">
            <v>Físico</v>
          </cell>
          <cell r="D445">
            <v>5</v>
          </cell>
          <cell r="E445" t="str">
            <v>5d6</v>
          </cell>
          <cell r="F445">
            <v>0.9</v>
          </cell>
          <cell r="G445" t="str">
            <v>Causa dano duas vezes.</v>
          </cell>
        </row>
        <row r="446">
          <cell r="A446" t="str">
            <v>Force Palm</v>
          </cell>
          <cell r="B446" t="str">
            <v>Lutador</v>
          </cell>
          <cell r="C446" t="str">
            <v>Físico</v>
          </cell>
          <cell r="D446">
            <v>6</v>
          </cell>
          <cell r="E446" t="str">
            <v>6d6</v>
          </cell>
          <cell r="F446">
            <v>1</v>
          </cell>
          <cell r="G446" t="str">
            <v>Causa dano e tem 30% de chance de causar condição Paralisado.</v>
          </cell>
        </row>
        <row r="447">
          <cell r="A447" t="str">
            <v>Pound</v>
          </cell>
          <cell r="B447" t="str">
            <v>Normal</v>
          </cell>
          <cell r="C447" t="str">
            <v>Físico</v>
          </cell>
          <cell r="D447">
            <v>2</v>
          </cell>
          <cell r="E447" t="str">
            <v>4d6</v>
          </cell>
          <cell r="F447">
            <v>1</v>
          </cell>
          <cell r="G447" t="str">
            <v>Causa dano.</v>
          </cell>
        </row>
        <row r="448">
          <cell r="A448" t="str">
            <v>Slam</v>
          </cell>
          <cell r="B448" t="str">
            <v>Normal</v>
          </cell>
          <cell r="C448" t="str">
            <v>Físico</v>
          </cell>
          <cell r="D448">
            <v>5</v>
          </cell>
          <cell r="E448" t="str">
            <v>8d6</v>
          </cell>
          <cell r="F448">
            <v>0.75</v>
          </cell>
          <cell r="G448" t="str">
            <v>Causa dano.</v>
          </cell>
        </row>
        <row r="449">
          <cell r="A449" t="str">
            <v>Body Slam</v>
          </cell>
          <cell r="B449" t="str">
            <v>Normal</v>
          </cell>
          <cell r="C449" t="str">
            <v>Físico</v>
          </cell>
          <cell r="D449">
            <v>12</v>
          </cell>
          <cell r="E449" t="str">
            <v>10d6</v>
          </cell>
          <cell r="F449">
            <v>1</v>
          </cell>
          <cell r="G449" t="str">
            <v>Causa dano e tem 30% de chance de causar condição Paralisado.</v>
          </cell>
        </row>
        <row r="450">
          <cell r="A450" t="str">
            <v>Dual Chop</v>
          </cell>
          <cell r="B450" t="str">
            <v>Dragão</v>
          </cell>
          <cell r="C450" t="str">
            <v>Físico</v>
          </cell>
          <cell r="D450">
            <v>3</v>
          </cell>
          <cell r="E450" t="str">
            <v>4d6</v>
          </cell>
          <cell r="F450">
            <v>0.9</v>
          </cell>
          <cell r="G450" t="str">
            <v>Causa dano duas vezes.</v>
          </cell>
        </row>
        <row r="451">
          <cell r="A451" t="str">
            <v>Baton Pass</v>
          </cell>
          <cell r="B451" t="str">
            <v>Normal</v>
          </cell>
          <cell r="C451" t="str">
            <v>Estado</v>
          </cell>
          <cell r="D451">
            <v>4</v>
          </cell>
          <cell r="E451" t="str">
            <v>-</v>
          </cell>
          <cell r="F451">
            <v>1</v>
          </cell>
          <cell r="G451" t="str">
            <v>Troca o pokémon passando todas as mudanças de atributos para o próximo que entrar.</v>
          </cell>
        </row>
        <row r="452">
          <cell r="A452" t="str">
            <v>Brave Bird</v>
          </cell>
          <cell r="B452" t="str">
            <v>Voador</v>
          </cell>
          <cell r="C452" t="str">
            <v>Físico</v>
          </cell>
          <cell r="D452">
            <v>13</v>
          </cell>
          <cell r="E452" t="str">
            <v>16d6</v>
          </cell>
          <cell r="F452">
            <v>1</v>
          </cell>
          <cell r="G452" t="str">
            <v>Causa dano e recebe 1/3 do dano causado.</v>
          </cell>
        </row>
        <row r="453">
          <cell r="A453" t="str">
            <v>Stealth Rock</v>
          </cell>
          <cell r="B453" t="str">
            <v>Pedra</v>
          </cell>
          <cell r="C453" t="str">
            <v>Estado</v>
          </cell>
          <cell r="D453">
            <v>4</v>
          </cell>
          <cell r="E453" t="str">
            <v>-</v>
          </cell>
          <cell r="F453">
            <v>1</v>
          </cell>
          <cell r="G453" t="str">
            <v>Causa dano apenas quando um novo adversário é colocado (pelo anterior ter desmaiado, ou troca). Cada vez que é utilizada, causará 10% de dano a mais (iniciando por 10% PV total).</v>
          </cell>
        </row>
        <row r="454">
          <cell r="A454" t="str">
            <v>Pursuit</v>
          </cell>
          <cell r="B454" t="str">
            <v>Noturno</v>
          </cell>
          <cell r="C454" t="str">
            <v>Físico</v>
          </cell>
          <cell r="D454">
            <v>4</v>
          </cell>
          <cell r="E454" t="str">
            <v>4d6</v>
          </cell>
          <cell r="F454">
            <v>1</v>
          </cell>
          <cell r="G454" t="str">
            <v>Causa dano, atacando primeiro que o adversário ao ignorar a velocidade dele. O dano será dobrado se o pokémon adversário acabou de ser trocado.</v>
          </cell>
        </row>
        <row r="455">
          <cell r="A455" t="str">
            <v>Nightmare</v>
          </cell>
          <cell r="B455" t="str">
            <v>Fantasma</v>
          </cell>
          <cell r="C455" t="str">
            <v>Estado</v>
          </cell>
          <cell r="D455">
            <v>8</v>
          </cell>
          <cell r="E455" t="str">
            <v>-</v>
          </cell>
          <cell r="F455">
            <v>1</v>
          </cell>
          <cell r="G455" t="str">
            <v>Se o adversário estiver com a condição Dormindo, perderá 25% do PV total até acordar.</v>
          </cell>
        </row>
        <row r="456">
          <cell r="A456" t="str">
            <v>Bug Bite</v>
          </cell>
          <cell r="B456" t="str">
            <v>Inseto</v>
          </cell>
          <cell r="C456" t="str">
            <v>Físico</v>
          </cell>
          <cell r="D456">
            <v>4</v>
          </cell>
          <cell r="E456" t="str">
            <v>6d6</v>
          </cell>
          <cell r="F456">
            <v>1</v>
          </cell>
          <cell r="G456" t="str">
            <v>Causa dano.</v>
          </cell>
        </row>
        <row r="457">
          <cell r="A457" t="str">
            <v>Stomp</v>
          </cell>
          <cell r="B457" t="str">
            <v>Normal</v>
          </cell>
          <cell r="C457" t="str">
            <v>Físico</v>
          </cell>
          <cell r="D457">
            <v>8</v>
          </cell>
          <cell r="E457" t="str">
            <v>7d6</v>
          </cell>
          <cell r="F457">
            <v>1</v>
          </cell>
          <cell r="G457" t="str">
            <v>Causa dano e tem 30% de chance de causar condição Recuando.</v>
          </cell>
        </row>
        <row r="458">
          <cell r="A458" t="str">
            <v>Lava Plume</v>
          </cell>
          <cell r="B458" t="str">
            <v>Fogo</v>
          </cell>
          <cell r="C458" t="str">
            <v>Especial</v>
          </cell>
          <cell r="D458">
            <v>10</v>
          </cell>
          <cell r="E458" t="str">
            <v>8d6</v>
          </cell>
          <cell r="F458">
            <v>1</v>
          </cell>
          <cell r="G458" t="str">
            <v>(area) Causa dano e tem 30% de chance de causar condição Queimado.</v>
          </cell>
        </row>
        <row r="459">
          <cell r="A459" t="str">
            <v>Rage Powder</v>
          </cell>
          <cell r="B459" t="str">
            <v>Inseto</v>
          </cell>
          <cell r="C459" t="str">
            <v>Estado</v>
          </cell>
          <cell r="D459">
            <v>1</v>
          </cell>
          <cell r="E459" t="str">
            <v>-</v>
          </cell>
          <cell r="F459">
            <v>1</v>
          </cell>
          <cell r="G459" t="str">
            <v>Redireciona o golpe de um pokémon para si.</v>
          </cell>
        </row>
        <row r="460">
          <cell r="A460" t="str">
            <v>Sleep Powder</v>
          </cell>
          <cell r="B460" t="str">
            <v>Grama</v>
          </cell>
          <cell r="C460" t="str">
            <v>Estado</v>
          </cell>
          <cell r="D460">
            <v>5</v>
          </cell>
          <cell r="E460" t="str">
            <v>-</v>
          </cell>
          <cell r="F460">
            <v>0.75</v>
          </cell>
          <cell r="G460" t="str">
            <v>Causa a condição Dormindo.</v>
          </cell>
        </row>
        <row r="461">
          <cell r="A461" t="str">
            <v>Poison Powder</v>
          </cell>
          <cell r="B461" t="str">
            <v>Veneno</v>
          </cell>
          <cell r="C461" t="str">
            <v>Estado</v>
          </cell>
          <cell r="D461">
            <v>3</v>
          </cell>
          <cell r="E461" t="str">
            <v>-</v>
          </cell>
          <cell r="F461">
            <v>0.75</v>
          </cell>
          <cell r="G461" t="str">
            <v>Causa a condição Envenenado.</v>
          </cell>
        </row>
        <row r="462">
          <cell r="A462" t="str">
            <v>Ancient Power</v>
          </cell>
          <cell r="B462" t="str">
            <v>Pedra</v>
          </cell>
          <cell r="C462" t="str">
            <v>Especial</v>
          </cell>
          <cell r="D462">
            <v>6</v>
          </cell>
          <cell r="E462" t="str">
            <v>6d6</v>
          </cell>
          <cell r="F462">
            <v>1</v>
          </cell>
          <cell r="G462" t="str">
            <v>Causa dano e tem 10% de chance de aumentar todos os atributos em 10% do total (aumento máximo de 60% para cada).</v>
          </cell>
        </row>
        <row r="463">
          <cell r="A463" t="str">
            <v>Stored Power</v>
          </cell>
          <cell r="B463" t="str">
            <v>Psíquico</v>
          </cell>
          <cell r="C463" t="str">
            <v>Especial</v>
          </cell>
          <cell r="D463">
            <v>5</v>
          </cell>
          <cell r="E463" t="str">
            <v>1d6</v>
          </cell>
          <cell r="F463">
            <v>1</v>
          </cell>
          <cell r="G463" t="str">
            <v>Causa dano de acordo com o aumento dos atributos. Para cada 10% de aumento em cada atributo, aumenta 1d6 de dano.</v>
          </cell>
        </row>
        <row r="464">
          <cell r="A464" t="str">
            <v>Cosmic Power</v>
          </cell>
          <cell r="B464" t="str">
            <v>Psíquico</v>
          </cell>
          <cell r="C464" t="str">
            <v>Estado</v>
          </cell>
          <cell r="D464">
            <v>2</v>
          </cell>
          <cell r="E464" t="str">
            <v>-</v>
          </cell>
          <cell r="F464">
            <v>1</v>
          </cell>
          <cell r="G464" t="str">
            <v>Aumenta a Defesa e a Defesa Especial em 10% do total (aumento máximo de 60% em cada).</v>
          </cell>
        </row>
        <row r="465">
          <cell r="A465" t="str">
            <v>Hidden Power</v>
          </cell>
          <cell r="B465" t="str">
            <v>Normal</v>
          </cell>
          <cell r="C465" t="str">
            <v>Especial</v>
          </cell>
          <cell r="D465">
            <v>4</v>
          </cell>
          <cell r="E465" t="str">
            <v>6d6</v>
          </cell>
          <cell r="F465">
            <v>1</v>
          </cell>
          <cell r="G465" t="str">
            <v>Causa dano (o tipo de dano irá variar de acordo com o tipo do pokémon).</v>
          </cell>
        </row>
        <row r="466">
          <cell r="A466" t="str">
            <v>Branch Poke</v>
          </cell>
          <cell r="B466" t="str">
            <v>Grama</v>
          </cell>
          <cell r="C466" t="str">
            <v>Físico</v>
          </cell>
          <cell r="D466">
            <v>2</v>
          </cell>
          <cell r="E466" t="str">
            <v>4d6</v>
          </cell>
          <cell r="F466">
            <v>1</v>
          </cell>
          <cell r="G466" t="str">
            <v>Causa dano.</v>
          </cell>
        </row>
        <row r="467">
          <cell r="A467" t="str">
            <v>Rock Polish</v>
          </cell>
          <cell r="B467" t="str">
            <v>Pedra</v>
          </cell>
          <cell r="C467" t="str">
            <v>Estado</v>
          </cell>
          <cell r="D467">
            <v>2</v>
          </cell>
          <cell r="E467" t="str">
            <v>-</v>
          </cell>
          <cell r="F467">
            <v>1</v>
          </cell>
          <cell r="G467" t="str">
            <v>Aumenta a Velocidade em 20% do total (aumento máximo de 60%).</v>
          </cell>
        </row>
        <row r="468">
          <cell r="A468" t="str">
            <v>Smog</v>
          </cell>
          <cell r="B468" t="str">
            <v>Veneno</v>
          </cell>
          <cell r="C468" t="str">
            <v>Especial</v>
          </cell>
          <cell r="D468">
            <v>1</v>
          </cell>
          <cell r="E468" t="str">
            <v>4d6</v>
          </cell>
          <cell r="F468">
            <v>0.7</v>
          </cell>
          <cell r="G468" t="str">
            <v>Causa dano e tem 30% de chance de causar condição Envenenado.</v>
          </cell>
        </row>
        <row r="469">
          <cell r="A469" t="str">
            <v>Octazooka</v>
          </cell>
          <cell r="B469" t="str">
            <v>Água</v>
          </cell>
          <cell r="C469" t="str">
            <v>Especial</v>
          </cell>
          <cell r="D469">
            <v>6</v>
          </cell>
          <cell r="E469" t="str">
            <v>7d6</v>
          </cell>
          <cell r="F469">
            <v>0.85</v>
          </cell>
          <cell r="G469" t="str">
            <v>Causa dano e tem 50% de chance de diminuir a Precisão de todos os golpes do adversário em 10% (diminuição máxima de 60%).</v>
          </cell>
        </row>
        <row r="470">
          <cell r="A470" t="str">
            <v>Powder</v>
          </cell>
          <cell r="B470" t="str">
            <v>Inseto</v>
          </cell>
          <cell r="C470" t="str">
            <v>Estado</v>
          </cell>
          <cell r="D470">
            <v>1</v>
          </cell>
          <cell r="E470" t="str">
            <v>-</v>
          </cell>
          <cell r="F470">
            <v>1</v>
          </cell>
          <cell r="G470" t="str">
            <v>Se o adversário utilizar algum golpe do tipo Fogo no turno atual, todo o dano que seria causado volta-se contra ele.</v>
          </cell>
        </row>
        <row r="471">
          <cell r="A471" t="str">
            <v>High Horsepower</v>
          </cell>
          <cell r="B471" t="str">
            <v>Terra</v>
          </cell>
          <cell r="C471" t="str">
            <v>Físico</v>
          </cell>
          <cell r="D471">
            <v>11</v>
          </cell>
          <cell r="E471" t="str">
            <v>12d6</v>
          </cell>
          <cell r="F471">
            <v>0.95</v>
          </cell>
          <cell r="G471" t="str">
            <v>Causa dano.</v>
          </cell>
        </row>
        <row r="472">
          <cell r="A472" t="str">
            <v>Vice Grip</v>
          </cell>
          <cell r="B472" t="str">
            <v>Normal</v>
          </cell>
          <cell r="C472" t="str">
            <v>Físico</v>
          </cell>
          <cell r="D472">
            <v>4</v>
          </cell>
          <cell r="E472" t="str">
            <v>6d6</v>
          </cell>
          <cell r="F472">
            <v>1</v>
          </cell>
          <cell r="G472" t="str">
            <v>Causa dano.</v>
          </cell>
        </row>
        <row r="473">
          <cell r="A473" t="str">
            <v>Fire Fang</v>
          </cell>
          <cell r="B473" t="str">
            <v>Fogo</v>
          </cell>
          <cell r="C473" t="str">
            <v>Físico</v>
          </cell>
          <cell r="D473">
            <v>6</v>
          </cell>
          <cell r="E473" t="str">
            <v>7d6</v>
          </cell>
          <cell r="F473">
            <v>0.95</v>
          </cell>
          <cell r="G473" t="str">
            <v>Causa dano, tem 10% de chance de causar condição Queimado e 10% de chance de causar condição Recuando.</v>
          </cell>
        </row>
        <row r="474">
          <cell r="A474" t="str">
            <v>Ice Fang</v>
          </cell>
          <cell r="B474" t="str">
            <v>Gelo</v>
          </cell>
          <cell r="C474" t="str">
            <v>Físico</v>
          </cell>
          <cell r="D474">
            <v>6</v>
          </cell>
          <cell r="E474" t="str">
            <v>7d6</v>
          </cell>
          <cell r="F474">
            <v>0.95</v>
          </cell>
          <cell r="G474" t="str">
            <v>Causa dano, tem 10% de chance de causar condição Congelado e 10% de chance de causar condição Recuando.</v>
          </cell>
        </row>
        <row r="475">
          <cell r="A475" t="str">
            <v>Thunder Fang</v>
          </cell>
          <cell r="B475" t="str">
            <v>Elétrico</v>
          </cell>
          <cell r="C475" t="str">
            <v>Físico</v>
          </cell>
          <cell r="D475">
            <v>6</v>
          </cell>
          <cell r="E475" t="str">
            <v>7d6</v>
          </cell>
          <cell r="F475">
            <v>0.95</v>
          </cell>
          <cell r="G475" t="str">
            <v>Causa dano, tem 10% de chance de causar condição Paralisado e 10% de chance de causar condição Recuando.</v>
          </cell>
        </row>
        <row r="476">
          <cell r="A476" t="str">
            <v>Poison Fang</v>
          </cell>
          <cell r="B476" t="str">
            <v>Veneno</v>
          </cell>
          <cell r="C476" t="str">
            <v>Físico</v>
          </cell>
          <cell r="D476">
            <v>7</v>
          </cell>
          <cell r="E476" t="str">
            <v>5d6</v>
          </cell>
          <cell r="F476">
            <v>1</v>
          </cell>
          <cell r="G476" t="str">
            <v>Causa dano e tem 50% de causar a condição Muito Envenenado.</v>
          </cell>
        </row>
        <row r="477">
          <cell r="A477" t="str">
            <v>Present</v>
          </cell>
          <cell r="B477" t="str">
            <v>Normal</v>
          </cell>
          <cell r="C477" t="str">
            <v>Físico</v>
          </cell>
          <cell r="D477">
            <v>5</v>
          </cell>
          <cell r="E477" t="str">
            <v>-</v>
          </cell>
          <cell r="F477">
            <v>0.9</v>
          </cell>
          <cell r="G477" t="str">
            <v>Causa dano ou cura o adversário. Rolar 1d4, se 1, 2d6, se 2, 4d6, se 3, 6d6, se 4, irá recuperar 1/4 do PV total do adversário.</v>
          </cell>
        </row>
        <row r="478">
          <cell r="A478" t="str">
            <v>Natural Gift</v>
          </cell>
          <cell r="B478" t="str">
            <v>Normal</v>
          </cell>
          <cell r="C478" t="str">
            <v>Físico</v>
          </cell>
          <cell r="D478">
            <v>1</v>
          </cell>
          <cell r="E478" t="str">
            <v>-</v>
          </cell>
          <cell r="F478">
            <v>1</v>
          </cell>
          <cell r="G478" t="str">
            <v>Dano depende da Berry que está sendo carregada</v>
          </cell>
        </row>
        <row r="479">
          <cell r="A479" t="str">
            <v>Body Press</v>
          </cell>
          <cell r="B479" t="str">
            <v>Lutador</v>
          </cell>
          <cell r="C479" t="str">
            <v>Físico</v>
          </cell>
          <cell r="D479">
            <v>10</v>
          </cell>
          <cell r="E479" t="str">
            <v>8d6</v>
          </cell>
          <cell r="F479">
            <v>1</v>
          </cell>
          <cell r="G479" t="str">
            <v>Causa dano utilizando como base a Defesa no cálculo do no ataque.</v>
          </cell>
        </row>
        <row r="480">
          <cell r="A480" t="str">
            <v>Foresight</v>
          </cell>
          <cell r="B480" t="str">
            <v>Normal</v>
          </cell>
          <cell r="C480" t="str">
            <v>Estado</v>
          </cell>
          <cell r="D480">
            <v>6</v>
          </cell>
          <cell r="E480" t="str">
            <v>-</v>
          </cell>
          <cell r="F480">
            <v>1</v>
          </cell>
          <cell r="G480" t="str">
            <v>Permite que golpes do tipo Normal e Lutador acertar pokémons do tipo Fantasma, e ataques do tipo Fantasma acertar pokémons do tipo Normal.</v>
          </cell>
        </row>
        <row r="481">
          <cell r="A481" t="str">
            <v>First Impression</v>
          </cell>
          <cell r="B481" t="str">
            <v>Inseto</v>
          </cell>
          <cell r="C481" t="str">
            <v>Físico</v>
          </cell>
          <cell r="D481">
            <v>12</v>
          </cell>
          <cell r="E481" t="str">
            <v>10d6</v>
          </cell>
          <cell r="F481">
            <v>1</v>
          </cell>
          <cell r="G481" t="str">
            <v>Causa dano, atacando primeiro que o adversário ao ignorar a Velocidade dele (só pode ser usado na primeira vez que for atacar).</v>
          </cell>
        </row>
        <row r="482">
          <cell r="A482" t="str">
            <v>Me First</v>
          </cell>
          <cell r="B482" t="str">
            <v>Normal</v>
          </cell>
          <cell r="C482" t="str">
            <v>Estado</v>
          </cell>
          <cell r="D482">
            <v>6</v>
          </cell>
          <cell r="E482" t="str">
            <v>-</v>
          </cell>
          <cell r="F482">
            <v>1</v>
          </cell>
          <cell r="G482" t="str">
            <v>Se for mais rápido que o adversário, passa o turno para ele forçando a atacar com um golpe que cause dano, depois copia este golpe atacando primeiro com 50% a mais de dano.</v>
          </cell>
        </row>
        <row r="483">
          <cell r="A483" t="str">
            <v>Bullet Seed</v>
          </cell>
          <cell r="B483" t="str">
            <v>Grama</v>
          </cell>
          <cell r="C483" t="str">
            <v>Físico</v>
          </cell>
          <cell r="D483">
            <v>1</v>
          </cell>
          <cell r="E483" t="str">
            <v>-</v>
          </cell>
          <cell r="F483">
            <v>1</v>
          </cell>
          <cell r="G483" t="str">
            <v>Causa dano 1d6 vezes.</v>
          </cell>
        </row>
        <row r="484">
          <cell r="A484" t="str">
            <v>Protect</v>
          </cell>
          <cell r="B484" t="str">
            <v>Normal</v>
          </cell>
          <cell r="C484" t="str">
            <v>Estado</v>
          </cell>
          <cell r="D484">
            <v>6</v>
          </cell>
          <cell r="E484" t="str">
            <v>-</v>
          </cell>
          <cell r="F484">
            <v>1</v>
          </cell>
          <cell r="G484" t="str">
            <v>Impede que seja atacado no turno e acontece primeiro que o golpe adversário, ignorando a Velocidade dele. Cada uso diminui a Precisão desse golpe em 1/3.</v>
          </cell>
        </row>
        <row r="485">
          <cell r="A485" t="str">
            <v>Cotton Guard</v>
          </cell>
          <cell r="B485" t="str">
            <v>Grama</v>
          </cell>
          <cell r="C485" t="str">
            <v>Estado</v>
          </cell>
          <cell r="D485">
            <v>4</v>
          </cell>
          <cell r="E485" t="str">
            <v>-</v>
          </cell>
          <cell r="F485">
            <v>1</v>
          </cell>
          <cell r="G485" t="str">
            <v>Aumenta a Defesa em 30% do total (aumento máximo de 60%).</v>
          </cell>
        </row>
        <row r="486">
          <cell r="A486" t="str">
            <v>Taunt</v>
          </cell>
          <cell r="B486" t="str">
            <v>Noturno</v>
          </cell>
          <cell r="C486" t="str">
            <v>Estado</v>
          </cell>
          <cell r="D486">
            <v>1</v>
          </cell>
          <cell r="E486" t="str">
            <v>-</v>
          </cell>
          <cell r="F486">
            <v>1</v>
          </cell>
          <cell r="G486" t="str">
            <v>O adversário só poderá usar golpes que causem dano por três turnos.</v>
          </cell>
        </row>
        <row r="487">
          <cell r="A487" t="str">
            <v>Psychic</v>
          </cell>
          <cell r="B487" t="str">
            <v>Psíquico</v>
          </cell>
          <cell r="C487" t="str">
            <v>Especial</v>
          </cell>
          <cell r="D487">
            <v>11</v>
          </cell>
          <cell r="E487" t="str">
            <v>10d6</v>
          </cell>
          <cell r="F487">
            <v>1</v>
          </cell>
          <cell r="G487" t="str">
            <v>Causa dano e tem 10% de chance de diminuir a Defesa Especial do adversário em 10% do total (diminuição máxima de 60%).</v>
          </cell>
        </row>
        <row r="488">
          <cell r="A488" t="str">
            <v>Water Pulse</v>
          </cell>
          <cell r="B488" t="str">
            <v>Água</v>
          </cell>
          <cell r="C488" t="str">
            <v>Especial</v>
          </cell>
          <cell r="D488">
            <v>6</v>
          </cell>
          <cell r="E488" t="str">
            <v>6d6</v>
          </cell>
          <cell r="F488">
            <v>1</v>
          </cell>
          <cell r="G488" t="str">
            <v>Causa dano e tem 20% de chance de causar condição Confuso.</v>
          </cell>
        </row>
        <row r="489">
          <cell r="A489" t="str">
            <v>Heal Pulse</v>
          </cell>
          <cell r="B489" t="str">
            <v>Psíquico</v>
          </cell>
          <cell r="C489" t="str">
            <v>Estado</v>
          </cell>
          <cell r="D489">
            <v>10</v>
          </cell>
          <cell r="E489" t="str">
            <v>-</v>
          </cell>
          <cell r="F489">
            <v>1</v>
          </cell>
          <cell r="G489" t="str">
            <v>Recupera 50% do PV total.</v>
          </cell>
        </row>
        <row r="490">
          <cell r="A490" t="str">
            <v>Dragon Pulse</v>
          </cell>
          <cell r="B490" t="str">
            <v>Dragão</v>
          </cell>
          <cell r="C490" t="str">
            <v>Especial</v>
          </cell>
          <cell r="D490">
            <v>10</v>
          </cell>
          <cell r="E490" t="str">
            <v>10d6</v>
          </cell>
          <cell r="F490">
            <v>1</v>
          </cell>
          <cell r="G490" t="str">
            <v>Causa dano.</v>
          </cell>
        </row>
        <row r="491">
          <cell r="A491" t="str">
            <v>Origin Pulse</v>
          </cell>
          <cell r="B491" t="str">
            <v>Água</v>
          </cell>
          <cell r="C491" t="str">
            <v>Especial</v>
          </cell>
          <cell r="D491">
            <v>12</v>
          </cell>
          <cell r="E491" t="str">
            <v>14d6</v>
          </cell>
          <cell r="F491">
            <v>0.85</v>
          </cell>
          <cell r="G491" t="str">
            <v>Efeito do golpe indisponível ainda.</v>
          </cell>
        </row>
        <row r="492">
          <cell r="A492" t="str">
            <v>Dark Pulse</v>
          </cell>
          <cell r="B492" t="str">
            <v>Noturno</v>
          </cell>
          <cell r="C492" t="str">
            <v>Especial</v>
          </cell>
          <cell r="D492">
            <v>10</v>
          </cell>
          <cell r="E492" t="str">
            <v>8d6</v>
          </cell>
          <cell r="F492">
            <v>1</v>
          </cell>
          <cell r="G492" t="str">
            <v>Causa dano e tem 20% de chance de causar condição Recuando.</v>
          </cell>
        </row>
        <row r="493">
          <cell r="A493" t="str">
            <v>Double Iron Bash</v>
          </cell>
          <cell r="B493" t="str">
            <v>Metal</v>
          </cell>
          <cell r="C493" t="str">
            <v>Físico</v>
          </cell>
          <cell r="D493">
            <v>4</v>
          </cell>
          <cell r="E493" t="str">
            <v>5d6</v>
          </cell>
          <cell r="F493">
            <v>1</v>
          </cell>
          <cell r="G493" t="str">
            <v>Causa dano duas vezes e tem 30% de chance de causar Flinch.</v>
          </cell>
        </row>
        <row r="494">
          <cell r="A494" t="str">
            <v>Plasma Fists</v>
          </cell>
          <cell r="B494" t="str">
            <v>Elétrico</v>
          </cell>
          <cell r="C494" t="str">
            <v>Físico</v>
          </cell>
          <cell r="D494">
            <v>18</v>
          </cell>
          <cell r="E494" t="str">
            <v>12d6</v>
          </cell>
          <cell r="F494">
            <v>1</v>
          </cell>
          <cell r="G494" t="str">
            <v>Causa dano e altera todos os golpes do tipo Normal para Elétrico.</v>
          </cell>
        </row>
        <row r="495">
          <cell r="A495" t="str">
            <v>Punishment</v>
          </cell>
          <cell r="B495" t="str">
            <v>Noturno</v>
          </cell>
          <cell r="C495" t="str">
            <v>Físico</v>
          </cell>
          <cell r="D495">
            <v>7</v>
          </cell>
          <cell r="E495" t="str">
            <v>5d6</v>
          </cell>
          <cell r="F495">
            <v>1</v>
          </cell>
          <cell r="G495" t="str">
            <v>Causa dano extra de acordo com o aumento dos atributos do adversário. Para cada 10% de aumento em cada atributo, aumenta 2d6 de dano.</v>
          </cell>
        </row>
        <row r="496">
          <cell r="A496" t="str">
            <v>Purify</v>
          </cell>
          <cell r="B496" t="str">
            <v>Veneno</v>
          </cell>
          <cell r="C496" t="str">
            <v>Estado</v>
          </cell>
          <cell r="D496">
            <v>4</v>
          </cell>
          <cell r="E496" t="str">
            <v>-</v>
          </cell>
          <cell r="F496">
            <v>1</v>
          </cell>
          <cell r="G496" t="str">
            <v>O alvo recupera 50% dos PVs máx se tiver uma condição de Estado</v>
          </cell>
        </row>
        <row r="497">
          <cell r="A497" t="str">
            <v>Shell Smash</v>
          </cell>
          <cell r="B497" t="str">
            <v>Normal</v>
          </cell>
          <cell r="C497" t="str">
            <v>Estado</v>
          </cell>
          <cell r="D497">
            <v>4</v>
          </cell>
          <cell r="E497" t="str">
            <v>-</v>
          </cell>
          <cell r="F497">
            <v>1</v>
          </cell>
          <cell r="G497" t="str">
            <v>Diminui Defesa e a Defesa especial em 10%, enquanto aumenta Ataque, o Ataque Especial e a Velocidade em 20% do total (aumento máximo de 60% em cada).</v>
          </cell>
        </row>
        <row r="498">
          <cell r="A498" t="str">
            <v>Skull Bash</v>
          </cell>
          <cell r="B498" t="str">
            <v>Normal</v>
          </cell>
          <cell r="C498" t="str">
            <v>Físico</v>
          </cell>
          <cell r="D498">
            <v>17</v>
          </cell>
          <cell r="E498" t="str">
            <v>18d6</v>
          </cell>
          <cell r="F498">
            <v>1</v>
          </cell>
          <cell r="G498" t="str">
            <v>No primeiro turno aumenta a Defesa em 10% (aumento máximo de 60%), no segundo turno causa dano.</v>
          </cell>
        </row>
        <row r="499">
          <cell r="A499" t="str">
            <v>Brick Break</v>
          </cell>
          <cell r="B499" t="str">
            <v>Lutador</v>
          </cell>
          <cell r="C499" t="str">
            <v>Físico</v>
          </cell>
          <cell r="D499">
            <v>8</v>
          </cell>
          <cell r="E499" t="str">
            <v>8d6</v>
          </cell>
          <cell r="F499">
            <v>1</v>
          </cell>
          <cell r="G499" t="str">
            <v>Causa dano.</v>
          </cell>
        </row>
        <row r="500">
          <cell r="A500" t="str">
            <v>Bolt Strike</v>
          </cell>
          <cell r="B500" t="str">
            <v>Elétrico</v>
          </cell>
          <cell r="C500" t="str">
            <v>Físico</v>
          </cell>
          <cell r="D500">
            <v>16</v>
          </cell>
          <cell r="E500" t="str">
            <v>18d6</v>
          </cell>
          <cell r="F500">
            <v>0.85</v>
          </cell>
          <cell r="G500" t="str">
            <v>Causa dano e tem 20% de chance de causar Paralysis.</v>
          </cell>
        </row>
        <row r="501">
          <cell r="A501" t="str">
            <v>Ice Burn</v>
          </cell>
          <cell r="B501" t="str">
            <v>Gelo</v>
          </cell>
          <cell r="C501" t="str">
            <v>Especial</v>
          </cell>
          <cell r="D501">
            <v>12</v>
          </cell>
          <cell r="E501" t="str">
            <v>20d6</v>
          </cell>
          <cell r="F501">
            <v>0.9</v>
          </cell>
          <cell r="G501" t="str">
            <v>Carrega no primeiro turno, no segundo turno causa dano e tem 30% de chance de causar condição Queimado.</v>
          </cell>
        </row>
        <row r="502">
          <cell r="A502" t="str">
            <v>Aurora Beam</v>
          </cell>
          <cell r="B502" t="str">
            <v>Gelo</v>
          </cell>
          <cell r="C502" t="str">
            <v>Especial</v>
          </cell>
          <cell r="D502">
            <v>7</v>
          </cell>
          <cell r="E502" t="str">
            <v>7d6</v>
          </cell>
          <cell r="F502">
            <v>1</v>
          </cell>
          <cell r="G502" t="str">
            <v>Causa dano e tem 10% de chance de diminuir o Ataque do adversário em 10% do total (diminuição máxima de 60%).</v>
          </cell>
        </row>
        <row r="503">
          <cell r="A503" t="str">
            <v>Ice Beam</v>
          </cell>
          <cell r="B503" t="str">
            <v>Gelo</v>
          </cell>
          <cell r="C503" t="str">
            <v>Especial</v>
          </cell>
          <cell r="D503">
            <v>11</v>
          </cell>
          <cell r="E503" t="str">
            <v>10d6</v>
          </cell>
          <cell r="F503">
            <v>1</v>
          </cell>
          <cell r="G503" t="str">
            <v>Causa dano e tem 10% de chance de causar condição Congelado.</v>
          </cell>
        </row>
        <row r="504">
          <cell r="A504" t="str">
            <v>Confuse Ray</v>
          </cell>
          <cell r="B504" t="str">
            <v>Fantasma</v>
          </cell>
          <cell r="C504" t="str">
            <v>Estado</v>
          </cell>
          <cell r="D504">
            <v>6</v>
          </cell>
          <cell r="E504" t="str">
            <v>-</v>
          </cell>
          <cell r="F504">
            <v>1</v>
          </cell>
          <cell r="G504" t="str">
            <v>Causa a condição Confuso.</v>
          </cell>
        </row>
        <row r="505">
          <cell r="A505" t="str">
            <v>Luster Purge</v>
          </cell>
          <cell r="B505" t="str">
            <v>Psíquico</v>
          </cell>
          <cell r="C505" t="str">
            <v>Especial</v>
          </cell>
          <cell r="D505">
            <v>8</v>
          </cell>
          <cell r="E505" t="str">
            <v>7d6</v>
          </cell>
          <cell r="F505">
            <v>1</v>
          </cell>
          <cell r="G505" t="str">
            <v>Causa dano e tem 50% de chance de diminuir a Defesa Especial do adversário em 10% do total (diminuição máxima de 60%).</v>
          </cell>
        </row>
        <row r="506">
          <cell r="A506" t="str">
            <v>Simple Beam</v>
          </cell>
          <cell r="B506" t="str">
            <v>Normal</v>
          </cell>
          <cell r="C506" t="str">
            <v>Estado</v>
          </cell>
          <cell r="D506">
            <v>1</v>
          </cell>
          <cell r="E506" t="str">
            <v>-</v>
          </cell>
          <cell r="F506">
            <v>1</v>
          </cell>
          <cell r="G506" t="str">
            <v>Muda todas as habilidades do alvo para Simple (dobra os stats changes)</v>
          </cell>
        </row>
        <row r="507">
          <cell r="A507" t="str">
            <v>Solar Beam</v>
          </cell>
          <cell r="B507" t="str">
            <v>Grama</v>
          </cell>
          <cell r="C507" t="str">
            <v>Especial</v>
          </cell>
          <cell r="D507">
            <v>8</v>
          </cell>
          <cell r="E507" t="str">
            <v>16d6</v>
          </cell>
          <cell r="F507">
            <v>1</v>
          </cell>
          <cell r="G507" t="str">
            <v>Carrega no primeiro turno, no segundo turno causa dano.</v>
          </cell>
        </row>
        <row r="508">
          <cell r="A508" t="str">
            <v>Flame Burst</v>
          </cell>
          <cell r="B508" t="str">
            <v>Fogo</v>
          </cell>
          <cell r="C508" t="str">
            <v>Especial</v>
          </cell>
          <cell r="D508">
            <v>6</v>
          </cell>
          <cell r="E508" t="str">
            <v>7d6</v>
          </cell>
          <cell r="F508">
            <v>1</v>
          </cell>
          <cell r="G508" t="str">
            <v>Atinge os pokémon ao redor</v>
          </cell>
        </row>
        <row r="509">
          <cell r="A509" t="str">
            <v>Fire Blast</v>
          </cell>
          <cell r="B509" t="str">
            <v>Fogo</v>
          </cell>
          <cell r="C509" t="str">
            <v>Especial</v>
          </cell>
          <cell r="D509">
            <v>13</v>
          </cell>
          <cell r="E509" t="str">
            <v>14d6</v>
          </cell>
          <cell r="F509">
            <v>0.85</v>
          </cell>
          <cell r="G509" t="str">
            <v>Causa dano e tem 10% de chance de causar condição Queimado.</v>
          </cell>
        </row>
        <row r="510">
          <cell r="A510" t="str">
            <v>Whirlwind</v>
          </cell>
          <cell r="B510" t="str">
            <v>Normal</v>
          </cell>
          <cell r="C510" t="str">
            <v>Estado</v>
          </cell>
          <cell r="D510">
            <v>6</v>
          </cell>
          <cell r="E510" t="str">
            <v>-</v>
          </cell>
          <cell r="F510">
            <v>1</v>
          </cell>
          <cell r="G510" t="str">
            <v>Contra pokémons selvagens, se o adversário for de um Nível menor, faz ele fugir. Em batalha contra treinadores, obriga ele a trocar independente do Nível.</v>
          </cell>
        </row>
        <row r="511">
          <cell r="A511" t="str">
            <v>Boomburst</v>
          </cell>
          <cell r="B511" t="str">
            <v>Normal</v>
          </cell>
          <cell r="C511" t="str">
            <v>Especial</v>
          </cell>
          <cell r="D511">
            <v>20</v>
          </cell>
          <cell r="E511" t="str">
            <v>20d6</v>
          </cell>
          <cell r="F511">
            <v>1</v>
          </cell>
          <cell r="G511" t="str">
            <v>Causa dano a todos os pokémons.</v>
          </cell>
        </row>
        <row r="512">
          <cell r="A512" t="str">
            <v>Spite</v>
          </cell>
          <cell r="B512" t="str">
            <v>Fantasma</v>
          </cell>
          <cell r="C512" t="str">
            <v>Estado</v>
          </cell>
          <cell r="D512">
            <v>4</v>
          </cell>
          <cell r="E512" t="str">
            <v>-</v>
          </cell>
          <cell r="F512">
            <v>1</v>
          </cell>
          <cell r="G512" t="str">
            <v>O adversário perde 1d6 de PP.</v>
          </cell>
        </row>
        <row r="513">
          <cell r="A513" t="str">
            <v>Grudge</v>
          </cell>
          <cell r="B513" t="str">
            <v>Fantasma</v>
          </cell>
          <cell r="C513" t="str">
            <v>Estado</v>
          </cell>
          <cell r="D513">
            <v>6</v>
          </cell>
          <cell r="E513" t="str">
            <v>-</v>
          </cell>
          <cell r="F513">
            <v>1</v>
          </cell>
          <cell r="G513" t="str">
            <v>Ao desmaiar após ativar esse golpe, o último ataque do adversário será bloqueado até o final do combate.</v>
          </cell>
        </row>
        <row r="514">
          <cell r="A514" t="str">
            <v>Low Kick</v>
          </cell>
          <cell r="B514" t="str">
            <v>Lutador</v>
          </cell>
          <cell r="C514" t="str">
            <v>Físico</v>
          </cell>
          <cell r="D514">
            <v>1</v>
          </cell>
          <cell r="E514" t="str">
            <v>-</v>
          </cell>
          <cell r="F514">
            <v>1</v>
          </cell>
          <cell r="G514" t="str">
            <v>Efeito do golpe indisponível ainda.</v>
          </cell>
        </row>
        <row r="515">
          <cell r="A515" t="str">
            <v>Recycle</v>
          </cell>
          <cell r="B515" t="str">
            <v>Normal</v>
          </cell>
          <cell r="C515" t="str">
            <v>Estado</v>
          </cell>
          <cell r="D515">
            <v>6</v>
          </cell>
          <cell r="E515" t="str">
            <v>-</v>
          </cell>
          <cell r="F515">
            <v>1</v>
          </cell>
          <cell r="G515" t="str">
            <v>Restaura o item carregado que foi usado.</v>
          </cell>
        </row>
        <row r="516">
          <cell r="A516" t="str">
            <v>Recover</v>
          </cell>
          <cell r="B516" t="str">
            <v>Normal</v>
          </cell>
          <cell r="C516" t="str">
            <v>Estado</v>
          </cell>
          <cell r="D516">
            <v>10</v>
          </cell>
          <cell r="E516" t="str">
            <v>-</v>
          </cell>
          <cell r="F516">
            <v>1</v>
          </cell>
          <cell r="G516" t="str">
            <v>Recupera 50% do PV total.</v>
          </cell>
        </row>
        <row r="517">
          <cell r="A517" t="str">
            <v>Whirlpool</v>
          </cell>
          <cell r="B517" t="str">
            <v>Água</v>
          </cell>
          <cell r="C517" t="str">
            <v>Especial</v>
          </cell>
          <cell r="D517">
            <v>4</v>
          </cell>
          <cell r="E517" t="str">
            <v>3d6</v>
          </cell>
          <cell r="F517">
            <v>0.85</v>
          </cell>
          <cell r="G517" t="str">
            <v>Causa dano e deixa sob a condição Preso durante 1d6 de turnos, que causam 10% de dano do PV total.</v>
          </cell>
        </row>
        <row r="518">
          <cell r="A518" t="str">
            <v>Reflect</v>
          </cell>
          <cell r="B518" t="str">
            <v>Psíquico</v>
          </cell>
          <cell r="C518" t="str">
            <v>Estado</v>
          </cell>
          <cell r="D518">
            <v>8</v>
          </cell>
          <cell r="E518" t="str">
            <v>-</v>
          </cell>
          <cell r="F518">
            <v>1</v>
          </cell>
          <cell r="G518" t="str">
            <v>Por 5 turnos, reduz 50% do dano causado por Ataque.</v>
          </cell>
        </row>
        <row r="519">
          <cell r="A519" t="str">
            <v>Refresh</v>
          </cell>
          <cell r="B519" t="str">
            <v>Normal</v>
          </cell>
          <cell r="C519" t="str">
            <v>Estado</v>
          </cell>
          <cell r="D519">
            <v>4</v>
          </cell>
          <cell r="E519" t="str">
            <v>-</v>
          </cell>
          <cell r="F519">
            <v>1</v>
          </cell>
          <cell r="G519" t="str">
            <v>Cura as condições de Paralisado, Envenenado e Queimado.</v>
          </cell>
        </row>
        <row r="520">
          <cell r="A520" t="str">
            <v>Slack Off</v>
          </cell>
          <cell r="B520" t="str">
            <v>Normal</v>
          </cell>
          <cell r="C520" t="str">
            <v>Estado</v>
          </cell>
          <cell r="D520">
            <v>10</v>
          </cell>
          <cell r="E520" t="str">
            <v>-</v>
          </cell>
          <cell r="F520">
            <v>1</v>
          </cell>
          <cell r="G520" t="str">
            <v>Recupera 50% do PV total.</v>
          </cell>
        </row>
        <row r="521">
          <cell r="A521" t="str">
            <v>Endure</v>
          </cell>
          <cell r="B521" t="str">
            <v>Normal</v>
          </cell>
          <cell r="C521" t="str">
            <v>Estado</v>
          </cell>
          <cell r="D521">
            <v>6</v>
          </cell>
          <cell r="E521" t="str">
            <v>-</v>
          </cell>
          <cell r="F521">
            <v>1</v>
          </cell>
          <cell r="G521" t="str">
            <v>Impede que seja atacado no turno e acontece primeiro que o golpe adversário, ignorando a Velocidade dele. Cada uso diminui a Precisão desse golpe em 1/3.</v>
          </cell>
        </row>
        <row r="522">
          <cell r="A522" t="str">
            <v>Retaliate</v>
          </cell>
          <cell r="B522" t="str">
            <v>Normal</v>
          </cell>
          <cell r="C522" t="str">
            <v>Físico</v>
          </cell>
          <cell r="D522">
            <v>12</v>
          </cell>
          <cell r="E522" t="str">
            <v>6d6</v>
          </cell>
          <cell r="F522">
            <v>1</v>
          </cell>
          <cell r="G522" t="str">
            <v>Causa dano e, se um pokémon do mesmo time desmaiou no turno passado, o dano é dobrado,8d6.</v>
          </cell>
        </row>
        <row r="523">
          <cell r="A523" t="str">
            <v>Quash</v>
          </cell>
          <cell r="B523" t="str">
            <v>Noturno</v>
          </cell>
          <cell r="C523" t="str">
            <v>Estado</v>
          </cell>
          <cell r="D523">
            <v>1</v>
          </cell>
          <cell r="E523" t="str">
            <v>-</v>
          </cell>
          <cell r="F523">
            <v>1</v>
          </cell>
          <cell r="G523" t="str">
            <v>Efeito do golpe indisponível ainda.</v>
          </cell>
        </row>
        <row r="524">
          <cell r="A524" t="str">
            <v>Withdraw</v>
          </cell>
          <cell r="B524" t="str">
            <v>Água</v>
          </cell>
          <cell r="C524" t="str">
            <v>Estado</v>
          </cell>
          <cell r="D524">
            <v>1</v>
          </cell>
          <cell r="E524" t="str">
            <v>-</v>
          </cell>
          <cell r="F524">
            <v>1</v>
          </cell>
          <cell r="G524" t="str">
            <v>Aumenta a Defesa em 10% do total (aumento máximo de 60%).</v>
          </cell>
        </row>
        <row r="525">
          <cell r="A525" t="str">
            <v>Reversal</v>
          </cell>
          <cell r="B525" t="str">
            <v>Lutador</v>
          </cell>
          <cell r="C525" t="str">
            <v>Físico</v>
          </cell>
          <cell r="D525">
            <v>8</v>
          </cell>
          <cell r="E525" t="str">
            <v>-</v>
          </cell>
          <cell r="F525">
            <v>1</v>
          </cell>
          <cell r="G525" t="str">
            <v>Causa dano de acordo com o PV do pokémon. Cada 10% a menos, 1d6 a mais, iniciando por 2d6 com PV em 100%.</v>
          </cell>
        </row>
        <row r="526">
          <cell r="A526" t="str">
            <v>Payback</v>
          </cell>
          <cell r="B526" t="str">
            <v>Noturno</v>
          </cell>
          <cell r="C526" t="str">
            <v>Físico</v>
          </cell>
          <cell r="D526">
            <v>6</v>
          </cell>
          <cell r="E526" t="str">
            <v>5d6</v>
          </cell>
          <cell r="F526">
            <v>1</v>
          </cell>
          <cell r="G526" t="str">
            <v>Causa dano e, se atacar primeiro será dobrado, 10d6.</v>
          </cell>
        </row>
        <row r="527">
          <cell r="A527" t="str">
            <v>Water Gun</v>
          </cell>
          <cell r="B527" t="str">
            <v>Água</v>
          </cell>
          <cell r="C527" t="str">
            <v>Especial</v>
          </cell>
          <cell r="D527">
            <v>2</v>
          </cell>
          <cell r="E527" t="str">
            <v>4d6</v>
          </cell>
          <cell r="F527">
            <v>1</v>
          </cell>
          <cell r="G527" t="str">
            <v>Causa dano.</v>
          </cell>
        </row>
        <row r="528">
          <cell r="A528" t="str">
            <v>Bounce</v>
          </cell>
          <cell r="B528" t="str">
            <v>Voador</v>
          </cell>
          <cell r="C528" t="str">
            <v>Físico</v>
          </cell>
          <cell r="D528">
            <v>14</v>
          </cell>
          <cell r="E528" t="str">
            <v>10d6</v>
          </cell>
          <cell r="F528">
            <v>0.85</v>
          </cell>
          <cell r="G528" t="str">
            <v>Fica invulnerável no primeiro turno, causando dano no seguinte e tem 30% de chance de causar condição Paralisado.</v>
          </cell>
        </row>
        <row r="529">
          <cell r="A529" t="str">
            <v>Accelerock</v>
          </cell>
          <cell r="B529" t="str">
            <v>Pedra</v>
          </cell>
          <cell r="C529" t="str">
            <v>Físico</v>
          </cell>
          <cell r="D529">
            <v>4</v>
          </cell>
          <cell r="E529" t="str">
            <v>4d6</v>
          </cell>
          <cell r="F529">
            <v>1</v>
          </cell>
          <cell r="G529" t="str">
            <v>Causa dano, atacando primeiro que o adversário ao ignorar a velocidade dele.</v>
          </cell>
        </row>
        <row r="530">
          <cell r="A530" t="str">
            <v>Flame Wheel</v>
          </cell>
          <cell r="B530" t="str">
            <v>Fogo</v>
          </cell>
          <cell r="C530" t="str">
            <v>Físico</v>
          </cell>
          <cell r="D530">
            <v>5</v>
          </cell>
          <cell r="E530" t="str">
            <v>6d6</v>
          </cell>
          <cell r="F530">
            <v>1</v>
          </cell>
          <cell r="G530" t="str">
            <v>Causa dano e tem 10% de chance de causar condição Queimado.</v>
          </cell>
        </row>
        <row r="531">
          <cell r="A531" t="str">
            <v>Rollout</v>
          </cell>
          <cell r="B531" t="str">
            <v>Pedra</v>
          </cell>
          <cell r="C531" t="str">
            <v>Físico</v>
          </cell>
          <cell r="D531">
            <v>11</v>
          </cell>
          <cell r="E531" t="str">
            <v>2d6</v>
          </cell>
          <cell r="F531">
            <v>0.9</v>
          </cell>
          <cell r="G531" t="str">
            <v>Por 5 turnos aumenta o dano em 3d6 caso não erre, porém a Precisão diminui 10% a cada turno. Se usar Defesa Fechada no turno anterior, o dano inicial será de 4d6.</v>
          </cell>
        </row>
        <row r="532">
          <cell r="A532" t="str">
            <v>Steamroller</v>
          </cell>
          <cell r="B532" t="str">
            <v>Inseto</v>
          </cell>
          <cell r="C532" t="str">
            <v>Físico</v>
          </cell>
          <cell r="D532">
            <v>8</v>
          </cell>
          <cell r="E532" t="str">
            <v>7d6</v>
          </cell>
          <cell r="F532">
            <v>1</v>
          </cell>
          <cell r="G532" t="str">
            <v>Causa dano e tem 30% de chance de causar condição Recuando.</v>
          </cell>
        </row>
        <row r="533">
          <cell r="A533" t="str">
            <v>Snore</v>
          </cell>
          <cell r="B533" t="str">
            <v>Normal</v>
          </cell>
          <cell r="C533" t="str">
            <v>Especial</v>
          </cell>
          <cell r="D533">
            <v>6</v>
          </cell>
          <cell r="E533" t="str">
            <v>5d6</v>
          </cell>
          <cell r="F533">
            <v>1</v>
          </cell>
          <cell r="G533" t="str">
            <v>Causa dano apenas se estiver na condição Dormindo e tem 30% de chance de causar condição Recuando.</v>
          </cell>
        </row>
        <row r="534">
          <cell r="A534" t="str">
            <v>Round</v>
          </cell>
          <cell r="B534" t="str">
            <v>Normal</v>
          </cell>
          <cell r="C534" t="str">
            <v>Especial</v>
          </cell>
          <cell r="D534">
            <v>4</v>
          </cell>
          <cell r="E534" t="str">
            <v>5d6</v>
          </cell>
          <cell r="F534">
            <v>1</v>
          </cell>
          <cell r="G534" t="str">
            <v>Dobra de dano conforme a quantidade de pokémon usando o mesmo golpe (3 pokemon = 15d6)</v>
          </cell>
        </row>
        <row r="535">
          <cell r="A535" t="str">
            <v>Snarl</v>
          </cell>
          <cell r="B535" t="str">
            <v>Noturno</v>
          </cell>
          <cell r="C535" t="str">
            <v>Especial</v>
          </cell>
          <cell r="D535">
            <v>5</v>
          </cell>
          <cell r="E535" t="str">
            <v>6d6</v>
          </cell>
          <cell r="F535">
            <v>0.95</v>
          </cell>
          <cell r="G535" t="str">
            <v>Causa dano e diminui o Ataque Especial do adversário em 10% do total (diminuição máxima de 60%).</v>
          </cell>
        </row>
        <row r="536">
          <cell r="A536" t="str">
            <v>Growl</v>
          </cell>
          <cell r="B536" t="str">
            <v>Normal</v>
          </cell>
          <cell r="C536" t="str">
            <v>Estado</v>
          </cell>
          <cell r="D536">
            <v>2</v>
          </cell>
          <cell r="E536" t="str">
            <v>-</v>
          </cell>
          <cell r="F536">
            <v>1</v>
          </cell>
          <cell r="G536" t="str">
            <v>Diminui o Ataque do adversário em 10% do total (diminuição máxima de 60%).</v>
          </cell>
        </row>
        <row r="537">
          <cell r="A537" t="str">
            <v>Roar Of Time</v>
          </cell>
          <cell r="B537" t="str">
            <v>Dragão</v>
          </cell>
          <cell r="C537" t="str">
            <v>Especial</v>
          </cell>
          <cell r="D537">
            <v>13</v>
          </cell>
          <cell r="E537" t="str">
            <v>22d6</v>
          </cell>
          <cell r="F537">
            <v>0.9</v>
          </cell>
          <cell r="G537" t="str">
            <v>Causa dano, porém no próximo turno não poderá utilizar nenhum golpe.</v>
          </cell>
        </row>
        <row r="538">
          <cell r="A538" t="str">
            <v>Noble Roar</v>
          </cell>
          <cell r="B538" t="str">
            <v>Normal</v>
          </cell>
          <cell r="C538" t="str">
            <v>Estado</v>
          </cell>
          <cell r="D538">
            <v>3</v>
          </cell>
          <cell r="E538" t="str">
            <v>-</v>
          </cell>
          <cell r="F538">
            <v>1</v>
          </cell>
          <cell r="G538" t="str">
            <v>Diminui o Ataque e o Ataque Especial do adversário em 10% do total (diminuição máxima de 60% em cada).</v>
          </cell>
        </row>
        <row r="539">
          <cell r="A539" t="str">
            <v>Roar</v>
          </cell>
          <cell r="B539" t="str">
            <v>Normal</v>
          </cell>
          <cell r="C539" t="str">
            <v>Estado</v>
          </cell>
          <cell r="D539">
            <v>6</v>
          </cell>
          <cell r="E539" t="str">
            <v>-</v>
          </cell>
          <cell r="F539">
            <v>1</v>
          </cell>
          <cell r="G539" t="str">
            <v>Contra pokémons selvagens, se o adversário for de um Nível menor, faz ele fugir. Em batalha contra treinadores, obriga ele a trocar independente do Nível.</v>
          </cell>
        </row>
        <row r="540">
          <cell r="A540" t="str">
            <v>Sacrifício</v>
          </cell>
          <cell r="B540" t="str">
            <v>Noturno</v>
          </cell>
          <cell r="C540" t="str">
            <v>Estado</v>
          </cell>
          <cell r="D540">
            <v>6</v>
          </cell>
          <cell r="E540" t="str">
            <v>-</v>
          </cell>
          <cell r="F540">
            <v>1</v>
          </cell>
          <cell r="G540" t="str">
            <v>O seu pokémon desmaia porém diminui em 30% o Ataque e Ataque Especial do adversário.</v>
          </cell>
        </row>
        <row r="541">
          <cell r="A541" t="str">
            <v>Magic Room</v>
          </cell>
          <cell r="B541" t="str">
            <v>Psíquico</v>
          </cell>
          <cell r="C541" t="str">
            <v>Estado</v>
          </cell>
          <cell r="D541">
            <v>6</v>
          </cell>
          <cell r="E541" t="str">
            <v>-</v>
          </cell>
          <cell r="F541">
            <v>1</v>
          </cell>
          <cell r="G541" t="str">
            <v>Impede o efeito de qualquer item para todos os pokémons por 5 turnos.</v>
          </cell>
        </row>
        <row r="542">
          <cell r="A542" t="str">
            <v>Wonder Room</v>
          </cell>
          <cell r="B542" t="str">
            <v>Psíquico</v>
          </cell>
          <cell r="C542" t="str">
            <v>Estado</v>
          </cell>
          <cell r="D542">
            <v>6</v>
          </cell>
          <cell r="E542" t="str">
            <v>-</v>
          </cell>
          <cell r="F542">
            <v>1</v>
          </cell>
          <cell r="G542" t="str">
            <v>Por 5 turnos, troca Defesa pela Defesa Especial de todos os pokémons em combate.</v>
          </cell>
        </row>
        <row r="543">
          <cell r="A543" t="str">
            <v>Brine</v>
          </cell>
          <cell r="B543" t="str">
            <v>Água</v>
          </cell>
          <cell r="C543" t="str">
            <v>Especial</v>
          </cell>
          <cell r="D543">
            <v>12</v>
          </cell>
          <cell r="E543" t="str">
            <v>7d6</v>
          </cell>
          <cell r="F543">
            <v>1</v>
          </cell>
          <cell r="G543" t="str">
            <v>Causa dano e, se o adversário estiver com menos de 50% do PV total, o dano dobra para 14d6.</v>
          </cell>
        </row>
        <row r="544">
          <cell r="A544" t="str">
            <v>Safeguard</v>
          </cell>
          <cell r="B544" t="str">
            <v>Normal</v>
          </cell>
          <cell r="C544" t="str">
            <v>Estado</v>
          </cell>
          <cell r="D544">
            <v>8</v>
          </cell>
          <cell r="E544" t="str">
            <v>-</v>
          </cell>
          <cell r="F544">
            <v>1</v>
          </cell>
          <cell r="G544" t="str">
            <v>Se protege contra qualquer condição.</v>
          </cell>
        </row>
        <row r="545">
          <cell r="A545" t="str">
            <v>Toxic Thread</v>
          </cell>
          <cell r="B545" t="str">
            <v>Veneno</v>
          </cell>
          <cell r="C545" t="str">
            <v>Estado</v>
          </cell>
          <cell r="D545">
            <v>10</v>
          </cell>
          <cell r="E545" t="str">
            <v>-</v>
          </cell>
          <cell r="F545">
            <v>1</v>
          </cell>
          <cell r="G545" t="str">
            <v>Causa a condição Envenenado e diminui a Velocidade do adversário em 20% do total (diminuição máxima de 60%).</v>
          </cell>
        </row>
        <row r="546">
          <cell r="A546" t="str">
            <v>Strength Sap</v>
          </cell>
          <cell r="B546" t="str">
            <v>Grama</v>
          </cell>
          <cell r="C546" t="str">
            <v>Estado</v>
          </cell>
          <cell r="D546">
            <v>10</v>
          </cell>
          <cell r="E546" t="str">
            <v>-</v>
          </cell>
          <cell r="F546">
            <v>1</v>
          </cell>
          <cell r="G546" t="str">
            <v>Recupera o PV de acordo com o valor do atributo Ataque do adversário e diminui o Ataque dele em 20% do total (diminuição máxima de 60%).</v>
          </cell>
        </row>
        <row r="547">
          <cell r="A547" t="str">
            <v>Worry Seed</v>
          </cell>
          <cell r="B547" t="str">
            <v>Grama</v>
          </cell>
          <cell r="C547" t="str">
            <v>Estado</v>
          </cell>
          <cell r="D547">
            <v>1</v>
          </cell>
          <cell r="E547" t="str">
            <v>-</v>
          </cell>
          <cell r="F547">
            <v>1</v>
          </cell>
          <cell r="G547" t="str">
            <v>Efeito do golpe indisponível ainda.</v>
          </cell>
        </row>
        <row r="548">
          <cell r="A548" t="str">
            <v>Semente Ofuscante</v>
          </cell>
          <cell r="B548" t="str">
            <v>Grama</v>
          </cell>
          <cell r="C548" t="str">
            <v>Especial</v>
          </cell>
          <cell r="D548">
            <v>17</v>
          </cell>
          <cell r="E548" t="str">
            <v>16d6</v>
          </cell>
          <cell r="F548">
            <v>0.85</v>
          </cell>
          <cell r="G548" t="str">
            <v>Causa dano e tem 40% de chance de diminuir a Defesa Especial do adversário em 20% do total (diminuição máxima de 60%).</v>
          </cell>
        </row>
        <row r="549">
          <cell r="A549" t="str">
            <v>Leech Seed</v>
          </cell>
          <cell r="B549" t="str">
            <v>Grama</v>
          </cell>
          <cell r="C549" t="str">
            <v>Estado</v>
          </cell>
          <cell r="D549">
            <v>5</v>
          </cell>
          <cell r="E549" t="str">
            <v>-</v>
          </cell>
          <cell r="F549">
            <v>0.9</v>
          </cell>
          <cell r="G549" t="str">
            <v>Drena 10% do PV do adversário no final de cada turno, porém não funciona contra adversários do tipo Grama.</v>
          </cell>
        </row>
        <row r="550">
          <cell r="A550" t="str">
            <v>Heal Bell</v>
          </cell>
          <cell r="B550" t="str">
            <v>Normal</v>
          </cell>
          <cell r="C550" t="str">
            <v>Estado</v>
          </cell>
          <cell r="D550">
            <v>1</v>
          </cell>
          <cell r="E550" t="str">
            <v>-</v>
          </cell>
          <cell r="F550">
            <v>1</v>
          </cell>
          <cell r="G550" t="str">
            <v>Efeito do golpe indisponível ainda.</v>
          </cell>
        </row>
        <row r="551">
          <cell r="A551" t="str">
            <v>Synthesis</v>
          </cell>
          <cell r="B551" t="str">
            <v>Grama</v>
          </cell>
          <cell r="C551" t="str">
            <v>Estado</v>
          </cell>
          <cell r="D551">
            <v>7</v>
          </cell>
          <cell r="E551" t="str">
            <v>-</v>
          </cell>
          <cell r="F551">
            <v>1</v>
          </cell>
          <cell r="G551" t="str">
            <v>Recupera o PV de acordo com o dia. Se for de manhã ou a noite, 25%, se for de tarde 50% e qualquer outra situação, 10%.</v>
          </cell>
        </row>
        <row r="552">
          <cell r="A552" t="str">
            <v>Comet Punch</v>
          </cell>
          <cell r="B552" t="str">
            <v>Normal</v>
          </cell>
          <cell r="C552" t="str">
            <v>Físico</v>
          </cell>
          <cell r="D552">
            <v>1</v>
          </cell>
          <cell r="E552" t="str">
            <v>2d6</v>
          </cell>
          <cell r="F552">
            <v>0.85</v>
          </cell>
          <cell r="G552" t="str">
            <v>Causa dano 1d6 vezes.</v>
          </cell>
        </row>
        <row r="553">
          <cell r="A553" t="str">
            <v>Fire Punch</v>
          </cell>
          <cell r="B553" t="str">
            <v>Fogo</v>
          </cell>
          <cell r="C553" t="str">
            <v>Físico</v>
          </cell>
          <cell r="D553">
            <v>9</v>
          </cell>
          <cell r="E553" t="str">
            <v>8d6</v>
          </cell>
          <cell r="F553">
            <v>1</v>
          </cell>
          <cell r="G553" t="str">
            <v>Causa dano e tem 10% de chance de causar condição Queimado.</v>
          </cell>
        </row>
        <row r="554">
          <cell r="A554" t="str">
            <v>Ice Punch</v>
          </cell>
          <cell r="B554" t="str">
            <v>Gelo</v>
          </cell>
          <cell r="C554" t="str">
            <v>Físico</v>
          </cell>
          <cell r="D554">
            <v>9</v>
          </cell>
          <cell r="E554" t="str">
            <v>8d6</v>
          </cell>
          <cell r="F554">
            <v>1</v>
          </cell>
          <cell r="G554" t="str">
            <v>Causa dano e tem 10% de chance de causar condição Congelado.</v>
          </cell>
        </row>
        <row r="555">
          <cell r="A555" t="str">
            <v>Dynamic Punch</v>
          </cell>
          <cell r="B555" t="str">
            <v>Lutador</v>
          </cell>
          <cell r="C555" t="str">
            <v>Físico</v>
          </cell>
          <cell r="D555">
            <v>13</v>
          </cell>
          <cell r="E555" t="str">
            <v>12d6</v>
          </cell>
          <cell r="F555">
            <v>0.5</v>
          </cell>
          <cell r="G555" t="str">
            <v>Causa dano e a condição Confuso.</v>
          </cell>
        </row>
        <row r="556">
          <cell r="A556" t="str">
            <v>Drain Punch</v>
          </cell>
          <cell r="B556" t="str">
            <v>Lutador</v>
          </cell>
          <cell r="C556" t="str">
            <v>Físico</v>
          </cell>
          <cell r="D556">
            <v>12</v>
          </cell>
          <cell r="E556" t="str">
            <v>8d6</v>
          </cell>
          <cell r="F556">
            <v>1</v>
          </cell>
          <cell r="G556" t="str">
            <v>Causa dano e recupera 50% do PV diminuido do adversário.</v>
          </cell>
        </row>
        <row r="557">
          <cell r="A557" t="str">
            <v>Power-Up Punch</v>
          </cell>
          <cell r="B557" t="str">
            <v>Lutador</v>
          </cell>
          <cell r="C557" t="str">
            <v>Físico</v>
          </cell>
          <cell r="D557">
            <v>3</v>
          </cell>
          <cell r="E557" t="str">
            <v>4d6</v>
          </cell>
          <cell r="F557">
            <v>1</v>
          </cell>
          <cell r="G557" t="str">
            <v>Causa dano e aumenta o Ataque em 10% (aumento máximo de 60%).</v>
          </cell>
        </row>
        <row r="558">
          <cell r="A558" t="str">
            <v>Sucker Punch</v>
          </cell>
          <cell r="B558" t="str">
            <v>Noturno</v>
          </cell>
          <cell r="C558" t="str">
            <v>Físico</v>
          </cell>
          <cell r="D558">
            <v>8</v>
          </cell>
          <cell r="E558" t="str">
            <v>7d6</v>
          </cell>
          <cell r="F558">
            <v>1</v>
          </cell>
          <cell r="G558" t="str">
            <v xml:space="preserve">Causa dano, atacando primeiro que o adversário caso ele use um golpe físico ou especial. </v>
          </cell>
        </row>
        <row r="559">
          <cell r="A559" t="str">
            <v>Dizzy Punch</v>
          </cell>
          <cell r="B559" t="str">
            <v>Normal</v>
          </cell>
          <cell r="C559" t="str">
            <v>Físico</v>
          </cell>
          <cell r="D559">
            <v>8</v>
          </cell>
          <cell r="E559" t="str">
            <v>7d6</v>
          </cell>
          <cell r="F559">
            <v>1</v>
          </cell>
          <cell r="G559" t="str">
            <v>Causa dano e tem 20% de chance de causar condição Confuso.</v>
          </cell>
        </row>
        <row r="560">
          <cell r="A560" t="str">
            <v>Focus Punch</v>
          </cell>
          <cell r="B560" t="str">
            <v>Lutador</v>
          </cell>
          <cell r="C560" t="str">
            <v>Físico</v>
          </cell>
          <cell r="D560">
            <v>18</v>
          </cell>
          <cell r="E560" t="str">
            <v>22d6</v>
          </cell>
          <cell r="F560">
            <v>1</v>
          </cell>
          <cell r="G560" t="str">
            <v>Atacará depois do adversário e, se for atingido perderá o foco e ficará com a condição Recuando.</v>
          </cell>
        </row>
        <row r="561">
          <cell r="A561" t="str">
            <v>Bullet Punch</v>
          </cell>
          <cell r="B561" t="str">
            <v>Metal</v>
          </cell>
          <cell r="C561" t="str">
            <v>Físico</v>
          </cell>
          <cell r="D561">
            <v>4</v>
          </cell>
          <cell r="E561" t="str">
            <v>4d6</v>
          </cell>
          <cell r="F561">
            <v>1</v>
          </cell>
          <cell r="G561" t="str">
            <v>Causa dano, atacando primeiro que o adversário ao ignorar a Velocidade dele.</v>
          </cell>
        </row>
        <row r="562">
          <cell r="A562" t="str">
            <v>Mach Punch</v>
          </cell>
          <cell r="B562" t="str">
            <v>Lutador</v>
          </cell>
          <cell r="C562" t="str">
            <v>Físico</v>
          </cell>
          <cell r="D562">
            <v>4</v>
          </cell>
          <cell r="E562" t="str">
            <v>4d6</v>
          </cell>
          <cell r="F562">
            <v>1</v>
          </cell>
          <cell r="G562" t="str">
            <v>Causa dano, atacando primeiro que o adversário ao ignorar a Velocidade dele.</v>
          </cell>
        </row>
        <row r="563">
          <cell r="A563" t="str">
            <v>Shadow Punch</v>
          </cell>
          <cell r="B563" t="str">
            <v>Fantasma</v>
          </cell>
          <cell r="C563" t="str">
            <v>Físico</v>
          </cell>
          <cell r="D563">
            <v>6</v>
          </cell>
          <cell r="E563" t="str">
            <v>6d6</v>
          </cell>
          <cell r="F563">
            <v>1</v>
          </cell>
          <cell r="G563" t="str">
            <v>Causa dano ignorando qualquer mudança em sua Precisão.</v>
          </cell>
        </row>
        <row r="564">
          <cell r="A564" t="str">
            <v>Thunder Punch</v>
          </cell>
          <cell r="B564" t="str">
            <v>Elétrico</v>
          </cell>
          <cell r="C564" t="str">
            <v>Físico</v>
          </cell>
          <cell r="D564">
            <v>9</v>
          </cell>
          <cell r="E564" t="str">
            <v>8d6</v>
          </cell>
          <cell r="F564">
            <v>1</v>
          </cell>
          <cell r="G564" t="str">
            <v>Causa dano e tem 10% de chance de causar condição Paralisado.</v>
          </cell>
        </row>
        <row r="565">
          <cell r="A565" t="str">
            <v>Morning Sun</v>
          </cell>
          <cell r="B565" t="str">
            <v>Normal</v>
          </cell>
          <cell r="C565" t="str">
            <v>Estado</v>
          </cell>
          <cell r="D565">
            <v>7</v>
          </cell>
          <cell r="E565" t="str">
            <v>-</v>
          </cell>
          <cell r="F565">
            <v>1</v>
          </cell>
          <cell r="G565" t="str">
            <v>Recupera o PV de acordo com o dia. Se for de tarde ou a noite, 25%, se for de manhã 50% e qualquer outra situação, 10%.</v>
          </cell>
        </row>
        <row r="566">
          <cell r="A566" t="str">
            <v>Metal Sound</v>
          </cell>
          <cell r="B566" t="str">
            <v>Metal</v>
          </cell>
          <cell r="C566" t="str">
            <v>Estado</v>
          </cell>
          <cell r="D566">
            <v>2</v>
          </cell>
          <cell r="E566" t="str">
            <v>-</v>
          </cell>
          <cell r="F566">
            <v>0.85</v>
          </cell>
          <cell r="G566" t="str">
            <v>Diminui a Defesa Especial do adversário em 20% do total (diminuição máxima de 60%).</v>
          </cell>
        </row>
        <row r="567">
          <cell r="A567" t="str">
            <v>Night Shade</v>
          </cell>
          <cell r="B567" t="str">
            <v>Fantasma</v>
          </cell>
          <cell r="C567" t="str">
            <v>Especial</v>
          </cell>
          <cell r="D567">
            <v>15</v>
          </cell>
          <cell r="E567" t="str">
            <v>-</v>
          </cell>
          <cell r="F567">
            <v>1</v>
          </cell>
          <cell r="G567" t="str">
            <v>Causa dano igual ao Nível atual.</v>
          </cell>
        </row>
        <row r="568">
          <cell r="A568" t="str">
            <v>Sleep Talk</v>
          </cell>
          <cell r="B568" t="str">
            <v>Normal</v>
          </cell>
          <cell r="C568" t="str">
            <v>Estado</v>
          </cell>
          <cell r="D568">
            <v>6</v>
          </cell>
          <cell r="E568" t="str">
            <v>-</v>
          </cell>
          <cell r="F568">
            <v>1</v>
          </cell>
          <cell r="G568" t="str">
            <v>Ataca randomicamente com um dos seus golpes apenas quando estiver com a condição Dormindo.</v>
          </cell>
        </row>
        <row r="569">
          <cell r="A569" t="str">
            <v>Frost Breath</v>
          </cell>
          <cell r="B569" t="str">
            <v>Gelo</v>
          </cell>
          <cell r="C569" t="str">
            <v>Especial</v>
          </cell>
          <cell r="D569">
            <v>6</v>
          </cell>
          <cell r="E569" t="str">
            <v>6d6</v>
          </cell>
          <cell r="F569">
            <v>0.9</v>
          </cell>
          <cell r="G569" t="str">
            <v>Causa dano crítico.</v>
          </cell>
        </row>
        <row r="570">
          <cell r="A570" t="str">
            <v>Dragon Breath</v>
          </cell>
          <cell r="B570" t="str">
            <v>Dragão</v>
          </cell>
          <cell r="C570" t="str">
            <v>Especial</v>
          </cell>
          <cell r="D570">
            <v>6</v>
          </cell>
          <cell r="E570" t="str">
            <v>6d6</v>
          </cell>
          <cell r="F570">
            <v>1</v>
          </cell>
          <cell r="G570" t="str">
            <v>Causa dano e tem 30% de chance de causar condição Paralisado.</v>
          </cell>
        </row>
        <row r="571">
          <cell r="A571" t="str">
            <v>Acid Spray</v>
          </cell>
          <cell r="B571" t="str">
            <v>Veneno</v>
          </cell>
          <cell r="C571" t="str">
            <v>Especial</v>
          </cell>
          <cell r="D571">
            <v>6</v>
          </cell>
          <cell r="E571" t="str">
            <v>4d6</v>
          </cell>
          <cell r="F571">
            <v>1</v>
          </cell>
          <cell r="G571" t="str">
            <v>Causa dano e diminui a Defesa Especial do adversário em 20% do total (diminuição máxima de 60%).</v>
          </cell>
        </row>
        <row r="572">
          <cell r="A572" t="str">
            <v>U Turn</v>
          </cell>
          <cell r="B572" t="str">
            <v>Inseto</v>
          </cell>
          <cell r="C572" t="str">
            <v>Físico</v>
          </cell>
          <cell r="D572">
            <v>7</v>
          </cell>
          <cell r="E572" t="str">
            <v>7d6</v>
          </cell>
          <cell r="F572">
            <v>1</v>
          </cell>
          <cell r="G572" t="str">
            <v>Causa dano e troca de pokémon imediatamente após o golpe.</v>
          </cell>
        </row>
        <row r="573">
          <cell r="A573" t="str">
            <v>Submission</v>
          </cell>
          <cell r="B573" t="str">
            <v>Lutador</v>
          </cell>
          <cell r="C573" t="str">
            <v>Físico</v>
          </cell>
          <cell r="D573">
            <v>4</v>
          </cell>
          <cell r="E573" t="str">
            <v>8d6</v>
          </cell>
          <cell r="F573">
            <v>0.8</v>
          </cell>
          <cell r="G573" t="str">
            <v>Causa dano e recebe 1/4 do dano causado.</v>
          </cell>
        </row>
        <row r="574">
          <cell r="A574" t="str">
            <v>Substitute</v>
          </cell>
          <cell r="B574" t="str">
            <v>Normal</v>
          </cell>
          <cell r="C574" t="str">
            <v>Estado</v>
          </cell>
          <cell r="D574">
            <v>8</v>
          </cell>
          <cell r="E574" t="str">
            <v>-</v>
          </cell>
          <cell r="F574">
            <v>1</v>
          </cell>
          <cell r="G574" t="str">
            <v>Perde 25% do PV total e cria um substituto que levará o dano em seu lugar. O PV do substituto será igual o PV restante. Enquanto o substituto está vivo, nenhuma condição é aplicada.</v>
          </cell>
        </row>
        <row r="575">
          <cell r="A575" t="str">
            <v>Leech Life</v>
          </cell>
          <cell r="B575" t="str">
            <v>Inseto</v>
          </cell>
          <cell r="C575" t="str">
            <v>Físico</v>
          </cell>
          <cell r="D575">
            <v>12</v>
          </cell>
          <cell r="E575" t="str">
            <v>8d6</v>
          </cell>
          <cell r="F575">
            <v>1</v>
          </cell>
          <cell r="G575" t="str">
            <v>Causa dano e recupera 50% do PV diminuido do adversário.</v>
          </cell>
        </row>
        <row r="576">
          <cell r="A576" t="str">
            <v>Super Fang</v>
          </cell>
          <cell r="B576" t="str">
            <v>Normal</v>
          </cell>
          <cell r="C576" t="str">
            <v>Físico</v>
          </cell>
          <cell r="D576">
            <v>14</v>
          </cell>
          <cell r="E576" t="str">
            <v>-</v>
          </cell>
          <cell r="F576">
            <v>0.9</v>
          </cell>
          <cell r="G576" t="str">
            <v>Causa dano igual a 50% do PV atual</v>
          </cell>
        </row>
        <row r="577">
          <cell r="A577" t="str">
            <v>Overheat</v>
          </cell>
          <cell r="B577" t="str">
            <v>Fogo</v>
          </cell>
          <cell r="C577" t="str">
            <v>Especial</v>
          </cell>
          <cell r="D577">
            <v>13</v>
          </cell>
          <cell r="E577" t="str">
            <v>18d6</v>
          </cell>
          <cell r="F577">
            <v>0.9</v>
          </cell>
          <cell r="G577" t="str">
            <v>Causa dano mas diminui o próprio Ataque Especial em 20% do total (diminuição máxima de 60%).</v>
          </cell>
        </row>
        <row r="578">
          <cell r="A578" t="str">
            <v>Superpower</v>
          </cell>
          <cell r="B578" t="str">
            <v>Lutador</v>
          </cell>
          <cell r="C578" t="str">
            <v>Físico</v>
          </cell>
          <cell r="D578">
            <v>12</v>
          </cell>
          <cell r="E578" t="str">
            <v>16d6</v>
          </cell>
          <cell r="F578">
            <v>1</v>
          </cell>
          <cell r="G578" t="str">
            <v>Causa dano mas diminui o próprio Ataque e Defesa em 10% do total (diminuição máxima de 60%).</v>
          </cell>
        </row>
        <row r="579">
          <cell r="A579" t="str">
            <v>Supersonic</v>
          </cell>
          <cell r="B579" t="str">
            <v>Normal</v>
          </cell>
          <cell r="C579" t="str">
            <v>Estado</v>
          </cell>
          <cell r="D579">
            <v>1</v>
          </cell>
          <cell r="E579" t="str">
            <v>-</v>
          </cell>
          <cell r="F579">
            <v>0.55000000000000004</v>
          </cell>
          <cell r="G579" t="str">
            <v>Causa a condição Confuso.</v>
          </cell>
        </row>
        <row r="580">
          <cell r="A580" t="str">
            <v>Shore Up</v>
          </cell>
          <cell r="B580" t="str">
            <v>Terra</v>
          </cell>
          <cell r="C580" t="str">
            <v>Estado</v>
          </cell>
          <cell r="D580">
            <v>12</v>
          </cell>
          <cell r="E580" t="str">
            <v>-</v>
          </cell>
          <cell r="F580">
            <v>1</v>
          </cell>
          <cell r="G580" t="str">
            <v>Recupera 50% do PV total. Se estiver acontecendo a Tempestade de Areia, recupera 75% do PV total.</v>
          </cell>
        </row>
        <row r="581">
          <cell r="A581" t="str">
            <v>Surf</v>
          </cell>
          <cell r="B581" t="str">
            <v>Água</v>
          </cell>
          <cell r="C581" t="str">
            <v>Especial</v>
          </cell>
          <cell r="D581">
            <v>10</v>
          </cell>
          <cell r="E581" t="str">
            <v>10d6</v>
          </cell>
          <cell r="F581">
            <v>1</v>
          </cell>
          <cell r="G581" t="str">
            <v>Causa dano.</v>
          </cell>
        </row>
        <row r="582">
          <cell r="A582" t="str">
            <v>Chatter</v>
          </cell>
          <cell r="B582" t="str">
            <v>Voador</v>
          </cell>
          <cell r="C582" t="str">
            <v>Especial</v>
          </cell>
          <cell r="D582">
            <v>12</v>
          </cell>
          <cell r="E582" t="str">
            <v>7d6</v>
          </cell>
          <cell r="F582">
            <v>1</v>
          </cell>
          <cell r="G582" t="str">
            <v>Causa dano e a condição Confuso.</v>
          </cell>
        </row>
        <row r="583">
          <cell r="A583" t="str">
            <v>Slash</v>
          </cell>
          <cell r="B583" t="str">
            <v>Normal</v>
          </cell>
          <cell r="C583" t="str">
            <v>Físico</v>
          </cell>
          <cell r="D583">
            <v>8</v>
          </cell>
          <cell r="E583" t="str">
            <v>7d6</v>
          </cell>
          <cell r="F583">
            <v>1</v>
          </cell>
          <cell r="G583" t="str">
            <v>Causa dano e aumenta a Taxa de Crítico de 10% para 30%.</v>
          </cell>
        </row>
        <row r="584">
          <cell r="A584" t="str">
            <v>Night Slash</v>
          </cell>
          <cell r="B584" t="str">
            <v>Noturno</v>
          </cell>
          <cell r="C584" t="str">
            <v>Físico</v>
          </cell>
          <cell r="D584">
            <v>8</v>
          </cell>
          <cell r="E584" t="str">
            <v>7d6</v>
          </cell>
          <cell r="F584">
            <v>1</v>
          </cell>
          <cell r="G584" t="str">
            <v>Causa dano e aumenta a Taxa de Crítico de 10% para 30%.</v>
          </cell>
        </row>
        <row r="585">
          <cell r="A585" t="str">
            <v>Belly Drum</v>
          </cell>
          <cell r="B585" t="str">
            <v>Normal</v>
          </cell>
          <cell r="C585" t="str">
            <v>Estado</v>
          </cell>
          <cell r="D585">
            <v>6</v>
          </cell>
          <cell r="E585" t="str">
            <v>-</v>
          </cell>
          <cell r="F585">
            <v>1</v>
          </cell>
          <cell r="G585" t="str">
            <v>Sacrifica 50% do seu PV total, porém todos os golpes causarão dano máximo (ex: 3d6, será 18 automaticamente).</v>
          </cell>
        </row>
        <row r="586">
          <cell r="A586" t="str">
            <v>Tail Slap</v>
          </cell>
          <cell r="B586" t="str">
            <v>Normal</v>
          </cell>
          <cell r="C586" t="str">
            <v>Físico</v>
          </cell>
          <cell r="D586">
            <v>2</v>
          </cell>
          <cell r="E586" t="str">
            <v>2d6</v>
          </cell>
          <cell r="F586">
            <v>0.85</v>
          </cell>
          <cell r="G586" t="str">
            <v>Causa dano 1d6 vezes.</v>
          </cell>
        </row>
        <row r="587">
          <cell r="A587" t="str">
            <v>Mud-Slap</v>
          </cell>
          <cell r="B587" t="str">
            <v>Terra</v>
          </cell>
          <cell r="C587" t="str">
            <v>Especial</v>
          </cell>
          <cell r="D587">
            <v>3</v>
          </cell>
          <cell r="E587" t="str">
            <v>3d6</v>
          </cell>
          <cell r="F587">
            <v>1</v>
          </cell>
          <cell r="G587" t="str">
            <v>Causa dano e diminui a Precisão em 10% do total (diminuição máxima de 60%).</v>
          </cell>
        </row>
        <row r="588">
          <cell r="A588" t="str">
            <v>Wake Up Slap</v>
          </cell>
          <cell r="B588" t="str">
            <v>Lutador</v>
          </cell>
          <cell r="C588" t="str">
            <v>Físico</v>
          </cell>
          <cell r="D588">
            <v>8</v>
          </cell>
          <cell r="E588" t="str">
            <v>7d6</v>
          </cell>
          <cell r="F588">
            <v>1</v>
          </cell>
          <cell r="G588" t="str">
            <v>Causa dano e se o adversário estiver sob a condição Dormindo, o dano será dobrado, porém o acordará.</v>
          </cell>
        </row>
        <row r="589">
          <cell r="A589" t="str">
            <v>Double Slap</v>
          </cell>
          <cell r="B589" t="str">
            <v>Normal</v>
          </cell>
          <cell r="C589" t="str">
            <v>Físico</v>
          </cell>
          <cell r="D589">
            <v>1</v>
          </cell>
          <cell r="E589" t="str">
            <v>2d6</v>
          </cell>
          <cell r="F589">
            <v>0.85</v>
          </cell>
          <cell r="G589" t="str">
            <v>Causa dano 1d6 vezes.</v>
          </cell>
        </row>
        <row r="590">
          <cell r="A590" t="str">
            <v>Spider Web</v>
          </cell>
          <cell r="B590" t="str">
            <v>Inseto</v>
          </cell>
          <cell r="C590" t="str">
            <v>Estado</v>
          </cell>
          <cell r="D590">
            <v>6</v>
          </cell>
          <cell r="E590" t="str">
            <v>-</v>
          </cell>
          <cell r="F590">
            <v>1</v>
          </cell>
          <cell r="G590" t="str">
            <v>Causa a condição Preso.</v>
          </cell>
        </row>
        <row r="591">
          <cell r="A591" t="str">
            <v>Sticky Web</v>
          </cell>
          <cell r="B591" t="str">
            <v>Inseto</v>
          </cell>
          <cell r="C591" t="str">
            <v>Estado</v>
          </cell>
          <cell r="D591">
            <v>5</v>
          </cell>
          <cell r="E591" t="str">
            <v>-</v>
          </cell>
          <cell r="F591">
            <v>1</v>
          </cell>
          <cell r="G591" t="str">
            <v>O pokémon lança uma teia grudenta; (-25%Vel) para quem estiver na area</v>
          </cell>
        </row>
        <row r="592">
          <cell r="A592" t="str">
            <v>Light Screen</v>
          </cell>
          <cell r="B592" t="str">
            <v>Psíquico</v>
          </cell>
          <cell r="C592" t="str">
            <v>Estado</v>
          </cell>
          <cell r="D592">
            <v>8</v>
          </cell>
          <cell r="E592" t="str">
            <v>-</v>
          </cell>
          <cell r="F592">
            <v>1</v>
          </cell>
          <cell r="G592" t="str">
            <v>Por 5 turnos, reduz 50% do dano causado por Ataque Especial.</v>
          </cell>
        </row>
        <row r="593">
          <cell r="A593" t="str">
            <v>Magic Coat</v>
          </cell>
          <cell r="B593" t="str">
            <v>Psíquico</v>
          </cell>
          <cell r="C593" t="str">
            <v>Estado</v>
          </cell>
          <cell r="D593">
            <v>6</v>
          </cell>
          <cell r="E593" t="str">
            <v>-</v>
          </cell>
          <cell r="F593">
            <v>1</v>
          </cell>
          <cell r="G593" t="str">
            <v>Reflete qualquer condição para o adversário no turno atual.</v>
          </cell>
        </row>
        <row r="594">
          <cell r="A594" t="str">
            <v>Teleport</v>
          </cell>
          <cell r="B594" t="str">
            <v>Psíquico</v>
          </cell>
          <cell r="C594" t="str">
            <v>Estado</v>
          </cell>
          <cell r="D594">
            <v>4</v>
          </cell>
          <cell r="E594" t="str">
            <v>-</v>
          </cell>
          <cell r="F594">
            <v>1</v>
          </cell>
          <cell r="G594" t="str">
            <v>Usado apenas em batalhas contra pokémons selvagens para fugir deles.</v>
          </cell>
        </row>
        <row r="595">
          <cell r="A595" t="str">
            <v>Sandstorm</v>
          </cell>
          <cell r="B595" t="str">
            <v>Pedra</v>
          </cell>
          <cell r="C595" t="str">
            <v>Estado</v>
          </cell>
          <cell r="D595">
            <v>1</v>
          </cell>
          <cell r="E595" t="str">
            <v>-</v>
          </cell>
          <cell r="F595">
            <v>1</v>
          </cell>
          <cell r="G595" t="str">
            <v>Por 5 turnos, aumenta em 50% a Defesa Especial de pokémons do tipo Pedra, todo pokémon perderá 10% do PV total menos os de tipo Terra, Pedra e Metal, o dano dos golpes Raio Solar e Lâmina Solar e a recuperação de Síntese, Sol da Manhã e Luar são...</v>
          </cell>
        </row>
        <row r="596">
          <cell r="A596" t="str">
            <v>Leaf Storm</v>
          </cell>
          <cell r="B596" t="str">
            <v>Grama</v>
          </cell>
          <cell r="C596" t="str">
            <v>Especial</v>
          </cell>
          <cell r="D596">
            <v>13</v>
          </cell>
          <cell r="E596" t="str">
            <v>18d6</v>
          </cell>
          <cell r="F596">
            <v>0.9</v>
          </cell>
          <cell r="G596" t="str">
            <v>Causa dano mas diminui o próprio Ataque Especial em 20% do total (diminuição máxima de 60%).</v>
          </cell>
        </row>
        <row r="597">
          <cell r="A597" t="str">
            <v>Magma Storm</v>
          </cell>
          <cell r="B597" t="str">
            <v>Fogo</v>
          </cell>
          <cell r="C597" t="str">
            <v>Especial</v>
          </cell>
          <cell r="D597">
            <v>13</v>
          </cell>
          <cell r="E597" t="str">
            <v>12d6</v>
          </cell>
          <cell r="F597">
            <v>0.75</v>
          </cell>
          <cell r="G597" t="str">
            <v>Causa dano e deixa sob a condição Preso durante 1d6 de turnos, que causam 10% de dano do PV total.</v>
          </cell>
        </row>
        <row r="598">
          <cell r="A598" t="str">
            <v>Diamont Storm</v>
          </cell>
          <cell r="B598" t="str">
            <v>Pedra</v>
          </cell>
          <cell r="C598" t="str">
            <v>Físico</v>
          </cell>
          <cell r="D598">
            <v>13</v>
          </cell>
          <cell r="E598" t="str">
            <v>12d6</v>
          </cell>
          <cell r="F598">
            <v>0.95</v>
          </cell>
          <cell r="G598" t="str">
            <v>Causa dano e tem 50% de chance de aumentar o Defesa em 20% do total (diminuição máxima de 60%).</v>
          </cell>
        </row>
        <row r="599">
          <cell r="A599" t="str">
            <v>Earthquake</v>
          </cell>
          <cell r="B599" t="str">
            <v>Terra</v>
          </cell>
          <cell r="C599" t="str">
            <v>Físico</v>
          </cell>
          <cell r="D599">
            <v>12</v>
          </cell>
          <cell r="E599" t="str">
            <v>12d6</v>
          </cell>
          <cell r="F599">
            <v>1</v>
          </cell>
          <cell r="G599" t="str">
            <v>Causa dano, e será dobrado (10d6) se o oponente estiver debaixo da terra com Cavar.</v>
          </cell>
        </row>
        <row r="600">
          <cell r="A600" t="str">
            <v>Grassy Terrain</v>
          </cell>
          <cell r="B600" t="str">
            <v>Grama</v>
          </cell>
          <cell r="C600" t="str">
            <v>Estado</v>
          </cell>
          <cell r="D600">
            <v>10</v>
          </cell>
          <cell r="E600" t="str">
            <v>-</v>
          </cell>
          <cell r="F600">
            <v>1</v>
          </cell>
          <cell r="G600" t="str">
            <v>Por 5 turnos, aumenta em 50% o dano dos golpes do tipo Grama, todo pokémon que esteja tocando o chão recupera 5% do PV e reduz pela metade o dano dos golpes Terremoto, Magnitude e Tremor.</v>
          </cell>
        </row>
        <row r="601">
          <cell r="A601" t="str">
            <v>Electric Terrain</v>
          </cell>
          <cell r="B601" t="str">
            <v>Elétrico</v>
          </cell>
          <cell r="C601" t="str">
            <v>Estado</v>
          </cell>
          <cell r="D601">
            <v>8</v>
          </cell>
          <cell r="E601" t="str">
            <v>-</v>
          </cell>
          <cell r="F601">
            <v>1</v>
          </cell>
          <cell r="G601" t="str">
            <v>Por 5 turnos, aumenta em 50% o dano dos golpes do tipo Elétrico.</v>
          </cell>
        </row>
        <row r="602">
          <cell r="A602" t="str">
            <v>Misty Terrain</v>
          </cell>
          <cell r="B602" t="str">
            <v>Fada</v>
          </cell>
          <cell r="C602" t="str">
            <v>Estado</v>
          </cell>
          <cell r="D602">
            <v>10</v>
          </cell>
          <cell r="E602" t="str">
            <v>-</v>
          </cell>
          <cell r="F602">
            <v>1</v>
          </cell>
          <cell r="G602" t="str">
            <v>Por 5 turnos, diminui em 50% o dano dos golpes do tipo Dragão, todo pokémon que esteja tocando o chão não poderá ter nenhuma condição aplicada.</v>
          </cell>
        </row>
        <row r="603">
          <cell r="A603" t="str">
            <v>Psychic Terrain</v>
          </cell>
          <cell r="B603" t="str">
            <v>Psíquico</v>
          </cell>
          <cell r="C603" t="str">
            <v>Estado</v>
          </cell>
          <cell r="D603">
            <v>10</v>
          </cell>
          <cell r="E603" t="str">
            <v>-</v>
          </cell>
          <cell r="F603">
            <v>1</v>
          </cell>
          <cell r="G603" t="str">
            <v>Por 5 turnos, aumenta em 50% o dano dos golpes do tipo Psíquico, todo pokémon que esteja tocando o chão não pode ser atingido por golpes de prioridade (como Ataque Rápido).</v>
          </cell>
        </row>
        <row r="604">
          <cell r="A604" t="str">
            <v>X-Scisor</v>
          </cell>
          <cell r="B604" t="str">
            <v>Inseto</v>
          </cell>
          <cell r="C604" t="str">
            <v>Físico</v>
          </cell>
          <cell r="D604">
            <v>8</v>
          </cell>
          <cell r="E604" t="str">
            <v>8d6</v>
          </cell>
          <cell r="F604">
            <v>1</v>
          </cell>
          <cell r="G604" t="str">
            <v>Causa dano.</v>
          </cell>
        </row>
        <row r="605">
          <cell r="A605" t="str">
            <v>Reflect Type</v>
          </cell>
          <cell r="B605" t="str">
            <v>Normal</v>
          </cell>
          <cell r="C605" t="str">
            <v>Estado</v>
          </cell>
          <cell r="D605">
            <v>6</v>
          </cell>
          <cell r="E605" t="str">
            <v>-</v>
          </cell>
          <cell r="F605">
            <v>1</v>
          </cell>
          <cell r="G605" t="str">
            <v>Troca o tipo para o mesmo do adversário.</v>
          </cell>
        </row>
        <row r="606">
          <cell r="A606" t="str">
            <v>Anchor Shot</v>
          </cell>
          <cell r="B606" t="str">
            <v>Metal</v>
          </cell>
          <cell r="C606" t="str">
            <v>Físico</v>
          </cell>
          <cell r="D606">
            <v>8</v>
          </cell>
          <cell r="E606" t="str">
            <v>8d6</v>
          </cell>
          <cell r="F606">
            <v>1</v>
          </cell>
          <cell r="G606" t="str">
            <v>Causa dano e impede o adversário de fugir do combate.</v>
          </cell>
        </row>
        <row r="607">
          <cell r="A607" t="str">
            <v>Mud Shot</v>
          </cell>
          <cell r="B607" t="str">
            <v>Terra</v>
          </cell>
          <cell r="C607" t="str">
            <v>Especial</v>
          </cell>
          <cell r="D607">
            <v>5</v>
          </cell>
          <cell r="E607" t="str">
            <v>6d6</v>
          </cell>
          <cell r="F607">
            <v>0.95</v>
          </cell>
          <cell r="G607" t="str">
            <v>Causa dano e diminui a Velocidade do adversário em 10% do total (diminuição máxima de 60%).</v>
          </cell>
        </row>
        <row r="608">
          <cell r="A608" t="str">
            <v>Gunk Shot</v>
          </cell>
          <cell r="B608" t="str">
            <v>Veneno</v>
          </cell>
          <cell r="C608" t="str">
            <v>Físico</v>
          </cell>
          <cell r="D608">
            <v>16</v>
          </cell>
          <cell r="E608" t="str">
            <v>16d6</v>
          </cell>
          <cell r="F608">
            <v>0.8</v>
          </cell>
          <cell r="G608" t="str">
            <v>Causa dano e tem 30% de chance de causar condição Envenenado.</v>
          </cell>
        </row>
        <row r="609">
          <cell r="A609" t="str">
            <v>Parting Shot</v>
          </cell>
          <cell r="B609" t="str">
            <v>Noturno</v>
          </cell>
          <cell r="C609" t="str">
            <v>Estado</v>
          </cell>
          <cell r="D609">
            <v>4</v>
          </cell>
          <cell r="E609" t="str">
            <v>-</v>
          </cell>
          <cell r="F609">
            <v>1</v>
          </cell>
          <cell r="G609" t="str">
            <v>Diminui o Ataque e o Ataque Especial do adversário em 10% do total (diminuição máxima de 60% em cada) e troca o Pokémon imediatamente.</v>
          </cell>
        </row>
        <row r="610">
          <cell r="A610" t="str">
            <v>Mirror Shot</v>
          </cell>
          <cell r="B610" t="str">
            <v>Metal</v>
          </cell>
          <cell r="C610" t="str">
            <v>Especial</v>
          </cell>
          <cell r="D610">
            <v>5</v>
          </cell>
          <cell r="E610" t="str">
            <v>7d6</v>
          </cell>
          <cell r="F610">
            <v>0.85</v>
          </cell>
          <cell r="G610" t="str">
            <v>Causa dano e tem 30% de chance de diminuir a Precisão de todos os golpes do adversário em 10% (diminuição máxima de 60%).</v>
          </cell>
        </row>
        <row r="611">
          <cell r="A611" t="str">
            <v>Searing Shot</v>
          </cell>
          <cell r="B611" t="str">
            <v>Fogo</v>
          </cell>
          <cell r="C611" t="str">
            <v>Especial</v>
          </cell>
          <cell r="D611">
            <v>14</v>
          </cell>
          <cell r="E611" t="str">
            <v>12d6</v>
          </cell>
          <cell r="F611">
            <v>1</v>
          </cell>
          <cell r="G611" t="str">
            <v>Causa dano e tem 30% de chance de causar condição Queimado.</v>
          </cell>
        </row>
        <row r="612">
          <cell r="A612" t="str">
            <v>Wring Out</v>
          </cell>
          <cell r="B612" t="str">
            <v>Normal</v>
          </cell>
          <cell r="C612" t="str">
            <v>Especial</v>
          </cell>
          <cell r="D612">
            <v>12</v>
          </cell>
          <cell r="E612" t="str">
            <v>-</v>
          </cell>
          <cell r="F612">
            <v>1</v>
          </cell>
          <cell r="G612" t="str">
            <v>Causa (PV restante do adversário dividido pelo PV total do adversário vezes 10)d6 de dano.</v>
          </cell>
        </row>
        <row r="613">
          <cell r="A613" t="str">
            <v>Torment</v>
          </cell>
          <cell r="B613" t="str">
            <v>Noturno</v>
          </cell>
          <cell r="C613" t="str">
            <v>Estado</v>
          </cell>
          <cell r="D613">
            <v>4</v>
          </cell>
          <cell r="E613" t="str">
            <v>-</v>
          </cell>
          <cell r="F613">
            <v>1</v>
          </cell>
          <cell r="G613" t="str">
            <v>O adversário não pode usar o mesmo golpe duas vezes seguidas.</v>
          </cell>
        </row>
        <row r="614">
          <cell r="A614" t="str">
            <v>Leaf Tornado</v>
          </cell>
          <cell r="B614" t="str">
            <v>Grama</v>
          </cell>
          <cell r="C614" t="str">
            <v>Especial</v>
          </cell>
          <cell r="D614">
            <v>6</v>
          </cell>
          <cell r="E614" t="str">
            <v>7d6</v>
          </cell>
          <cell r="F614">
            <v>0.9</v>
          </cell>
          <cell r="G614" t="str">
            <v>Causa dano e tem 30% de chance de diminuir a Precisão de todos os golpes do adversário em 10% (diminuição máxima de 60%).</v>
          </cell>
        </row>
        <row r="615">
          <cell r="A615" t="str">
            <v>Toxic</v>
          </cell>
          <cell r="B615" t="str">
            <v>Veneno</v>
          </cell>
          <cell r="C615" t="str">
            <v>Estado</v>
          </cell>
          <cell r="D615">
            <v>9</v>
          </cell>
          <cell r="E615" t="str">
            <v>-</v>
          </cell>
          <cell r="F615">
            <v>0.9</v>
          </cell>
          <cell r="G615" t="str">
            <v>Causa a condição Muito Envenenado.</v>
          </cell>
        </row>
        <row r="616">
          <cell r="A616" t="str">
            <v>Nasty Plot</v>
          </cell>
          <cell r="B616" t="str">
            <v>Noturno</v>
          </cell>
          <cell r="C616" t="str">
            <v>Estado</v>
          </cell>
          <cell r="D616">
            <v>2</v>
          </cell>
          <cell r="E616" t="str">
            <v>-</v>
          </cell>
          <cell r="F616">
            <v>1</v>
          </cell>
          <cell r="G616" t="str">
            <v>Aumenta o Ataque Especial em 20% do total (aumento máximo de 60%).</v>
          </cell>
        </row>
        <row r="617">
          <cell r="A617" t="str">
            <v>Transform</v>
          </cell>
          <cell r="B617" t="str">
            <v>Normal</v>
          </cell>
          <cell r="C617" t="str">
            <v>Estado</v>
          </cell>
          <cell r="D617">
            <v>6</v>
          </cell>
          <cell r="E617" t="str">
            <v>-</v>
          </cell>
          <cell r="F617">
            <v>1</v>
          </cell>
          <cell r="G617" t="str">
            <v>Se transforma no adversário com todos os seus atributos, tipo e golpes.</v>
          </cell>
        </row>
        <row r="618">
          <cell r="A618" t="str">
            <v>Bulldoze</v>
          </cell>
          <cell r="B618" t="str">
            <v>Terra</v>
          </cell>
          <cell r="C618" t="str">
            <v>Físico</v>
          </cell>
          <cell r="D618">
            <v>6</v>
          </cell>
          <cell r="E618" t="str">
            <v>6d6</v>
          </cell>
          <cell r="F618">
            <v>1</v>
          </cell>
          <cell r="G618" t="str">
            <v>Causa dano e diminui a Velocidade do adversário em 10% do total (diminuição máxima de 60%).</v>
          </cell>
        </row>
        <row r="619">
          <cell r="A619" t="str">
            <v>Ally Switch</v>
          </cell>
          <cell r="B619" t="str">
            <v>Psíquico</v>
          </cell>
          <cell r="C619" t="str">
            <v>Estado</v>
          </cell>
          <cell r="D619">
            <v>1</v>
          </cell>
          <cell r="E619" t="str">
            <v>-</v>
          </cell>
          <cell r="F619">
            <v>1</v>
          </cell>
          <cell r="G619" t="str">
            <v>Troca com um Aliado</v>
          </cell>
        </row>
        <row r="620">
          <cell r="A620" t="str">
            <v>Heart Swap</v>
          </cell>
          <cell r="B620" t="str">
            <v>Psíquico</v>
          </cell>
          <cell r="C620" t="str">
            <v>Estado</v>
          </cell>
          <cell r="D620">
            <v>6</v>
          </cell>
          <cell r="E620" t="str">
            <v>-</v>
          </cell>
          <cell r="F620">
            <v>1</v>
          </cell>
          <cell r="G620" t="str">
            <v>Troca a mudaça nos valores dos atributos o adversário.</v>
          </cell>
        </row>
        <row r="621">
          <cell r="A621" t="str">
            <v>Guard Swap</v>
          </cell>
          <cell r="B621" t="str">
            <v>Psíquico</v>
          </cell>
          <cell r="C621" t="str">
            <v>Estado</v>
          </cell>
          <cell r="D621">
            <v>6</v>
          </cell>
          <cell r="E621" t="str">
            <v>-</v>
          </cell>
          <cell r="F621">
            <v>1</v>
          </cell>
          <cell r="G621" t="str">
            <v>Troca a Defesa e Defesa Especial com o adversário.</v>
          </cell>
        </row>
        <row r="622">
          <cell r="A622" t="str">
            <v>Skill Swap</v>
          </cell>
          <cell r="B622" t="str">
            <v>Psíquico</v>
          </cell>
          <cell r="C622" t="str">
            <v>Estado</v>
          </cell>
          <cell r="D622">
            <v>1</v>
          </cell>
          <cell r="E622" t="str">
            <v>-</v>
          </cell>
          <cell r="F622">
            <v>1</v>
          </cell>
          <cell r="G622" t="str">
            <v>Efeito do golpe indisponível ainda.</v>
          </cell>
        </row>
        <row r="623">
          <cell r="A623" t="str">
            <v>Shift Gear</v>
          </cell>
          <cell r="B623" t="str">
            <v>Metal</v>
          </cell>
          <cell r="C623" t="str">
            <v>Estado</v>
          </cell>
          <cell r="D623">
            <v>3</v>
          </cell>
          <cell r="E623" t="str">
            <v>-</v>
          </cell>
          <cell r="F623">
            <v>1</v>
          </cell>
          <cell r="G623" t="str">
            <v>Aumenta o Ataque em 10% e a Velocidade em 20% do total (aumento máximo de 60% em cada).</v>
          </cell>
        </row>
        <row r="624">
          <cell r="A624" t="str">
            <v>Power Swap</v>
          </cell>
          <cell r="B624" t="str">
            <v>Psíquico</v>
          </cell>
          <cell r="C624" t="str">
            <v>Estado</v>
          </cell>
          <cell r="D624">
            <v>6</v>
          </cell>
          <cell r="E624" t="str">
            <v>-</v>
          </cell>
          <cell r="F624">
            <v>1</v>
          </cell>
          <cell r="G624" t="str">
            <v>Troca o Ataque e o Ataque Especial com o adversário.</v>
          </cell>
        </row>
        <row r="625">
          <cell r="A625" t="str">
            <v>Volt Switch</v>
          </cell>
          <cell r="B625" t="str">
            <v>Elétrico</v>
          </cell>
          <cell r="C625" t="str">
            <v>Especial</v>
          </cell>
          <cell r="D625">
            <v>7</v>
          </cell>
          <cell r="E625" t="str">
            <v>7d6</v>
          </cell>
          <cell r="F625">
            <v>1</v>
          </cell>
          <cell r="G625" t="str">
            <v>Causa dano e troca de pokémon imediatamente após o golpe.</v>
          </cell>
        </row>
        <row r="626">
          <cell r="A626" t="str">
            <v>Switcheroo</v>
          </cell>
          <cell r="B626" t="str">
            <v>Noturno</v>
          </cell>
          <cell r="C626" t="str">
            <v>Estado</v>
          </cell>
          <cell r="D626">
            <v>4</v>
          </cell>
          <cell r="E626" t="str">
            <v>-</v>
          </cell>
          <cell r="F626">
            <v>1</v>
          </cell>
          <cell r="G626" t="str">
            <v>Troca o item carregado pelo adversário com o seu (caso o item trocado seja de um pokémon selvagem, permacerá no fim do combate, caso contrário retornará).</v>
          </cell>
        </row>
        <row r="627">
          <cell r="A627" t="str">
            <v>Speed Swap</v>
          </cell>
          <cell r="B627" t="str">
            <v>Psíquico</v>
          </cell>
          <cell r="C627" t="str">
            <v>Estado</v>
          </cell>
          <cell r="D627">
            <v>6</v>
          </cell>
          <cell r="E627" t="str">
            <v>-</v>
          </cell>
          <cell r="F627">
            <v>1</v>
          </cell>
          <cell r="G627" t="str">
            <v>Troca a Velocidade com o adversário.</v>
          </cell>
        </row>
        <row r="628">
          <cell r="A628" t="str">
            <v>Water Spout</v>
          </cell>
          <cell r="B628" t="str">
            <v>Água</v>
          </cell>
          <cell r="C628" t="str">
            <v>Especial</v>
          </cell>
          <cell r="D628">
            <v>34</v>
          </cell>
          <cell r="E628" t="str">
            <v>22d6</v>
          </cell>
          <cell r="F628">
            <v>1</v>
          </cell>
          <cell r="G628" t="str">
            <v>Causa (PV restante dividido pelo PV total vezes 10)d6 de dano.</v>
          </cell>
        </row>
        <row r="629">
          <cell r="A629" t="str">
            <v>Thunder</v>
          </cell>
          <cell r="B629" t="str">
            <v>Elétrico</v>
          </cell>
          <cell r="C629" t="str">
            <v>Especial</v>
          </cell>
          <cell r="D629">
            <v>16</v>
          </cell>
          <cell r="E629" t="str">
            <v>16d6</v>
          </cell>
          <cell r="F629">
            <v>0.7</v>
          </cell>
          <cell r="G629" t="str">
            <v>Causa dano e tem 30% de chance de causar condição Paralisado.</v>
          </cell>
        </row>
        <row r="630">
          <cell r="A630" t="str">
            <v>Thunder Shock</v>
          </cell>
          <cell r="B630" t="str">
            <v>Elétrico</v>
          </cell>
          <cell r="C630" t="str">
            <v>Especial</v>
          </cell>
          <cell r="D630">
            <v>3</v>
          </cell>
          <cell r="E630" t="str">
            <v>4d6</v>
          </cell>
          <cell r="F630">
            <v>1</v>
          </cell>
          <cell r="G630" t="str">
            <v>Causa dano e tem 10% de chance de causar condição Paralisado.</v>
          </cell>
        </row>
        <row r="631">
          <cell r="A631" t="str">
            <v>Trick</v>
          </cell>
          <cell r="B631" t="str">
            <v>Psíquico</v>
          </cell>
          <cell r="C631" t="str">
            <v>Estado</v>
          </cell>
          <cell r="D631">
            <v>4</v>
          </cell>
          <cell r="E631" t="str">
            <v>-</v>
          </cell>
          <cell r="F631">
            <v>1</v>
          </cell>
          <cell r="G631" t="str">
            <v>Troca o item carregado pelo adversário com o seu (caso o item trocado seja de um pokémon selvagem, permacerá no fim do combate, caso contrário retornará).</v>
          </cell>
        </row>
        <row r="632">
          <cell r="A632" t="str">
            <v>Power Trick</v>
          </cell>
          <cell r="B632" t="str">
            <v>Psíquico</v>
          </cell>
          <cell r="C632" t="str">
            <v>Estado</v>
          </cell>
          <cell r="D632">
            <v>4</v>
          </cell>
          <cell r="E632" t="str">
            <v>-</v>
          </cell>
          <cell r="F632">
            <v>1</v>
          </cell>
          <cell r="G632" t="str">
            <v>Troca o Ataque e a Defesa.</v>
          </cell>
        </row>
        <row r="633">
          <cell r="A633" t="str">
            <v>Trick Room</v>
          </cell>
          <cell r="B633" t="str">
            <v>Psíquico</v>
          </cell>
          <cell r="C633" t="str">
            <v>Estado</v>
          </cell>
          <cell r="D633">
            <v>6</v>
          </cell>
          <cell r="E633" t="str">
            <v>-</v>
          </cell>
          <cell r="F633">
            <v>1</v>
          </cell>
          <cell r="G633" t="str">
            <v>Por 5 turnos, atacará primeiro que o adversário.</v>
          </cell>
        </row>
        <row r="634">
          <cell r="A634" t="str">
            <v>Twister</v>
          </cell>
          <cell r="B634" t="str">
            <v>Dragão</v>
          </cell>
          <cell r="C634" t="str">
            <v>Especial</v>
          </cell>
          <cell r="D634">
            <v>4</v>
          </cell>
          <cell r="E634" t="str">
            <v>4d6</v>
          </cell>
          <cell r="F634">
            <v>1</v>
          </cell>
          <cell r="G634" t="str">
            <v>Causa dano e tem 30% de chance de causar condição Recuando.</v>
          </cell>
        </row>
        <row r="635">
          <cell r="A635" t="str">
            <v>Howl</v>
          </cell>
          <cell r="B635" t="str">
            <v>Normal</v>
          </cell>
          <cell r="C635" t="str">
            <v>Estado</v>
          </cell>
          <cell r="D635">
            <v>1</v>
          </cell>
          <cell r="E635" t="str">
            <v>-</v>
          </cell>
          <cell r="F635">
            <v>1</v>
          </cell>
          <cell r="G635" t="str">
            <v>Aumenta o Ataque em 10% do total (aumento máximo de 60%).</v>
          </cell>
        </row>
        <row r="636">
          <cell r="A636" t="str">
            <v>Last Resort</v>
          </cell>
          <cell r="B636" t="str">
            <v>Normal</v>
          </cell>
          <cell r="C636" t="str">
            <v>Físico</v>
          </cell>
          <cell r="D636">
            <v>20</v>
          </cell>
          <cell r="E636" t="str">
            <v>20d6</v>
          </cell>
          <cell r="F636">
            <v>1</v>
          </cell>
          <cell r="G636" t="str">
            <v>Causa dano apenas se já foi utilizado outro golpe anteriormente.</v>
          </cell>
        </row>
        <row r="637">
          <cell r="A637" t="str">
            <v>Outrage</v>
          </cell>
          <cell r="B637" t="str">
            <v>Dragão</v>
          </cell>
          <cell r="C637" t="str">
            <v>Físico</v>
          </cell>
          <cell r="D637">
            <v>14</v>
          </cell>
          <cell r="E637" t="str">
            <v>16d6</v>
          </cell>
          <cell r="F637">
            <v>1</v>
          </cell>
          <cell r="G637" t="str">
            <v>Causa dano com o mesmo golpe por 3 turnos seguidos e depois fica com a condição Confuso.</v>
          </cell>
        </row>
        <row r="638">
          <cell r="A638" t="str">
            <v>Dark Void</v>
          </cell>
          <cell r="B638" t="str">
            <v>Noturno</v>
          </cell>
          <cell r="C638" t="str">
            <v>Estado</v>
          </cell>
          <cell r="D638">
            <v>3</v>
          </cell>
          <cell r="E638" t="str">
            <v>-</v>
          </cell>
          <cell r="F638">
            <v>0.5</v>
          </cell>
          <cell r="G638" t="str">
            <v>Causa a condição Dormindo.</v>
          </cell>
        </row>
        <row r="639">
          <cell r="A639" t="str">
            <v>Extreme Speed</v>
          </cell>
          <cell r="B639" t="str">
            <v>Normal</v>
          </cell>
          <cell r="C639" t="str">
            <v>Físico</v>
          </cell>
          <cell r="D639">
            <v>10</v>
          </cell>
          <cell r="E639" t="str">
            <v>8d6</v>
          </cell>
          <cell r="F639">
            <v>1</v>
          </cell>
          <cell r="G639" t="str">
            <v>Causa dano, ataca primeiro que todos os golpes, menos protect.</v>
          </cell>
        </row>
        <row r="640">
          <cell r="A640" t="str">
            <v>Venoshock</v>
          </cell>
          <cell r="B640" t="str">
            <v>Veneno</v>
          </cell>
          <cell r="C640" t="str">
            <v>Especial</v>
          </cell>
          <cell r="D640">
            <v>10</v>
          </cell>
          <cell r="E640" t="str">
            <v>7d6</v>
          </cell>
          <cell r="F640">
            <v>1</v>
          </cell>
          <cell r="G640" t="str">
            <v>Causa dano e é dobrado se o adversário estiver com a condição Envenenado.</v>
          </cell>
        </row>
        <row r="641">
          <cell r="A641" t="str">
            <v>Icy Wind</v>
          </cell>
          <cell r="B641" t="str">
            <v>Gelo</v>
          </cell>
          <cell r="C641" t="str">
            <v>Especial</v>
          </cell>
          <cell r="D641">
            <v>5</v>
          </cell>
          <cell r="E641" t="str">
            <v>6d6</v>
          </cell>
          <cell r="F641">
            <v>0.95</v>
          </cell>
          <cell r="G641" t="str">
            <v>Causa dano e diminui a Velocidade do adversário em 10% do total (diminuição máxima de 60%).</v>
          </cell>
        </row>
        <row r="642">
          <cell r="A642" t="str">
            <v>Razor Wind</v>
          </cell>
          <cell r="B642" t="str">
            <v>Normal</v>
          </cell>
          <cell r="C642" t="str">
            <v>Especial</v>
          </cell>
          <cell r="D642">
            <v>6</v>
          </cell>
          <cell r="E642" t="str">
            <v>8d6</v>
          </cell>
          <cell r="F642">
            <v>1</v>
          </cell>
          <cell r="G642" t="str">
            <v>Carrega no primeiro turno, no segundo turno causa dano e aumenta a Taxa de Crítico de 10% para 30%.</v>
          </cell>
        </row>
        <row r="643">
          <cell r="A643" t="str">
            <v>Fairy Wind</v>
          </cell>
          <cell r="B643" t="str">
            <v>Fada</v>
          </cell>
          <cell r="C643" t="str">
            <v>Especial</v>
          </cell>
          <cell r="D643">
            <v>2</v>
          </cell>
          <cell r="E643" t="str">
            <v>4d6</v>
          </cell>
          <cell r="F643">
            <v>1</v>
          </cell>
          <cell r="G643" t="str">
            <v>Causa dano.</v>
          </cell>
        </row>
        <row r="644">
          <cell r="A644" t="str">
            <v>Ominous Wind</v>
          </cell>
          <cell r="B644" t="str">
            <v>Fantasma</v>
          </cell>
          <cell r="C644" t="str">
            <v>Especial</v>
          </cell>
          <cell r="D644">
            <v>6</v>
          </cell>
          <cell r="E644" t="str">
            <v>6d6</v>
          </cell>
          <cell r="F644">
            <v>1</v>
          </cell>
          <cell r="G644" t="str">
            <v>Causa dano e tem 10% de chance de aumentar todos os atributos em 10% do total (aumento máximo de 60% para cada).</v>
          </cell>
        </row>
        <row r="645">
          <cell r="A645" t="str">
            <v>Silver Wind</v>
          </cell>
          <cell r="B645" t="str">
            <v>Inseto</v>
          </cell>
          <cell r="C645" t="str">
            <v>Especial</v>
          </cell>
          <cell r="D645">
            <v>6</v>
          </cell>
          <cell r="E645" t="str">
            <v>6d6</v>
          </cell>
          <cell r="F645">
            <v>1</v>
          </cell>
          <cell r="G645" t="str">
            <v>Causa dano e tem 10% de chance de aumentar todos os atributos em 10% do total (aumento máximo de 60% para cada).</v>
          </cell>
        </row>
        <row r="646">
          <cell r="A646" t="str">
            <v>Aurora Veil</v>
          </cell>
          <cell r="B646" t="str">
            <v>Gelo</v>
          </cell>
          <cell r="C646" t="str">
            <v>Estado</v>
          </cell>
          <cell r="D646">
            <v>8</v>
          </cell>
          <cell r="E646" t="str">
            <v>-</v>
          </cell>
          <cell r="F646">
            <v>1</v>
          </cell>
          <cell r="G646" t="str">
            <v>Diminui o dano causado pelo adversário em 50% durante cinco turnos.</v>
          </cell>
        </row>
        <row r="647">
          <cell r="A647" t="str">
            <v>Destiny Bond</v>
          </cell>
          <cell r="B647" t="str">
            <v>Fantasma</v>
          </cell>
          <cell r="C647" t="str">
            <v>Estado</v>
          </cell>
          <cell r="D647">
            <v>6</v>
          </cell>
          <cell r="E647" t="str">
            <v>-</v>
          </cell>
          <cell r="F647">
            <v>1</v>
          </cell>
          <cell r="G647" t="str">
            <v>Se perder todo o PV o adversário também perderá.</v>
          </cell>
        </row>
        <row r="648">
          <cell r="A648" t="str">
            <v>Revenge</v>
          </cell>
          <cell r="B648" t="str">
            <v>Lutador</v>
          </cell>
          <cell r="C648" t="str">
            <v>Físico</v>
          </cell>
          <cell r="D648">
            <v>8</v>
          </cell>
          <cell r="E648" t="str">
            <v>6d6</v>
          </cell>
          <cell r="F648">
            <v>1</v>
          </cell>
          <cell r="G648" t="str">
            <v>Causa dano e, se o adversário atacou primeiro, o dano é dobrado, 12d6.</v>
          </cell>
        </row>
        <row r="649">
          <cell r="A649" t="str">
            <v>Future Sight</v>
          </cell>
          <cell r="B649" t="str">
            <v>Psíquico</v>
          </cell>
          <cell r="C649" t="str">
            <v>Especial</v>
          </cell>
          <cell r="D649">
            <v>12</v>
          </cell>
          <cell r="E649" t="str">
            <v>16d6</v>
          </cell>
          <cell r="F649">
            <v>1</v>
          </cell>
          <cell r="G649" t="str">
            <v>Leva dois turnos para ser executado.</v>
          </cell>
        </row>
        <row r="650">
          <cell r="A650" t="str">
            <v>Jump Kick</v>
          </cell>
          <cell r="B650" t="str">
            <v>Lutador</v>
          </cell>
          <cell r="C650" t="str">
            <v>Físico</v>
          </cell>
          <cell r="D650">
            <v>9</v>
          </cell>
          <cell r="E650" t="str">
            <v>12d6</v>
          </cell>
          <cell r="F650">
            <v>0.95</v>
          </cell>
          <cell r="G650" t="str">
            <v>Causa dano, porém se falhar, perderá 50% do PV total.</v>
          </cell>
        </row>
        <row r="651">
          <cell r="A651" t="str">
            <v>Fly</v>
          </cell>
          <cell r="B651" t="str">
            <v>Voador</v>
          </cell>
          <cell r="C651" t="str">
            <v>Físico</v>
          </cell>
          <cell r="D651">
            <v>13</v>
          </cell>
          <cell r="E651" t="str">
            <v>10d6</v>
          </cell>
          <cell r="F651">
            <v>0.95</v>
          </cell>
          <cell r="G651" t="str">
            <v>Fica invulnerável no primeiro turno, causando dano no seguinte.</v>
          </cell>
        </row>
        <row r="652">
          <cell r="A652" t="str">
            <v>Disarming Voice</v>
          </cell>
          <cell r="B652" t="str">
            <v>Fada</v>
          </cell>
          <cell r="C652" t="str">
            <v>Especial</v>
          </cell>
          <cell r="D652">
            <v>4</v>
          </cell>
          <cell r="E652" t="str">
            <v>4d6</v>
          </cell>
          <cell r="F652">
            <v>1</v>
          </cell>
          <cell r="G652" t="str">
            <v>Causa dano ignorando qualquer mudança em sua Precisão.</v>
          </cell>
        </row>
        <row r="653">
          <cell r="A653" t="str">
            <v>Bug Buzz</v>
          </cell>
          <cell r="B653" t="str">
            <v>Inseto</v>
          </cell>
          <cell r="C653" t="str">
            <v>Especial</v>
          </cell>
          <cell r="D653">
            <v>11</v>
          </cell>
          <cell r="E653" t="str">
            <v>10d6</v>
          </cell>
          <cell r="F653">
            <v>1</v>
          </cell>
          <cell r="G653" t="str">
            <v>Causa dano e tem 10% de chance de diminuir a Defesa Especial do adversário em 10% do total (diminuição máxima de 60%).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8"/>
  <sheetViews>
    <sheetView workbookViewId="0">
      <selection activeCell="K45" sqref="K45"/>
    </sheetView>
  </sheetViews>
  <sheetFormatPr defaultRowHeight="14.4" x14ac:dyDescent="0.3"/>
  <sheetData>
    <row r="1" spans="1:31" x14ac:dyDescent="0.3">
      <c r="A1" s="1" t="s">
        <v>0</v>
      </c>
      <c r="B1" s="55" t="s">
        <v>50</v>
      </c>
      <c r="C1" s="56"/>
      <c r="E1" s="2" t="s">
        <v>1</v>
      </c>
      <c r="F1" s="3" t="s">
        <v>65</v>
      </c>
      <c r="G1" s="4" t="s">
        <v>175</v>
      </c>
      <c r="H1" s="5"/>
      <c r="I1" s="6" t="s">
        <v>2</v>
      </c>
      <c r="J1" s="6" t="s">
        <v>3</v>
      </c>
      <c r="K1" s="6" t="s">
        <v>4</v>
      </c>
      <c r="L1" s="7" t="s">
        <v>5</v>
      </c>
      <c r="M1" s="8"/>
      <c r="N1" s="9"/>
      <c r="O1" s="53" t="s">
        <v>6</v>
      </c>
      <c r="P1" s="54"/>
      <c r="T1" s="2" t="s">
        <v>1</v>
      </c>
      <c r="U1" s="3" t="s">
        <v>57</v>
      </c>
      <c r="V1" s="4"/>
      <c r="W1" s="5"/>
      <c r="X1" s="6" t="s">
        <v>2</v>
      </c>
      <c r="Y1" s="6" t="s">
        <v>3</v>
      </c>
      <c r="Z1" s="6" t="s">
        <v>4</v>
      </c>
      <c r="AA1" s="7" t="s">
        <v>5</v>
      </c>
      <c r="AB1" s="8"/>
      <c r="AC1" s="9"/>
      <c r="AD1" s="53" t="s">
        <v>6</v>
      </c>
      <c r="AE1" s="54"/>
    </row>
    <row r="2" spans="1:31" x14ac:dyDescent="0.3">
      <c r="A2" s="10" t="s">
        <v>7</v>
      </c>
      <c r="B2" s="51">
        <v>25</v>
      </c>
      <c r="C2" s="52"/>
      <c r="E2" s="11" t="s">
        <v>8</v>
      </c>
      <c r="F2" s="8" t="s">
        <v>9</v>
      </c>
      <c r="G2" s="12" t="s">
        <v>10</v>
      </c>
      <c r="H2" s="13" t="s">
        <v>11</v>
      </c>
      <c r="I2" s="14">
        <f>VLOOKUP(F1,[1]Pokemon!$A$1:$I$874,3,FALSE)+IF(F3="Sim",20,0)</f>
        <v>84</v>
      </c>
      <c r="J2" s="15">
        <v>0</v>
      </c>
      <c r="K2" s="8">
        <f>IF($B$5="Vigoroso",ROUNDUP((N2+J2)*1.2,0),N2+J2)</f>
        <v>164</v>
      </c>
      <c r="L2" s="16">
        <v>164</v>
      </c>
      <c r="M2" s="17"/>
      <c r="N2" s="9">
        <f>I2+LOOKUP(I2,[1]Dados!$C$3:$D$12,[1]Dados!$E$3:$E$12)*(ROUNDDOWN(F5/2,0))+LOOKUP(I2,[1]Dados!$C$3:$D$12,[1]Dados!$F$3:$F$12)*(ROUNDDOWN((F5-1)/2,0))</f>
        <v>164</v>
      </c>
      <c r="O2" s="18" t="s">
        <v>12</v>
      </c>
      <c r="P2" s="19"/>
      <c r="T2" s="11" t="s">
        <v>8</v>
      </c>
      <c r="U2" s="8" t="s">
        <v>9</v>
      </c>
      <c r="V2" s="12" t="s">
        <v>10</v>
      </c>
      <c r="W2" s="13" t="s">
        <v>11</v>
      </c>
      <c r="X2" s="14">
        <f>VLOOKUP(U1,[1]Pokemon!$A$1:$I$874,3,FALSE)+IF(U3="Sim",20,0)</f>
        <v>58</v>
      </c>
      <c r="Y2" s="15">
        <v>0</v>
      </c>
      <c r="Z2" s="8">
        <f>IF($B$5="Vigoroso",ROUNDUP((AC2+Y2)*1.2,0),AC2+Y2)</f>
        <v>180</v>
      </c>
      <c r="AA2" s="16">
        <v>180</v>
      </c>
      <c r="AB2" s="17"/>
      <c r="AC2" s="9">
        <f>X2+LOOKUP(X2,[1]Dados!$C$3:$D$12,[1]Dados!$E$3:$E$12)*(ROUNDDOWN(U5/2,0))+LOOKUP(X2,[1]Dados!$C$3:$D$12,[1]Dados!$F$3:$F$12)*(ROUNDDOWN((U5-1)/2,0))</f>
        <v>180</v>
      </c>
      <c r="AD2" s="18" t="s">
        <v>12</v>
      </c>
      <c r="AE2" s="19">
        <f>(105/85)*2</f>
        <v>2.4705882352941178</v>
      </c>
    </row>
    <row r="3" spans="1:31" x14ac:dyDescent="0.3">
      <c r="A3" s="10" t="s">
        <v>13</v>
      </c>
      <c r="B3" s="51" t="s">
        <v>51</v>
      </c>
      <c r="C3" s="52"/>
      <c r="E3" s="11" t="s">
        <v>14</v>
      </c>
      <c r="F3" s="8" t="s">
        <v>59</v>
      </c>
      <c r="G3" s="20"/>
      <c r="H3" s="13" t="s">
        <v>16</v>
      </c>
      <c r="I3" s="21">
        <f>20+IF(F3="Sim",10,0)</f>
        <v>30</v>
      </c>
      <c r="J3" s="22">
        <v>0</v>
      </c>
      <c r="K3" s="8">
        <f>18+(F5*2)+IF(F3="Sim",10,0)+J3</f>
        <v>94</v>
      </c>
      <c r="L3" s="16">
        <v>94</v>
      </c>
      <c r="M3" s="17"/>
      <c r="N3" s="9"/>
      <c r="O3" s="18" t="s">
        <v>17</v>
      </c>
      <c r="P3" s="19"/>
      <c r="T3" s="11" t="s">
        <v>14</v>
      </c>
      <c r="U3" s="8" t="s">
        <v>59</v>
      </c>
      <c r="V3" s="20"/>
      <c r="W3" s="13" t="s">
        <v>16</v>
      </c>
      <c r="X3" s="21">
        <f>20+IF(U3="Sim",10,0)</f>
        <v>30</v>
      </c>
      <c r="Y3" s="22">
        <v>0</v>
      </c>
      <c r="Z3" s="8">
        <f>18+(U5*2)+IF(U3="Sim",10,0)+Y3</f>
        <v>152</v>
      </c>
      <c r="AA3" s="16">
        <v>152</v>
      </c>
      <c r="AB3" s="17"/>
      <c r="AC3" s="9"/>
      <c r="AD3" s="18" t="s">
        <v>17</v>
      </c>
      <c r="AE3" s="19">
        <f>125/85</f>
        <v>1.4705882352941178</v>
      </c>
    </row>
    <row r="4" spans="1:31" x14ac:dyDescent="0.3">
      <c r="A4" s="10" t="s">
        <v>18</v>
      </c>
      <c r="B4" s="51" t="s">
        <v>52</v>
      </c>
      <c r="C4" s="52"/>
      <c r="E4" s="11" t="s">
        <v>19</v>
      </c>
      <c r="F4" s="23" t="str">
        <f>VLOOKUP(F1,[1]Pokemon!$A$1:$I$874,2,FALSE)</f>
        <v>Fada/Voador</v>
      </c>
      <c r="G4" s="20"/>
      <c r="H4" s="13" t="s">
        <v>12</v>
      </c>
      <c r="I4" s="14">
        <f>VLOOKUP(F1,[1]Pokemon!$A$1:$I$874,4,FALSE)+IF(F3="Sim",1,0)</f>
        <v>6</v>
      </c>
      <c r="J4" s="22">
        <v>1</v>
      </c>
      <c r="K4" s="8">
        <f>IF(L7="Sim", ROUNDUP((N4+ROUNDDOWN(F7/10,0))*J4*P2,0), ROUNDUP((N4+ROUNDDOWN(F7/10,0))*J4,0))</f>
        <v>64</v>
      </c>
      <c r="L4" s="24" t="s">
        <v>20</v>
      </c>
      <c r="M4" s="17"/>
      <c r="N4" s="9">
        <f>I4+LOOKUP(I4,[1]Dados!$H$3:$I$12,[1]Dados!$J$3:$J$12)*(ROUNDDOWN(F5/2,0))+LOOKUP(I4,[1]Dados!$H$3:$I$12,[1]Dados!$K$3:$K$12)*(ROUNDDOWN((F5-1)/2,0))</f>
        <v>54</v>
      </c>
      <c r="O4" s="18" t="s">
        <v>21</v>
      </c>
      <c r="P4" s="19"/>
      <c r="T4" s="11" t="s">
        <v>19</v>
      </c>
      <c r="U4" s="23" t="str">
        <f>VLOOKUP(U1,[1]Pokemon!$A$1:$I$874,2,FALSE)</f>
        <v>Metal/Fada</v>
      </c>
      <c r="V4" s="20"/>
      <c r="W4" s="13" t="s">
        <v>12</v>
      </c>
      <c r="X4" s="14">
        <f>VLOOKUP(U1,[1]Pokemon!$A$1:$I$874,4,FALSE)+IF(U3="Sim",1,0)</f>
        <v>9</v>
      </c>
      <c r="Y4" s="22">
        <v>1</v>
      </c>
      <c r="Z4" s="8">
        <f>IF(AA7="Sim", ROUNDUP((AC4+ROUNDDOWN(U7/10,0))*Y4*AE2,0), ROUNDUP((AC4+ROUNDDOWN(U7/10,0))*Y4,0))</f>
        <v>161</v>
      </c>
      <c r="AA4" s="24" t="s">
        <v>20</v>
      </c>
      <c r="AB4" s="17"/>
      <c r="AC4" s="9">
        <f>X4+LOOKUP(X4,[1]Dados!$H$3:$I$12,[1]Dados!$J$3:$J$12)*(ROUNDDOWN(U5/2,0))+LOOKUP(X4,[1]Dados!$H$3:$I$12,[1]Dados!$K$3:$K$12)*(ROUNDDOWN((U5-1)/2,0))</f>
        <v>131</v>
      </c>
      <c r="AD4" s="18" t="s">
        <v>21</v>
      </c>
      <c r="AE4" s="19">
        <f>55/55</f>
        <v>1</v>
      </c>
    </row>
    <row r="5" spans="1:31" x14ac:dyDescent="0.3">
      <c r="A5" s="10" t="s">
        <v>22</v>
      </c>
      <c r="B5" s="51" t="s">
        <v>53</v>
      </c>
      <c r="C5" s="52"/>
      <c r="E5" s="11" t="s">
        <v>23</v>
      </c>
      <c r="F5" s="25">
        <v>33</v>
      </c>
      <c r="G5" s="20"/>
      <c r="H5" s="13" t="s">
        <v>17</v>
      </c>
      <c r="I5" s="14">
        <f>VLOOKUP(F1,[1]Pokemon!$A$1:$I$874,5,FALSE)+IF(F3="Sim",1,0)</f>
        <v>10</v>
      </c>
      <c r="J5" s="22">
        <v>1</v>
      </c>
      <c r="K5" s="8">
        <f>IF(L7="Sim", ROUNDUP((N5+ROUNDDOWN(F7/10,0))*J5*P3,0), ROUNDUP((N5+ROUNDDOWN(F7/10,0))*J5,0))</f>
        <v>100</v>
      </c>
      <c r="L5" s="26">
        <f>ROUNDDOWN(I8/2,0)</f>
        <v>4</v>
      </c>
      <c r="M5" s="17"/>
      <c r="N5" s="9">
        <f>I5+LOOKUP(I5,[1]Dados!$H$3:$I$12,[1]Dados!$J$3:$J$12)*(ROUNDDOWN(F5/2,0))+LOOKUP(I5,[1]Dados!$H$3:$I$12,[1]Dados!$K$3:$K$12)*(ROUNDDOWN((F5-1)/2,0))</f>
        <v>90</v>
      </c>
      <c r="O5" s="18" t="s">
        <v>24</v>
      </c>
      <c r="P5" s="19"/>
      <c r="T5" s="11" t="s">
        <v>23</v>
      </c>
      <c r="U5" s="25">
        <v>62</v>
      </c>
      <c r="V5" s="20"/>
      <c r="W5" s="13" t="s">
        <v>17</v>
      </c>
      <c r="X5" s="14">
        <f>VLOOKUP(U1,[1]Pokemon!$A$1:$I$874,5,FALSE)+IF(U3="Sim",1,0)</f>
        <v>9</v>
      </c>
      <c r="Y5" s="22">
        <v>1</v>
      </c>
      <c r="Z5" s="8">
        <f>IF(AA7="Sim", ROUNDUP((AC5+ROUNDDOWN(U7/10,0))*Y5*AE3,0), ROUNDUP((AC5+ROUNDDOWN(U7/10,0))*Y5,0))</f>
        <v>161</v>
      </c>
      <c r="AA5" s="26">
        <f>ROUNDDOWN(X8/2,0)</f>
        <v>3</v>
      </c>
      <c r="AB5" s="17"/>
      <c r="AC5" s="9">
        <f>X5+LOOKUP(X5,[1]Dados!$H$3:$I$12,[1]Dados!$J$3:$J$12)*(ROUNDDOWN(U5/2,0))+LOOKUP(X5,[1]Dados!$H$3:$I$12,[1]Dados!$K$3:$K$12)*(ROUNDDOWN((U5-1)/2,0))</f>
        <v>131</v>
      </c>
      <c r="AD5" s="18" t="s">
        <v>24</v>
      </c>
      <c r="AE5" s="19">
        <f>95/55</f>
        <v>1.7272727272727273</v>
      </c>
    </row>
    <row r="6" spans="1:31" ht="15" thickBot="1" x14ac:dyDescent="0.35">
      <c r="A6" s="27" t="s">
        <v>25</v>
      </c>
      <c r="B6" s="57" t="s">
        <v>54</v>
      </c>
      <c r="C6" s="58"/>
      <c r="E6" s="11" t="s">
        <v>26</v>
      </c>
      <c r="F6" s="23">
        <v>0</v>
      </c>
      <c r="G6" s="20"/>
      <c r="H6" s="13" t="s">
        <v>21</v>
      </c>
      <c r="I6" s="14">
        <f>VLOOKUP(F1,[1]Pokemon!$A$1:$I$874,6,FALSE)+IF(F3="Sim",1,0)</f>
        <v>13</v>
      </c>
      <c r="J6" s="22">
        <v>1</v>
      </c>
      <c r="K6" s="8">
        <f>IF(L7="Sim", ROUNDUP((N6+ROUNDDOWN(F7/10,0))*J6*P4,0), ROUNDUP((N6+ROUNDDOWN(F7/10,0))*J6,0))</f>
        <v>119</v>
      </c>
      <c r="L6" s="24" t="s">
        <v>27</v>
      </c>
      <c r="M6" s="17"/>
      <c r="N6" s="9">
        <f>I6+LOOKUP(I6,[1]Dados!$H$3:$I$12,[1]Dados!$J$3:$J$12)*(ROUNDDOWN(F5/2,0))+LOOKUP(I6,[1]Dados!$H$3:$I$12,[1]Dados!$K$3:$K$12)*(ROUNDDOWN((F5-1)/2,0))</f>
        <v>109</v>
      </c>
      <c r="O6" s="28" t="s">
        <v>28</v>
      </c>
      <c r="P6" s="29"/>
      <c r="T6" s="11" t="s">
        <v>26</v>
      </c>
      <c r="U6" s="23">
        <v>0</v>
      </c>
      <c r="V6" s="20"/>
      <c r="W6" s="13" t="s">
        <v>21</v>
      </c>
      <c r="X6" s="14">
        <f>VLOOKUP(U1,[1]Pokemon!$A$1:$I$874,6,FALSE)+IF(U3="Sim",1,0)</f>
        <v>6</v>
      </c>
      <c r="Y6" s="22">
        <v>1</v>
      </c>
      <c r="Z6" s="8">
        <f>IF(AA7="Sim", ROUNDUP((AC6+ROUNDDOWN(U7/10,0))*Y6*AE4,0), ROUNDUP((AC6+ROUNDDOWN(U7/10,0))*Y6,0))</f>
        <v>128</v>
      </c>
      <c r="AA6" s="24" t="s">
        <v>27</v>
      </c>
      <c r="AB6" s="17"/>
      <c r="AC6" s="9">
        <f>X6+LOOKUP(X6,[1]Dados!$H$3:$I$12,[1]Dados!$J$3:$J$12)*(ROUNDDOWN(U5/2,0))+LOOKUP(X6,[1]Dados!$H$3:$I$12,[1]Dados!$K$3:$K$12)*(ROUNDDOWN((U5-1)/2,0))</f>
        <v>98</v>
      </c>
      <c r="AD6" s="28" t="s">
        <v>28</v>
      </c>
      <c r="AE6" s="29">
        <f>50/50</f>
        <v>1</v>
      </c>
    </row>
    <row r="7" spans="1:31" ht="15" thickBot="1" x14ac:dyDescent="0.35">
      <c r="A7" s="59"/>
      <c r="B7" s="59"/>
      <c r="C7" s="59"/>
      <c r="E7" s="11" t="s">
        <v>29</v>
      </c>
      <c r="F7" s="30">
        <v>100</v>
      </c>
      <c r="G7" s="20"/>
      <c r="H7" s="13" t="s">
        <v>24</v>
      </c>
      <c r="I7" s="14">
        <f>VLOOKUP(F1,[1]Pokemon!$A$1:$I$874,7,FALSE)+IF(F3="Sim",1,0)</f>
        <v>12</v>
      </c>
      <c r="J7" s="22">
        <v>1</v>
      </c>
      <c r="K7" s="8">
        <f>IF(L7="Sim", ROUNDUP((N7+ROUNDDOWN(F7/10,0))*J7*P5,0), ROUNDUP((N7+ROUNDDOWN(F7/10,0))*J7,0))</f>
        <v>118</v>
      </c>
      <c r="L7" s="26" t="s">
        <v>15</v>
      </c>
      <c r="M7" s="17"/>
      <c r="N7" s="9">
        <f>I7+LOOKUP(I7,[1]Dados!$H$3:$I$12,[1]Dados!$J$3:$J$12)*(ROUNDDOWN(F5/2,0))+LOOKUP(I7,[1]Dados!$H$3:$I$12,[1]Dados!$K$3:$K$12)*(ROUNDDOWN((F5-1)/2,0))</f>
        <v>108</v>
      </c>
      <c r="T7" s="11" t="s">
        <v>29</v>
      </c>
      <c r="U7" s="30">
        <v>300</v>
      </c>
      <c r="V7" s="20"/>
      <c r="W7" s="13" t="s">
        <v>24</v>
      </c>
      <c r="X7" s="14">
        <f>VLOOKUP(U1,[1]Pokemon!$A$1:$I$874,7,FALSE)+IF(U3="Sim",1,0)</f>
        <v>6</v>
      </c>
      <c r="Y7" s="22">
        <v>1</v>
      </c>
      <c r="Z7" s="8">
        <f>IF(AA7="Sim", ROUNDUP((AC7+ROUNDDOWN(U7/10,0))*Y7*AE5,0), ROUNDUP((AC7+ROUNDDOWN(U7/10,0))*Y7,0))</f>
        <v>128</v>
      </c>
      <c r="AA7" s="26" t="s">
        <v>64</v>
      </c>
      <c r="AB7" s="17"/>
      <c r="AC7" s="9">
        <f>X7+LOOKUP(X7,[1]Dados!$H$3:$I$12,[1]Dados!$J$3:$J$12)*(ROUNDDOWN(U5/2,0))+LOOKUP(X7,[1]Dados!$H$3:$I$12,[1]Dados!$K$3:$K$12)*(ROUNDDOWN((U5-1)/2,0))</f>
        <v>98</v>
      </c>
    </row>
    <row r="8" spans="1:31" x14ac:dyDescent="0.3">
      <c r="A8" s="1" t="s">
        <v>30</v>
      </c>
      <c r="B8" s="55">
        <v>3</v>
      </c>
      <c r="C8" s="56"/>
      <c r="E8" s="11" t="s">
        <v>31</v>
      </c>
      <c r="F8" s="23" t="s">
        <v>32</v>
      </c>
      <c r="G8" s="20"/>
      <c r="H8" s="13" t="s">
        <v>28</v>
      </c>
      <c r="I8" s="14">
        <f>VLOOKUP(F1,[1]Pokemon!$A$1:$I$874,8,FALSE)+IF(F3="Sim",1,0)</f>
        <v>9</v>
      </c>
      <c r="J8" s="22">
        <f>1*IF(F9="Paralisado",0.5,1)</f>
        <v>1</v>
      </c>
      <c r="K8" s="8">
        <f>IF(L7="Sim", ROUNDUP(N8*J8*P6,0), ROUNDUP(N8*J8,0))</f>
        <v>73</v>
      </c>
      <c r="L8" s="31" t="str">
        <f>IF(L7 = "Sim", ROUNDUP((K8/(10*P6)), 0)&amp;"d6", ROUNDUP((K8/10), 0)&amp;"d6")</f>
        <v>8d6</v>
      </c>
      <c r="M8" s="17"/>
      <c r="N8" s="9">
        <f>I8+LOOKUP(I8,[1]Dados!$H$3:$I$12,[1]Dados!$J$3:$J$12)*(ROUNDDOWN(F5/2,0))+LOOKUP(I8,[1]Dados!$H$3:$I$12,[1]Dados!$K$3:$K$12)*(ROUNDDOWN((F5-1)/2,0))</f>
        <v>73</v>
      </c>
      <c r="T8" s="11" t="s">
        <v>31</v>
      </c>
      <c r="U8" s="23" t="s">
        <v>58</v>
      </c>
      <c r="V8" s="20"/>
      <c r="W8" s="13" t="s">
        <v>28</v>
      </c>
      <c r="X8" s="14">
        <f>VLOOKUP(U1,[1]Pokemon!$A$1:$I$874,8,FALSE)+IF(U3="Sim",1,0)</f>
        <v>6</v>
      </c>
      <c r="Y8" s="22">
        <f>1*IF(U9="Paralisado",0.5,1)</f>
        <v>1</v>
      </c>
      <c r="Z8" s="8">
        <f>IF(AA7="Sim", ROUNDUP(AC8*Y8*AE6,0), ROUNDUP(AC8*Y8,0))</f>
        <v>98</v>
      </c>
      <c r="AA8" s="31" t="str">
        <f>IF(AA7 = "Sim", ROUNDUP((Z8/(10*AE6)), 0)&amp;"d6", ROUNDUP((Z8/10), 0)&amp;"d6")</f>
        <v>10d6</v>
      </c>
      <c r="AB8" s="17"/>
      <c r="AC8" s="9">
        <f>X8+LOOKUP(X8,[1]Dados!$H$3:$I$12,[1]Dados!$J$3:$J$12)*(ROUNDDOWN(U5/2,0))+LOOKUP(X8,[1]Dados!$H$3:$I$12,[1]Dados!$K$3:$K$12)*(ROUNDDOWN((U5-1)/2,0))</f>
        <v>98</v>
      </c>
    </row>
    <row r="9" spans="1:31" x14ac:dyDescent="0.3">
      <c r="A9" s="10" t="s">
        <v>33</v>
      </c>
      <c r="B9" s="51">
        <v>4</v>
      </c>
      <c r="C9" s="52"/>
      <c r="E9" s="11" t="s">
        <v>34</v>
      </c>
      <c r="F9" s="23"/>
      <c r="G9" s="20"/>
      <c r="H9" s="13" t="s">
        <v>35</v>
      </c>
      <c r="I9" s="14">
        <f>VLOOKUP(F1,[1]Pokemon!$A$1:$I$874,9,FALSE)</f>
        <v>245</v>
      </c>
      <c r="J9" s="13" t="s">
        <v>36</v>
      </c>
      <c r="K9" s="13"/>
      <c r="L9" s="32">
        <f>((F5+1)*I9/2)-F6</f>
        <v>4165</v>
      </c>
      <c r="M9" s="17"/>
      <c r="N9" s="33"/>
      <c r="T9" s="11" t="s">
        <v>34</v>
      </c>
      <c r="U9" s="23"/>
      <c r="V9" s="20"/>
      <c r="W9" s="13" t="s">
        <v>35</v>
      </c>
      <c r="X9" s="14">
        <f>VLOOKUP(U1,[1]Pokemon!$A$1:$I$874,9,FALSE)</f>
        <v>133</v>
      </c>
      <c r="Y9" s="13" t="s">
        <v>36</v>
      </c>
      <c r="Z9" s="13"/>
      <c r="AA9" s="32">
        <f>((U5+1)*X9/2)-U6</f>
        <v>4189.5</v>
      </c>
      <c r="AB9" s="17"/>
      <c r="AC9" s="33"/>
    </row>
    <row r="10" spans="1:31" x14ac:dyDescent="0.3">
      <c r="A10" s="10" t="s">
        <v>37</v>
      </c>
      <c r="B10" s="51">
        <v>3</v>
      </c>
      <c r="C10" s="52"/>
      <c r="E10" s="34"/>
      <c r="F10" s="8"/>
      <c r="G10" s="17"/>
      <c r="H10" s="8"/>
      <c r="I10" s="8"/>
      <c r="J10" s="8"/>
      <c r="K10" s="8"/>
      <c r="L10" s="26"/>
      <c r="M10" s="17"/>
      <c r="N10" s="35"/>
      <c r="T10" s="34"/>
      <c r="U10" s="8"/>
      <c r="V10" s="17"/>
      <c r="W10" s="8"/>
      <c r="X10" s="8"/>
      <c r="Y10" s="8"/>
      <c r="Z10" s="8"/>
      <c r="AA10" s="26"/>
      <c r="AB10" s="17"/>
      <c r="AC10" s="35"/>
    </row>
    <row r="11" spans="1:31" x14ac:dyDescent="0.3">
      <c r="A11" s="10" t="s">
        <v>38</v>
      </c>
      <c r="B11" s="51">
        <v>4</v>
      </c>
      <c r="C11" s="52"/>
      <c r="E11" s="60" t="s">
        <v>39</v>
      </c>
      <c r="F11" s="61"/>
      <c r="G11" s="13" t="s">
        <v>40</v>
      </c>
      <c r="H11" s="13"/>
      <c r="I11" s="13"/>
      <c r="J11" s="13" t="s">
        <v>16</v>
      </c>
      <c r="K11" s="13" t="s">
        <v>41</v>
      </c>
      <c r="L11" s="24" t="s">
        <v>42</v>
      </c>
      <c r="M11" s="17"/>
      <c r="N11" s="35"/>
      <c r="T11" s="60" t="s">
        <v>39</v>
      </c>
      <c r="U11" s="61"/>
      <c r="V11" s="13" t="s">
        <v>40</v>
      </c>
      <c r="W11" s="13"/>
      <c r="X11" s="13"/>
      <c r="Y11" s="13" t="s">
        <v>16</v>
      </c>
      <c r="Z11" s="13" t="s">
        <v>41</v>
      </c>
      <c r="AA11" s="24" t="s">
        <v>42</v>
      </c>
      <c r="AB11" s="17"/>
      <c r="AC11" s="35"/>
    </row>
    <row r="12" spans="1:31" x14ac:dyDescent="0.3">
      <c r="A12" s="10" t="s">
        <v>43</v>
      </c>
      <c r="B12" s="51">
        <v>3</v>
      </c>
      <c r="C12" s="52"/>
      <c r="E12" s="62" t="s">
        <v>66</v>
      </c>
      <c r="F12" s="63"/>
      <c r="G12" s="63" t="str">
        <f>VLOOKUP(E12,[2]Golpes!$A$1:$G$653,2,FALSE)&amp;"/"&amp;VLOOKUP(E12,[2]Golpes!$A$1:$G$653,3,FALSE)</f>
        <v>Voador/Especial</v>
      </c>
      <c r="H12" s="63"/>
      <c r="I12" s="63"/>
      <c r="J12" s="25">
        <f>VLOOKUP(E12,[2]Golpes!$A$1:$G$653,4,FALSE)</f>
        <v>9</v>
      </c>
      <c r="K12" s="25" t="str">
        <f>VLOOKUP(E12,[2]Golpes!$A$1:$G$653,5,FALSE)</f>
        <v>8d6</v>
      </c>
      <c r="L12" s="36">
        <f>VLOOKUP(E12,[2]Golpes!$A$1:$G$653,6,FALSE)</f>
        <v>0.95</v>
      </c>
      <c r="M12" s="17" t="str">
        <f>VLOOKUP(E12,[2]Golpes!$A$1:$G$653,7,FALSE)</f>
        <v>Causa dano e tem 30% de chance de causar condição Recuando.</v>
      </c>
      <c r="N12" s="35"/>
      <c r="T12" s="62" t="s">
        <v>60</v>
      </c>
      <c r="U12" s="63"/>
      <c r="V12" s="63" t="str">
        <f>VLOOKUP(T12,[2]Golpes!$A$1:$G$653,2,FALSE)&amp;"/"&amp;VLOOKUP(T12,[2]Golpes!$A$1:$G$653,3,FALSE)</f>
        <v>Fada/Físico</v>
      </c>
      <c r="W12" s="63"/>
      <c r="X12" s="63"/>
      <c r="Y12" s="25">
        <f>VLOOKUP(T12,[2]Golpes!$A$1:$G$653,4,FALSE)</f>
        <v>10</v>
      </c>
      <c r="Z12" s="25" t="str">
        <f>VLOOKUP(T12,[2]Golpes!$A$1:$G$653,5,FALSE)</f>
        <v>10d6</v>
      </c>
      <c r="AA12" s="36">
        <f>VLOOKUP(T12,[2]Golpes!$A$1:$G$653,6,FALSE)</f>
        <v>0.9</v>
      </c>
      <c r="AB12" s="17" t="str">
        <f>VLOOKUP(T12,[2]Golpes!$A$1:$G$653,7,FALSE)</f>
        <v>Causa dano e tem 10% de chance de diminuir o Ataque do adversário em 10% do total (diminuição máxima de 60%).</v>
      </c>
      <c r="AC12" s="35"/>
    </row>
    <row r="13" spans="1:31" ht="15" thickBot="1" x14ac:dyDescent="0.35">
      <c r="A13" s="27" t="s">
        <v>44</v>
      </c>
      <c r="B13" s="57">
        <v>5</v>
      </c>
      <c r="C13" s="58"/>
      <c r="E13" s="62" t="s">
        <v>67</v>
      </c>
      <c r="F13" s="63"/>
      <c r="G13" s="63" t="str">
        <f>VLOOKUP(E13,[2]Golpes!$A$1:$G$653,2,FALSE)&amp;"/"&amp;VLOOKUP(E13,[2]Golpes!$A$1:$G$653,3,FALSE)</f>
        <v>Pedra/Especial</v>
      </c>
      <c r="H13" s="63"/>
      <c r="I13" s="63"/>
      <c r="J13" s="25">
        <f>VLOOKUP(E13,[2]Golpes!$A$1:$G$653,4,FALSE)</f>
        <v>6</v>
      </c>
      <c r="K13" s="25" t="str">
        <f>VLOOKUP(E13,[2]Golpes!$A$1:$G$653,5,FALSE)</f>
        <v>6d6</v>
      </c>
      <c r="L13" s="36">
        <f>VLOOKUP(E13,[2]Golpes!$A$1:$G$653,6,FALSE)</f>
        <v>1</v>
      </c>
      <c r="M13" s="17" t="str">
        <f>VLOOKUP(E13,[2]Golpes!$A$1:$G$653,7,FALSE)</f>
        <v>Causa dano e tem 10% de chance de aumentar todos os atributos em 10% do total (aumento máximo de 60% para cada).</v>
      </c>
      <c r="N13" s="35"/>
      <c r="T13" s="62" t="s">
        <v>61</v>
      </c>
      <c r="U13" s="63"/>
      <c r="V13" s="63" t="str">
        <f>VLOOKUP(T13,[2]Golpes!$A$1:$G$653,2,FALSE)&amp;"/"&amp;VLOOKUP(T13,[2]Golpes!$A$1:$G$653,3,FALSE)</f>
        <v>Metal/Físico</v>
      </c>
      <c r="W13" s="63"/>
      <c r="X13" s="63"/>
      <c r="Y13" s="25">
        <f>VLOOKUP(T13,[2]Golpes!$A$1:$G$653,4,FALSE)</f>
        <v>10</v>
      </c>
      <c r="Z13" s="25" t="str">
        <f>VLOOKUP(T13,[2]Golpes!$A$1:$G$653,5,FALSE)</f>
        <v>8d6</v>
      </c>
      <c r="AA13" s="36">
        <f>VLOOKUP(T13,[2]Golpes!$A$1:$G$653,6,FALSE)</f>
        <v>1</v>
      </c>
      <c r="AB13" s="17" t="str">
        <f>VLOOKUP(T13,[2]Golpes!$A$1:$G$653,7,FALSE)</f>
        <v>Causa dano e tem 30% de chance de causar condição Recuando.</v>
      </c>
      <c r="AC13" s="35"/>
    </row>
    <row r="14" spans="1:31" x14ac:dyDescent="0.3">
      <c r="A14" s="37" t="s">
        <v>45</v>
      </c>
      <c r="B14" s="38">
        <v>30</v>
      </c>
      <c r="C14" s="39">
        <f>B10*10</f>
        <v>30</v>
      </c>
      <c r="E14" s="62" t="s">
        <v>68</v>
      </c>
      <c r="F14" s="63"/>
      <c r="G14" s="63" t="str">
        <f>VLOOKUP(E14,[2]Golpes!$A$1:$G$653,2,FALSE)&amp;"/"&amp;VLOOKUP(E14,[2]Golpes!$A$1:$G$653,3,FALSE)</f>
        <v>Lutador/Especial</v>
      </c>
      <c r="H14" s="63"/>
      <c r="I14" s="63"/>
      <c r="J14" s="25">
        <f>VLOOKUP(E14,[2]Golpes!$A$1:$G$653,4,FALSE)</f>
        <v>3</v>
      </c>
      <c r="K14" s="25" t="str">
        <f>VLOOKUP(E14,[2]Golpes!$A$1:$G$653,5,FALSE)</f>
        <v>7d6</v>
      </c>
      <c r="L14" s="36">
        <f>VLOOKUP(E14,[2]Golpes!$A$1:$G$653,6,FALSE)</f>
        <v>1</v>
      </c>
      <c r="M14" s="17" t="str">
        <f>VLOOKUP(E14,[2]Golpes!$A$1:$G$653,7,FALSE)</f>
        <v>Causa dano.</v>
      </c>
      <c r="N14" s="35"/>
      <c r="T14" s="62" t="s">
        <v>62</v>
      </c>
      <c r="U14" s="63"/>
      <c r="V14" s="63" t="str">
        <f>VLOOKUP(T14,[2]Golpes!$A$1:$G$653,2,FALSE)&amp;"/"&amp;VLOOKUP(T14,[2]Golpes!$A$1:$G$653,3,FALSE)</f>
        <v>Terra/Físico</v>
      </c>
      <c r="W14" s="63"/>
      <c r="X14" s="63"/>
      <c r="Y14" s="25">
        <f>VLOOKUP(T14,[2]Golpes!$A$1:$G$653,4,FALSE)</f>
        <v>12</v>
      </c>
      <c r="Z14" s="25" t="str">
        <f>VLOOKUP(T14,[2]Golpes!$A$1:$G$653,5,FALSE)</f>
        <v>12d6</v>
      </c>
      <c r="AA14" s="36">
        <f>VLOOKUP(T14,[2]Golpes!$A$1:$G$653,6,FALSE)</f>
        <v>1</v>
      </c>
      <c r="AB14" s="17" t="str">
        <f>VLOOKUP(T14,[2]Golpes!$A$1:$G$653,7,FALSE)</f>
        <v>Causa dano, e será dobrado (10d6) se o oponente estiver debaixo da terra com Cavar.</v>
      </c>
      <c r="AC14" s="35"/>
    </row>
    <row r="15" spans="1:31" ht="15" thickBot="1" x14ac:dyDescent="0.35">
      <c r="A15" s="40" t="s">
        <v>46</v>
      </c>
      <c r="B15" s="41">
        <v>30</v>
      </c>
      <c r="C15" s="42">
        <f>B14</f>
        <v>30</v>
      </c>
      <c r="E15" s="67" t="s">
        <v>69</v>
      </c>
      <c r="F15" s="68"/>
      <c r="G15" s="68" t="str">
        <f>VLOOKUP(E15,[2]Golpes!$A$1:$G$653,2,FALSE)&amp;"/"&amp;VLOOKUP(E15,[2]Golpes!$A$1:$G$653,3,FALSE)</f>
        <v>Água/Estado</v>
      </c>
      <c r="H15" s="68"/>
      <c r="I15" s="68"/>
      <c r="J15" s="43">
        <f>VLOOKUP(E15,[2]Golpes!$A$1:$G$653,4,FALSE)</f>
        <v>1</v>
      </c>
      <c r="K15" s="43" t="str">
        <f>VLOOKUP(E15,[2]Golpes!$A$1:$G$653,5,FALSE)</f>
        <v>-</v>
      </c>
      <c r="L15" s="44">
        <f>VLOOKUP(E15,[2]Golpes!$A$1:$G$653,6,FALSE)</f>
        <v>1</v>
      </c>
      <c r="M15" s="17" t="str">
        <f>VLOOKUP(E15,[2]Golpes!$A$1:$G$653,7,FALSE)</f>
        <v>Cura 25% dos PVs do pokémon e dos aliados</v>
      </c>
      <c r="N15" s="35"/>
      <c r="T15" s="67" t="s">
        <v>63</v>
      </c>
      <c r="U15" s="68"/>
      <c r="V15" s="68" t="str">
        <f>VLOOKUP(T15,[2]Golpes!$A$1:$G$653,2,FALSE)&amp;"/"&amp;VLOOKUP(T15,[2]Golpes!$A$1:$G$653,3,FALSE)</f>
        <v>Normal/Estado</v>
      </c>
      <c r="W15" s="68"/>
      <c r="X15" s="68"/>
      <c r="Y15" s="43">
        <f>VLOOKUP(T15,[2]Golpes!$A$1:$G$653,4,FALSE)</f>
        <v>2</v>
      </c>
      <c r="Z15" s="43" t="str">
        <f>VLOOKUP(T15,[2]Golpes!$A$1:$G$653,5,FALSE)</f>
        <v>-</v>
      </c>
      <c r="AA15" s="44">
        <f>VLOOKUP(T15,[2]Golpes!$A$1:$G$653,6,FALSE)</f>
        <v>1</v>
      </c>
      <c r="AB15" s="17" t="str">
        <f>VLOOKUP(T15,[2]Golpes!$A$1:$G$653,7,FALSE)</f>
        <v>Aumenta o Ataque em 20% do total (aumento máximo de 60%).</v>
      </c>
      <c r="AC15" s="35"/>
    </row>
    <row r="16" spans="1:31" ht="15" thickBot="1" x14ac:dyDescent="0.35">
      <c r="A16" s="59">
        <v>3</v>
      </c>
      <c r="B16" s="59"/>
      <c r="C16" s="59"/>
    </row>
    <row r="17" spans="1:31" ht="15" thickBot="1" x14ac:dyDescent="0.35">
      <c r="A17" s="64" t="s">
        <v>47</v>
      </c>
      <c r="B17" s="65"/>
      <c r="C17" s="66"/>
      <c r="E17" s="2" t="s">
        <v>1</v>
      </c>
      <c r="F17" s="3" t="s">
        <v>76</v>
      </c>
      <c r="G17" s="4" t="s">
        <v>175</v>
      </c>
      <c r="H17" s="5"/>
      <c r="I17" s="6" t="s">
        <v>2</v>
      </c>
      <c r="J17" s="6" t="s">
        <v>3</v>
      </c>
      <c r="K17" s="6" t="s">
        <v>4</v>
      </c>
      <c r="L17" s="7" t="s">
        <v>5</v>
      </c>
      <c r="M17" s="8"/>
      <c r="N17" s="9"/>
      <c r="O17" s="53" t="s">
        <v>6</v>
      </c>
      <c r="P17" s="54"/>
      <c r="T17" s="2" t="s">
        <v>1</v>
      </c>
      <c r="U17" s="3" t="s">
        <v>70</v>
      </c>
      <c r="V17" s="4"/>
      <c r="W17" s="5"/>
      <c r="X17" s="6" t="s">
        <v>2</v>
      </c>
      <c r="Y17" s="6" t="s">
        <v>3</v>
      </c>
      <c r="Z17" s="6" t="s">
        <v>4</v>
      </c>
      <c r="AA17" s="7" t="s">
        <v>5</v>
      </c>
      <c r="AB17" s="8"/>
      <c r="AC17" s="9"/>
      <c r="AD17" s="53" t="s">
        <v>6</v>
      </c>
      <c r="AE17" s="54"/>
    </row>
    <row r="18" spans="1:31" x14ac:dyDescent="0.3">
      <c r="A18" s="69" t="s">
        <v>88</v>
      </c>
      <c r="B18" s="50"/>
      <c r="C18" s="70"/>
      <c r="E18" s="11" t="s">
        <v>8</v>
      </c>
      <c r="F18" s="8" t="s">
        <v>9</v>
      </c>
      <c r="G18" s="12" t="s">
        <v>10</v>
      </c>
      <c r="H18" s="13" t="s">
        <v>11</v>
      </c>
      <c r="I18" s="14">
        <f>VLOOKUP(F17,[1]Pokemon!$A$1:$I$874,3,FALSE)+IF(F19="Sim",20,0)</f>
        <v>72</v>
      </c>
      <c r="J18" s="15">
        <v>0</v>
      </c>
      <c r="K18" s="8">
        <f>IF($B$5="Vigoroso",ROUNDUP((N18+J18)*1.2,0),N18+J18)</f>
        <v>145</v>
      </c>
      <c r="L18" s="16">
        <v>145</v>
      </c>
      <c r="M18" s="17"/>
      <c r="N18" s="9">
        <f>I18+LOOKUP(I18,[1]Dados!$C$3:$D$12,[1]Dados!$E$3:$E$12)*(ROUNDDOWN(F21/2,0))+LOOKUP(I18,[1]Dados!$C$3:$D$12,[1]Dados!$F$3:$F$12)*(ROUNDDOWN((F21-1)/2,0))</f>
        <v>145</v>
      </c>
      <c r="O18" s="18" t="s">
        <v>12</v>
      </c>
      <c r="P18" s="19"/>
      <c r="T18" s="11" t="s">
        <v>8</v>
      </c>
      <c r="U18" s="8" t="s">
        <v>9</v>
      </c>
      <c r="V18" s="12" t="s">
        <v>10</v>
      </c>
      <c r="W18" s="13" t="s">
        <v>11</v>
      </c>
      <c r="X18" s="14">
        <f>VLOOKUP(U17,[1]Pokemon!$A$1:$I$874,3,FALSE)+IF(U19="Sim",20,0)</f>
        <v>60</v>
      </c>
      <c r="Y18" s="15">
        <v>0</v>
      </c>
      <c r="Z18" s="8">
        <f>IF($B$5="Vigoroso",ROUNDUP((AC18+Y18)*1.2,0),AC18+Y18)</f>
        <v>176</v>
      </c>
      <c r="AA18" s="16">
        <v>176</v>
      </c>
      <c r="AB18" s="17"/>
      <c r="AC18" s="9">
        <f>X18+LOOKUP(X18,[1]Dados!$C$3:$D$12,[1]Dados!$E$3:$E$12)*(ROUNDDOWN(U21/2,0))+LOOKUP(X18,[1]Dados!$C$3:$D$12,[1]Dados!$F$3:$F$12)*(ROUNDDOWN((U21-1)/2,0))</f>
        <v>176</v>
      </c>
      <c r="AD18" s="18" t="s">
        <v>12</v>
      </c>
      <c r="AE18" s="19"/>
    </row>
    <row r="19" spans="1:31" x14ac:dyDescent="0.3">
      <c r="A19" s="69"/>
      <c r="B19" s="50"/>
      <c r="C19" s="70"/>
      <c r="E19" s="11" t="s">
        <v>14</v>
      </c>
      <c r="F19" s="8" t="s">
        <v>15</v>
      </c>
      <c r="G19" s="20"/>
      <c r="H19" s="13" t="s">
        <v>16</v>
      </c>
      <c r="I19" s="21">
        <f>20+IF(F19="Sim",10,0)</f>
        <v>20</v>
      </c>
      <c r="J19" s="22">
        <v>0</v>
      </c>
      <c r="K19" s="8">
        <f>18+(F21*2)+IF(F19="Sim",10,0)+J19</f>
        <v>78</v>
      </c>
      <c r="L19" s="16">
        <v>78</v>
      </c>
      <c r="M19" s="17"/>
      <c r="N19" s="9"/>
      <c r="O19" s="18" t="s">
        <v>17</v>
      </c>
      <c r="P19" s="19"/>
      <c r="T19" s="11" t="s">
        <v>14</v>
      </c>
      <c r="U19" s="8" t="s">
        <v>15</v>
      </c>
      <c r="V19" s="20"/>
      <c r="W19" s="13" t="s">
        <v>16</v>
      </c>
      <c r="X19" s="21">
        <f>20+IF(U19="Sim",10,0)</f>
        <v>20</v>
      </c>
      <c r="Y19" s="22">
        <v>0</v>
      </c>
      <c r="Z19" s="8">
        <f>18+(U21*2)+IF(U19="Sim",10,0)+Y19</f>
        <v>136</v>
      </c>
      <c r="AA19" s="16">
        <v>136</v>
      </c>
      <c r="AB19" s="17"/>
      <c r="AC19" s="9"/>
      <c r="AD19" s="18" t="s">
        <v>17</v>
      </c>
      <c r="AE19" s="19"/>
    </row>
    <row r="20" spans="1:31" x14ac:dyDescent="0.3">
      <c r="A20" s="69"/>
      <c r="B20" s="50"/>
      <c r="C20" s="70"/>
      <c r="E20" s="11" t="s">
        <v>19</v>
      </c>
      <c r="F20" s="23" t="str">
        <f>VLOOKUP(F17,[1]Pokemon!$A$1:$I$874,2,FALSE)</f>
        <v>Fada</v>
      </c>
      <c r="G20" s="20"/>
      <c r="H20" s="13" t="s">
        <v>12</v>
      </c>
      <c r="I20" s="14">
        <f>VLOOKUP(F17,[1]Pokemon!$A$1:$I$874,4,FALSE)+IF(F19="Sim",1,0)</f>
        <v>6</v>
      </c>
      <c r="J20" s="22">
        <v>1</v>
      </c>
      <c r="K20" s="8">
        <f>IF(L23="Sim", ROUNDUP((N20+ROUNDDOWN(F23/10,0))*J20*P18,0), ROUNDUP((N20+ROUNDDOWN(F23/10,0))*J20,0))</f>
        <v>58</v>
      </c>
      <c r="L20" s="24" t="s">
        <v>20</v>
      </c>
      <c r="M20" s="17"/>
      <c r="N20" s="9">
        <f>I20+LOOKUP(I20,[1]Dados!$H$3:$I$12,[1]Dados!$J$3:$J$12)*(ROUNDDOWN(F21/2,0))+LOOKUP(I20,[1]Dados!$H$3:$I$12,[1]Dados!$K$3:$K$12)*(ROUNDDOWN((F21-1)/2,0))</f>
        <v>50</v>
      </c>
      <c r="O20" s="18" t="s">
        <v>21</v>
      </c>
      <c r="P20" s="19"/>
      <c r="T20" s="11" t="s">
        <v>19</v>
      </c>
      <c r="U20" s="23" t="str">
        <f>VLOOKUP(U17,[1]Pokemon!$A$1:$I$874,2,FALSE)</f>
        <v>Água\Fada</v>
      </c>
      <c r="V20" s="20"/>
      <c r="W20" s="13" t="s">
        <v>12</v>
      </c>
      <c r="X20" s="14">
        <f>VLOOKUP(U17,[1]Pokemon!$A$1:$I$874,4,FALSE)+IF(U19="Sim",1,0)</f>
        <v>7</v>
      </c>
      <c r="Y20" s="22">
        <v>1</v>
      </c>
      <c r="Z20" s="8">
        <f>IF(AA23="Sim", ROUNDUP((AC20+ROUNDDOWN(U23/10,0))*Y20*AE18,0), ROUNDUP((AC20+ROUNDDOWN(U23/10,0))*Y20,0))</f>
        <v>119</v>
      </c>
      <c r="AA20" s="24" t="s">
        <v>20</v>
      </c>
      <c r="AB20" s="17"/>
      <c r="AC20" s="9">
        <f>X20+LOOKUP(X20,[1]Dados!$H$3:$I$12,[1]Dados!$J$3:$J$12)*(ROUNDDOWN(U21/2,0))+LOOKUP(X20,[1]Dados!$H$3:$I$12,[1]Dados!$K$3:$K$12)*(ROUNDDOWN((U21-1)/2,0))</f>
        <v>94</v>
      </c>
      <c r="AD20" s="18" t="s">
        <v>21</v>
      </c>
      <c r="AE20" s="19"/>
    </row>
    <row r="21" spans="1:31" x14ac:dyDescent="0.3">
      <c r="A21" s="71"/>
      <c r="B21" s="49"/>
      <c r="C21" s="72"/>
      <c r="E21" s="11" t="s">
        <v>23</v>
      </c>
      <c r="F21" s="25">
        <v>30</v>
      </c>
      <c r="G21" s="20"/>
      <c r="H21" s="13" t="s">
        <v>17</v>
      </c>
      <c r="I21" s="14">
        <f>VLOOKUP(F17,[1]Pokemon!$A$1:$I$874,5,FALSE)+IF(F19="Sim",1,0)</f>
        <v>6</v>
      </c>
      <c r="J21" s="22">
        <v>1</v>
      </c>
      <c r="K21" s="8">
        <f>IF(L23="Sim", ROUNDUP((N21+ROUNDDOWN(F23/10,0))*J21*P19,0), ROUNDUP((N21+ROUNDDOWN(F23/10,0))*J21,0))</f>
        <v>58</v>
      </c>
      <c r="L21" s="26">
        <f>ROUNDDOWN(I24/2,0)</f>
        <v>3</v>
      </c>
      <c r="M21" s="17"/>
      <c r="N21" s="9">
        <f>I21+LOOKUP(I21,[1]Dados!$H$3:$I$12,[1]Dados!$J$3:$J$12)*(ROUNDDOWN(F21/2,0))+LOOKUP(I21,[1]Dados!$H$3:$I$12,[1]Dados!$K$3:$K$12)*(ROUNDDOWN((F21-1)/2,0))</f>
        <v>50</v>
      </c>
      <c r="O21" s="18" t="s">
        <v>24</v>
      </c>
      <c r="P21" s="19"/>
      <c r="T21" s="11" t="s">
        <v>23</v>
      </c>
      <c r="U21" s="25">
        <v>59</v>
      </c>
      <c r="V21" s="20"/>
      <c r="W21" s="13" t="s">
        <v>17</v>
      </c>
      <c r="X21" s="14">
        <f>VLOOKUP(U17,[1]Pokemon!$A$1:$I$874,5,FALSE)+IF(U19="Sim",1,0)</f>
        <v>7</v>
      </c>
      <c r="Y21" s="22">
        <v>1</v>
      </c>
      <c r="Z21" s="8">
        <f>IF(AA23="Sim", ROUNDUP((AC21+ROUNDDOWN(U23/10,0))*Y21*AE19,0), ROUNDUP((AC21+ROUNDDOWN(U23/10,0))*Y21,0))</f>
        <v>119</v>
      </c>
      <c r="AA21" s="26">
        <f>ROUNDDOWN(X24/2,0)</f>
        <v>3</v>
      </c>
      <c r="AB21" s="17"/>
      <c r="AC21" s="9">
        <f>X21+LOOKUP(X21,[1]Dados!$H$3:$I$12,[1]Dados!$J$3:$J$12)*(ROUNDDOWN(U21/2,0))+LOOKUP(X21,[1]Dados!$H$3:$I$12,[1]Dados!$K$3:$K$12)*(ROUNDDOWN((U21-1)/2,0))</f>
        <v>94</v>
      </c>
      <c r="AD21" s="18" t="s">
        <v>24</v>
      </c>
      <c r="AE21" s="19"/>
    </row>
    <row r="22" spans="1:31" ht="15" thickBot="1" x14ac:dyDescent="0.35">
      <c r="A22" s="71"/>
      <c r="B22" s="49"/>
      <c r="C22" s="72"/>
      <c r="E22" s="11" t="s">
        <v>26</v>
      </c>
      <c r="F22" s="23">
        <v>0</v>
      </c>
      <c r="G22" s="20"/>
      <c r="H22" s="13" t="s">
        <v>21</v>
      </c>
      <c r="I22" s="14">
        <f>VLOOKUP(F17,[1]Pokemon!$A$1:$I$874,6,FALSE)+IF(F19="Sim",1,0)</f>
        <v>11</v>
      </c>
      <c r="J22" s="22">
        <v>1</v>
      </c>
      <c r="K22" s="8">
        <f>IF(L23="Sim", ROUNDUP((N22+ROUNDDOWN(F23/10,0))*J22*P20,0), ROUNDUP((N22+ROUNDDOWN(F23/10,0))*J22,0))</f>
        <v>92</v>
      </c>
      <c r="L22" s="24" t="s">
        <v>27</v>
      </c>
      <c r="M22" s="17"/>
      <c r="N22" s="9">
        <f>I22+LOOKUP(I22,[1]Dados!$H$3:$I$12,[1]Dados!$J$3:$J$12)*(ROUNDDOWN(F21/2,0))+LOOKUP(I22,[1]Dados!$H$3:$I$12,[1]Dados!$K$3:$K$12)*(ROUNDDOWN((F21-1)/2,0))</f>
        <v>84</v>
      </c>
      <c r="O22" s="28" t="s">
        <v>28</v>
      </c>
      <c r="P22" s="29"/>
      <c r="T22" s="11" t="s">
        <v>26</v>
      </c>
      <c r="U22" s="23">
        <v>0</v>
      </c>
      <c r="V22" s="20"/>
      <c r="W22" s="13" t="s">
        <v>21</v>
      </c>
      <c r="X22" s="14">
        <f>VLOOKUP(U17,[1]Pokemon!$A$1:$I$874,6,FALSE)+IF(U19="Sim",1,0)</f>
        <v>13</v>
      </c>
      <c r="Y22" s="22">
        <v>1</v>
      </c>
      <c r="Z22" s="8">
        <f>IF(AA23="Sim", ROUNDUP((AC22+ROUNDDOWN(U23/10,0))*Y22*AE20,0), ROUNDUP((AC22+ROUNDDOWN(U23/10,0))*Y22,0))</f>
        <v>212</v>
      </c>
      <c r="AA22" s="24" t="s">
        <v>27</v>
      </c>
      <c r="AB22" s="17"/>
      <c r="AC22" s="9">
        <f>X22+LOOKUP(X22,[1]Dados!$H$3:$I$12,[1]Dados!$J$3:$J$12)*(ROUNDDOWN(U21/2,0))+LOOKUP(X22,[1]Dados!$H$3:$I$12,[1]Dados!$K$3:$K$12)*(ROUNDDOWN((U21-1)/2,0))</f>
        <v>187</v>
      </c>
      <c r="AD22" s="28" t="s">
        <v>28</v>
      </c>
      <c r="AE22" s="29"/>
    </row>
    <row r="23" spans="1:31" x14ac:dyDescent="0.3">
      <c r="A23" s="71"/>
      <c r="B23" s="49"/>
      <c r="C23" s="72"/>
      <c r="E23" s="11" t="s">
        <v>29</v>
      </c>
      <c r="F23" s="30">
        <v>80</v>
      </c>
      <c r="G23" s="20"/>
      <c r="H23" s="13" t="s">
        <v>24</v>
      </c>
      <c r="I23" s="14">
        <f>VLOOKUP(F17,[1]Pokemon!$A$1:$I$874,7,FALSE)+IF(F19="Sim",1,0)</f>
        <v>13</v>
      </c>
      <c r="J23" s="22">
        <v>1</v>
      </c>
      <c r="K23" s="8">
        <f>IF(L23="Sim", ROUNDUP((N23+ROUNDDOWN(F23/10,0))*J23*P21,0), ROUNDUP((N23+ROUNDDOWN(F23/10,0))*J23,0))</f>
        <v>108</v>
      </c>
      <c r="L23" s="26" t="s">
        <v>15</v>
      </c>
      <c r="M23" s="17"/>
      <c r="N23" s="9">
        <f>I23+LOOKUP(I23,[1]Dados!$H$3:$I$12,[1]Dados!$J$3:$J$12)*(ROUNDDOWN(F21/2,0))+LOOKUP(I23,[1]Dados!$H$3:$I$12,[1]Dados!$K$3:$K$12)*(ROUNDDOWN((F21-1)/2,0))</f>
        <v>100</v>
      </c>
      <c r="T23" s="11" t="s">
        <v>29</v>
      </c>
      <c r="U23" s="30">
        <v>250</v>
      </c>
      <c r="V23" s="20"/>
      <c r="W23" s="13" t="s">
        <v>24</v>
      </c>
      <c r="X23" s="14">
        <f>VLOOKUP(U17,[1]Pokemon!$A$1:$I$874,7,FALSE)+IF(U19="Sim",1,0)</f>
        <v>12</v>
      </c>
      <c r="Y23" s="22">
        <v>1</v>
      </c>
      <c r="Z23" s="8">
        <f>IF(AA23="Sim", ROUNDUP((AC23+ROUNDDOWN(U23/10,0))*Y23*AE21,0), ROUNDUP((AC23+ROUNDDOWN(U23/10,0))*Y23,0))</f>
        <v>211</v>
      </c>
      <c r="AA23" s="26" t="s">
        <v>15</v>
      </c>
      <c r="AB23" s="17"/>
      <c r="AC23" s="9">
        <f>X23+LOOKUP(X23,[1]Dados!$H$3:$I$12,[1]Dados!$J$3:$J$12)*(ROUNDDOWN(U21/2,0))+LOOKUP(X23,[1]Dados!$H$3:$I$12,[1]Dados!$K$3:$K$12)*(ROUNDDOWN((U21-1)/2,0))</f>
        <v>186</v>
      </c>
    </row>
    <row r="24" spans="1:31" x14ac:dyDescent="0.3">
      <c r="A24" s="71"/>
      <c r="B24" s="49"/>
      <c r="C24" s="72"/>
      <c r="E24" s="11" t="s">
        <v>31</v>
      </c>
      <c r="F24" s="23" t="s">
        <v>32</v>
      </c>
      <c r="G24" s="20"/>
      <c r="H24" s="13" t="s">
        <v>28</v>
      </c>
      <c r="I24" s="14">
        <f>VLOOKUP(F17,[1]Pokemon!$A$1:$I$874,8,FALSE)+IF(F19="Sim",1,0)</f>
        <v>6</v>
      </c>
      <c r="J24" s="22">
        <f>1*IF(F25="Paralisado",0.5,1)</f>
        <v>1</v>
      </c>
      <c r="K24" s="8">
        <f>IF(L23="Sim", ROUNDUP(N24*J24*P22,0), ROUNDUP(N24*J24,0))</f>
        <v>50</v>
      </c>
      <c r="L24" s="31" t="str">
        <f>IF(L23 = "Sim", ROUNDUP((K24/(10*P22)), 0)&amp;"d6", ROUNDUP((K24/10), 0)&amp;"d6")</f>
        <v>5d6</v>
      </c>
      <c r="M24" s="17"/>
      <c r="N24" s="9">
        <f>I24+LOOKUP(I24,[1]Dados!$H$3:$I$12,[1]Dados!$J$3:$J$12)*(ROUNDDOWN(F21/2,0))+LOOKUP(I24,[1]Dados!$H$3:$I$12,[1]Dados!$K$3:$K$12)*(ROUNDDOWN((F21-1)/2,0))</f>
        <v>50</v>
      </c>
      <c r="T24" s="11" t="s">
        <v>31</v>
      </c>
      <c r="U24" s="23" t="s">
        <v>32</v>
      </c>
      <c r="V24" s="20"/>
      <c r="W24" s="13" t="s">
        <v>28</v>
      </c>
      <c r="X24" s="14">
        <f>VLOOKUP(U17,[1]Pokemon!$A$1:$I$874,8,FALSE)+IF(U19="Sim",1,0)</f>
        <v>6</v>
      </c>
      <c r="Y24" s="22">
        <f>1*IF(U25="Paralisado",0.5,1)</f>
        <v>1</v>
      </c>
      <c r="Z24" s="8">
        <f>IF(AA23="Sim", ROUNDUP(AC24*Y24*AE22,0), ROUNDUP(AC24*Y24,0))</f>
        <v>93</v>
      </c>
      <c r="AA24" s="31" t="str">
        <f>IF(AA23 = "Sim", ROUNDUP((Z24/(10*AE22)), 0)&amp;"d6", ROUNDUP((Z24/10), 0)&amp;"d6")</f>
        <v>10d6</v>
      </c>
      <c r="AB24" s="17"/>
      <c r="AC24" s="9">
        <f>X24+LOOKUP(X24,[1]Dados!$H$3:$I$12,[1]Dados!$J$3:$J$12)*(ROUNDDOWN(U21/2,0))+LOOKUP(X24,[1]Dados!$H$3:$I$12,[1]Dados!$K$3:$K$12)*(ROUNDDOWN((U21-1)/2,0))</f>
        <v>93</v>
      </c>
    </row>
    <row r="25" spans="1:31" x14ac:dyDescent="0.3">
      <c r="A25" s="71"/>
      <c r="B25" s="49"/>
      <c r="C25" s="72"/>
      <c r="E25" s="11" t="s">
        <v>34</v>
      </c>
      <c r="F25" s="23"/>
      <c r="G25" s="20"/>
      <c r="H25" s="13" t="s">
        <v>35</v>
      </c>
      <c r="I25" s="14">
        <f>VLOOKUP(F17,[1]Pokemon!$A$1:$I$874,9,FALSE)</f>
        <v>184</v>
      </c>
      <c r="J25" s="13" t="s">
        <v>36</v>
      </c>
      <c r="K25" s="13"/>
      <c r="L25" s="32">
        <f>((F21+1)*I25/2)-F22</f>
        <v>2852</v>
      </c>
      <c r="M25" s="17"/>
      <c r="N25" s="33"/>
      <c r="T25" s="11" t="s">
        <v>34</v>
      </c>
      <c r="U25" s="23"/>
      <c r="V25" s="20"/>
      <c r="W25" s="13" t="s">
        <v>35</v>
      </c>
      <c r="X25" s="14">
        <f>VLOOKUP(U17,[1]Pokemon!$A$1:$I$874,9,FALSE)</f>
        <v>239</v>
      </c>
      <c r="Y25" s="13" t="s">
        <v>36</v>
      </c>
      <c r="Z25" s="13"/>
      <c r="AA25" s="32">
        <f>((U21+1)*X25/2)-U22</f>
        <v>7170</v>
      </c>
      <c r="AB25" s="17"/>
      <c r="AC25" s="33"/>
    </row>
    <row r="26" spans="1:31" x14ac:dyDescent="0.3">
      <c r="A26" s="71"/>
      <c r="B26" s="49"/>
      <c r="C26" s="72"/>
      <c r="E26" s="34"/>
      <c r="F26" s="8"/>
      <c r="G26" s="17"/>
      <c r="H26" s="8"/>
      <c r="I26" s="8"/>
      <c r="J26" s="8"/>
      <c r="K26" s="8"/>
      <c r="L26" s="26"/>
      <c r="M26" s="17"/>
      <c r="N26" s="35"/>
      <c r="T26" s="34"/>
      <c r="U26" s="8"/>
      <c r="V26" s="17"/>
      <c r="W26" s="8"/>
      <c r="X26" s="8"/>
      <c r="Y26" s="8"/>
      <c r="Z26" s="8"/>
      <c r="AA26" s="26"/>
      <c r="AB26" s="17"/>
      <c r="AC26" s="35"/>
    </row>
    <row r="27" spans="1:31" x14ac:dyDescent="0.3">
      <c r="A27" s="71"/>
      <c r="B27" s="49"/>
      <c r="C27" s="72"/>
      <c r="E27" s="60" t="s">
        <v>39</v>
      </c>
      <c r="F27" s="61"/>
      <c r="G27" s="13" t="s">
        <v>40</v>
      </c>
      <c r="H27" s="13"/>
      <c r="I27" s="13"/>
      <c r="J27" s="13" t="s">
        <v>16</v>
      </c>
      <c r="K27" s="13" t="s">
        <v>41</v>
      </c>
      <c r="L27" s="24" t="s">
        <v>42</v>
      </c>
      <c r="M27" s="17"/>
      <c r="N27" s="35"/>
      <c r="T27" s="60" t="s">
        <v>39</v>
      </c>
      <c r="U27" s="61"/>
      <c r="V27" s="13" t="s">
        <v>40</v>
      </c>
      <c r="W27" s="13"/>
      <c r="X27" s="13"/>
      <c r="Y27" s="13" t="s">
        <v>16</v>
      </c>
      <c r="Z27" s="13" t="s">
        <v>41</v>
      </c>
      <c r="AA27" s="24" t="s">
        <v>42</v>
      </c>
      <c r="AB27" s="17"/>
      <c r="AC27" s="35"/>
    </row>
    <row r="28" spans="1:31" x14ac:dyDescent="0.3">
      <c r="A28" s="71"/>
      <c r="B28" s="49"/>
      <c r="C28" s="72"/>
      <c r="E28" s="62" t="s">
        <v>77</v>
      </c>
      <c r="F28" s="63"/>
      <c r="G28" s="63" t="str">
        <f>VLOOKUP(E28,[2]Golpes!$A$1:$G$653,2,FALSE)&amp;"/"&amp;VLOOKUP(E28,[2]Golpes!$A$1:$G$653,3,FALSE)</f>
        <v>Normal/Especial</v>
      </c>
      <c r="H28" s="63"/>
      <c r="I28" s="63"/>
      <c r="J28" s="25">
        <f>VLOOKUP(E28,[2]Golpes!$A$1:$G$653,4,FALSE)</f>
        <v>6</v>
      </c>
      <c r="K28" s="25" t="str">
        <f>VLOOKUP(E28,[2]Golpes!$A$1:$G$653,5,FALSE)</f>
        <v>6d6</v>
      </c>
      <c r="L28" s="36">
        <f>VLOOKUP(E28,[2]Golpes!$A$1:$G$653,6,FALSE)</f>
        <v>1</v>
      </c>
      <c r="M28" s="17" t="str">
        <f>VLOOKUP(E28,[2]Golpes!$A$1:$G$653,7,FALSE)</f>
        <v>Causa dano ignorando qualquer mudança em sua Precisão.</v>
      </c>
      <c r="N28" s="35"/>
      <c r="T28" s="62" t="s">
        <v>71</v>
      </c>
      <c r="U28" s="63"/>
      <c r="V28" s="63" t="str">
        <f>VLOOKUP(T28,[2]Golpes!$A$1:$G$653,2,FALSE)&amp;"/"&amp;VLOOKUP(T28,[2]Golpes!$A$1:$G$653,3,FALSE)</f>
        <v>Fada/Especial</v>
      </c>
      <c r="W28" s="63"/>
      <c r="X28" s="63"/>
      <c r="Y28" s="25">
        <f>VLOOKUP(T28,[2]Golpes!$A$1:$G$653,4,FALSE)</f>
        <v>13</v>
      </c>
      <c r="Z28" s="25" t="str">
        <f>VLOOKUP(T28,[2]Golpes!$A$1:$G$653,5,FALSE)</f>
        <v>12d6</v>
      </c>
      <c r="AA28" s="36">
        <f>VLOOKUP(T28,[2]Golpes!$A$1:$G$653,6,FALSE)</f>
        <v>1</v>
      </c>
      <c r="AB28" s="17" t="str">
        <f>VLOOKUP(T28,[2]Golpes!$A$1:$G$653,7,FALSE)</f>
        <v>Causa dano e tem 30% de chance de diminuir o Ataque Especial em 10% do total (diminuição máxima de 60%).</v>
      </c>
      <c r="AC28" s="35"/>
    </row>
    <row r="29" spans="1:31" ht="15" thickBot="1" x14ac:dyDescent="0.35">
      <c r="A29" s="73"/>
      <c r="B29" s="74"/>
      <c r="C29" s="75"/>
      <c r="E29" s="62" t="s">
        <v>78</v>
      </c>
      <c r="F29" s="63"/>
      <c r="G29" s="63" t="str">
        <f>VLOOKUP(E29,[2]Golpes!$A$1:$G$653,2,FALSE)&amp;"/"&amp;VLOOKUP(E29,[2]Golpes!$A$1:$G$653,3,FALSE)</f>
        <v>Fada/Especial</v>
      </c>
      <c r="H29" s="63"/>
      <c r="I29" s="63"/>
      <c r="J29" s="25">
        <f>VLOOKUP(E29,[2]Golpes!$A$1:$G$653,4,FALSE)</f>
        <v>9</v>
      </c>
      <c r="K29" s="25" t="str">
        <f>VLOOKUP(E29,[2]Golpes!$A$1:$G$653,5,FALSE)</f>
        <v>5d6</v>
      </c>
      <c r="L29" s="36">
        <f>VLOOKUP(E29,[2]Golpes!$A$1:$G$653,6,FALSE)</f>
        <v>1</v>
      </c>
      <c r="M29" s="17" t="str">
        <f>VLOOKUP(E29,[2]Golpes!$A$1:$G$653,7,FALSE)</f>
        <v>Causa dano e recupera 75% do PV diminuido do adversário.</v>
      </c>
      <c r="N29" s="35"/>
      <c r="T29" s="62" t="s">
        <v>72</v>
      </c>
      <c r="U29" s="63"/>
      <c r="V29" s="63" t="str">
        <f>VLOOKUP(T29,[2]Golpes!$A$1:$G$653,2,FALSE)&amp;"/"&amp;VLOOKUP(T29,[2]Golpes!$A$1:$G$653,3,FALSE)</f>
        <v>Água/Especial</v>
      </c>
      <c r="W29" s="63"/>
      <c r="X29" s="63"/>
      <c r="Y29" s="25">
        <f>VLOOKUP(T29,[2]Golpes!$A$1:$G$653,4,FALSE)</f>
        <v>12</v>
      </c>
      <c r="Z29" s="25" t="str">
        <f>VLOOKUP(T29,[2]Golpes!$A$1:$G$653,5,FALSE)</f>
        <v>14d6</v>
      </c>
      <c r="AA29" s="36">
        <f>VLOOKUP(T29,[2]Golpes!$A$1:$G$653,6,FALSE)</f>
        <v>0.8</v>
      </c>
      <c r="AB29" s="17" t="str">
        <f>VLOOKUP(T29,[2]Golpes!$A$1:$G$653,7,FALSE)</f>
        <v>Causa dano.</v>
      </c>
      <c r="AC29" s="35"/>
    </row>
    <row r="30" spans="1:31" ht="15" thickBot="1" x14ac:dyDescent="0.35">
      <c r="A30" s="64" t="s">
        <v>48</v>
      </c>
      <c r="B30" s="65"/>
      <c r="C30" s="66"/>
      <c r="E30" s="62" t="s">
        <v>79</v>
      </c>
      <c r="F30" s="63"/>
      <c r="G30" s="63" t="str">
        <f>VLOOKUP(E30,[2]Golpes!$A$1:$G$653,2,FALSE)&amp;"/"&amp;VLOOKUP(E30,[2]Golpes!$A$1:$G$653,3,FALSE)</f>
        <v>Fogo/Especial</v>
      </c>
      <c r="H30" s="63"/>
      <c r="I30" s="63"/>
      <c r="J30" s="25">
        <f>VLOOKUP(E30,[2]Golpes!$A$1:$G$653,4,FALSE)</f>
        <v>10</v>
      </c>
      <c r="K30" s="25" t="str">
        <f>VLOOKUP(E30,[2]Golpes!$A$1:$G$653,5,FALSE)</f>
        <v>8d6</v>
      </c>
      <c r="L30" s="36">
        <f>VLOOKUP(E30,[2]Golpes!$A$1:$G$653,6,FALSE)</f>
        <v>1</v>
      </c>
      <c r="M30" s="17" t="str">
        <f>VLOOKUP(E30,[2]Golpes!$A$1:$G$653,7,FALSE)</f>
        <v>Causa dano e diminui o Ataque Especial do adversário em 10% do total (diminuição máxima de 60%).</v>
      </c>
      <c r="N30" s="35"/>
      <c r="T30" s="62" t="s">
        <v>73</v>
      </c>
      <c r="U30" s="63"/>
      <c r="V30" s="63" t="str">
        <f>VLOOKUP(T30,[2]Golpes!$A$1:$G$653,2,FALSE)&amp;"/"&amp;VLOOKUP(T30,[2]Golpes!$A$1:$G$653,3,FALSE)</f>
        <v>Gelo/Especial</v>
      </c>
      <c r="W30" s="63"/>
      <c r="X30" s="63"/>
      <c r="Y30" s="25">
        <f>VLOOKUP(T30,[2]Golpes!$A$1:$G$653,4,FALSE)</f>
        <v>11</v>
      </c>
      <c r="Z30" s="25" t="str">
        <f>VLOOKUP(T30,[2]Golpes!$A$1:$G$653,5,FALSE)</f>
        <v>10d6</v>
      </c>
      <c r="AA30" s="36">
        <f>VLOOKUP(T30,[2]Golpes!$A$1:$G$653,6,FALSE)</f>
        <v>1</v>
      </c>
      <c r="AB30" s="17" t="str">
        <f>VLOOKUP(T30,[2]Golpes!$A$1:$G$653,7,FALSE)</f>
        <v>Causa dano e tem 10% de chance de causar condição Congelado.</v>
      </c>
      <c r="AC30" s="35"/>
    </row>
    <row r="31" spans="1:31" ht="15" customHeight="1" thickBot="1" x14ac:dyDescent="0.35">
      <c r="A31" s="48" t="s">
        <v>55</v>
      </c>
      <c r="B31" s="48"/>
      <c r="C31" s="48"/>
      <c r="E31" s="67" t="s">
        <v>80</v>
      </c>
      <c r="F31" s="68"/>
      <c r="G31" s="68" t="str">
        <f>VLOOKUP(E31,[2]Golpes!$A$1:$G$653,2,FALSE)&amp;"/"&amp;VLOOKUP(E31,[2]Golpes!$A$1:$G$653,3,FALSE)</f>
        <v>Psíquico/Estado</v>
      </c>
      <c r="H31" s="68"/>
      <c r="I31" s="68"/>
      <c r="J31" s="43">
        <f>VLOOKUP(E31,[2]Golpes!$A$1:$G$653,4,FALSE)</f>
        <v>2</v>
      </c>
      <c r="K31" s="43" t="str">
        <f>VLOOKUP(E31,[2]Golpes!$A$1:$G$653,5,FALSE)</f>
        <v>-</v>
      </c>
      <c r="L31" s="44">
        <f>VLOOKUP(E31,[2]Golpes!$A$1:$G$653,6,FALSE)</f>
        <v>1</v>
      </c>
      <c r="M31" s="17" t="str">
        <f>VLOOKUP(E31,[2]Golpes!$A$1:$G$653,7,FALSE)</f>
        <v>Aumenta o Ataque Especial e a Defesa Especial em 10% do total (aumento máximo de 60% em cada).</v>
      </c>
      <c r="N31" s="35"/>
      <c r="T31" s="67" t="s">
        <v>74</v>
      </c>
      <c r="U31" s="68"/>
      <c r="V31" s="68" t="str">
        <f>VLOOKUP(T31,[2]Golpes!$A$1:$G$653,2,FALSE)&amp;"/"&amp;VLOOKUP(T31,[2]Golpes!$A$1:$G$653,3,FALSE)</f>
        <v>Normal/Estado</v>
      </c>
      <c r="W31" s="68"/>
      <c r="X31" s="68"/>
      <c r="Y31" s="43">
        <f>VLOOKUP(T31,[2]Golpes!$A$1:$G$653,4,FALSE)</f>
        <v>3</v>
      </c>
      <c r="Z31" s="43" t="str">
        <f>VLOOKUP(T31,[2]Golpes!$A$1:$G$653,5,FALSE)</f>
        <v>-</v>
      </c>
      <c r="AA31" s="44">
        <f>VLOOKUP(T31,[2]Golpes!$A$1:$G$653,6,FALSE)</f>
        <v>0.55000000000000004</v>
      </c>
      <c r="AB31" s="17" t="str">
        <f>VLOOKUP(T31,[2]Golpes!$A$1:$G$653,7,FALSE)</f>
        <v>Causa a condição Dormindo.</v>
      </c>
      <c r="AC31" s="35"/>
    </row>
    <row r="32" spans="1:31" ht="15" thickBot="1" x14ac:dyDescent="0.35">
      <c r="A32" s="49"/>
      <c r="B32" s="49"/>
      <c r="C32" s="49"/>
    </row>
    <row r="33" spans="1:31" x14ac:dyDescent="0.3">
      <c r="A33" s="49"/>
      <c r="B33" s="49"/>
      <c r="C33" s="49"/>
      <c r="E33" s="2" t="s">
        <v>1</v>
      </c>
      <c r="F33" s="3" t="s">
        <v>81</v>
      </c>
      <c r="G33" s="4" t="s">
        <v>176</v>
      </c>
      <c r="H33" s="5"/>
      <c r="I33" s="6" t="s">
        <v>2</v>
      </c>
      <c r="J33" s="6" t="s">
        <v>3</v>
      </c>
      <c r="K33" s="6" t="s">
        <v>4</v>
      </c>
      <c r="L33" s="7" t="s">
        <v>5</v>
      </c>
      <c r="M33" s="8"/>
      <c r="N33" s="9"/>
      <c r="O33" s="53" t="s">
        <v>6</v>
      </c>
      <c r="P33" s="54"/>
      <c r="T33" s="2" t="s">
        <v>1</v>
      </c>
      <c r="U33" s="3" t="s">
        <v>75</v>
      </c>
      <c r="V33" s="4"/>
      <c r="W33" s="5"/>
      <c r="X33" s="6" t="s">
        <v>2</v>
      </c>
      <c r="Y33" s="6" t="s">
        <v>3</v>
      </c>
      <c r="Z33" s="6" t="s">
        <v>4</v>
      </c>
      <c r="AA33" s="7" t="s">
        <v>5</v>
      </c>
      <c r="AB33" s="8"/>
      <c r="AC33" s="9"/>
      <c r="AD33" s="53" t="s">
        <v>6</v>
      </c>
      <c r="AE33" s="54"/>
    </row>
    <row r="34" spans="1:31" ht="14.55" customHeight="1" x14ac:dyDescent="0.3">
      <c r="A34" s="49"/>
      <c r="B34" s="49"/>
      <c r="C34" s="49"/>
      <c r="E34" s="11" t="s">
        <v>8</v>
      </c>
      <c r="F34" s="8" t="s">
        <v>9</v>
      </c>
      <c r="G34" s="12" t="s">
        <v>10</v>
      </c>
      <c r="H34" s="13" t="s">
        <v>11</v>
      </c>
      <c r="I34" s="14">
        <f>VLOOKUP(F33,[1]Pokemon!$A$1:$I$874,3,FALSE)+IF(F35="Sim",20,0)</f>
        <v>75</v>
      </c>
      <c r="J34" s="15">
        <v>0</v>
      </c>
      <c r="K34" s="8">
        <f>IF($B$5="Vigoroso",ROUNDUP((N34+J34)*1.2,0),N34+J34)</f>
        <v>143</v>
      </c>
      <c r="L34" s="16">
        <v>143</v>
      </c>
      <c r="M34" s="17"/>
      <c r="N34" s="9">
        <f>I34+LOOKUP(I34,[1]Dados!$C$3:$D$12,[1]Dados!$E$3:$E$12)*(ROUNDDOWN(F37/2,0))+LOOKUP(I34,[1]Dados!$C$3:$D$12,[1]Dados!$F$3:$F$12)*(ROUNDDOWN((F37-1)/2,0))</f>
        <v>143</v>
      </c>
      <c r="O34" s="18" t="s">
        <v>12</v>
      </c>
      <c r="P34" s="19"/>
      <c r="T34" s="11" t="s">
        <v>8</v>
      </c>
      <c r="U34" s="8" t="s">
        <v>9</v>
      </c>
      <c r="V34" s="12" t="s">
        <v>10</v>
      </c>
      <c r="W34" s="13" t="s">
        <v>11</v>
      </c>
      <c r="X34" s="14">
        <f>VLOOKUP(U33,[1]Pokemon!$A$1:$I$874,3,FALSE)+IF(U35="Sim",20,0)</f>
        <v>51</v>
      </c>
      <c r="Y34" s="15">
        <v>0</v>
      </c>
      <c r="Z34" s="8">
        <f>IF($B$5="Vigoroso",ROUNDUP((AC34+Y34)*1.2,0),AC34+Y34)</f>
        <v>138</v>
      </c>
      <c r="AA34" s="16">
        <v>138</v>
      </c>
      <c r="AB34" s="17"/>
      <c r="AC34" s="9">
        <f>X34+LOOKUP(X34,[1]Dados!$C$3:$D$12,[1]Dados!$E$3:$E$12)*(ROUNDDOWN(U37/2,0))+LOOKUP(X34,[1]Dados!$C$3:$D$12,[1]Dados!$F$3:$F$12)*(ROUNDDOWN((U37-1)/2,0))</f>
        <v>138</v>
      </c>
      <c r="AD34" s="18" t="s">
        <v>12</v>
      </c>
      <c r="AE34" s="19"/>
    </row>
    <row r="35" spans="1:31" x14ac:dyDescent="0.3">
      <c r="A35" s="49"/>
      <c r="B35" s="49"/>
      <c r="C35" s="49"/>
      <c r="E35" s="11" t="s">
        <v>14</v>
      </c>
      <c r="F35" s="8" t="s">
        <v>15</v>
      </c>
      <c r="G35" s="47" t="s">
        <v>83</v>
      </c>
      <c r="H35" s="13" t="s">
        <v>16</v>
      </c>
      <c r="I35" s="21">
        <f>20+IF(F35="Sim",10,0)</f>
        <v>20</v>
      </c>
      <c r="J35" s="22">
        <v>0</v>
      </c>
      <c r="K35" s="8">
        <f>18+(F37*2)+IF(F35="Sim",10,0)+J35</f>
        <v>74</v>
      </c>
      <c r="L35" s="16">
        <v>74</v>
      </c>
      <c r="M35" s="17"/>
      <c r="N35" s="9"/>
      <c r="O35" s="18" t="s">
        <v>17</v>
      </c>
      <c r="P35" s="19"/>
      <c r="T35" s="11" t="s">
        <v>14</v>
      </c>
      <c r="U35" s="8" t="s">
        <v>15</v>
      </c>
      <c r="V35" s="20"/>
      <c r="W35" s="13" t="s">
        <v>16</v>
      </c>
      <c r="X35" s="21">
        <f>20+IF(U35="Sim",10,0)</f>
        <v>20</v>
      </c>
      <c r="Y35" s="22">
        <v>0</v>
      </c>
      <c r="Z35" s="8">
        <f>18+(U37*2)+IF(U35="Sim",10,0)+Y35</f>
        <v>136</v>
      </c>
      <c r="AA35" s="16">
        <v>136</v>
      </c>
      <c r="AB35" s="17"/>
      <c r="AC35" s="9"/>
      <c r="AD35" s="18" t="s">
        <v>17</v>
      </c>
      <c r="AE35" s="19"/>
    </row>
    <row r="36" spans="1:31" x14ac:dyDescent="0.3">
      <c r="A36" s="50" t="s">
        <v>56</v>
      </c>
      <c r="B36" s="50"/>
      <c r="C36" s="50"/>
      <c r="E36" s="11" t="s">
        <v>19</v>
      </c>
      <c r="F36" s="23" t="str">
        <f>VLOOKUP(F33,[1]Pokemon!$A$1:$I$874,2,FALSE)</f>
        <v>Água/Fada</v>
      </c>
      <c r="G36" s="20"/>
      <c r="H36" s="13" t="s">
        <v>12</v>
      </c>
      <c r="I36" s="14">
        <f>VLOOKUP(F33,[1]Pokemon!$A$1:$I$874,4,FALSE)+IF(F35="Sim",1,0)</f>
        <v>5</v>
      </c>
      <c r="J36" s="22">
        <v>1</v>
      </c>
      <c r="K36" s="8">
        <f>2*IF(L39="Sim", ROUNDUP((N36+ROUNDDOWN(F39/10,0))*J36*P34,0), ROUNDUP((N36+ROUNDDOWN(F39/10,0))*J36,0))</f>
        <v>78</v>
      </c>
      <c r="L36" s="24" t="s">
        <v>20</v>
      </c>
      <c r="M36" s="17"/>
      <c r="N36" s="9">
        <f>I36+LOOKUP(I36,[1]Dados!$H$3:$I$12,[1]Dados!$J$3:$J$12)*(ROUNDDOWN(F37/2,0))+LOOKUP(I36,[1]Dados!$H$3:$I$12,[1]Dados!$K$3:$K$12)*(ROUNDDOWN((F37-1)/2,0))</f>
        <v>32</v>
      </c>
      <c r="O36" s="18" t="s">
        <v>21</v>
      </c>
      <c r="P36" s="19"/>
      <c r="T36" s="11" t="s">
        <v>19</v>
      </c>
      <c r="U36" s="23" t="str">
        <f>VLOOKUP(U33,[1]Pokemon!$A$1:$I$874,2,FALSE)</f>
        <v>Psíquico/Fada</v>
      </c>
      <c r="V36" s="20"/>
      <c r="W36" s="13" t="s">
        <v>12</v>
      </c>
      <c r="X36" s="14">
        <f>VLOOKUP(U33,[1]Pokemon!$A$1:$I$874,4,FALSE)+IF(U35="Sim",1,0)</f>
        <v>6</v>
      </c>
      <c r="Y36" s="22">
        <v>1</v>
      </c>
      <c r="Z36" s="8">
        <f>IF(AA39="Sim", ROUNDUP((AC36+ROUNDDOWN(U39/10,0))*Y36*AE34,0), ROUNDUP((AC36+ROUNDDOWN(U39/10,0))*Y36,0))</f>
        <v>118</v>
      </c>
      <c r="AA36" s="24" t="s">
        <v>20</v>
      </c>
      <c r="AB36" s="17"/>
      <c r="AC36" s="9">
        <f>X36+LOOKUP(X36,[1]Dados!$H$3:$I$12,[1]Dados!$J$3:$J$12)*(ROUNDDOWN(U37/2,0))+LOOKUP(X36,[1]Dados!$H$3:$I$12,[1]Dados!$K$3:$K$12)*(ROUNDDOWN((U37-1)/2,0))</f>
        <v>93</v>
      </c>
      <c r="AD36" s="18" t="s">
        <v>21</v>
      </c>
      <c r="AE36" s="19"/>
    </row>
    <row r="37" spans="1:31" x14ac:dyDescent="0.3">
      <c r="A37" s="50"/>
      <c r="B37" s="50"/>
      <c r="C37" s="50"/>
      <c r="E37" s="11" t="s">
        <v>23</v>
      </c>
      <c r="F37" s="25">
        <v>28</v>
      </c>
      <c r="G37" s="20"/>
      <c r="H37" s="13" t="s">
        <v>17</v>
      </c>
      <c r="I37" s="14">
        <f>VLOOKUP(F33,[1]Pokemon!$A$1:$I$874,5,FALSE)+IF(F35="Sim",1,0)</f>
        <v>8</v>
      </c>
      <c r="J37" s="22">
        <v>1</v>
      </c>
      <c r="K37" s="8">
        <f>IF(L39="Sim", ROUNDUP((N37+ROUNDDOWN(F39/10,0))*J37*P35,0), ROUNDUP((N37+ROUNDDOWN(F39/10,0))*J37,0))</f>
        <v>69</v>
      </c>
      <c r="L37" s="26">
        <f>ROUNDDOWN(I40/2,0)</f>
        <v>2</v>
      </c>
      <c r="M37" s="17"/>
      <c r="N37" s="9">
        <f>I37+LOOKUP(I37,[1]Dados!$H$3:$I$12,[1]Dados!$J$3:$J$12)*(ROUNDDOWN(F37/2,0))+LOOKUP(I37,[1]Dados!$H$3:$I$12,[1]Dados!$K$3:$K$12)*(ROUNDDOWN((F37-1)/2,0))</f>
        <v>62</v>
      </c>
      <c r="O37" s="18" t="s">
        <v>24</v>
      </c>
      <c r="P37" s="19"/>
      <c r="T37" s="11" t="s">
        <v>23</v>
      </c>
      <c r="U37" s="25">
        <v>59</v>
      </c>
      <c r="V37" s="20"/>
      <c r="W37" s="13" t="s">
        <v>17</v>
      </c>
      <c r="X37" s="14">
        <f>VLOOKUP(U33,[1]Pokemon!$A$1:$I$874,5,FALSE)+IF(U35="Sim",1,0)</f>
        <v>6</v>
      </c>
      <c r="Y37" s="22">
        <v>1</v>
      </c>
      <c r="Z37" s="8">
        <f>IF(AA39="Sim", ROUNDUP((AC37+ROUNDDOWN(U39/10,0))*Y37*AE35,0), ROUNDUP((AC37+ROUNDDOWN(U39/10,0))*Y37,0))</f>
        <v>118</v>
      </c>
      <c r="AA37" s="26">
        <f>ROUNDDOWN(X40/2,0)</f>
        <v>4</v>
      </c>
      <c r="AB37" s="17"/>
      <c r="AC37" s="9">
        <f>X37+LOOKUP(X37,[1]Dados!$H$3:$I$12,[1]Dados!$J$3:$J$12)*(ROUNDDOWN(U37/2,0))+LOOKUP(X37,[1]Dados!$H$3:$I$12,[1]Dados!$K$3:$K$12)*(ROUNDDOWN((U37-1)/2,0))</f>
        <v>93</v>
      </c>
      <c r="AD37" s="18" t="s">
        <v>24</v>
      </c>
      <c r="AE37" s="19"/>
    </row>
    <row r="38" spans="1:31" ht="15" thickBot="1" x14ac:dyDescent="0.35">
      <c r="A38" s="50"/>
      <c r="B38" s="50"/>
      <c r="C38" s="50"/>
      <c r="E38" s="11" t="s">
        <v>26</v>
      </c>
      <c r="F38" s="23">
        <v>0</v>
      </c>
      <c r="G38" s="20"/>
      <c r="H38" s="13" t="s">
        <v>21</v>
      </c>
      <c r="I38" s="14">
        <f>VLOOKUP(F33,[1]Pokemon!$A$1:$I$874,6,FALSE)+IF(F35="Sim",1,0)</f>
        <v>5</v>
      </c>
      <c r="J38" s="22">
        <v>1</v>
      </c>
      <c r="K38" s="8">
        <f>IF(L39="Sim", ROUNDUP((N38+ROUNDDOWN(F39/10,0))*J38*P36,0), ROUNDUP((N38+ROUNDDOWN(F39/10,0))*J38,0))</f>
        <v>39</v>
      </c>
      <c r="L38" s="24" t="s">
        <v>27</v>
      </c>
      <c r="M38" s="17"/>
      <c r="N38" s="9">
        <f>I38+LOOKUP(I38,[1]Dados!$H$3:$I$12,[1]Dados!$J$3:$J$12)*(ROUNDDOWN(F37/2,0))+LOOKUP(I38,[1]Dados!$H$3:$I$12,[1]Dados!$K$3:$K$12)*(ROUNDDOWN((F37-1)/2,0))</f>
        <v>32</v>
      </c>
      <c r="O38" s="28" t="s">
        <v>28</v>
      </c>
      <c r="P38" s="29"/>
      <c r="T38" s="11" t="s">
        <v>26</v>
      </c>
      <c r="U38" s="23">
        <v>0</v>
      </c>
      <c r="V38" s="20"/>
      <c r="W38" s="13" t="s">
        <v>21</v>
      </c>
      <c r="X38" s="14">
        <f>VLOOKUP(U33,[1]Pokemon!$A$1:$I$874,6,FALSE)+IF(U35="Sim",1,0)</f>
        <v>12</v>
      </c>
      <c r="Y38" s="22">
        <v>1</v>
      </c>
      <c r="Z38" s="8">
        <f>IF(AA39="Sim", ROUNDUP((AC38+ROUNDDOWN(U39/10,0))*Y38*AE36,0), ROUNDUP((AC38+ROUNDDOWN(U39/10,0))*Y38,0))</f>
        <v>211</v>
      </c>
      <c r="AA38" s="24" t="s">
        <v>27</v>
      </c>
      <c r="AB38" s="17"/>
      <c r="AC38" s="9">
        <f>X38+LOOKUP(X38,[1]Dados!$H$3:$I$12,[1]Dados!$J$3:$J$12)*(ROUNDDOWN(U37/2,0))+LOOKUP(X38,[1]Dados!$H$3:$I$12,[1]Dados!$K$3:$K$12)*(ROUNDDOWN((U37-1)/2,0))</f>
        <v>186</v>
      </c>
      <c r="AD38" s="28" t="s">
        <v>28</v>
      </c>
      <c r="AE38" s="29"/>
    </row>
    <row r="39" spans="1:31" ht="14.55" customHeight="1" x14ac:dyDescent="0.3">
      <c r="A39" s="50"/>
      <c r="B39" s="50"/>
      <c r="C39" s="50"/>
      <c r="E39" s="11" t="s">
        <v>29</v>
      </c>
      <c r="F39" s="30">
        <v>70</v>
      </c>
      <c r="G39" s="20"/>
      <c r="H39" s="13" t="s">
        <v>24</v>
      </c>
      <c r="I39" s="14">
        <f>VLOOKUP(F33,[1]Pokemon!$A$1:$I$874,7,FALSE)+IF(F35="Sim",1,0)</f>
        <v>8</v>
      </c>
      <c r="J39" s="22">
        <v>1</v>
      </c>
      <c r="K39" s="8">
        <f>IF(L39="Sim", ROUNDUP((N39+ROUNDDOWN(F39/10,0))*J39*P37,0), ROUNDUP((N39+ROUNDDOWN(F39/10,0))*J39,0))</f>
        <v>69</v>
      </c>
      <c r="L39" s="26" t="s">
        <v>15</v>
      </c>
      <c r="M39" s="17"/>
      <c r="N39" s="9">
        <f>I39+LOOKUP(I39,[1]Dados!$H$3:$I$12,[1]Dados!$J$3:$J$12)*(ROUNDDOWN(F37/2,0))+LOOKUP(I39,[1]Dados!$H$3:$I$12,[1]Dados!$K$3:$K$12)*(ROUNDDOWN((F37-1)/2,0))</f>
        <v>62</v>
      </c>
      <c r="T39" s="11" t="s">
        <v>29</v>
      </c>
      <c r="U39" s="30">
        <v>250</v>
      </c>
      <c r="V39" s="20"/>
      <c r="W39" s="13" t="s">
        <v>24</v>
      </c>
      <c r="X39" s="14">
        <f>VLOOKUP(U33,[1]Pokemon!$A$1:$I$874,7,FALSE)+IF(U35="Sim",1,0)</f>
        <v>11</v>
      </c>
      <c r="Y39" s="22">
        <v>1</v>
      </c>
      <c r="Z39" s="8">
        <f>IF(AA39="Sim", ROUNDUP((AC39+ROUNDDOWN(U39/10,0))*Y39*AE37,0), ROUNDUP((AC39+ROUNDDOWN(U39/10,0))*Y39,0))</f>
        <v>181</v>
      </c>
      <c r="AA39" s="26" t="s">
        <v>15</v>
      </c>
      <c r="AB39" s="17"/>
      <c r="AC39" s="9">
        <f>X39+LOOKUP(X39,[1]Dados!$H$3:$I$12,[1]Dados!$J$3:$J$12)*(ROUNDDOWN(U37/2,0))+LOOKUP(X39,[1]Dados!$H$3:$I$12,[1]Dados!$K$3:$K$12)*(ROUNDDOWN((U37-1)/2,0))</f>
        <v>156</v>
      </c>
    </row>
    <row r="40" spans="1:31" x14ac:dyDescent="0.3">
      <c r="A40" s="50"/>
      <c r="B40" s="50"/>
      <c r="C40" s="50"/>
      <c r="E40" s="11" t="s">
        <v>31</v>
      </c>
      <c r="F40" s="23" t="s">
        <v>32</v>
      </c>
      <c r="G40" s="20"/>
      <c r="H40" s="13" t="s">
        <v>28</v>
      </c>
      <c r="I40" s="14">
        <f>VLOOKUP(F33,[1]Pokemon!$A$1:$I$874,8,FALSE)+IF(F35="Sim",1,0)</f>
        <v>5</v>
      </c>
      <c r="J40" s="22">
        <f>1*IF(F41="Paralisado",0.5,1)</f>
        <v>1</v>
      </c>
      <c r="K40" s="8">
        <f>IF(L39="Sim", ROUNDUP(N40*J40*P38,0), ROUNDUP(N40*J40,0))</f>
        <v>32</v>
      </c>
      <c r="L40" s="31" t="str">
        <f>IF(L39 = "Sim", ROUNDUP((K40/(10*P38)), 0)&amp;"d6", ROUNDUP((K40/10), 0)&amp;"d6")</f>
        <v>4d6</v>
      </c>
      <c r="M40" s="17"/>
      <c r="N40" s="9">
        <f>I40+LOOKUP(I40,[1]Dados!$H$3:$I$12,[1]Dados!$J$3:$J$12)*(ROUNDDOWN(F37/2,0))+LOOKUP(I40,[1]Dados!$H$3:$I$12,[1]Dados!$K$3:$K$12)*(ROUNDDOWN((F37-1)/2,0))</f>
        <v>32</v>
      </c>
      <c r="T40" s="11" t="s">
        <v>31</v>
      </c>
      <c r="U40" s="23" t="s">
        <v>32</v>
      </c>
      <c r="V40" s="20"/>
      <c r="W40" s="13" t="s">
        <v>28</v>
      </c>
      <c r="X40" s="14">
        <f>VLOOKUP(U33,[1]Pokemon!$A$1:$I$874,8,FALSE)+IF(U35="Sim",1,0)</f>
        <v>8</v>
      </c>
      <c r="Y40" s="22">
        <f>1*IF(U41="Paralisado",0.5,1)</f>
        <v>1</v>
      </c>
      <c r="Z40" s="8">
        <f>IF(AA39="Sim", ROUNDUP(AC40*Y40*AE38,0), ROUNDUP(AC40*Y40,0))</f>
        <v>124</v>
      </c>
      <c r="AA40" s="31" t="str">
        <f>IF(AA39 = "Sim", ROUNDUP((Z40/(10*AE38)), 0)&amp;"d6", ROUNDUP((Z40/10), 0)&amp;"d6")</f>
        <v>13d6</v>
      </c>
      <c r="AB40" s="17"/>
      <c r="AC40" s="9">
        <f>X40+LOOKUP(X40,[1]Dados!$H$3:$I$12,[1]Dados!$J$3:$J$12)*(ROUNDDOWN(U37/2,0))+LOOKUP(X40,[1]Dados!$H$3:$I$12,[1]Dados!$K$3:$K$12)*(ROUNDDOWN((U37-1)/2,0))</f>
        <v>124</v>
      </c>
    </row>
    <row r="41" spans="1:31" x14ac:dyDescent="0.3">
      <c r="A41" s="49"/>
      <c r="B41" s="49"/>
      <c r="C41" s="49"/>
      <c r="E41" s="11" t="s">
        <v>34</v>
      </c>
      <c r="F41" s="23"/>
      <c r="G41" s="20"/>
      <c r="H41" s="13" t="s">
        <v>35</v>
      </c>
      <c r="I41" s="14">
        <f>VLOOKUP(F33,[1]Pokemon!$A$1:$I$874,9,FALSE)</f>
        <v>189</v>
      </c>
      <c r="J41" s="13" t="s">
        <v>36</v>
      </c>
      <c r="K41" s="13"/>
      <c r="L41" s="32">
        <f>((F37+1)*I41/2)-F38</f>
        <v>2740.5</v>
      </c>
      <c r="M41" s="17"/>
      <c r="N41" s="33"/>
      <c r="T41" s="11" t="s">
        <v>34</v>
      </c>
      <c r="U41" s="23"/>
      <c r="V41" s="20"/>
      <c r="W41" s="13" t="s">
        <v>35</v>
      </c>
      <c r="X41" s="14">
        <f>VLOOKUP(U33,[1]Pokemon!$A$1:$I$874,9,FALSE)</f>
        <v>233</v>
      </c>
      <c r="Y41" s="13" t="s">
        <v>36</v>
      </c>
      <c r="Z41" s="13"/>
      <c r="AA41" s="32">
        <f>((U37+1)*X41/2)-U38</f>
        <v>6990</v>
      </c>
      <c r="AB41" s="17"/>
      <c r="AC41" s="33"/>
    </row>
    <row r="42" spans="1:31" x14ac:dyDescent="0.3">
      <c r="A42" s="49"/>
      <c r="B42" s="49"/>
      <c r="C42" s="49"/>
      <c r="E42" s="34"/>
      <c r="F42" s="8"/>
      <c r="G42" s="17"/>
      <c r="H42" s="8"/>
      <c r="I42" s="8"/>
      <c r="J42" s="8"/>
      <c r="K42" s="8"/>
      <c r="L42" s="26"/>
      <c r="M42" s="17"/>
      <c r="N42" s="35"/>
      <c r="T42" s="34"/>
      <c r="U42" s="8"/>
      <c r="V42" s="17"/>
      <c r="W42" s="8"/>
      <c r="X42" s="8"/>
      <c r="Y42" s="8"/>
      <c r="Z42" s="8"/>
      <c r="AA42" s="26"/>
      <c r="AB42" s="17"/>
      <c r="AC42" s="35"/>
    </row>
    <row r="43" spans="1:31" x14ac:dyDescent="0.3">
      <c r="A43" s="49"/>
      <c r="B43" s="49"/>
      <c r="C43" s="49"/>
      <c r="E43" s="60" t="s">
        <v>39</v>
      </c>
      <c r="F43" s="61"/>
      <c r="G43" s="13" t="s">
        <v>40</v>
      </c>
      <c r="H43" s="13"/>
      <c r="I43" s="13"/>
      <c r="J43" s="13" t="s">
        <v>16</v>
      </c>
      <c r="K43" s="13" t="s">
        <v>41</v>
      </c>
      <c r="L43" s="24" t="s">
        <v>42</v>
      </c>
      <c r="M43" s="17"/>
      <c r="N43" s="35"/>
      <c r="T43" s="60" t="s">
        <v>39</v>
      </c>
      <c r="U43" s="61"/>
      <c r="V43" s="13" t="s">
        <v>40</v>
      </c>
      <c r="W43" s="13"/>
      <c r="X43" s="13"/>
      <c r="Y43" s="13" t="s">
        <v>16</v>
      </c>
      <c r="Z43" s="13" t="s">
        <v>41</v>
      </c>
      <c r="AA43" s="24" t="s">
        <v>42</v>
      </c>
      <c r="AB43" s="17"/>
      <c r="AC43" s="35"/>
    </row>
    <row r="44" spans="1:31" ht="14.55" customHeight="1" x14ac:dyDescent="0.3">
      <c r="A44" s="49"/>
      <c r="B44" s="49"/>
      <c r="C44" s="49"/>
      <c r="E44" s="62" t="s">
        <v>82</v>
      </c>
      <c r="F44" s="63"/>
      <c r="G44" s="63" t="str">
        <f>VLOOKUP(E44,[2]Golpes!$A$1:$G$653,2,FALSE)&amp;"/"&amp;VLOOKUP(E44,[2]Golpes!$A$1:$G$653,3,FALSE)</f>
        <v>Normal/Estado</v>
      </c>
      <c r="H44" s="63"/>
      <c r="I44" s="63"/>
      <c r="J44" s="25">
        <f>VLOOKUP(E44,[2]Golpes!$A$1:$G$653,4,FALSE)</f>
        <v>6</v>
      </c>
      <c r="K44" s="25" t="str">
        <f>VLOOKUP(E44,[2]Golpes!$A$1:$G$653,5,FALSE)</f>
        <v>-</v>
      </c>
      <c r="L44" s="36">
        <f>VLOOKUP(E44,[2]Golpes!$A$1:$G$653,6,FALSE)</f>
        <v>1</v>
      </c>
      <c r="M44" s="17" t="str">
        <f>VLOOKUP(E44,[2]Golpes!$A$1:$G$653,7,FALSE)</f>
        <v>Sacrifica 50% do seu PV total, porém todos os golpes causarão dano máximo (ex: 3d6, será 18 automaticamente).</v>
      </c>
      <c r="N44" s="35"/>
      <c r="T44" s="62"/>
      <c r="U44" s="63"/>
      <c r="V44" s="63" t="e">
        <f>VLOOKUP(T44,[2]Golpes!$A$1:$G$653,2,FALSE)&amp;"/"&amp;VLOOKUP(T44,[2]Golpes!$A$1:$G$653,3,FALSE)</f>
        <v>#N/A</v>
      </c>
      <c r="W44" s="63"/>
      <c r="X44" s="63"/>
      <c r="Y44" s="25" t="e">
        <f>VLOOKUP(T44,[2]Golpes!$A$1:$G$653,4,FALSE)</f>
        <v>#N/A</v>
      </c>
      <c r="Z44" s="25" t="e">
        <f>VLOOKUP(T44,[2]Golpes!$A$1:$G$653,5,FALSE)</f>
        <v>#N/A</v>
      </c>
      <c r="AA44" s="36" t="e">
        <f>VLOOKUP(T44,[2]Golpes!$A$1:$G$653,6,FALSE)</f>
        <v>#N/A</v>
      </c>
      <c r="AB44" s="17" t="e">
        <f>VLOOKUP(T44,[2]Golpes!$A$1:$G$653,7,FALSE)</f>
        <v>#N/A</v>
      </c>
      <c r="AC44" s="35"/>
    </row>
    <row r="45" spans="1:31" x14ac:dyDescent="0.3">
      <c r="A45" s="49"/>
      <c r="B45" s="49"/>
      <c r="C45" s="49"/>
      <c r="E45" s="62" t="s">
        <v>84</v>
      </c>
      <c r="F45" s="63"/>
      <c r="G45" s="63" t="str">
        <f>VLOOKUP(E45,[2]Golpes!$A$1:$G$653,2,FALSE)&amp;"/"&amp;VLOOKUP(E45,[2]Golpes!$A$1:$G$653,3,FALSE)</f>
        <v>Normal/Físico</v>
      </c>
      <c r="H45" s="63"/>
      <c r="I45" s="63"/>
      <c r="J45" s="25">
        <f>VLOOKUP(E45,[2]Golpes!$A$1:$G$653,4,FALSE)</f>
        <v>13</v>
      </c>
      <c r="K45" s="25" t="str">
        <f>VLOOKUP(E45,[2]Golpes!$A$1:$G$653,5,FALSE)</f>
        <v>16d6</v>
      </c>
      <c r="L45" s="36">
        <f>VLOOKUP(E45,[2]Golpes!$A$1:$G$653,6,FALSE)</f>
        <v>1</v>
      </c>
      <c r="M45" s="17" t="str">
        <f>VLOOKUP(E45,[2]Golpes!$A$1:$G$653,7,FALSE)</f>
        <v>Causa dano e recebe 1/3 do dano causado.</v>
      </c>
      <c r="N45" s="35"/>
      <c r="T45" s="62"/>
      <c r="U45" s="63"/>
      <c r="V45" s="63" t="e">
        <f>VLOOKUP(T45,[2]Golpes!$A$1:$G$653,2,FALSE)&amp;"/"&amp;VLOOKUP(T45,[2]Golpes!$A$1:$G$653,3,FALSE)</f>
        <v>#N/A</v>
      </c>
      <c r="W45" s="63"/>
      <c r="X45" s="63"/>
      <c r="Y45" s="25" t="e">
        <f>VLOOKUP(T45,[2]Golpes!$A$1:$G$653,4,FALSE)</f>
        <v>#N/A</v>
      </c>
      <c r="Z45" s="25" t="e">
        <f>VLOOKUP(T45,[2]Golpes!$A$1:$G$653,5,FALSE)</f>
        <v>#N/A</v>
      </c>
      <c r="AA45" s="36" t="e">
        <f>VLOOKUP(T45,[2]Golpes!$A$1:$G$653,6,FALSE)</f>
        <v>#N/A</v>
      </c>
      <c r="AB45" s="17" t="e">
        <f>VLOOKUP(T45,[2]Golpes!$A$1:$G$653,7,FALSE)</f>
        <v>#N/A</v>
      </c>
      <c r="AC45" s="35"/>
    </row>
    <row r="46" spans="1:31" x14ac:dyDescent="0.3">
      <c r="A46" s="49"/>
      <c r="B46" s="49"/>
      <c r="C46" s="49"/>
      <c r="E46" s="62" t="s">
        <v>85</v>
      </c>
      <c r="F46" s="63"/>
      <c r="G46" s="63" t="str">
        <f>VLOOKUP(E46,[2]Golpes!$A$1:$G$653,2,FALSE)&amp;"/"&amp;VLOOKUP(E46,[2]Golpes!$A$1:$G$653,3,FALSE)</f>
        <v>Água/Físico</v>
      </c>
      <c r="H46" s="63"/>
      <c r="I46" s="63"/>
      <c r="J46" s="25">
        <f>VLOOKUP(E46,[2]Golpes!$A$1:$G$653,4,FALSE)</f>
        <v>4</v>
      </c>
      <c r="K46" s="25" t="str">
        <f>VLOOKUP(E46,[2]Golpes!$A$1:$G$653,5,FALSE)</f>
        <v>4d6</v>
      </c>
      <c r="L46" s="36">
        <f>VLOOKUP(E46,[2]Golpes!$A$1:$G$653,6,FALSE)</f>
        <v>1</v>
      </c>
      <c r="M46" s="17" t="str">
        <f>VLOOKUP(E46,[2]Golpes!$A$1:$G$653,7,FALSE)</f>
        <v>Causa dano, atacando primeiro que o adversário ao ignorar a Velocidade dele.</v>
      </c>
      <c r="N46" s="35"/>
      <c r="T46" s="62"/>
      <c r="U46" s="63"/>
      <c r="V46" s="63" t="e">
        <f>VLOOKUP(T46,[2]Golpes!$A$1:$G$653,2,FALSE)&amp;"/"&amp;VLOOKUP(T46,[2]Golpes!$A$1:$G$653,3,FALSE)</f>
        <v>#N/A</v>
      </c>
      <c r="W46" s="63"/>
      <c r="X46" s="63"/>
      <c r="Y46" s="25" t="e">
        <f>VLOOKUP(T46,[2]Golpes!$A$1:$G$653,4,FALSE)</f>
        <v>#N/A</v>
      </c>
      <c r="Z46" s="25" t="e">
        <f>VLOOKUP(T46,[2]Golpes!$A$1:$G$653,5,FALSE)</f>
        <v>#N/A</v>
      </c>
      <c r="AA46" s="36" t="e">
        <f>VLOOKUP(T46,[2]Golpes!$A$1:$G$653,6,FALSE)</f>
        <v>#N/A</v>
      </c>
      <c r="AB46" s="17" t="e">
        <f>VLOOKUP(T46,[2]Golpes!$A$1:$G$653,7,FALSE)</f>
        <v>#N/A</v>
      </c>
      <c r="AC46" s="35"/>
    </row>
    <row r="47" spans="1:31" ht="15" thickBot="1" x14ac:dyDescent="0.35">
      <c r="A47" s="49"/>
      <c r="B47" s="49"/>
      <c r="C47" s="49"/>
      <c r="E47" s="67" t="s">
        <v>93</v>
      </c>
      <c r="F47" s="68"/>
      <c r="G47" s="68" t="str">
        <f>VLOOKUP(E47,[2]Golpes!$A$1:$G$653,2,FALSE)&amp;"/"&amp;VLOOKUP(E47,[2]Golpes!$A$1:$G$653,3,FALSE)</f>
        <v>Lutador/Físico</v>
      </c>
      <c r="H47" s="68"/>
      <c r="I47" s="68"/>
      <c r="J47" s="43">
        <f>VLOOKUP(E47,[2]Golpes!$A$1:$G$653,4,FALSE)</f>
        <v>8</v>
      </c>
      <c r="K47" s="43" t="str">
        <f>VLOOKUP(E47,[2]Golpes!$A$1:$G$653,5,FALSE)</f>
        <v>8d6</v>
      </c>
      <c r="L47" s="44">
        <f>VLOOKUP(E47,[2]Golpes!$A$1:$G$653,6,FALSE)</f>
        <v>1</v>
      </c>
      <c r="M47" s="17" t="str">
        <f>VLOOKUP(E47,[2]Golpes!$A$1:$G$653,7,FALSE)</f>
        <v>Causa dano.</v>
      </c>
      <c r="N47" s="35"/>
      <c r="T47" s="67"/>
      <c r="U47" s="68"/>
      <c r="V47" s="68" t="e">
        <f>VLOOKUP(T47,[2]Golpes!$A$1:$G$653,2,FALSE)&amp;"/"&amp;VLOOKUP(T47,[2]Golpes!$A$1:$G$653,3,FALSE)</f>
        <v>#N/A</v>
      </c>
      <c r="W47" s="68"/>
      <c r="X47" s="68"/>
      <c r="Y47" s="43" t="e">
        <f>VLOOKUP(T47,[2]Golpes!$A$1:$G$653,4,FALSE)</f>
        <v>#N/A</v>
      </c>
      <c r="Z47" s="43" t="e">
        <f>VLOOKUP(T47,[2]Golpes!$A$1:$G$653,5,FALSE)</f>
        <v>#N/A</v>
      </c>
      <c r="AA47" s="44" t="e">
        <f>VLOOKUP(T47,[2]Golpes!$A$1:$G$653,6,FALSE)</f>
        <v>#N/A</v>
      </c>
      <c r="AB47" s="17" t="e">
        <f>VLOOKUP(T47,[2]Golpes!$A$1:$G$653,7,FALSE)</f>
        <v>#N/A</v>
      </c>
      <c r="AC47" s="35"/>
    </row>
    <row r="48" spans="1:31" x14ac:dyDescent="0.3">
      <c r="A48" s="49"/>
      <c r="B48" s="49"/>
      <c r="C48" s="49"/>
    </row>
    <row r="49" spans="1:3" ht="14.55" customHeight="1" x14ac:dyDescent="0.3">
      <c r="A49" s="49"/>
      <c r="B49" s="49"/>
      <c r="C49" s="49"/>
    </row>
    <row r="50" spans="1:3" x14ac:dyDescent="0.3">
      <c r="A50" s="49"/>
      <c r="B50" s="49"/>
      <c r="C50" s="49"/>
    </row>
    <row r="51" spans="1:3" x14ac:dyDescent="0.3">
      <c r="A51" s="49"/>
      <c r="B51" s="49"/>
      <c r="C51" s="49"/>
    </row>
    <row r="52" spans="1:3" x14ac:dyDescent="0.3">
      <c r="A52" s="49"/>
      <c r="B52" s="49"/>
      <c r="C52" s="49"/>
    </row>
    <row r="53" spans="1:3" x14ac:dyDescent="0.3">
      <c r="A53" s="49"/>
      <c r="B53" s="49"/>
      <c r="C53" s="49"/>
    </row>
    <row r="54" spans="1:3" x14ac:dyDescent="0.3">
      <c r="A54" s="49"/>
      <c r="B54" s="49"/>
      <c r="C54" s="49"/>
    </row>
    <row r="55" spans="1:3" x14ac:dyDescent="0.3">
      <c r="A55" s="49"/>
      <c r="B55" s="49"/>
      <c r="C55" s="49"/>
    </row>
    <row r="56" spans="1:3" x14ac:dyDescent="0.3">
      <c r="C56" s="46"/>
    </row>
    <row r="57" spans="1:3" x14ac:dyDescent="0.3">
      <c r="C57" s="46"/>
    </row>
    <row r="58" spans="1:3" x14ac:dyDescent="0.3">
      <c r="C58" s="46"/>
    </row>
  </sheetData>
  <mergeCells count="85">
    <mergeCell ref="AD33:AE33"/>
    <mergeCell ref="E43:F43"/>
    <mergeCell ref="T43:U43"/>
    <mergeCell ref="E47:F47"/>
    <mergeCell ref="G47:I47"/>
    <mergeCell ref="T47:U47"/>
    <mergeCell ref="V47:X47"/>
    <mergeCell ref="E45:F45"/>
    <mergeCell ref="G45:I45"/>
    <mergeCell ref="T45:U45"/>
    <mergeCell ref="V45:X45"/>
    <mergeCell ref="E46:F46"/>
    <mergeCell ref="G46:I46"/>
    <mergeCell ref="T46:U46"/>
    <mergeCell ref="V46:X46"/>
    <mergeCell ref="E44:F44"/>
    <mergeCell ref="V44:X44"/>
    <mergeCell ref="E31:F31"/>
    <mergeCell ref="G31:I31"/>
    <mergeCell ref="T31:U31"/>
    <mergeCell ref="V31:X31"/>
    <mergeCell ref="O33:P33"/>
    <mergeCell ref="G44:I44"/>
    <mergeCell ref="T44:U44"/>
    <mergeCell ref="A30:C30"/>
    <mergeCell ref="E30:F30"/>
    <mergeCell ref="G30:I30"/>
    <mergeCell ref="T30:U30"/>
    <mergeCell ref="V30:X30"/>
    <mergeCell ref="V15:X15"/>
    <mergeCell ref="AD17:AE17"/>
    <mergeCell ref="A18:C20"/>
    <mergeCell ref="A24:C26"/>
    <mergeCell ref="A27:C29"/>
    <mergeCell ref="E27:F27"/>
    <mergeCell ref="T27:U27"/>
    <mergeCell ref="E28:F28"/>
    <mergeCell ref="G28:I28"/>
    <mergeCell ref="T28:U28"/>
    <mergeCell ref="V28:X28"/>
    <mergeCell ref="E29:F29"/>
    <mergeCell ref="G29:I29"/>
    <mergeCell ref="T29:U29"/>
    <mergeCell ref="V29:X29"/>
    <mergeCell ref="A21:C23"/>
    <mergeCell ref="A16:C16"/>
    <mergeCell ref="A17:C17"/>
    <mergeCell ref="O17:P17"/>
    <mergeCell ref="V12:X12"/>
    <mergeCell ref="B13:C13"/>
    <mergeCell ref="E13:F13"/>
    <mergeCell ref="G13:I13"/>
    <mergeCell ref="T13:U13"/>
    <mergeCell ref="V13:X13"/>
    <mergeCell ref="E14:F14"/>
    <mergeCell ref="G14:I14"/>
    <mergeCell ref="T14:U14"/>
    <mergeCell ref="V14:X14"/>
    <mergeCell ref="E15:F15"/>
    <mergeCell ref="G15:I15"/>
    <mergeCell ref="T15:U15"/>
    <mergeCell ref="E11:F11"/>
    <mergeCell ref="T11:U11"/>
    <mergeCell ref="B12:C12"/>
    <mergeCell ref="E12:F12"/>
    <mergeCell ref="G12:I12"/>
    <mergeCell ref="T12:U12"/>
    <mergeCell ref="B11:C11"/>
    <mergeCell ref="B6:C6"/>
    <mergeCell ref="A7:C7"/>
    <mergeCell ref="B8:C8"/>
    <mergeCell ref="B9:C9"/>
    <mergeCell ref="B10:C10"/>
    <mergeCell ref="B5:C5"/>
    <mergeCell ref="O1:P1"/>
    <mergeCell ref="AD1:AE1"/>
    <mergeCell ref="B2:C2"/>
    <mergeCell ref="B3:C3"/>
    <mergeCell ref="B4:C4"/>
    <mergeCell ref="B1:C1"/>
    <mergeCell ref="A31:C35"/>
    <mergeCell ref="A36:C40"/>
    <mergeCell ref="A41:C45"/>
    <mergeCell ref="A46:C50"/>
    <mergeCell ref="A51:C55"/>
  </mergeCells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58"/>
  <sheetViews>
    <sheetView workbookViewId="0">
      <selection activeCell="B3" sqref="B3:C3"/>
    </sheetView>
  </sheetViews>
  <sheetFormatPr defaultRowHeight="14.4" x14ac:dyDescent="0.3"/>
  <sheetData>
    <row r="1" spans="1:31" x14ac:dyDescent="0.3">
      <c r="A1" s="1" t="s">
        <v>0</v>
      </c>
      <c r="B1" s="55" t="s">
        <v>181</v>
      </c>
      <c r="C1" s="56"/>
      <c r="E1" s="2" t="s">
        <v>1</v>
      </c>
      <c r="F1" s="3"/>
      <c r="G1" s="4"/>
      <c r="H1" s="5"/>
      <c r="I1" s="6" t="s">
        <v>2</v>
      </c>
      <c r="J1" s="6" t="s">
        <v>3</v>
      </c>
      <c r="K1" s="6" t="s">
        <v>4</v>
      </c>
      <c r="L1" s="7" t="s">
        <v>5</v>
      </c>
      <c r="M1" s="8"/>
      <c r="N1" s="9"/>
      <c r="O1" s="53" t="s">
        <v>6</v>
      </c>
      <c r="P1" s="54"/>
      <c r="T1" s="2" t="s">
        <v>1</v>
      </c>
      <c r="U1" s="3"/>
      <c r="V1" s="4"/>
      <c r="W1" s="5"/>
      <c r="X1" s="6" t="s">
        <v>2</v>
      </c>
      <c r="Y1" s="6" t="s">
        <v>3</v>
      </c>
      <c r="Z1" s="6" t="s">
        <v>4</v>
      </c>
      <c r="AA1" s="7" t="s">
        <v>5</v>
      </c>
      <c r="AB1" s="8"/>
      <c r="AC1" s="9"/>
      <c r="AD1" s="53" t="s">
        <v>6</v>
      </c>
      <c r="AE1" s="54"/>
    </row>
    <row r="2" spans="1:31" x14ac:dyDescent="0.3">
      <c r="A2" s="10" t="s">
        <v>7</v>
      </c>
      <c r="B2" s="51">
        <v>32</v>
      </c>
      <c r="C2" s="52"/>
      <c r="E2" s="11" t="s">
        <v>8</v>
      </c>
      <c r="F2" s="8" t="s">
        <v>9</v>
      </c>
      <c r="G2" s="12" t="s">
        <v>10</v>
      </c>
      <c r="H2" s="13" t="s">
        <v>11</v>
      </c>
      <c r="I2" s="14" t="e">
        <f>VLOOKUP(F1,[1]Pokemon!$A$1:$I$874,3,FALSE)+IF(F3="Sim",20,0)</f>
        <v>#N/A</v>
      </c>
      <c r="J2" s="15">
        <v>0</v>
      </c>
      <c r="K2" s="8" t="e">
        <f>IF($B$5="Vigoroso",ROUNDUP((N2+J2)*1.2,0),N2+J2)</f>
        <v>#N/A</v>
      </c>
      <c r="L2" s="16">
        <v>0</v>
      </c>
      <c r="M2" s="17"/>
      <c r="N2" s="9" t="e">
        <f>I2+LOOKUP(I2,[1]Dados!$C$3:$D$12,[1]Dados!$E$3:$E$12)*(ROUNDDOWN(F5/2,0))+LOOKUP(I2,[1]Dados!$C$3:$D$12,[1]Dados!$F$3:$F$12)*(ROUNDDOWN((F5-1)/2,0))</f>
        <v>#N/A</v>
      </c>
      <c r="O2" s="18" t="s">
        <v>12</v>
      </c>
      <c r="P2" s="19"/>
      <c r="T2" s="11" t="s">
        <v>8</v>
      </c>
      <c r="U2" s="8" t="s">
        <v>9</v>
      </c>
      <c r="V2" s="12" t="s">
        <v>10</v>
      </c>
      <c r="W2" s="13" t="s">
        <v>11</v>
      </c>
      <c r="X2" s="14" t="e">
        <f>VLOOKUP(U1,[1]Pokemon!$A$1:$I$874,3,FALSE)+IF(U3="Sim",20,0)</f>
        <v>#N/A</v>
      </c>
      <c r="Y2" s="15">
        <v>0</v>
      </c>
      <c r="Z2" s="8" t="e">
        <f>IF($B$5="Vigoroso",ROUNDUP((AC2+Y2)*1.2,0),AC2+Y2)</f>
        <v>#N/A</v>
      </c>
      <c r="AA2" s="16">
        <v>0</v>
      </c>
      <c r="AB2" s="17"/>
      <c r="AC2" s="9" t="e">
        <f>X2+LOOKUP(X2,[1]Dados!$C$3:$D$12,[1]Dados!$E$3:$E$12)*(ROUNDDOWN(U5/2,0))+LOOKUP(X2,[1]Dados!$C$3:$D$12,[1]Dados!$F$3:$F$12)*(ROUNDDOWN((U5-1)/2,0))</f>
        <v>#N/A</v>
      </c>
      <c r="AD2" s="18" t="s">
        <v>12</v>
      </c>
      <c r="AE2" s="19"/>
    </row>
    <row r="3" spans="1:31" x14ac:dyDescent="0.3">
      <c r="A3" s="10" t="s">
        <v>13</v>
      </c>
      <c r="B3" s="51" t="s">
        <v>51</v>
      </c>
      <c r="C3" s="52"/>
      <c r="E3" s="11" t="s">
        <v>14</v>
      </c>
      <c r="F3" s="8" t="s">
        <v>15</v>
      </c>
      <c r="G3" s="20"/>
      <c r="H3" s="13" t="s">
        <v>16</v>
      </c>
      <c r="I3" s="21">
        <f>20+IF(F3="Sim",10,0)</f>
        <v>20</v>
      </c>
      <c r="J3" s="22">
        <v>0</v>
      </c>
      <c r="K3" s="8">
        <f>18+(F5*2)+IF(F3="Sim",10,0)+J3</f>
        <v>20</v>
      </c>
      <c r="L3" s="16">
        <v>0</v>
      </c>
      <c r="M3" s="17"/>
      <c r="N3" s="9"/>
      <c r="O3" s="18" t="s">
        <v>17</v>
      </c>
      <c r="P3" s="19"/>
      <c r="T3" s="11" t="s">
        <v>14</v>
      </c>
      <c r="U3" s="8" t="s">
        <v>15</v>
      </c>
      <c r="V3" s="20"/>
      <c r="W3" s="13" t="s">
        <v>16</v>
      </c>
      <c r="X3" s="21">
        <f>20+IF(U3="Sim",10,0)</f>
        <v>20</v>
      </c>
      <c r="Y3" s="22">
        <v>0</v>
      </c>
      <c r="Z3" s="8">
        <f>18+(U5*2)+IF(U3="Sim",10,0)+Y3</f>
        <v>20</v>
      </c>
      <c r="AA3" s="16">
        <v>0</v>
      </c>
      <c r="AB3" s="17"/>
      <c r="AC3" s="9"/>
      <c r="AD3" s="18" t="s">
        <v>17</v>
      </c>
      <c r="AE3" s="19"/>
    </row>
    <row r="4" spans="1:31" x14ac:dyDescent="0.3">
      <c r="A4" s="10" t="s">
        <v>18</v>
      </c>
      <c r="B4" s="51" t="s">
        <v>52</v>
      </c>
      <c r="C4" s="52"/>
      <c r="E4" s="11" t="s">
        <v>19</v>
      </c>
      <c r="F4" s="23" t="e">
        <f>VLOOKUP(F1,[1]Pokemon!$A$1:$I$874,2,FALSE)</f>
        <v>#N/A</v>
      </c>
      <c r="G4" s="20"/>
      <c r="H4" s="13" t="s">
        <v>12</v>
      </c>
      <c r="I4" s="14" t="e">
        <f>VLOOKUP(F1,[1]Pokemon!$A$1:$I$874,4,FALSE)+IF(F3="Sim",1,0)</f>
        <v>#N/A</v>
      </c>
      <c r="J4" s="22">
        <v>1</v>
      </c>
      <c r="K4" s="8" t="e">
        <f>IF(L7="Sim", ROUNDUP((N4+ROUNDDOWN(F7/10,0))*J4*P2,0), ROUNDUP((N4+ROUNDDOWN(F7/10,0))*J4,0))</f>
        <v>#N/A</v>
      </c>
      <c r="L4" s="24" t="s">
        <v>20</v>
      </c>
      <c r="M4" s="17"/>
      <c r="N4" s="9" t="e">
        <f>I4+LOOKUP(I4,[1]Dados!$H$3:$I$12,[1]Dados!$J$3:$J$12)*(ROUNDDOWN(F5/2,0))+LOOKUP(I4,[1]Dados!$H$3:$I$12,[1]Dados!$K$3:$K$12)*(ROUNDDOWN((F5-1)/2,0))</f>
        <v>#N/A</v>
      </c>
      <c r="O4" s="18" t="s">
        <v>21</v>
      </c>
      <c r="P4" s="19"/>
      <c r="T4" s="11" t="s">
        <v>19</v>
      </c>
      <c r="U4" s="23" t="e">
        <f>VLOOKUP(U1,[1]Pokemon!$A$1:$I$874,2,FALSE)</f>
        <v>#N/A</v>
      </c>
      <c r="V4" s="20"/>
      <c r="W4" s="13" t="s">
        <v>12</v>
      </c>
      <c r="X4" s="14" t="e">
        <f>VLOOKUP(U1,[1]Pokemon!$A$1:$I$874,4,FALSE)+IF(U3="Sim",1,0)</f>
        <v>#N/A</v>
      </c>
      <c r="Y4" s="22">
        <v>1</v>
      </c>
      <c r="Z4" s="8" t="e">
        <f>IF(AA7="Sim", ROUNDUP((AC4+ROUNDDOWN(U7/10,0))*Y4*AE2,0), ROUNDUP((AC4+ROUNDDOWN(U7/10,0))*Y4,0))</f>
        <v>#N/A</v>
      </c>
      <c r="AA4" s="24" t="s">
        <v>20</v>
      </c>
      <c r="AB4" s="17"/>
      <c r="AC4" s="9" t="e">
        <f>X4+LOOKUP(X4,[1]Dados!$H$3:$I$12,[1]Dados!$J$3:$J$12)*(ROUNDDOWN(U5/2,0))+LOOKUP(X4,[1]Dados!$H$3:$I$12,[1]Dados!$K$3:$K$12)*(ROUNDDOWN((U5-1)/2,0))</f>
        <v>#N/A</v>
      </c>
      <c r="AD4" s="18" t="s">
        <v>21</v>
      </c>
      <c r="AE4" s="19"/>
    </row>
    <row r="5" spans="1:31" x14ac:dyDescent="0.3">
      <c r="A5" s="10" t="s">
        <v>22</v>
      </c>
      <c r="B5" s="51" t="s">
        <v>182</v>
      </c>
      <c r="C5" s="52"/>
      <c r="E5" s="11" t="s">
        <v>23</v>
      </c>
      <c r="F5" s="25">
        <v>1</v>
      </c>
      <c r="G5" s="20"/>
      <c r="H5" s="13" t="s">
        <v>17</v>
      </c>
      <c r="I5" s="14" t="e">
        <f>VLOOKUP(F1,[1]Pokemon!$A$1:$I$874,5,FALSE)+IF(F3="Sim",1,0)</f>
        <v>#N/A</v>
      </c>
      <c r="J5" s="22">
        <v>1</v>
      </c>
      <c r="K5" s="8" t="e">
        <f>IF(L7="Sim", ROUNDUP((N5+ROUNDDOWN(F7/10,0))*J5*P3,0), ROUNDUP((N5+ROUNDDOWN(F7/10,0))*J5,0))</f>
        <v>#N/A</v>
      </c>
      <c r="L5" s="26" t="e">
        <f>ROUNDDOWN(I8/2,0)</f>
        <v>#N/A</v>
      </c>
      <c r="M5" s="17"/>
      <c r="N5" s="9" t="e">
        <f>I5+LOOKUP(I5,[1]Dados!$H$3:$I$12,[1]Dados!$J$3:$J$12)*(ROUNDDOWN(F5/2,0))+LOOKUP(I5,[1]Dados!$H$3:$I$12,[1]Dados!$K$3:$K$12)*(ROUNDDOWN((F5-1)/2,0))</f>
        <v>#N/A</v>
      </c>
      <c r="O5" s="18" t="s">
        <v>24</v>
      </c>
      <c r="P5" s="19"/>
      <c r="T5" s="11" t="s">
        <v>23</v>
      </c>
      <c r="U5" s="25">
        <v>1</v>
      </c>
      <c r="V5" s="20"/>
      <c r="W5" s="13" t="s">
        <v>17</v>
      </c>
      <c r="X5" s="14" t="e">
        <f>VLOOKUP(U1,[1]Pokemon!$A$1:$I$874,5,FALSE)+IF(U3="Sim",1,0)</f>
        <v>#N/A</v>
      </c>
      <c r="Y5" s="22">
        <v>1</v>
      </c>
      <c r="Z5" s="8" t="e">
        <f>IF(AA7="Sim", ROUNDUP((AC5+ROUNDDOWN(U7/10,0))*Y5*AE3,0), ROUNDUP((AC5+ROUNDDOWN(U7/10,0))*Y5,0))</f>
        <v>#N/A</v>
      </c>
      <c r="AA5" s="26" t="e">
        <f>ROUNDDOWN(X8/2,0)</f>
        <v>#N/A</v>
      </c>
      <c r="AB5" s="17"/>
      <c r="AC5" s="9" t="e">
        <f>X5+LOOKUP(X5,[1]Dados!$H$3:$I$12,[1]Dados!$J$3:$J$12)*(ROUNDDOWN(U5/2,0))+LOOKUP(X5,[1]Dados!$H$3:$I$12,[1]Dados!$K$3:$K$12)*(ROUNDDOWN((U5-1)/2,0))</f>
        <v>#N/A</v>
      </c>
      <c r="AD5" s="18" t="s">
        <v>24</v>
      </c>
      <c r="AE5" s="19"/>
    </row>
    <row r="6" spans="1:31" ht="15" thickBot="1" x14ac:dyDescent="0.35">
      <c r="A6" s="27" t="s">
        <v>25</v>
      </c>
      <c r="B6" s="57" t="s">
        <v>32</v>
      </c>
      <c r="C6" s="58"/>
      <c r="E6" s="11" t="s">
        <v>26</v>
      </c>
      <c r="F6" s="23">
        <v>0</v>
      </c>
      <c r="G6" s="20"/>
      <c r="H6" s="13" t="s">
        <v>21</v>
      </c>
      <c r="I6" s="14" t="e">
        <f>VLOOKUP(F1,[1]Pokemon!$A$1:$I$874,6,FALSE)+IF(F3="Sim",1,0)</f>
        <v>#N/A</v>
      </c>
      <c r="J6" s="22">
        <v>1</v>
      </c>
      <c r="K6" s="8" t="e">
        <f>IF(L7="Sim", ROUNDUP((N6+ROUNDDOWN(F7/10,0))*J6*P4,0), ROUNDUP((N6+ROUNDDOWN(F7/10,0))*J6,0))</f>
        <v>#N/A</v>
      </c>
      <c r="L6" s="24" t="s">
        <v>27</v>
      </c>
      <c r="M6" s="17"/>
      <c r="N6" s="9" t="e">
        <f>I6+LOOKUP(I6,[1]Dados!$H$3:$I$12,[1]Dados!$J$3:$J$12)*(ROUNDDOWN(F5/2,0))+LOOKUP(I6,[1]Dados!$H$3:$I$12,[1]Dados!$K$3:$K$12)*(ROUNDDOWN((F5-1)/2,0))</f>
        <v>#N/A</v>
      </c>
      <c r="O6" s="28" t="s">
        <v>28</v>
      </c>
      <c r="P6" s="29"/>
      <c r="T6" s="11" t="s">
        <v>26</v>
      </c>
      <c r="U6" s="23">
        <v>0</v>
      </c>
      <c r="V6" s="20"/>
      <c r="W6" s="13" t="s">
        <v>21</v>
      </c>
      <c r="X6" s="14" t="e">
        <f>VLOOKUP(U1,[1]Pokemon!$A$1:$I$874,6,FALSE)+IF(U3="Sim",1,0)</f>
        <v>#N/A</v>
      </c>
      <c r="Y6" s="22">
        <v>1</v>
      </c>
      <c r="Z6" s="8" t="e">
        <f>IF(AA7="Sim", ROUNDUP((AC6+ROUNDDOWN(U7/10,0))*Y6*AE4,0), ROUNDUP((AC6+ROUNDDOWN(U7/10,0))*Y6,0))</f>
        <v>#N/A</v>
      </c>
      <c r="AA6" s="24" t="s">
        <v>27</v>
      </c>
      <c r="AB6" s="17"/>
      <c r="AC6" s="9" t="e">
        <f>X6+LOOKUP(X6,[1]Dados!$H$3:$I$12,[1]Dados!$J$3:$J$12)*(ROUNDDOWN(U5/2,0))+LOOKUP(X6,[1]Dados!$H$3:$I$12,[1]Dados!$K$3:$K$12)*(ROUNDDOWN((U5-1)/2,0))</f>
        <v>#N/A</v>
      </c>
      <c r="AD6" s="28" t="s">
        <v>28</v>
      </c>
      <c r="AE6" s="29"/>
    </row>
    <row r="7" spans="1:31" ht="15" thickBot="1" x14ac:dyDescent="0.35">
      <c r="A7" s="59"/>
      <c r="B7" s="59"/>
      <c r="C7" s="59"/>
      <c r="E7" s="11" t="s">
        <v>29</v>
      </c>
      <c r="F7" s="30">
        <v>0</v>
      </c>
      <c r="G7" s="20"/>
      <c r="H7" s="13" t="s">
        <v>24</v>
      </c>
      <c r="I7" s="14" t="e">
        <f>VLOOKUP(F1,[1]Pokemon!$A$1:$I$874,7,FALSE)+IF(F3="Sim",1,0)</f>
        <v>#N/A</v>
      </c>
      <c r="J7" s="22">
        <v>1</v>
      </c>
      <c r="K7" s="8" t="e">
        <f>IF(L7="Sim", ROUNDUP((N7+ROUNDDOWN(F7/10,0))*J7*P5,0), ROUNDUP((N7+ROUNDDOWN(F7/10,0))*J7,0))</f>
        <v>#N/A</v>
      </c>
      <c r="L7" s="26" t="s">
        <v>15</v>
      </c>
      <c r="M7" s="17"/>
      <c r="N7" s="9" t="e">
        <f>I7+LOOKUP(I7,[1]Dados!$H$3:$I$12,[1]Dados!$J$3:$J$12)*(ROUNDDOWN(F5/2,0))+LOOKUP(I7,[1]Dados!$H$3:$I$12,[1]Dados!$K$3:$K$12)*(ROUNDDOWN((F5-1)/2,0))</f>
        <v>#N/A</v>
      </c>
      <c r="T7" s="11" t="s">
        <v>29</v>
      </c>
      <c r="U7" s="30">
        <v>0</v>
      </c>
      <c r="V7" s="20"/>
      <c r="W7" s="13" t="s">
        <v>24</v>
      </c>
      <c r="X7" s="14" t="e">
        <f>VLOOKUP(U1,[1]Pokemon!$A$1:$I$874,7,FALSE)+IF(U3="Sim",1,0)</f>
        <v>#N/A</v>
      </c>
      <c r="Y7" s="22">
        <v>1</v>
      </c>
      <c r="Z7" s="8" t="e">
        <f>IF(AA7="Sim", ROUNDUP((AC7+ROUNDDOWN(U7/10,0))*Y7*AE5,0), ROUNDUP((AC7+ROUNDDOWN(U7/10,0))*Y7,0))</f>
        <v>#N/A</v>
      </c>
      <c r="AA7" s="26" t="s">
        <v>15</v>
      </c>
      <c r="AB7" s="17"/>
      <c r="AC7" s="9" t="e">
        <f>X7+LOOKUP(X7,[1]Dados!$H$3:$I$12,[1]Dados!$J$3:$J$12)*(ROUNDDOWN(U5/2,0))+LOOKUP(X7,[1]Dados!$H$3:$I$12,[1]Dados!$K$3:$K$12)*(ROUNDDOWN((U5-1)/2,0))</f>
        <v>#N/A</v>
      </c>
    </row>
    <row r="8" spans="1:31" x14ac:dyDescent="0.3">
      <c r="A8" s="1" t="s">
        <v>30</v>
      </c>
      <c r="B8" s="55">
        <v>6</v>
      </c>
      <c r="C8" s="56"/>
      <c r="E8" s="11" t="s">
        <v>31</v>
      </c>
      <c r="F8" s="23" t="s">
        <v>32</v>
      </c>
      <c r="G8" s="20"/>
      <c r="H8" s="13" t="s">
        <v>28</v>
      </c>
      <c r="I8" s="14" t="e">
        <f>VLOOKUP(F1,[1]Pokemon!$A$1:$I$874,8,FALSE)+IF(F3="Sim",1,0)</f>
        <v>#N/A</v>
      </c>
      <c r="J8" s="22">
        <f>1*IF(F9="Paralisado",0.5,1)</f>
        <v>1</v>
      </c>
      <c r="K8" s="8" t="e">
        <f>IF(L7="Sim", ROUNDUP(N8*J8*P6,0), ROUNDUP(N8*J8,0))</f>
        <v>#N/A</v>
      </c>
      <c r="L8" s="31" t="e">
        <f>IF(L7 = "Sim", ROUNDUP((K8/(10*P6)), 0)&amp;"d6", ROUNDUP((K8/10), 0)&amp;"d6")</f>
        <v>#N/A</v>
      </c>
      <c r="M8" s="17"/>
      <c r="N8" s="9" t="e">
        <f>I8+LOOKUP(I8,[1]Dados!$H$3:$I$12,[1]Dados!$J$3:$J$12)*(ROUNDDOWN(F5/2,0))+LOOKUP(I8,[1]Dados!$H$3:$I$12,[1]Dados!$K$3:$K$12)*(ROUNDDOWN((F5-1)/2,0))</f>
        <v>#N/A</v>
      </c>
      <c r="T8" s="11" t="s">
        <v>31</v>
      </c>
      <c r="U8" s="23" t="s">
        <v>32</v>
      </c>
      <c r="V8" s="20"/>
      <c r="W8" s="13" t="s">
        <v>28</v>
      </c>
      <c r="X8" s="14" t="e">
        <f>VLOOKUP(U1,[1]Pokemon!$A$1:$I$874,8,FALSE)+IF(U3="Sim",1,0)</f>
        <v>#N/A</v>
      </c>
      <c r="Y8" s="22">
        <f>1*IF(U9="Paralisado",0.5,1)</f>
        <v>1</v>
      </c>
      <c r="Z8" s="8" t="e">
        <f>IF(AA7="Sim", ROUNDUP(AC8*Y8*AE6,0), ROUNDUP(AC8*Y8,0))</f>
        <v>#N/A</v>
      </c>
      <c r="AA8" s="31" t="e">
        <f>IF(AA7 = "Sim", ROUNDUP((Z8/(10*AE6)), 0)&amp;"d6", ROUNDUP((Z8/10), 0)&amp;"d6")</f>
        <v>#N/A</v>
      </c>
      <c r="AB8" s="17"/>
      <c r="AC8" s="9" t="e">
        <f>X8+LOOKUP(X8,[1]Dados!$H$3:$I$12,[1]Dados!$J$3:$J$12)*(ROUNDDOWN(U5/2,0))+LOOKUP(X8,[1]Dados!$H$3:$I$12,[1]Dados!$K$3:$K$12)*(ROUNDDOWN((U5-1)/2,0))</f>
        <v>#N/A</v>
      </c>
    </row>
    <row r="9" spans="1:31" x14ac:dyDescent="0.3">
      <c r="A9" s="10" t="s">
        <v>33</v>
      </c>
      <c r="B9" s="51">
        <v>3</v>
      </c>
      <c r="C9" s="52"/>
      <c r="E9" s="11" t="s">
        <v>34</v>
      </c>
      <c r="F9" s="23"/>
      <c r="G9" s="20"/>
      <c r="H9" s="13" t="s">
        <v>35</v>
      </c>
      <c r="I9" s="14" t="e">
        <f>VLOOKUP(F1,[1]Pokemon!$A$1:$I$874,9,FALSE)</f>
        <v>#N/A</v>
      </c>
      <c r="J9" s="13" t="s">
        <v>36</v>
      </c>
      <c r="K9" s="13"/>
      <c r="L9" s="32" t="e">
        <f>((F5+1)*I9/2)-F6</f>
        <v>#N/A</v>
      </c>
      <c r="M9" s="17"/>
      <c r="N9" s="33"/>
      <c r="T9" s="11" t="s">
        <v>34</v>
      </c>
      <c r="U9" s="23"/>
      <c r="V9" s="20"/>
      <c r="W9" s="13" t="s">
        <v>35</v>
      </c>
      <c r="X9" s="14" t="e">
        <f>VLOOKUP(U1,[1]Pokemon!$A$1:$I$874,9,FALSE)</f>
        <v>#N/A</v>
      </c>
      <c r="Y9" s="13" t="s">
        <v>36</v>
      </c>
      <c r="Z9" s="13"/>
      <c r="AA9" s="32" t="e">
        <f>((U5+1)*X9/2)-U6</f>
        <v>#N/A</v>
      </c>
      <c r="AB9" s="17"/>
      <c r="AC9" s="33"/>
    </row>
    <row r="10" spans="1:31" x14ac:dyDescent="0.3">
      <c r="A10" s="10" t="s">
        <v>37</v>
      </c>
      <c r="B10" s="51">
        <v>6</v>
      </c>
      <c r="C10" s="52"/>
      <c r="E10" s="34"/>
      <c r="F10" s="8"/>
      <c r="G10" s="17"/>
      <c r="H10" s="8"/>
      <c r="I10" s="8"/>
      <c r="J10" s="8"/>
      <c r="K10" s="8"/>
      <c r="L10" s="26"/>
      <c r="M10" s="17"/>
      <c r="N10" s="35"/>
      <c r="T10" s="34"/>
      <c r="U10" s="8"/>
      <c r="V10" s="17"/>
      <c r="W10" s="8"/>
      <c r="X10" s="8"/>
      <c r="Y10" s="8"/>
      <c r="Z10" s="8"/>
      <c r="AA10" s="26"/>
      <c r="AB10" s="17"/>
      <c r="AC10" s="35"/>
    </row>
    <row r="11" spans="1:31" x14ac:dyDescent="0.3">
      <c r="A11" s="10" t="s">
        <v>38</v>
      </c>
      <c r="B11" s="51">
        <v>3</v>
      </c>
      <c r="C11" s="52"/>
      <c r="E11" s="60" t="s">
        <v>39</v>
      </c>
      <c r="F11" s="61"/>
      <c r="G11" s="13" t="s">
        <v>40</v>
      </c>
      <c r="H11" s="13"/>
      <c r="I11" s="13"/>
      <c r="J11" s="13" t="s">
        <v>16</v>
      </c>
      <c r="K11" s="13" t="s">
        <v>41</v>
      </c>
      <c r="L11" s="24" t="s">
        <v>42</v>
      </c>
      <c r="M11" s="17"/>
      <c r="N11" s="35"/>
      <c r="T11" s="60" t="s">
        <v>39</v>
      </c>
      <c r="U11" s="61"/>
      <c r="V11" s="13" t="s">
        <v>40</v>
      </c>
      <c r="W11" s="13"/>
      <c r="X11" s="13"/>
      <c r="Y11" s="13" t="s">
        <v>16</v>
      </c>
      <c r="Z11" s="13" t="s">
        <v>41</v>
      </c>
      <c r="AA11" s="24" t="s">
        <v>42</v>
      </c>
      <c r="AB11" s="17"/>
      <c r="AC11" s="35"/>
    </row>
    <row r="12" spans="1:31" x14ac:dyDescent="0.3">
      <c r="A12" s="10" t="s">
        <v>43</v>
      </c>
      <c r="B12" s="51">
        <v>3</v>
      </c>
      <c r="C12" s="52"/>
      <c r="E12" s="62"/>
      <c r="F12" s="63"/>
      <c r="G12" s="63" t="e">
        <f>VLOOKUP(E12,[2]Golpes!$A$1:$G$653,2,FALSE)&amp;"/"&amp;VLOOKUP(E12,[2]Golpes!$A$1:$G$653,3,FALSE)</f>
        <v>#N/A</v>
      </c>
      <c r="H12" s="63"/>
      <c r="I12" s="63"/>
      <c r="J12" s="25" t="e">
        <f>VLOOKUP(E12,[2]Golpes!$A$1:$G$653,4,FALSE)</f>
        <v>#N/A</v>
      </c>
      <c r="K12" s="25" t="e">
        <f>VLOOKUP(E12,[2]Golpes!$A$1:$G$653,5,FALSE)</f>
        <v>#N/A</v>
      </c>
      <c r="L12" s="36" t="e">
        <f>VLOOKUP(E12,[2]Golpes!$A$1:$G$653,6,FALSE)</f>
        <v>#N/A</v>
      </c>
      <c r="M12" s="17" t="e">
        <f>VLOOKUP(E12,[2]Golpes!$A$1:$G$653,7,FALSE)</f>
        <v>#N/A</v>
      </c>
      <c r="N12" s="35"/>
      <c r="T12" s="62"/>
      <c r="U12" s="63"/>
      <c r="V12" s="63" t="e">
        <f>VLOOKUP(T12,[2]Golpes!$A$1:$G$653,2,FALSE)&amp;"/"&amp;VLOOKUP(T12,[2]Golpes!$A$1:$G$653,3,FALSE)</f>
        <v>#N/A</v>
      </c>
      <c r="W12" s="63"/>
      <c r="X12" s="63"/>
      <c r="Y12" s="25" t="e">
        <f>VLOOKUP(T12,[2]Golpes!$A$1:$G$653,4,FALSE)</f>
        <v>#N/A</v>
      </c>
      <c r="Z12" s="25" t="e">
        <f>VLOOKUP(T12,[2]Golpes!$A$1:$G$653,5,FALSE)</f>
        <v>#N/A</v>
      </c>
      <c r="AA12" s="36" t="e">
        <f>VLOOKUP(T12,[2]Golpes!$A$1:$G$653,6,FALSE)</f>
        <v>#N/A</v>
      </c>
      <c r="AB12" s="17" t="e">
        <f>VLOOKUP(T12,[2]Golpes!$A$1:$G$653,7,FALSE)</f>
        <v>#N/A</v>
      </c>
      <c r="AC12" s="35"/>
    </row>
    <row r="13" spans="1:31" ht="15" thickBot="1" x14ac:dyDescent="0.35">
      <c r="A13" s="27" t="s">
        <v>44</v>
      </c>
      <c r="B13" s="57">
        <v>3</v>
      </c>
      <c r="C13" s="58"/>
      <c r="E13" s="62"/>
      <c r="F13" s="63"/>
      <c r="G13" s="63" t="e">
        <f>VLOOKUP(E13,[2]Golpes!$A$1:$G$653,2,FALSE)&amp;"/"&amp;VLOOKUP(E13,[2]Golpes!$A$1:$G$653,3,FALSE)</f>
        <v>#N/A</v>
      </c>
      <c r="H13" s="63"/>
      <c r="I13" s="63"/>
      <c r="J13" s="25" t="e">
        <f>VLOOKUP(E13,[2]Golpes!$A$1:$G$653,4,FALSE)</f>
        <v>#N/A</v>
      </c>
      <c r="K13" s="25" t="e">
        <f>VLOOKUP(E13,[2]Golpes!$A$1:$G$653,5,FALSE)</f>
        <v>#N/A</v>
      </c>
      <c r="L13" s="36" t="e">
        <f>VLOOKUP(E13,[2]Golpes!$A$1:$G$653,6,FALSE)</f>
        <v>#N/A</v>
      </c>
      <c r="M13" s="17" t="e">
        <f>VLOOKUP(E13,[2]Golpes!$A$1:$G$653,7,FALSE)</f>
        <v>#N/A</v>
      </c>
      <c r="N13" s="35"/>
      <c r="T13" s="62"/>
      <c r="U13" s="63"/>
      <c r="V13" s="63" t="e">
        <f>VLOOKUP(T13,[2]Golpes!$A$1:$G$653,2,FALSE)&amp;"/"&amp;VLOOKUP(T13,[2]Golpes!$A$1:$G$653,3,FALSE)</f>
        <v>#N/A</v>
      </c>
      <c r="W13" s="63"/>
      <c r="X13" s="63"/>
      <c r="Y13" s="25" t="e">
        <f>VLOOKUP(T13,[2]Golpes!$A$1:$G$653,4,FALSE)</f>
        <v>#N/A</v>
      </c>
      <c r="Z13" s="25" t="e">
        <f>VLOOKUP(T13,[2]Golpes!$A$1:$G$653,5,FALSE)</f>
        <v>#N/A</v>
      </c>
      <c r="AA13" s="36" t="e">
        <f>VLOOKUP(T13,[2]Golpes!$A$1:$G$653,6,FALSE)</f>
        <v>#N/A</v>
      </c>
      <c r="AB13" s="17" t="e">
        <f>VLOOKUP(T13,[2]Golpes!$A$1:$G$653,7,FALSE)</f>
        <v>#N/A</v>
      </c>
      <c r="AC13" s="35"/>
    </row>
    <row r="14" spans="1:31" x14ac:dyDescent="0.3">
      <c r="A14" s="37" t="s">
        <v>45</v>
      </c>
      <c r="B14" s="38">
        <v>60</v>
      </c>
      <c r="C14" s="39">
        <f>B10*10</f>
        <v>60</v>
      </c>
      <c r="E14" s="62"/>
      <c r="F14" s="63"/>
      <c r="G14" s="63" t="e">
        <f>VLOOKUP(E14,[2]Golpes!$A$1:$G$653,2,FALSE)&amp;"/"&amp;VLOOKUP(E14,[2]Golpes!$A$1:$G$653,3,FALSE)</f>
        <v>#N/A</v>
      </c>
      <c r="H14" s="63"/>
      <c r="I14" s="63"/>
      <c r="J14" s="25" t="e">
        <f>VLOOKUP(E14,[2]Golpes!$A$1:$G$653,4,FALSE)</f>
        <v>#N/A</v>
      </c>
      <c r="K14" s="25" t="e">
        <f>VLOOKUP(E14,[2]Golpes!$A$1:$G$653,5,FALSE)</f>
        <v>#N/A</v>
      </c>
      <c r="L14" s="36" t="e">
        <f>VLOOKUP(E14,[2]Golpes!$A$1:$G$653,6,FALSE)</f>
        <v>#N/A</v>
      </c>
      <c r="M14" s="17" t="e">
        <f>VLOOKUP(E14,[2]Golpes!$A$1:$G$653,7,FALSE)</f>
        <v>#N/A</v>
      </c>
      <c r="N14" s="35"/>
      <c r="T14" s="62"/>
      <c r="U14" s="63"/>
      <c r="V14" s="63" t="e">
        <f>VLOOKUP(T14,[2]Golpes!$A$1:$G$653,2,FALSE)&amp;"/"&amp;VLOOKUP(T14,[2]Golpes!$A$1:$G$653,3,FALSE)</f>
        <v>#N/A</v>
      </c>
      <c r="W14" s="63"/>
      <c r="X14" s="63"/>
      <c r="Y14" s="25" t="e">
        <f>VLOOKUP(T14,[2]Golpes!$A$1:$G$653,4,FALSE)</f>
        <v>#N/A</v>
      </c>
      <c r="Z14" s="25" t="e">
        <f>VLOOKUP(T14,[2]Golpes!$A$1:$G$653,5,FALSE)</f>
        <v>#N/A</v>
      </c>
      <c r="AA14" s="36" t="e">
        <f>VLOOKUP(T14,[2]Golpes!$A$1:$G$653,6,FALSE)</f>
        <v>#N/A</v>
      </c>
      <c r="AB14" s="17" t="e">
        <f>VLOOKUP(T14,[2]Golpes!$A$1:$G$653,7,FALSE)</f>
        <v>#N/A</v>
      </c>
      <c r="AC14" s="35"/>
    </row>
    <row r="15" spans="1:31" ht="15" thickBot="1" x14ac:dyDescent="0.35">
      <c r="A15" s="40" t="s">
        <v>46</v>
      </c>
      <c r="B15" s="41">
        <v>60</v>
      </c>
      <c r="C15" s="42">
        <f>B14</f>
        <v>60</v>
      </c>
      <c r="E15" s="67"/>
      <c r="F15" s="68"/>
      <c r="G15" s="68" t="e">
        <f>VLOOKUP(E15,[2]Golpes!$A$1:$G$653,2,FALSE)&amp;"/"&amp;VLOOKUP(E15,[2]Golpes!$A$1:$G$653,3,FALSE)</f>
        <v>#N/A</v>
      </c>
      <c r="H15" s="68"/>
      <c r="I15" s="68"/>
      <c r="J15" s="43" t="e">
        <f>VLOOKUP(E15,[2]Golpes!$A$1:$G$653,4,FALSE)</f>
        <v>#N/A</v>
      </c>
      <c r="K15" s="43" t="e">
        <f>VLOOKUP(E15,[2]Golpes!$A$1:$G$653,5,FALSE)</f>
        <v>#N/A</v>
      </c>
      <c r="L15" s="44" t="e">
        <f>VLOOKUP(E15,[2]Golpes!$A$1:$G$653,6,FALSE)</f>
        <v>#N/A</v>
      </c>
      <c r="M15" s="17" t="e">
        <f>VLOOKUP(E15,[2]Golpes!$A$1:$G$653,7,FALSE)</f>
        <v>#N/A</v>
      </c>
      <c r="N15" s="35"/>
      <c r="T15" s="67"/>
      <c r="U15" s="68"/>
      <c r="V15" s="68" t="e">
        <f>VLOOKUP(T15,[2]Golpes!$A$1:$G$653,2,FALSE)&amp;"/"&amp;VLOOKUP(T15,[2]Golpes!$A$1:$G$653,3,FALSE)</f>
        <v>#N/A</v>
      </c>
      <c r="W15" s="68"/>
      <c r="X15" s="68"/>
      <c r="Y15" s="43" t="e">
        <f>VLOOKUP(T15,[2]Golpes!$A$1:$G$653,4,FALSE)</f>
        <v>#N/A</v>
      </c>
      <c r="Z15" s="43" t="e">
        <f>VLOOKUP(T15,[2]Golpes!$A$1:$G$653,5,FALSE)</f>
        <v>#N/A</v>
      </c>
      <c r="AA15" s="44" t="e">
        <f>VLOOKUP(T15,[2]Golpes!$A$1:$G$653,6,FALSE)</f>
        <v>#N/A</v>
      </c>
      <c r="AB15" s="17" t="e">
        <f>VLOOKUP(T15,[2]Golpes!$A$1:$G$653,7,FALSE)</f>
        <v>#N/A</v>
      </c>
      <c r="AC15" s="35"/>
    </row>
    <row r="16" spans="1:31" ht="15" thickBot="1" x14ac:dyDescent="0.35">
      <c r="A16" s="59">
        <v>2</v>
      </c>
      <c r="B16" s="59"/>
      <c r="C16" s="59"/>
    </row>
    <row r="17" spans="1:31" ht="15" thickBot="1" x14ac:dyDescent="0.35">
      <c r="A17" s="64" t="s">
        <v>47</v>
      </c>
      <c r="B17" s="65"/>
      <c r="C17" s="66"/>
      <c r="E17" s="2" t="s">
        <v>1</v>
      </c>
      <c r="F17" s="3"/>
      <c r="G17" s="4"/>
      <c r="H17" s="5"/>
      <c r="I17" s="6" t="s">
        <v>2</v>
      </c>
      <c r="J17" s="6" t="s">
        <v>3</v>
      </c>
      <c r="K17" s="6" t="s">
        <v>4</v>
      </c>
      <c r="L17" s="7" t="s">
        <v>5</v>
      </c>
      <c r="M17" s="8"/>
      <c r="N17" s="9"/>
      <c r="O17" s="53" t="s">
        <v>6</v>
      </c>
      <c r="P17" s="54"/>
      <c r="T17" s="2" t="s">
        <v>1</v>
      </c>
      <c r="U17" s="3"/>
      <c r="V17" s="4"/>
      <c r="W17" s="5"/>
      <c r="X17" s="6" t="s">
        <v>2</v>
      </c>
      <c r="Y17" s="6" t="s">
        <v>3</v>
      </c>
      <c r="Z17" s="6" t="s">
        <v>4</v>
      </c>
      <c r="AA17" s="7" t="s">
        <v>5</v>
      </c>
      <c r="AB17" s="8"/>
      <c r="AC17" s="9"/>
      <c r="AD17" s="53" t="s">
        <v>6</v>
      </c>
      <c r="AE17" s="54"/>
    </row>
    <row r="18" spans="1:31" x14ac:dyDescent="0.3">
      <c r="A18" s="71"/>
      <c r="B18" s="49"/>
      <c r="C18" s="72"/>
      <c r="E18" s="11" t="s">
        <v>8</v>
      </c>
      <c r="F18" s="8" t="s">
        <v>9</v>
      </c>
      <c r="G18" s="12" t="s">
        <v>10</v>
      </c>
      <c r="H18" s="13" t="s">
        <v>11</v>
      </c>
      <c r="I18" s="14" t="e">
        <f>VLOOKUP(F17,[1]Pokemon!$A$1:$I$874,3,FALSE)+IF(F19="Sim",20,0)</f>
        <v>#N/A</v>
      </c>
      <c r="J18" s="15">
        <v>0</v>
      </c>
      <c r="K18" s="8" t="e">
        <f>IF($B$5="Vigoroso",ROUNDUP((N18+J18)*1.2,0),N18+J18)</f>
        <v>#N/A</v>
      </c>
      <c r="L18" s="16">
        <v>0</v>
      </c>
      <c r="M18" s="17"/>
      <c r="N18" s="9" t="e">
        <f>I18+LOOKUP(I18,[1]Dados!$C$3:$D$12,[1]Dados!$E$3:$E$12)*(ROUNDDOWN(F21/2,0))+LOOKUP(I18,[1]Dados!$C$3:$D$12,[1]Dados!$F$3:$F$12)*(ROUNDDOWN((F21-1)/2,0))</f>
        <v>#N/A</v>
      </c>
      <c r="O18" s="18" t="s">
        <v>12</v>
      </c>
      <c r="P18" s="19"/>
      <c r="T18" s="11" t="s">
        <v>8</v>
      </c>
      <c r="U18" s="8" t="s">
        <v>9</v>
      </c>
      <c r="V18" s="12" t="s">
        <v>10</v>
      </c>
      <c r="W18" s="13" t="s">
        <v>11</v>
      </c>
      <c r="X18" s="14" t="e">
        <f>VLOOKUP(U17,[1]Pokemon!$A$1:$I$874,3,FALSE)+IF(U19="Sim",20,0)</f>
        <v>#N/A</v>
      </c>
      <c r="Y18" s="15">
        <v>0</v>
      </c>
      <c r="Z18" s="8" t="e">
        <f>IF($B$5="Vigoroso",ROUNDUP((AC18+Y18)*1.2,0),AC18+Y18)</f>
        <v>#N/A</v>
      </c>
      <c r="AA18" s="16">
        <v>0</v>
      </c>
      <c r="AB18" s="17"/>
      <c r="AC18" s="9" t="e">
        <f>X18+LOOKUP(X18,[1]Dados!$C$3:$D$12,[1]Dados!$E$3:$E$12)*(ROUNDDOWN(U21/2,0))+LOOKUP(X18,[1]Dados!$C$3:$D$12,[1]Dados!$F$3:$F$12)*(ROUNDDOWN((U21-1)/2,0))</f>
        <v>#N/A</v>
      </c>
      <c r="AD18" s="18" t="s">
        <v>12</v>
      </c>
      <c r="AE18" s="19"/>
    </row>
    <row r="19" spans="1:31" x14ac:dyDescent="0.3">
      <c r="A19" s="71"/>
      <c r="B19" s="49"/>
      <c r="C19" s="72"/>
      <c r="E19" s="11" t="s">
        <v>14</v>
      </c>
      <c r="F19" s="8" t="s">
        <v>15</v>
      </c>
      <c r="G19" s="20"/>
      <c r="H19" s="13" t="s">
        <v>16</v>
      </c>
      <c r="I19" s="21">
        <f>20+IF(F19="Sim",10,0)</f>
        <v>20</v>
      </c>
      <c r="J19" s="22">
        <v>0</v>
      </c>
      <c r="K19" s="8">
        <f>18+(F21*2)+IF(F19="Sim",10,0)+J19</f>
        <v>20</v>
      </c>
      <c r="L19" s="16">
        <v>0</v>
      </c>
      <c r="M19" s="17"/>
      <c r="N19" s="9"/>
      <c r="O19" s="18" t="s">
        <v>17</v>
      </c>
      <c r="P19" s="19"/>
      <c r="T19" s="11" t="s">
        <v>14</v>
      </c>
      <c r="U19" s="8" t="s">
        <v>15</v>
      </c>
      <c r="V19" s="20"/>
      <c r="W19" s="13" t="s">
        <v>16</v>
      </c>
      <c r="X19" s="21">
        <f>20+IF(U19="Sim",10,0)</f>
        <v>20</v>
      </c>
      <c r="Y19" s="22">
        <v>0</v>
      </c>
      <c r="Z19" s="8">
        <f>18+(U21*2)+IF(U19="Sim",10,0)+Y19</f>
        <v>20</v>
      </c>
      <c r="AA19" s="16">
        <v>0</v>
      </c>
      <c r="AB19" s="17"/>
      <c r="AC19" s="9"/>
      <c r="AD19" s="18" t="s">
        <v>17</v>
      </c>
      <c r="AE19" s="19"/>
    </row>
    <row r="20" spans="1:31" x14ac:dyDescent="0.3">
      <c r="A20" s="71"/>
      <c r="B20" s="49"/>
      <c r="C20" s="72"/>
      <c r="E20" s="11" t="s">
        <v>19</v>
      </c>
      <c r="F20" s="23" t="e">
        <f>VLOOKUP(F17,[1]Pokemon!$A$1:$I$874,2,FALSE)</f>
        <v>#N/A</v>
      </c>
      <c r="G20" s="20"/>
      <c r="H20" s="13" t="s">
        <v>12</v>
      </c>
      <c r="I20" s="14" t="e">
        <f>VLOOKUP(F17,[1]Pokemon!$A$1:$I$874,4,FALSE)+IF(F19="Sim",1,0)</f>
        <v>#N/A</v>
      </c>
      <c r="J20" s="22">
        <v>1</v>
      </c>
      <c r="K20" s="8" t="e">
        <f>IF(L23="Sim", ROUNDUP((N20+ROUNDDOWN(F23/10,0))*J20*P18,0), ROUNDUP((N20+ROUNDDOWN(F23/10,0))*J20,0))</f>
        <v>#N/A</v>
      </c>
      <c r="L20" s="24" t="s">
        <v>20</v>
      </c>
      <c r="M20" s="17"/>
      <c r="N20" s="9" t="e">
        <f>I20+LOOKUP(I20,[1]Dados!$H$3:$I$12,[1]Dados!$J$3:$J$12)*(ROUNDDOWN(F21/2,0))+LOOKUP(I20,[1]Dados!$H$3:$I$12,[1]Dados!$K$3:$K$12)*(ROUNDDOWN((F21-1)/2,0))</f>
        <v>#N/A</v>
      </c>
      <c r="O20" s="18" t="s">
        <v>21</v>
      </c>
      <c r="P20" s="19"/>
      <c r="T20" s="11" t="s">
        <v>19</v>
      </c>
      <c r="U20" s="23" t="e">
        <f>VLOOKUP(U17,[1]Pokemon!$A$1:$I$874,2,FALSE)</f>
        <v>#N/A</v>
      </c>
      <c r="V20" s="20"/>
      <c r="W20" s="13" t="s">
        <v>12</v>
      </c>
      <c r="X20" s="14" t="e">
        <f>VLOOKUP(U17,[1]Pokemon!$A$1:$I$874,4,FALSE)+IF(U19="Sim",1,0)</f>
        <v>#N/A</v>
      </c>
      <c r="Y20" s="22">
        <v>1</v>
      </c>
      <c r="Z20" s="8" t="e">
        <f>IF(AA23="Sim", ROUNDUP((AC20+ROUNDDOWN(U23/10,0))*Y20*AE18,0), ROUNDUP((AC20+ROUNDDOWN(U23/10,0))*Y20,0))</f>
        <v>#N/A</v>
      </c>
      <c r="AA20" s="24" t="s">
        <v>20</v>
      </c>
      <c r="AB20" s="17"/>
      <c r="AC20" s="9" t="e">
        <f>X20+LOOKUP(X20,[1]Dados!$H$3:$I$12,[1]Dados!$J$3:$J$12)*(ROUNDDOWN(U21/2,0))+LOOKUP(X20,[1]Dados!$H$3:$I$12,[1]Dados!$K$3:$K$12)*(ROUNDDOWN((U21-1)/2,0))</f>
        <v>#N/A</v>
      </c>
      <c r="AD20" s="18" t="s">
        <v>21</v>
      </c>
      <c r="AE20" s="19"/>
    </row>
    <row r="21" spans="1:31" x14ac:dyDescent="0.3">
      <c r="A21" s="71"/>
      <c r="B21" s="49"/>
      <c r="C21" s="72"/>
      <c r="E21" s="11" t="s">
        <v>23</v>
      </c>
      <c r="F21" s="25">
        <v>1</v>
      </c>
      <c r="G21" s="20"/>
      <c r="H21" s="13" t="s">
        <v>17</v>
      </c>
      <c r="I21" s="14" t="e">
        <f>VLOOKUP(F17,[1]Pokemon!$A$1:$I$874,5,FALSE)+IF(F19="Sim",1,0)</f>
        <v>#N/A</v>
      </c>
      <c r="J21" s="22">
        <v>1</v>
      </c>
      <c r="K21" s="8" t="e">
        <f>IF(L23="Sim", ROUNDUP((N21+ROUNDDOWN(F23/10,0))*J21*P19,0), ROUNDUP((N21+ROUNDDOWN(F23/10,0))*J21,0))</f>
        <v>#N/A</v>
      </c>
      <c r="L21" s="26" t="e">
        <f>ROUNDDOWN(I24/2,0)</f>
        <v>#N/A</v>
      </c>
      <c r="M21" s="17"/>
      <c r="N21" s="9" t="e">
        <f>I21+LOOKUP(I21,[1]Dados!$H$3:$I$12,[1]Dados!$J$3:$J$12)*(ROUNDDOWN(F21/2,0))+LOOKUP(I21,[1]Dados!$H$3:$I$12,[1]Dados!$K$3:$K$12)*(ROUNDDOWN((F21-1)/2,0))</f>
        <v>#N/A</v>
      </c>
      <c r="O21" s="18" t="s">
        <v>24</v>
      </c>
      <c r="P21" s="19"/>
      <c r="T21" s="11" t="s">
        <v>23</v>
      </c>
      <c r="U21" s="25">
        <v>1</v>
      </c>
      <c r="V21" s="20"/>
      <c r="W21" s="13" t="s">
        <v>17</v>
      </c>
      <c r="X21" s="14" t="e">
        <f>VLOOKUP(U17,[1]Pokemon!$A$1:$I$874,5,FALSE)+IF(U19="Sim",1,0)</f>
        <v>#N/A</v>
      </c>
      <c r="Y21" s="22">
        <v>1</v>
      </c>
      <c r="Z21" s="8" t="e">
        <f>IF(AA23="Sim", ROUNDUP((AC21+ROUNDDOWN(U23/10,0))*Y21*AE19,0), ROUNDUP((AC21+ROUNDDOWN(U23/10,0))*Y21,0))</f>
        <v>#N/A</v>
      </c>
      <c r="AA21" s="26" t="e">
        <f>ROUNDDOWN(X24/2,0)</f>
        <v>#N/A</v>
      </c>
      <c r="AB21" s="17"/>
      <c r="AC21" s="9" t="e">
        <f>X21+LOOKUP(X21,[1]Dados!$H$3:$I$12,[1]Dados!$J$3:$J$12)*(ROUNDDOWN(U21/2,0))+LOOKUP(X21,[1]Dados!$H$3:$I$12,[1]Dados!$K$3:$K$12)*(ROUNDDOWN((U21-1)/2,0))</f>
        <v>#N/A</v>
      </c>
      <c r="AD21" s="18" t="s">
        <v>24</v>
      </c>
      <c r="AE21" s="19"/>
    </row>
    <row r="22" spans="1:31" ht="15" thickBot="1" x14ac:dyDescent="0.35">
      <c r="A22" s="71"/>
      <c r="B22" s="49"/>
      <c r="C22" s="72"/>
      <c r="E22" s="11" t="s">
        <v>26</v>
      </c>
      <c r="F22" s="23">
        <v>0</v>
      </c>
      <c r="G22" s="20"/>
      <c r="H22" s="13" t="s">
        <v>21</v>
      </c>
      <c r="I22" s="14" t="e">
        <f>VLOOKUP(F17,[1]Pokemon!$A$1:$I$874,6,FALSE)+IF(F19="Sim",1,0)</f>
        <v>#N/A</v>
      </c>
      <c r="J22" s="22">
        <v>1</v>
      </c>
      <c r="K22" s="8" t="e">
        <f>IF(L23="Sim", ROUNDUP((N22+ROUNDDOWN(F23/10,0))*J22*P20,0), ROUNDUP((N22+ROUNDDOWN(F23/10,0))*J22,0))</f>
        <v>#N/A</v>
      </c>
      <c r="L22" s="24" t="s">
        <v>27</v>
      </c>
      <c r="M22" s="17"/>
      <c r="N22" s="9" t="e">
        <f>I22+LOOKUP(I22,[1]Dados!$H$3:$I$12,[1]Dados!$J$3:$J$12)*(ROUNDDOWN(F21/2,0))+LOOKUP(I22,[1]Dados!$H$3:$I$12,[1]Dados!$K$3:$K$12)*(ROUNDDOWN((F21-1)/2,0))</f>
        <v>#N/A</v>
      </c>
      <c r="O22" s="28" t="s">
        <v>28</v>
      </c>
      <c r="P22" s="29"/>
      <c r="T22" s="11" t="s">
        <v>26</v>
      </c>
      <c r="U22" s="23">
        <v>0</v>
      </c>
      <c r="V22" s="20"/>
      <c r="W22" s="13" t="s">
        <v>21</v>
      </c>
      <c r="X22" s="14" t="e">
        <f>VLOOKUP(U17,[1]Pokemon!$A$1:$I$874,6,FALSE)+IF(U19="Sim",1,0)</f>
        <v>#N/A</v>
      </c>
      <c r="Y22" s="22">
        <v>1</v>
      </c>
      <c r="Z22" s="8" t="e">
        <f>IF(AA23="Sim", ROUNDUP((AC22+ROUNDDOWN(U23/10,0))*Y22*AE20,0), ROUNDUP((AC22+ROUNDDOWN(U23/10,0))*Y22,0))</f>
        <v>#N/A</v>
      </c>
      <c r="AA22" s="24" t="s">
        <v>27</v>
      </c>
      <c r="AB22" s="17"/>
      <c r="AC22" s="9" t="e">
        <f>X22+LOOKUP(X22,[1]Dados!$H$3:$I$12,[1]Dados!$J$3:$J$12)*(ROUNDDOWN(U21/2,0))+LOOKUP(X22,[1]Dados!$H$3:$I$12,[1]Dados!$K$3:$K$12)*(ROUNDDOWN((U21-1)/2,0))</f>
        <v>#N/A</v>
      </c>
      <c r="AD22" s="28" t="s">
        <v>28</v>
      </c>
      <c r="AE22" s="29"/>
    </row>
    <row r="23" spans="1:31" x14ac:dyDescent="0.3">
      <c r="A23" s="71"/>
      <c r="B23" s="49"/>
      <c r="C23" s="72"/>
      <c r="E23" s="11" t="s">
        <v>29</v>
      </c>
      <c r="F23" s="30">
        <v>0</v>
      </c>
      <c r="G23" s="20"/>
      <c r="H23" s="13" t="s">
        <v>24</v>
      </c>
      <c r="I23" s="14" t="e">
        <f>VLOOKUP(F17,[1]Pokemon!$A$1:$I$874,7,FALSE)+IF(F19="Sim",1,0)</f>
        <v>#N/A</v>
      </c>
      <c r="J23" s="22">
        <v>1</v>
      </c>
      <c r="K23" s="8" t="e">
        <f>IF(L23="Sim", ROUNDUP((N23+ROUNDDOWN(F23/10,0))*J23*P21,0), ROUNDUP((N23+ROUNDDOWN(F23/10,0))*J23,0))</f>
        <v>#N/A</v>
      </c>
      <c r="L23" s="26" t="s">
        <v>15</v>
      </c>
      <c r="M23" s="17"/>
      <c r="N23" s="9" t="e">
        <f>I23+LOOKUP(I23,[1]Dados!$H$3:$I$12,[1]Dados!$J$3:$J$12)*(ROUNDDOWN(F21/2,0))+LOOKUP(I23,[1]Dados!$H$3:$I$12,[1]Dados!$K$3:$K$12)*(ROUNDDOWN((F21-1)/2,0))</f>
        <v>#N/A</v>
      </c>
      <c r="T23" s="11" t="s">
        <v>29</v>
      </c>
      <c r="U23" s="30">
        <v>0</v>
      </c>
      <c r="V23" s="20"/>
      <c r="W23" s="13" t="s">
        <v>24</v>
      </c>
      <c r="X23" s="14" t="e">
        <f>VLOOKUP(U17,[1]Pokemon!$A$1:$I$874,7,FALSE)+IF(U19="Sim",1,0)</f>
        <v>#N/A</v>
      </c>
      <c r="Y23" s="22">
        <v>1</v>
      </c>
      <c r="Z23" s="8" t="e">
        <f>IF(AA23="Sim", ROUNDUP((AC23+ROUNDDOWN(U23/10,0))*Y23*AE21,0), ROUNDUP((AC23+ROUNDDOWN(U23/10,0))*Y23,0))</f>
        <v>#N/A</v>
      </c>
      <c r="AA23" s="26" t="s">
        <v>15</v>
      </c>
      <c r="AB23" s="17"/>
      <c r="AC23" s="9" t="e">
        <f>X23+LOOKUP(X23,[1]Dados!$H$3:$I$12,[1]Dados!$J$3:$J$12)*(ROUNDDOWN(U21/2,0))+LOOKUP(X23,[1]Dados!$H$3:$I$12,[1]Dados!$K$3:$K$12)*(ROUNDDOWN((U21-1)/2,0))</f>
        <v>#N/A</v>
      </c>
    </row>
    <row r="24" spans="1:31" x14ac:dyDescent="0.3">
      <c r="A24" s="71"/>
      <c r="B24" s="49"/>
      <c r="C24" s="72"/>
      <c r="E24" s="11" t="s">
        <v>31</v>
      </c>
      <c r="F24" s="23" t="s">
        <v>32</v>
      </c>
      <c r="G24" s="20"/>
      <c r="H24" s="13" t="s">
        <v>28</v>
      </c>
      <c r="I24" s="14" t="e">
        <f>VLOOKUP(F17,[1]Pokemon!$A$1:$I$874,8,FALSE)+IF(F19="Sim",1,0)</f>
        <v>#N/A</v>
      </c>
      <c r="J24" s="22">
        <f>1*IF(F25="Paralisado",0.5,1)</f>
        <v>1</v>
      </c>
      <c r="K24" s="8" t="e">
        <f>IF(L23="Sim", ROUNDUP(N24*J24*P22,0), ROUNDUP(N24*J24,0))</f>
        <v>#N/A</v>
      </c>
      <c r="L24" s="31" t="e">
        <f>IF(L23 = "Sim", ROUNDUP((K24/(10*P22)), 0)&amp;"d6", ROUNDUP((K24/10), 0)&amp;"d6")</f>
        <v>#N/A</v>
      </c>
      <c r="M24" s="17"/>
      <c r="N24" s="9" t="e">
        <f>I24+LOOKUP(I24,[1]Dados!$H$3:$I$12,[1]Dados!$J$3:$J$12)*(ROUNDDOWN(F21/2,0))+LOOKUP(I24,[1]Dados!$H$3:$I$12,[1]Dados!$K$3:$K$12)*(ROUNDDOWN((F21-1)/2,0))</f>
        <v>#N/A</v>
      </c>
      <c r="T24" s="11" t="s">
        <v>31</v>
      </c>
      <c r="U24" s="23" t="s">
        <v>32</v>
      </c>
      <c r="V24" s="20"/>
      <c r="W24" s="13" t="s">
        <v>28</v>
      </c>
      <c r="X24" s="14" t="e">
        <f>VLOOKUP(U17,[1]Pokemon!$A$1:$I$874,8,FALSE)+IF(U19="Sim",1,0)</f>
        <v>#N/A</v>
      </c>
      <c r="Y24" s="22">
        <f>1*IF(U25="Paralisado",0.5,1)</f>
        <v>1</v>
      </c>
      <c r="Z24" s="8" t="e">
        <f>IF(AA23="Sim", ROUNDUP(AC24*Y24*AE22,0), ROUNDUP(AC24*Y24,0))</f>
        <v>#N/A</v>
      </c>
      <c r="AA24" s="31" t="e">
        <f>IF(AA23 = "Sim", ROUNDUP((Z24/(10*AE22)), 0)&amp;"d6", ROUNDUP((Z24/10), 0)&amp;"d6")</f>
        <v>#N/A</v>
      </c>
      <c r="AB24" s="17"/>
      <c r="AC24" s="9" t="e">
        <f>X24+LOOKUP(X24,[1]Dados!$H$3:$I$12,[1]Dados!$J$3:$J$12)*(ROUNDDOWN(U21/2,0))+LOOKUP(X24,[1]Dados!$H$3:$I$12,[1]Dados!$K$3:$K$12)*(ROUNDDOWN((U21-1)/2,0))</f>
        <v>#N/A</v>
      </c>
    </row>
    <row r="25" spans="1:31" x14ac:dyDescent="0.3">
      <c r="A25" s="71"/>
      <c r="B25" s="49"/>
      <c r="C25" s="72"/>
      <c r="E25" s="11" t="s">
        <v>34</v>
      </c>
      <c r="F25" s="23"/>
      <c r="G25" s="20"/>
      <c r="H25" s="13" t="s">
        <v>35</v>
      </c>
      <c r="I25" s="14" t="e">
        <f>VLOOKUP(F17,[1]Pokemon!$A$1:$I$874,9,FALSE)</f>
        <v>#N/A</v>
      </c>
      <c r="J25" s="13" t="s">
        <v>36</v>
      </c>
      <c r="K25" s="13"/>
      <c r="L25" s="32" t="e">
        <f>((F21+1)*I25/2)-F22</f>
        <v>#N/A</v>
      </c>
      <c r="M25" s="17"/>
      <c r="N25" s="33"/>
      <c r="T25" s="11" t="s">
        <v>34</v>
      </c>
      <c r="U25" s="23"/>
      <c r="V25" s="20"/>
      <c r="W25" s="13" t="s">
        <v>35</v>
      </c>
      <c r="X25" s="14" t="e">
        <f>VLOOKUP(U17,[1]Pokemon!$A$1:$I$874,9,FALSE)</f>
        <v>#N/A</v>
      </c>
      <c r="Y25" s="13" t="s">
        <v>36</v>
      </c>
      <c r="Z25" s="13"/>
      <c r="AA25" s="32" t="e">
        <f>((U21+1)*X25/2)-U22</f>
        <v>#N/A</v>
      </c>
      <c r="AB25" s="17"/>
      <c r="AC25" s="33"/>
    </row>
    <row r="26" spans="1:31" x14ac:dyDescent="0.3">
      <c r="A26" s="71"/>
      <c r="B26" s="49"/>
      <c r="C26" s="72"/>
      <c r="E26" s="34"/>
      <c r="F26" s="8"/>
      <c r="G26" s="17"/>
      <c r="H26" s="8"/>
      <c r="I26" s="8"/>
      <c r="J26" s="8"/>
      <c r="K26" s="8"/>
      <c r="L26" s="26"/>
      <c r="M26" s="17"/>
      <c r="N26" s="35"/>
      <c r="T26" s="34"/>
      <c r="U26" s="8"/>
      <c r="V26" s="17"/>
      <c r="W26" s="8"/>
      <c r="X26" s="8"/>
      <c r="Y26" s="8"/>
      <c r="Z26" s="8"/>
      <c r="AA26" s="26"/>
      <c r="AB26" s="17"/>
      <c r="AC26" s="35"/>
    </row>
    <row r="27" spans="1:31" x14ac:dyDescent="0.3">
      <c r="A27" s="71"/>
      <c r="B27" s="49"/>
      <c r="C27" s="72"/>
      <c r="E27" s="60" t="s">
        <v>39</v>
      </c>
      <c r="F27" s="61"/>
      <c r="G27" s="13" t="s">
        <v>40</v>
      </c>
      <c r="H27" s="13"/>
      <c r="I27" s="13"/>
      <c r="J27" s="13" t="s">
        <v>16</v>
      </c>
      <c r="K27" s="13" t="s">
        <v>41</v>
      </c>
      <c r="L27" s="24" t="s">
        <v>42</v>
      </c>
      <c r="M27" s="17"/>
      <c r="N27" s="35"/>
      <c r="T27" s="60" t="s">
        <v>39</v>
      </c>
      <c r="U27" s="61"/>
      <c r="V27" s="13" t="s">
        <v>40</v>
      </c>
      <c r="W27" s="13"/>
      <c r="X27" s="13"/>
      <c r="Y27" s="13" t="s">
        <v>16</v>
      </c>
      <c r="Z27" s="13" t="s">
        <v>41</v>
      </c>
      <c r="AA27" s="24" t="s">
        <v>42</v>
      </c>
      <c r="AB27" s="17"/>
      <c r="AC27" s="35"/>
    </row>
    <row r="28" spans="1:31" x14ac:dyDescent="0.3">
      <c r="A28" s="71"/>
      <c r="B28" s="49"/>
      <c r="C28" s="72"/>
      <c r="E28" s="62"/>
      <c r="F28" s="63"/>
      <c r="G28" s="63" t="e">
        <f>VLOOKUP(E28,[2]Golpes!$A$1:$G$653,2,FALSE)&amp;"/"&amp;VLOOKUP(E28,[2]Golpes!$A$1:$G$653,3,FALSE)</f>
        <v>#N/A</v>
      </c>
      <c r="H28" s="63"/>
      <c r="I28" s="63"/>
      <c r="J28" s="25" t="e">
        <f>VLOOKUP(E28,[2]Golpes!$A$1:$G$653,4,FALSE)</f>
        <v>#N/A</v>
      </c>
      <c r="K28" s="25" t="e">
        <f>VLOOKUP(E28,[2]Golpes!$A$1:$G$653,5,FALSE)</f>
        <v>#N/A</v>
      </c>
      <c r="L28" s="36" t="e">
        <f>VLOOKUP(E28,[2]Golpes!$A$1:$G$653,6,FALSE)</f>
        <v>#N/A</v>
      </c>
      <c r="M28" s="17" t="e">
        <f>VLOOKUP(E28,[2]Golpes!$A$1:$G$653,7,FALSE)</f>
        <v>#N/A</v>
      </c>
      <c r="N28" s="35"/>
      <c r="T28" s="62"/>
      <c r="U28" s="63"/>
      <c r="V28" s="63" t="e">
        <f>VLOOKUP(T28,[2]Golpes!$A$1:$G$653,2,FALSE)&amp;"/"&amp;VLOOKUP(T28,[2]Golpes!$A$1:$G$653,3,FALSE)</f>
        <v>#N/A</v>
      </c>
      <c r="W28" s="63"/>
      <c r="X28" s="63"/>
      <c r="Y28" s="25" t="e">
        <f>VLOOKUP(T28,[2]Golpes!$A$1:$G$653,4,FALSE)</f>
        <v>#N/A</v>
      </c>
      <c r="Z28" s="25" t="e">
        <f>VLOOKUP(T28,[2]Golpes!$A$1:$G$653,5,FALSE)</f>
        <v>#N/A</v>
      </c>
      <c r="AA28" s="36" t="e">
        <f>VLOOKUP(T28,[2]Golpes!$A$1:$G$653,6,FALSE)</f>
        <v>#N/A</v>
      </c>
      <c r="AB28" s="17" t="e">
        <f>VLOOKUP(T28,[2]Golpes!$A$1:$G$653,7,FALSE)</f>
        <v>#N/A</v>
      </c>
      <c r="AC28" s="35"/>
    </row>
    <row r="29" spans="1:31" ht="15" thickBot="1" x14ac:dyDescent="0.35">
      <c r="A29" s="73"/>
      <c r="B29" s="74"/>
      <c r="C29" s="75"/>
      <c r="E29" s="62"/>
      <c r="F29" s="63"/>
      <c r="G29" s="63" t="e">
        <f>VLOOKUP(E29,[2]Golpes!$A$1:$G$653,2,FALSE)&amp;"/"&amp;VLOOKUP(E29,[2]Golpes!$A$1:$G$653,3,FALSE)</f>
        <v>#N/A</v>
      </c>
      <c r="H29" s="63"/>
      <c r="I29" s="63"/>
      <c r="J29" s="25" t="e">
        <f>VLOOKUP(E29,[2]Golpes!$A$1:$G$653,4,FALSE)</f>
        <v>#N/A</v>
      </c>
      <c r="K29" s="25" t="e">
        <f>VLOOKUP(E29,[2]Golpes!$A$1:$G$653,5,FALSE)</f>
        <v>#N/A</v>
      </c>
      <c r="L29" s="36" t="e">
        <f>VLOOKUP(E29,[2]Golpes!$A$1:$G$653,6,FALSE)</f>
        <v>#N/A</v>
      </c>
      <c r="M29" s="17" t="e">
        <f>VLOOKUP(E29,[2]Golpes!$A$1:$G$653,7,FALSE)</f>
        <v>#N/A</v>
      </c>
      <c r="N29" s="35"/>
      <c r="T29" s="62"/>
      <c r="U29" s="63"/>
      <c r="V29" s="63" t="e">
        <f>VLOOKUP(T29,[2]Golpes!$A$1:$G$653,2,FALSE)&amp;"/"&amp;VLOOKUP(T29,[2]Golpes!$A$1:$G$653,3,FALSE)</f>
        <v>#N/A</v>
      </c>
      <c r="W29" s="63"/>
      <c r="X29" s="63"/>
      <c r="Y29" s="25" t="e">
        <f>VLOOKUP(T29,[2]Golpes!$A$1:$G$653,4,FALSE)</f>
        <v>#N/A</v>
      </c>
      <c r="Z29" s="25" t="e">
        <f>VLOOKUP(T29,[2]Golpes!$A$1:$G$653,5,FALSE)</f>
        <v>#N/A</v>
      </c>
      <c r="AA29" s="36" t="e">
        <f>VLOOKUP(T29,[2]Golpes!$A$1:$G$653,6,FALSE)</f>
        <v>#N/A</v>
      </c>
      <c r="AB29" s="17" t="e">
        <f>VLOOKUP(T29,[2]Golpes!$A$1:$G$653,7,FALSE)</f>
        <v>#N/A</v>
      </c>
      <c r="AC29" s="35"/>
    </row>
    <row r="30" spans="1:31" ht="15" thickBot="1" x14ac:dyDescent="0.35">
      <c r="A30" s="64" t="s">
        <v>48</v>
      </c>
      <c r="B30" s="65"/>
      <c r="C30" s="66"/>
      <c r="E30" s="62"/>
      <c r="F30" s="63"/>
      <c r="G30" s="63" t="e">
        <f>VLOOKUP(E30,[2]Golpes!$A$1:$G$653,2,FALSE)&amp;"/"&amp;VLOOKUP(E30,[2]Golpes!$A$1:$G$653,3,FALSE)</f>
        <v>#N/A</v>
      </c>
      <c r="H30" s="63"/>
      <c r="I30" s="63"/>
      <c r="J30" s="25" t="e">
        <f>VLOOKUP(E30,[2]Golpes!$A$1:$G$653,4,FALSE)</f>
        <v>#N/A</v>
      </c>
      <c r="K30" s="25" t="e">
        <f>VLOOKUP(E30,[2]Golpes!$A$1:$G$653,5,FALSE)</f>
        <v>#N/A</v>
      </c>
      <c r="L30" s="36" t="e">
        <f>VLOOKUP(E30,[2]Golpes!$A$1:$G$653,6,FALSE)</f>
        <v>#N/A</v>
      </c>
      <c r="M30" s="17" t="e">
        <f>VLOOKUP(E30,[2]Golpes!$A$1:$G$653,7,FALSE)</f>
        <v>#N/A</v>
      </c>
      <c r="N30" s="35"/>
      <c r="T30" s="62"/>
      <c r="U30" s="63"/>
      <c r="V30" s="63" t="e">
        <f>VLOOKUP(T30,[2]Golpes!$A$1:$G$653,2,FALSE)&amp;"/"&amp;VLOOKUP(T30,[2]Golpes!$A$1:$G$653,3,FALSE)</f>
        <v>#N/A</v>
      </c>
      <c r="W30" s="63"/>
      <c r="X30" s="63"/>
      <c r="Y30" s="25" t="e">
        <f>VLOOKUP(T30,[2]Golpes!$A$1:$G$653,4,FALSE)</f>
        <v>#N/A</v>
      </c>
      <c r="Z30" s="25" t="e">
        <f>VLOOKUP(T30,[2]Golpes!$A$1:$G$653,5,FALSE)</f>
        <v>#N/A</v>
      </c>
      <c r="AA30" s="36" t="e">
        <f>VLOOKUP(T30,[2]Golpes!$A$1:$G$653,6,FALSE)</f>
        <v>#N/A</v>
      </c>
      <c r="AB30" s="17" t="e">
        <f>VLOOKUP(T30,[2]Golpes!$A$1:$G$653,7,FALSE)</f>
        <v>#N/A</v>
      </c>
      <c r="AC30" s="35"/>
    </row>
    <row r="31" spans="1:31" ht="15" thickBot="1" x14ac:dyDescent="0.35">
      <c r="A31" s="84"/>
      <c r="B31" s="48"/>
      <c r="C31" s="85"/>
      <c r="E31" s="67"/>
      <c r="F31" s="68"/>
      <c r="G31" s="68" t="e">
        <f>VLOOKUP(E31,[2]Golpes!$A$1:$G$653,2,FALSE)&amp;"/"&amp;VLOOKUP(E31,[2]Golpes!$A$1:$G$653,3,FALSE)</f>
        <v>#N/A</v>
      </c>
      <c r="H31" s="68"/>
      <c r="I31" s="68"/>
      <c r="J31" s="43" t="e">
        <f>VLOOKUP(E31,[2]Golpes!$A$1:$G$653,4,FALSE)</f>
        <v>#N/A</v>
      </c>
      <c r="K31" s="43" t="e">
        <f>VLOOKUP(E31,[2]Golpes!$A$1:$G$653,5,FALSE)</f>
        <v>#N/A</v>
      </c>
      <c r="L31" s="44" t="e">
        <f>VLOOKUP(E31,[2]Golpes!$A$1:$G$653,6,FALSE)</f>
        <v>#N/A</v>
      </c>
      <c r="M31" s="17" t="e">
        <f>VLOOKUP(E31,[2]Golpes!$A$1:$G$653,7,FALSE)</f>
        <v>#N/A</v>
      </c>
      <c r="N31" s="35"/>
      <c r="T31" s="67"/>
      <c r="U31" s="68"/>
      <c r="V31" s="68" t="e">
        <f>VLOOKUP(T31,[2]Golpes!$A$1:$G$653,2,FALSE)&amp;"/"&amp;VLOOKUP(T31,[2]Golpes!$A$1:$G$653,3,FALSE)</f>
        <v>#N/A</v>
      </c>
      <c r="W31" s="68"/>
      <c r="X31" s="68"/>
      <c r="Y31" s="43" t="e">
        <f>VLOOKUP(T31,[2]Golpes!$A$1:$G$653,4,FALSE)</f>
        <v>#N/A</v>
      </c>
      <c r="Z31" s="43" t="e">
        <f>VLOOKUP(T31,[2]Golpes!$A$1:$G$653,5,FALSE)</f>
        <v>#N/A</v>
      </c>
      <c r="AA31" s="44" t="e">
        <f>VLOOKUP(T31,[2]Golpes!$A$1:$G$653,6,FALSE)</f>
        <v>#N/A</v>
      </c>
      <c r="AB31" s="17" t="e">
        <f>VLOOKUP(T31,[2]Golpes!$A$1:$G$653,7,FALSE)</f>
        <v>#N/A</v>
      </c>
      <c r="AC31" s="35"/>
    </row>
    <row r="32" spans="1:31" ht="15" thickBot="1" x14ac:dyDescent="0.35">
      <c r="A32" s="71"/>
      <c r="B32" s="49"/>
      <c r="C32" s="72"/>
    </row>
    <row r="33" spans="1:31" x14ac:dyDescent="0.3">
      <c r="A33" s="71"/>
      <c r="B33" s="49"/>
      <c r="C33" s="72"/>
      <c r="E33" s="2" t="s">
        <v>1</v>
      </c>
      <c r="F33" s="3"/>
      <c r="G33" s="4"/>
      <c r="H33" s="5"/>
      <c r="I33" s="6" t="s">
        <v>2</v>
      </c>
      <c r="J33" s="6" t="s">
        <v>3</v>
      </c>
      <c r="K33" s="6" t="s">
        <v>4</v>
      </c>
      <c r="L33" s="7" t="s">
        <v>5</v>
      </c>
      <c r="M33" s="8"/>
      <c r="N33" s="9"/>
      <c r="O33" s="53" t="s">
        <v>6</v>
      </c>
      <c r="P33" s="54"/>
      <c r="T33" s="2" t="s">
        <v>1</v>
      </c>
      <c r="U33" s="3"/>
      <c r="V33" s="4"/>
      <c r="W33" s="5"/>
      <c r="X33" s="6" t="s">
        <v>2</v>
      </c>
      <c r="Y33" s="6" t="s">
        <v>3</v>
      </c>
      <c r="Z33" s="6" t="s">
        <v>4</v>
      </c>
      <c r="AA33" s="7" t="s">
        <v>5</v>
      </c>
      <c r="AB33" s="8"/>
      <c r="AC33" s="9"/>
      <c r="AD33" s="53" t="s">
        <v>6</v>
      </c>
      <c r="AE33" s="54"/>
    </row>
    <row r="34" spans="1:31" x14ac:dyDescent="0.3">
      <c r="A34" s="71"/>
      <c r="B34" s="49"/>
      <c r="C34" s="72"/>
      <c r="E34" s="11" t="s">
        <v>8</v>
      </c>
      <c r="F34" s="8" t="s">
        <v>9</v>
      </c>
      <c r="G34" s="12" t="s">
        <v>10</v>
      </c>
      <c r="H34" s="13" t="s">
        <v>11</v>
      </c>
      <c r="I34" s="14" t="e">
        <f>VLOOKUP(F33,[1]Pokemon!$A$1:$I$874,3,FALSE)+IF(F35="Sim",20,0)</f>
        <v>#N/A</v>
      </c>
      <c r="J34" s="15">
        <v>0</v>
      </c>
      <c r="K34" s="8" t="e">
        <f>IF($B$5="Vigoroso",ROUNDUP((N34+J34)*1.2,0),N34+J34)</f>
        <v>#N/A</v>
      </c>
      <c r="L34" s="16">
        <v>0</v>
      </c>
      <c r="M34" s="17"/>
      <c r="N34" s="9" t="e">
        <f>I34+LOOKUP(I34,[1]Dados!$C$3:$D$12,[1]Dados!$E$3:$E$12)*(ROUNDDOWN(F37/2,0))+LOOKUP(I34,[1]Dados!$C$3:$D$12,[1]Dados!$F$3:$F$12)*(ROUNDDOWN((F37-1)/2,0))</f>
        <v>#N/A</v>
      </c>
      <c r="O34" s="18" t="s">
        <v>12</v>
      </c>
      <c r="P34" s="19"/>
      <c r="T34" s="11" t="s">
        <v>8</v>
      </c>
      <c r="U34" s="8" t="s">
        <v>9</v>
      </c>
      <c r="V34" s="12" t="s">
        <v>10</v>
      </c>
      <c r="W34" s="13" t="s">
        <v>11</v>
      </c>
      <c r="X34" s="14" t="e">
        <f>VLOOKUP(U33,[1]Pokemon!$A$1:$I$874,3,FALSE)+IF(U35="Sim",20,0)</f>
        <v>#N/A</v>
      </c>
      <c r="Y34" s="15">
        <v>0</v>
      </c>
      <c r="Z34" s="8" t="e">
        <f>IF($B$5="Vigoroso",ROUNDUP((AC34+Y34)*1.2,0),AC34+Y34)</f>
        <v>#N/A</v>
      </c>
      <c r="AA34" s="16">
        <v>0</v>
      </c>
      <c r="AB34" s="17"/>
      <c r="AC34" s="9" t="e">
        <f>X34+LOOKUP(X34,[1]Dados!$C$3:$D$12,[1]Dados!$E$3:$E$12)*(ROUNDDOWN(U37/2,0))+LOOKUP(X34,[1]Dados!$C$3:$D$12,[1]Dados!$F$3:$F$12)*(ROUNDDOWN((U37-1)/2,0))</f>
        <v>#N/A</v>
      </c>
      <c r="AD34" s="18" t="s">
        <v>12</v>
      </c>
      <c r="AE34" s="19"/>
    </row>
    <row r="35" spans="1:31" x14ac:dyDescent="0.3">
      <c r="A35" s="71"/>
      <c r="B35" s="49"/>
      <c r="C35" s="72"/>
      <c r="E35" s="11" t="s">
        <v>14</v>
      </c>
      <c r="F35" s="8" t="s">
        <v>15</v>
      </c>
      <c r="G35" s="20"/>
      <c r="H35" s="13" t="s">
        <v>16</v>
      </c>
      <c r="I35" s="21">
        <f>20+IF(F35="Sim",10,0)</f>
        <v>20</v>
      </c>
      <c r="J35" s="22">
        <v>0</v>
      </c>
      <c r="K35" s="8">
        <f>18+(F37*2)+IF(F35="Sim",10,0)+J35</f>
        <v>20</v>
      </c>
      <c r="L35" s="16">
        <v>0</v>
      </c>
      <c r="M35" s="17"/>
      <c r="N35" s="9"/>
      <c r="O35" s="18" t="s">
        <v>17</v>
      </c>
      <c r="P35" s="19"/>
      <c r="T35" s="11" t="s">
        <v>14</v>
      </c>
      <c r="U35" s="8" t="s">
        <v>15</v>
      </c>
      <c r="V35" s="20"/>
      <c r="W35" s="13" t="s">
        <v>16</v>
      </c>
      <c r="X35" s="21">
        <f>20+IF(U35="Sim",10,0)</f>
        <v>20</v>
      </c>
      <c r="Y35" s="22">
        <v>0</v>
      </c>
      <c r="Z35" s="8">
        <f>18+(U37*2)+IF(U35="Sim",10,0)+Y35</f>
        <v>20</v>
      </c>
      <c r="AA35" s="16">
        <v>0</v>
      </c>
      <c r="AB35" s="17"/>
      <c r="AC35" s="9"/>
      <c r="AD35" s="18" t="s">
        <v>17</v>
      </c>
      <c r="AE35" s="19"/>
    </row>
    <row r="36" spans="1:31" ht="15" thickBot="1" x14ac:dyDescent="0.35">
      <c r="A36" s="73"/>
      <c r="B36" s="74"/>
      <c r="C36" s="75"/>
      <c r="E36" s="11" t="s">
        <v>19</v>
      </c>
      <c r="F36" s="23" t="e">
        <f>VLOOKUP(F33,[1]Pokemon!$A$1:$I$874,2,FALSE)</f>
        <v>#N/A</v>
      </c>
      <c r="G36" s="20"/>
      <c r="H36" s="13" t="s">
        <v>12</v>
      </c>
      <c r="I36" s="14" t="e">
        <f>VLOOKUP(F33,[1]Pokemon!$A$1:$I$874,4,FALSE)+IF(F35="Sim",1,0)</f>
        <v>#N/A</v>
      </c>
      <c r="J36" s="22">
        <v>1</v>
      </c>
      <c r="K36" s="8" t="e">
        <f>IF(L39="Sim", ROUNDUP((N36+ROUNDDOWN(F39/10,0))*J36*P34,0), ROUNDUP((N36+ROUNDDOWN(F39/10,0))*J36,0))</f>
        <v>#N/A</v>
      </c>
      <c r="L36" s="24" t="s">
        <v>20</v>
      </c>
      <c r="M36" s="17"/>
      <c r="N36" s="9" t="e">
        <f>I36+LOOKUP(I36,[1]Dados!$H$3:$I$12,[1]Dados!$J$3:$J$12)*(ROUNDDOWN(F37/2,0))+LOOKUP(I36,[1]Dados!$H$3:$I$12,[1]Dados!$K$3:$K$12)*(ROUNDDOWN((F37-1)/2,0))</f>
        <v>#N/A</v>
      </c>
      <c r="O36" s="18" t="s">
        <v>21</v>
      </c>
      <c r="P36" s="19"/>
      <c r="T36" s="11" t="s">
        <v>19</v>
      </c>
      <c r="U36" s="23" t="e">
        <f>VLOOKUP(U33,[1]Pokemon!$A$1:$I$874,2,FALSE)</f>
        <v>#N/A</v>
      </c>
      <c r="V36" s="20"/>
      <c r="W36" s="13" t="s">
        <v>12</v>
      </c>
      <c r="X36" s="14" t="e">
        <f>VLOOKUP(U33,[1]Pokemon!$A$1:$I$874,4,FALSE)+IF(U35="Sim",1,0)</f>
        <v>#N/A</v>
      </c>
      <c r="Y36" s="22">
        <v>1</v>
      </c>
      <c r="Z36" s="8" t="e">
        <f>IF(AA39="Sim", ROUNDUP((AC36+ROUNDDOWN(U39/10,0))*Y36*AE34,0), ROUNDUP((AC36+ROUNDDOWN(U39/10,0))*Y36,0))</f>
        <v>#N/A</v>
      </c>
      <c r="AA36" s="24" t="s">
        <v>20</v>
      </c>
      <c r="AB36" s="17"/>
      <c r="AC36" s="9" t="e">
        <f>X36+LOOKUP(X36,[1]Dados!$H$3:$I$12,[1]Dados!$J$3:$J$12)*(ROUNDDOWN(U37/2,0))+LOOKUP(X36,[1]Dados!$H$3:$I$12,[1]Dados!$K$3:$K$12)*(ROUNDDOWN((U37-1)/2,0))</f>
        <v>#N/A</v>
      </c>
      <c r="AD36" s="18" t="s">
        <v>21</v>
      </c>
      <c r="AE36" s="19"/>
    </row>
    <row r="37" spans="1:31" ht="15" thickBot="1" x14ac:dyDescent="0.35">
      <c r="A37" s="64" t="s">
        <v>49</v>
      </c>
      <c r="B37" s="65"/>
      <c r="C37" s="66"/>
      <c r="E37" s="11" t="s">
        <v>23</v>
      </c>
      <c r="F37" s="25">
        <v>1</v>
      </c>
      <c r="G37" s="20"/>
      <c r="H37" s="13" t="s">
        <v>17</v>
      </c>
      <c r="I37" s="14" t="e">
        <f>VLOOKUP(F33,[1]Pokemon!$A$1:$I$874,5,FALSE)+IF(F35="Sim",1,0)</f>
        <v>#N/A</v>
      </c>
      <c r="J37" s="22">
        <v>1</v>
      </c>
      <c r="K37" s="8" t="e">
        <f>IF(L39="Sim", ROUNDUP((N37+ROUNDDOWN(F39/10,0))*J37*P35,0), ROUNDUP((N37+ROUNDDOWN(F39/10,0))*J37,0))</f>
        <v>#N/A</v>
      </c>
      <c r="L37" s="26" t="e">
        <f>ROUNDDOWN(I40/2,0)</f>
        <v>#N/A</v>
      </c>
      <c r="M37" s="17"/>
      <c r="N37" s="9" t="e">
        <f>I37+LOOKUP(I37,[1]Dados!$H$3:$I$12,[1]Dados!$J$3:$J$12)*(ROUNDDOWN(F37/2,0))+LOOKUP(I37,[1]Dados!$H$3:$I$12,[1]Dados!$K$3:$K$12)*(ROUNDDOWN((F37-1)/2,0))</f>
        <v>#N/A</v>
      </c>
      <c r="O37" s="18" t="s">
        <v>24</v>
      </c>
      <c r="P37" s="19"/>
      <c r="T37" s="11" t="s">
        <v>23</v>
      </c>
      <c r="U37" s="25">
        <v>1</v>
      </c>
      <c r="V37" s="20"/>
      <c r="W37" s="13" t="s">
        <v>17</v>
      </c>
      <c r="X37" s="14" t="e">
        <f>VLOOKUP(U33,[1]Pokemon!$A$1:$I$874,5,FALSE)+IF(U35="Sim",1,0)</f>
        <v>#N/A</v>
      </c>
      <c r="Y37" s="22">
        <v>1</v>
      </c>
      <c r="Z37" s="8" t="e">
        <f>IF(AA39="Sim", ROUNDUP((AC37+ROUNDDOWN(U39/10,0))*Y37*AE35,0), ROUNDUP((AC37+ROUNDDOWN(U39/10,0))*Y37,0))</f>
        <v>#N/A</v>
      </c>
      <c r="AA37" s="26" t="e">
        <f>ROUNDDOWN(X40/2,0)</f>
        <v>#N/A</v>
      </c>
      <c r="AB37" s="17"/>
      <c r="AC37" s="9" t="e">
        <f>X37+LOOKUP(X37,[1]Dados!$H$3:$I$12,[1]Dados!$J$3:$J$12)*(ROUNDDOWN(U37/2,0))+LOOKUP(X37,[1]Dados!$H$3:$I$12,[1]Dados!$K$3:$K$12)*(ROUNDDOWN((U37-1)/2,0))</f>
        <v>#N/A</v>
      </c>
      <c r="AD37" s="18" t="s">
        <v>24</v>
      </c>
      <c r="AE37" s="19"/>
    </row>
    <row r="38" spans="1:31" ht="15" thickBot="1" x14ac:dyDescent="0.35">
      <c r="A38" s="38"/>
      <c r="B38" s="38"/>
      <c r="C38" s="45"/>
      <c r="E38" s="11" t="s">
        <v>26</v>
      </c>
      <c r="F38" s="23">
        <v>0</v>
      </c>
      <c r="G38" s="20"/>
      <c r="H38" s="13" t="s">
        <v>21</v>
      </c>
      <c r="I38" s="14" t="e">
        <f>VLOOKUP(F33,[1]Pokemon!$A$1:$I$874,6,FALSE)+IF(F35="Sim",1,0)</f>
        <v>#N/A</v>
      </c>
      <c r="J38" s="22">
        <v>1</v>
      </c>
      <c r="K38" s="8" t="e">
        <f>IF(L39="Sim", ROUNDUP((N38+ROUNDDOWN(F39/10,0))*J38*P36,0), ROUNDUP((N38+ROUNDDOWN(F39/10,0))*J38,0))</f>
        <v>#N/A</v>
      </c>
      <c r="L38" s="24" t="s">
        <v>27</v>
      </c>
      <c r="M38" s="17"/>
      <c r="N38" s="9" t="e">
        <f>I38+LOOKUP(I38,[1]Dados!$H$3:$I$12,[1]Dados!$J$3:$J$12)*(ROUNDDOWN(F37/2,0))+LOOKUP(I38,[1]Dados!$H$3:$I$12,[1]Dados!$K$3:$K$12)*(ROUNDDOWN((F37-1)/2,0))</f>
        <v>#N/A</v>
      </c>
      <c r="O38" s="28" t="s">
        <v>28</v>
      </c>
      <c r="P38" s="29"/>
      <c r="T38" s="11" t="s">
        <v>26</v>
      </c>
      <c r="U38" s="23">
        <v>0</v>
      </c>
      <c r="V38" s="20"/>
      <c r="W38" s="13" t="s">
        <v>21</v>
      </c>
      <c r="X38" s="14" t="e">
        <f>VLOOKUP(U33,[1]Pokemon!$A$1:$I$874,6,FALSE)+IF(U35="Sim",1,0)</f>
        <v>#N/A</v>
      </c>
      <c r="Y38" s="22">
        <v>1</v>
      </c>
      <c r="Z38" s="8" t="e">
        <f>IF(AA39="Sim", ROUNDUP((AC38+ROUNDDOWN(U39/10,0))*Y38*AE36,0), ROUNDUP((AC38+ROUNDDOWN(U39/10,0))*Y38,0))</f>
        <v>#N/A</v>
      </c>
      <c r="AA38" s="24" t="s">
        <v>27</v>
      </c>
      <c r="AB38" s="17"/>
      <c r="AC38" s="9" t="e">
        <f>X38+LOOKUP(X38,[1]Dados!$H$3:$I$12,[1]Dados!$J$3:$J$12)*(ROUNDDOWN(U37/2,0))+LOOKUP(X38,[1]Dados!$H$3:$I$12,[1]Dados!$K$3:$K$12)*(ROUNDDOWN((U37-1)/2,0))</f>
        <v>#N/A</v>
      </c>
      <c r="AD38" s="28" t="s">
        <v>28</v>
      </c>
      <c r="AE38" s="29"/>
    </row>
    <row r="39" spans="1:31" x14ac:dyDescent="0.3">
      <c r="C39" s="46"/>
      <c r="E39" s="11" t="s">
        <v>29</v>
      </c>
      <c r="F39" s="30">
        <v>0</v>
      </c>
      <c r="G39" s="20"/>
      <c r="H39" s="13" t="s">
        <v>24</v>
      </c>
      <c r="I39" s="14" t="e">
        <f>VLOOKUP(F33,[1]Pokemon!$A$1:$I$874,7,FALSE)+IF(F35="Sim",1,0)</f>
        <v>#N/A</v>
      </c>
      <c r="J39" s="22">
        <v>1</v>
      </c>
      <c r="K39" s="8" t="e">
        <f>IF(L39="Sim", ROUNDUP((N39+ROUNDDOWN(F39/10,0))*J39*P37,0), ROUNDUP((N39+ROUNDDOWN(F39/10,0))*J39,0))</f>
        <v>#N/A</v>
      </c>
      <c r="L39" s="26" t="s">
        <v>15</v>
      </c>
      <c r="M39" s="17"/>
      <c r="N39" s="9" t="e">
        <f>I39+LOOKUP(I39,[1]Dados!$H$3:$I$12,[1]Dados!$J$3:$J$12)*(ROUNDDOWN(F37/2,0))+LOOKUP(I39,[1]Dados!$H$3:$I$12,[1]Dados!$K$3:$K$12)*(ROUNDDOWN((F37-1)/2,0))</f>
        <v>#N/A</v>
      </c>
      <c r="T39" s="11" t="s">
        <v>29</v>
      </c>
      <c r="U39" s="30">
        <v>0</v>
      </c>
      <c r="V39" s="20"/>
      <c r="W39" s="13" t="s">
        <v>24</v>
      </c>
      <c r="X39" s="14" t="e">
        <f>VLOOKUP(U33,[1]Pokemon!$A$1:$I$874,7,FALSE)+IF(U35="Sim",1,0)</f>
        <v>#N/A</v>
      </c>
      <c r="Y39" s="22">
        <v>1</v>
      </c>
      <c r="Z39" s="8" t="e">
        <f>IF(AA39="Sim", ROUNDUP((AC39+ROUNDDOWN(U39/10,0))*Y39*AE37,0), ROUNDUP((AC39+ROUNDDOWN(U39/10,0))*Y39,0))</f>
        <v>#N/A</v>
      </c>
      <c r="AA39" s="26" t="s">
        <v>15</v>
      </c>
      <c r="AB39" s="17"/>
      <c r="AC39" s="9" t="e">
        <f>X39+LOOKUP(X39,[1]Dados!$H$3:$I$12,[1]Dados!$J$3:$J$12)*(ROUNDDOWN(U37/2,0))+LOOKUP(X39,[1]Dados!$H$3:$I$12,[1]Dados!$K$3:$K$12)*(ROUNDDOWN((U37-1)/2,0))</f>
        <v>#N/A</v>
      </c>
    </row>
    <row r="40" spans="1:31" x14ac:dyDescent="0.3">
      <c r="C40" s="46"/>
      <c r="E40" s="11" t="s">
        <v>31</v>
      </c>
      <c r="F40" s="23" t="s">
        <v>32</v>
      </c>
      <c r="G40" s="20"/>
      <c r="H40" s="13" t="s">
        <v>28</v>
      </c>
      <c r="I40" s="14" t="e">
        <f>VLOOKUP(F33,[1]Pokemon!$A$1:$I$874,8,FALSE)+IF(F35="Sim",1,0)</f>
        <v>#N/A</v>
      </c>
      <c r="J40" s="22">
        <f>1*IF(F41="Paralisado",0.5,1)</f>
        <v>1</v>
      </c>
      <c r="K40" s="8" t="e">
        <f>IF(L39="Sim", ROUNDUP(N40*J40*P38,0), ROUNDUP(N40*J40,0))</f>
        <v>#N/A</v>
      </c>
      <c r="L40" s="31" t="e">
        <f>IF(L39 = "Sim", ROUNDUP((K40/(10*P38)), 0)&amp;"d6", ROUNDUP((K40/10), 0)&amp;"d6")</f>
        <v>#N/A</v>
      </c>
      <c r="M40" s="17"/>
      <c r="N40" s="9" t="e">
        <f>I40+LOOKUP(I40,[1]Dados!$H$3:$I$12,[1]Dados!$J$3:$J$12)*(ROUNDDOWN(F37/2,0))+LOOKUP(I40,[1]Dados!$H$3:$I$12,[1]Dados!$K$3:$K$12)*(ROUNDDOWN((F37-1)/2,0))</f>
        <v>#N/A</v>
      </c>
      <c r="T40" s="11" t="s">
        <v>31</v>
      </c>
      <c r="U40" s="23" t="s">
        <v>32</v>
      </c>
      <c r="V40" s="20"/>
      <c r="W40" s="13" t="s">
        <v>28</v>
      </c>
      <c r="X40" s="14" t="e">
        <f>VLOOKUP(U33,[1]Pokemon!$A$1:$I$874,8,FALSE)+IF(U35="Sim",1,0)</f>
        <v>#N/A</v>
      </c>
      <c r="Y40" s="22">
        <f>1*IF(U41="Paralisado",0.5,1)</f>
        <v>1</v>
      </c>
      <c r="Z40" s="8" t="e">
        <f>IF(AA39="Sim", ROUNDUP(AC40*Y40*AE38,0), ROUNDUP(AC40*Y40,0))</f>
        <v>#N/A</v>
      </c>
      <c r="AA40" s="31" t="e">
        <f>IF(AA39 = "Sim", ROUNDUP((Z40/(10*AE38)), 0)&amp;"d6", ROUNDUP((Z40/10), 0)&amp;"d6")</f>
        <v>#N/A</v>
      </c>
      <c r="AB40" s="17"/>
      <c r="AC40" s="9" t="e">
        <f>X40+LOOKUP(X40,[1]Dados!$H$3:$I$12,[1]Dados!$J$3:$J$12)*(ROUNDDOWN(U37/2,0))+LOOKUP(X40,[1]Dados!$H$3:$I$12,[1]Dados!$K$3:$K$12)*(ROUNDDOWN((U37-1)/2,0))</f>
        <v>#N/A</v>
      </c>
    </row>
    <row r="41" spans="1:31" x14ac:dyDescent="0.3">
      <c r="C41" s="46"/>
      <c r="E41" s="11" t="s">
        <v>34</v>
      </c>
      <c r="F41" s="23"/>
      <c r="G41" s="20"/>
      <c r="H41" s="13" t="s">
        <v>35</v>
      </c>
      <c r="I41" s="14" t="e">
        <f>VLOOKUP(F33,[1]Pokemon!$A$1:$I$874,9,FALSE)</f>
        <v>#N/A</v>
      </c>
      <c r="J41" s="13" t="s">
        <v>36</v>
      </c>
      <c r="K41" s="13"/>
      <c r="L41" s="32" t="e">
        <f>((F37+1)*I41/2)-F38</f>
        <v>#N/A</v>
      </c>
      <c r="M41" s="17"/>
      <c r="N41" s="33"/>
      <c r="T41" s="11" t="s">
        <v>34</v>
      </c>
      <c r="U41" s="23"/>
      <c r="V41" s="20"/>
      <c r="W41" s="13" t="s">
        <v>35</v>
      </c>
      <c r="X41" s="14" t="e">
        <f>VLOOKUP(U33,[1]Pokemon!$A$1:$I$874,9,FALSE)</f>
        <v>#N/A</v>
      </c>
      <c r="Y41" s="13" t="s">
        <v>36</v>
      </c>
      <c r="Z41" s="13"/>
      <c r="AA41" s="32" t="e">
        <f>((U37+1)*X41/2)-U38</f>
        <v>#N/A</v>
      </c>
      <c r="AB41" s="17"/>
      <c r="AC41" s="33"/>
    </row>
    <row r="42" spans="1:31" x14ac:dyDescent="0.3">
      <c r="C42" s="46"/>
      <c r="E42" s="34"/>
      <c r="F42" s="8"/>
      <c r="G42" s="17"/>
      <c r="H42" s="8"/>
      <c r="I42" s="8"/>
      <c r="J42" s="8"/>
      <c r="K42" s="8"/>
      <c r="L42" s="26"/>
      <c r="M42" s="17"/>
      <c r="N42" s="35"/>
      <c r="T42" s="34"/>
      <c r="U42" s="8"/>
      <c r="V42" s="17"/>
      <c r="W42" s="8"/>
      <c r="X42" s="8"/>
      <c r="Y42" s="8"/>
      <c r="Z42" s="8"/>
      <c r="AA42" s="26"/>
      <c r="AB42" s="17"/>
      <c r="AC42" s="35"/>
    </row>
    <row r="43" spans="1:31" x14ac:dyDescent="0.3">
      <c r="C43" s="46"/>
      <c r="E43" s="60" t="s">
        <v>39</v>
      </c>
      <c r="F43" s="61"/>
      <c r="G43" s="13" t="s">
        <v>40</v>
      </c>
      <c r="H43" s="13"/>
      <c r="I43" s="13"/>
      <c r="J43" s="13" t="s">
        <v>16</v>
      </c>
      <c r="K43" s="13" t="s">
        <v>41</v>
      </c>
      <c r="L43" s="24" t="s">
        <v>42</v>
      </c>
      <c r="M43" s="17"/>
      <c r="N43" s="35"/>
      <c r="T43" s="60" t="s">
        <v>39</v>
      </c>
      <c r="U43" s="61"/>
      <c r="V43" s="13" t="s">
        <v>40</v>
      </c>
      <c r="W43" s="13"/>
      <c r="X43" s="13"/>
      <c r="Y43" s="13" t="s">
        <v>16</v>
      </c>
      <c r="Z43" s="13" t="s">
        <v>41</v>
      </c>
      <c r="AA43" s="24" t="s">
        <v>42</v>
      </c>
      <c r="AB43" s="17"/>
      <c r="AC43" s="35"/>
    </row>
    <row r="44" spans="1:31" x14ac:dyDescent="0.3">
      <c r="C44" s="46"/>
      <c r="E44" s="62"/>
      <c r="F44" s="63"/>
      <c r="G44" s="63" t="e">
        <f>VLOOKUP(E44,[2]Golpes!$A$1:$G$653,2,FALSE)&amp;"/"&amp;VLOOKUP(E44,[2]Golpes!$A$1:$G$653,3,FALSE)</f>
        <v>#N/A</v>
      </c>
      <c r="H44" s="63"/>
      <c r="I44" s="63"/>
      <c r="J44" s="25" t="e">
        <f>VLOOKUP(E44,[2]Golpes!$A$1:$G$653,4,FALSE)</f>
        <v>#N/A</v>
      </c>
      <c r="K44" s="25" t="e">
        <f>VLOOKUP(E44,[2]Golpes!$A$1:$G$653,5,FALSE)</f>
        <v>#N/A</v>
      </c>
      <c r="L44" s="36" t="e">
        <f>VLOOKUP(E44,[2]Golpes!$A$1:$G$653,6,FALSE)</f>
        <v>#N/A</v>
      </c>
      <c r="M44" s="17" t="e">
        <f>VLOOKUP(E44,[2]Golpes!$A$1:$G$653,7,FALSE)</f>
        <v>#N/A</v>
      </c>
      <c r="N44" s="35"/>
      <c r="T44" s="62"/>
      <c r="U44" s="63"/>
      <c r="V44" s="63" t="e">
        <f>VLOOKUP(T44,[2]Golpes!$A$1:$G$653,2,FALSE)&amp;"/"&amp;VLOOKUP(T44,[2]Golpes!$A$1:$G$653,3,FALSE)</f>
        <v>#N/A</v>
      </c>
      <c r="W44" s="63"/>
      <c r="X44" s="63"/>
      <c r="Y44" s="25" t="e">
        <f>VLOOKUP(T44,[2]Golpes!$A$1:$G$653,4,FALSE)</f>
        <v>#N/A</v>
      </c>
      <c r="Z44" s="25" t="e">
        <f>VLOOKUP(T44,[2]Golpes!$A$1:$G$653,5,FALSE)</f>
        <v>#N/A</v>
      </c>
      <c r="AA44" s="36" t="e">
        <f>VLOOKUP(T44,[2]Golpes!$A$1:$G$653,6,FALSE)</f>
        <v>#N/A</v>
      </c>
      <c r="AB44" s="17" t="e">
        <f>VLOOKUP(T44,[2]Golpes!$A$1:$G$653,7,FALSE)</f>
        <v>#N/A</v>
      </c>
      <c r="AC44" s="35"/>
    </row>
    <row r="45" spans="1:31" x14ac:dyDescent="0.3">
      <c r="C45" s="46"/>
      <c r="E45" s="62"/>
      <c r="F45" s="63"/>
      <c r="G45" s="63" t="e">
        <f>VLOOKUP(E45,[2]Golpes!$A$1:$G$653,2,FALSE)&amp;"/"&amp;VLOOKUP(E45,[2]Golpes!$A$1:$G$653,3,FALSE)</f>
        <v>#N/A</v>
      </c>
      <c r="H45" s="63"/>
      <c r="I45" s="63"/>
      <c r="J45" s="25" t="e">
        <f>VLOOKUP(E45,[2]Golpes!$A$1:$G$653,4,FALSE)</f>
        <v>#N/A</v>
      </c>
      <c r="K45" s="25" t="e">
        <f>VLOOKUP(E45,[2]Golpes!$A$1:$G$653,5,FALSE)</f>
        <v>#N/A</v>
      </c>
      <c r="L45" s="36" t="e">
        <f>VLOOKUP(E45,[2]Golpes!$A$1:$G$653,6,FALSE)</f>
        <v>#N/A</v>
      </c>
      <c r="M45" s="17" t="e">
        <f>VLOOKUP(E45,[2]Golpes!$A$1:$G$653,7,FALSE)</f>
        <v>#N/A</v>
      </c>
      <c r="N45" s="35"/>
      <c r="T45" s="62"/>
      <c r="U45" s="63"/>
      <c r="V45" s="63" t="e">
        <f>VLOOKUP(T45,[2]Golpes!$A$1:$G$653,2,FALSE)&amp;"/"&amp;VLOOKUP(T45,[2]Golpes!$A$1:$G$653,3,FALSE)</f>
        <v>#N/A</v>
      </c>
      <c r="W45" s="63"/>
      <c r="X45" s="63"/>
      <c r="Y45" s="25" t="e">
        <f>VLOOKUP(T45,[2]Golpes!$A$1:$G$653,4,FALSE)</f>
        <v>#N/A</v>
      </c>
      <c r="Z45" s="25" t="e">
        <f>VLOOKUP(T45,[2]Golpes!$A$1:$G$653,5,FALSE)</f>
        <v>#N/A</v>
      </c>
      <c r="AA45" s="36" t="e">
        <f>VLOOKUP(T45,[2]Golpes!$A$1:$G$653,6,FALSE)</f>
        <v>#N/A</v>
      </c>
      <c r="AB45" s="17" t="e">
        <f>VLOOKUP(T45,[2]Golpes!$A$1:$G$653,7,FALSE)</f>
        <v>#N/A</v>
      </c>
      <c r="AC45" s="35"/>
    </row>
    <row r="46" spans="1:31" x14ac:dyDescent="0.3">
      <c r="C46" s="46"/>
      <c r="E46" s="62"/>
      <c r="F46" s="63"/>
      <c r="G46" s="63" t="e">
        <f>VLOOKUP(E46,[2]Golpes!$A$1:$G$653,2,FALSE)&amp;"/"&amp;VLOOKUP(E46,[2]Golpes!$A$1:$G$653,3,FALSE)</f>
        <v>#N/A</v>
      </c>
      <c r="H46" s="63"/>
      <c r="I46" s="63"/>
      <c r="J46" s="25" t="e">
        <f>VLOOKUP(E46,[2]Golpes!$A$1:$G$653,4,FALSE)</f>
        <v>#N/A</v>
      </c>
      <c r="K46" s="25" t="e">
        <f>VLOOKUP(E46,[2]Golpes!$A$1:$G$653,5,FALSE)</f>
        <v>#N/A</v>
      </c>
      <c r="L46" s="36" t="e">
        <f>VLOOKUP(E46,[2]Golpes!$A$1:$G$653,6,FALSE)</f>
        <v>#N/A</v>
      </c>
      <c r="M46" s="17" t="e">
        <f>VLOOKUP(E46,[2]Golpes!$A$1:$G$653,7,FALSE)</f>
        <v>#N/A</v>
      </c>
      <c r="N46" s="35"/>
      <c r="T46" s="62"/>
      <c r="U46" s="63"/>
      <c r="V46" s="63" t="e">
        <f>VLOOKUP(T46,[2]Golpes!$A$1:$G$653,2,FALSE)&amp;"/"&amp;VLOOKUP(T46,[2]Golpes!$A$1:$G$653,3,FALSE)</f>
        <v>#N/A</v>
      </c>
      <c r="W46" s="63"/>
      <c r="X46" s="63"/>
      <c r="Y46" s="25" t="e">
        <f>VLOOKUP(T46,[2]Golpes!$A$1:$G$653,4,FALSE)</f>
        <v>#N/A</v>
      </c>
      <c r="Z46" s="25" t="e">
        <f>VLOOKUP(T46,[2]Golpes!$A$1:$G$653,5,FALSE)</f>
        <v>#N/A</v>
      </c>
      <c r="AA46" s="36" t="e">
        <f>VLOOKUP(T46,[2]Golpes!$A$1:$G$653,6,FALSE)</f>
        <v>#N/A</v>
      </c>
      <c r="AB46" s="17" t="e">
        <f>VLOOKUP(T46,[2]Golpes!$A$1:$G$653,7,FALSE)</f>
        <v>#N/A</v>
      </c>
      <c r="AC46" s="35"/>
    </row>
    <row r="47" spans="1:31" ht="15" thickBot="1" x14ac:dyDescent="0.35">
      <c r="C47" s="46"/>
      <c r="E47" s="67"/>
      <c r="F47" s="68"/>
      <c r="G47" s="68" t="e">
        <f>VLOOKUP(E47,[2]Golpes!$A$1:$G$653,2,FALSE)&amp;"/"&amp;VLOOKUP(E47,[2]Golpes!$A$1:$G$653,3,FALSE)</f>
        <v>#N/A</v>
      </c>
      <c r="H47" s="68"/>
      <c r="I47" s="68"/>
      <c r="J47" s="43" t="e">
        <f>VLOOKUP(E47,[2]Golpes!$A$1:$G$653,4,FALSE)</f>
        <v>#N/A</v>
      </c>
      <c r="K47" s="43" t="e">
        <f>VLOOKUP(E47,[2]Golpes!$A$1:$G$653,5,FALSE)</f>
        <v>#N/A</v>
      </c>
      <c r="L47" s="44" t="e">
        <f>VLOOKUP(E47,[2]Golpes!$A$1:$G$653,6,FALSE)</f>
        <v>#N/A</v>
      </c>
      <c r="M47" s="17" t="e">
        <f>VLOOKUP(E47,[2]Golpes!$A$1:$G$653,7,FALSE)</f>
        <v>#N/A</v>
      </c>
      <c r="N47" s="35"/>
      <c r="T47" s="67"/>
      <c r="U47" s="68"/>
      <c r="V47" s="68" t="e">
        <f>VLOOKUP(T47,[2]Golpes!$A$1:$G$653,2,FALSE)&amp;"/"&amp;VLOOKUP(T47,[2]Golpes!$A$1:$G$653,3,FALSE)</f>
        <v>#N/A</v>
      </c>
      <c r="W47" s="68"/>
      <c r="X47" s="68"/>
      <c r="Y47" s="43" t="e">
        <f>VLOOKUP(T47,[2]Golpes!$A$1:$G$653,4,FALSE)</f>
        <v>#N/A</v>
      </c>
      <c r="Z47" s="43" t="e">
        <f>VLOOKUP(T47,[2]Golpes!$A$1:$G$653,5,FALSE)</f>
        <v>#N/A</v>
      </c>
      <c r="AA47" s="44" t="e">
        <f>VLOOKUP(T47,[2]Golpes!$A$1:$G$653,6,FALSE)</f>
        <v>#N/A</v>
      </c>
      <c r="AB47" s="17" t="e">
        <f>VLOOKUP(T47,[2]Golpes!$A$1:$G$653,7,FALSE)</f>
        <v>#N/A</v>
      </c>
      <c r="AC47" s="35"/>
    </row>
    <row r="48" spans="1:31" x14ac:dyDescent="0.3">
      <c r="C48" s="46"/>
    </row>
    <row r="49" spans="3:3" x14ac:dyDescent="0.3">
      <c r="C49" s="46"/>
    </row>
    <row r="50" spans="3:3" x14ac:dyDescent="0.3">
      <c r="C50" s="46"/>
    </row>
    <row r="51" spans="3:3" x14ac:dyDescent="0.3">
      <c r="C51" s="46"/>
    </row>
    <row r="52" spans="3:3" x14ac:dyDescent="0.3">
      <c r="C52" s="46"/>
    </row>
    <row r="53" spans="3:3" x14ac:dyDescent="0.3">
      <c r="C53" s="46"/>
    </row>
    <row r="54" spans="3:3" x14ac:dyDescent="0.3">
      <c r="C54" s="46"/>
    </row>
    <row r="55" spans="3:3" x14ac:dyDescent="0.3">
      <c r="C55" s="46"/>
    </row>
    <row r="56" spans="3:3" x14ac:dyDescent="0.3">
      <c r="C56" s="46"/>
    </row>
    <row r="57" spans="3:3" x14ac:dyDescent="0.3">
      <c r="C57" s="46"/>
    </row>
    <row r="58" spans="3:3" x14ac:dyDescent="0.3">
      <c r="C58" s="46"/>
    </row>
  </sheetData>
  <mergeCells count="83">
    <mergeCell ref="E47:F47"/>
    <mergeCell ref="G47:I47"/>
    <mergeCell ref="T47:U47"/>
    <mergeCell ref="V47:X47"/>
    <mergeCell ref="B1:C1"/>
    <mergeCell ref="E45:F45"/>
    <mergeCell ref="G45:I45"/>
    <mergeCell ref="T45:U45"/>
    <mergeCell ref="V45:X45"/>
    <mergeCell ref="E46:F46"/>
    <mergeCell ref="G46:I46"/>
    <mergeCell ref="T46:U46"/>
    <mergeCell ref="V46:X46"/>
    <mergeCell ref="E44:F44"/>
    <mergeCell ref="G44:I44"/>
    <mergeCell ref="T44:U44"/>
    <mergeCell ref="AD33:AE33"/>
    <mergeCell ref="A34:C36"/>
    <mergeCell ref="A37:C37"/>
    <mergeCell ref="E43:F43"/>
    <mergeCell ref="T43:U43"/>
    <mergeCell ref="V44:X44"/>
    <mergeCell ref="A31:C33"/>
    <mergeCell ref="E31:F31"/>
    <mergeCell ref="G31:I31"/>
    <mergeCell ref="T31:U31"/>
    <mergeCell ref="V31:X31"/>
    <mergeCell ref="O33:P33"/>
    <mergeCell ref="A30:C30"/>
    <mergeCell ref="E30:F30"/>
    <mergeCell ref="G30:I30"/>
    <mergeCell ref="T30:U30"/>
    <mergeCell ref="V30:X30"/>
    <mergeCell ref="V15:X15"/>
    <mergeCell ref="AD17:AE17"/>
    <mergeCell ref="A18:C20"/>
    <mergeCell ref="A24:C26"/>
    <mergeCell ref="A27:C29"/>
    <mergeCell ref="E27:F27"/>
    <mergeCell ref="T27:U27"/>
    <mergeCell ref="E28:F28"/>
    <mergeCell ref="G28:I28"/>
    <mergeCell ref="T28:U28"/>
    <mergeCell ref="V28:X28"/>
    <mergeCell ref="E29:F29"/>
    <mergeCell ref="G29:I29"/>
    <mergeCell ref="T29:U29"/>
    <mergeCell ref="V29:X29"/>
    <mergeCell ref="A21:C23"/>
    <mergeCell ref="A16:C16"/>
    <mergeCell ref="A17:C17"/>
    <mergeCell ref="O17:P17"/>
    <mergeCell ref="V12:X12"/>
    <mergeCell ref="B13:C13"/>
    <mergeCell ref="E13:F13"/>
    <mergeCell ref="G13:I13"/>
    <mergeCell ref="T13:U13"/>
    <mergeCell ref="V13:X13"/>
    <mergeCell ref="E14:F14"/>
    <mergeCell ref="G14:I14"/>
    <mergeCell ref="T14:U14"/>
    <mergeCell ref="V14:X14"/>
    <mergeCell ref="E15:F15"/>
    <mergeCell ref="G15:I15"/>
    <mergeCell ref="T15:U15"/>
    <mergeCell ref="E11:F11"/>
    <mergeCell ref="T11:U11"/>
    <mergeCell ref="B12:C12"/>
    <mergeCell ref="E12:F12"/>
    <mergeCell ref="G12:I12"/>
    <mergeCell ref="T12:U12"/>
    <mergeCell ref="B11:C11"/>
    <mergeCell ref="B6:C6"/>
    <mergeCell ref="A7:C7"/>
    <mergeCell ref="B8:C8"/>
    <mergeCell ref="B9:C9"/>
    <mergeCell ref="B10:C10"/>
    <mergeCell ref="B5:C5"/>
    <mergeCell ref="O1:P1"/>
    <mergeCell ref="AD1:AE1"/>
    <mergeCell ref="B2:C2"/>
    <mergeCell ref="B3:C3"/>
    <mergeCell ref="B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58"/>
  <sheetViews>
    <sheetView workbookViewId="0">
      <selection activeCell="B3" sqref="B3:C3"/>
    </sheetView>
  </sheetViews>
  <sheetFormatPr defaultRowHeight="14.4" x14ac:dyDescent="0.3"/>
  <sheetData>
    <row r="1" spans="1:31" x14ac:dyDescent="0.3">
      <c r="A1" s="1" t="s">
        <v>0</v>
      </c>
      <c r="B1" s="55" t="s">
        <v>185</v>
      </c>
      <c r="C1" s="56"/>
      <c r="E1" s="2" t="s">
        <v>1</v>
      </c>
      <c r="F1" s="3"/>
      <c r="G1" s="4"/>
      <c r="H1" s="5"/>
      <c r="I1" s="6" t="s">
        <v>2</v>
      </c>
      <c r="J1" s="6" t="s">
        <v>3</v>
      </c>
      <c r="K1" s="6" t="s">
        <v>4</v>
      </c>
      <c r="L1" s="7" t="s">
        <v>5</v>
      </c>
      <c r="M1" s="8"/>
      <c r="N1" s="9"/>
      <c r="O1" s="53" t="s">
        <v>6</v>
      </c>
      <c r="P1" s="54"/>
      <c r="T1" s="2" t="s">
        <v>1</v>
      </c>
      <c r="U1" s="3"/>
      <c r="V1" s="4"/>
      <c r="W1" s="5"/>
      <c r="X1" s="6" t="s">
        <v>2</v>
      </c>
      <c r="Y1" s="6" t="s">
        <v>3</v>
      </c>
      <c r="Z1" s="6" t="s">
        <v>4</v>
      </c>
      <c r="AA1" s="7" t="s">
        <v>5</v>
      </c>
      <c r="AB1" s="8"/>
      <c r="AC1" s="9"/>
      <c r="AD1" s="53" t="s">
        <v>6</v>
      </c>
      <c r="AE1" s="54"/>
    </row>
    <row r="2" spans="1:31" x14ac:dyDescent="0.3">
      <c r="A2" s="10" t="s">
        <v>7</v>
      </c>
      <c r="B2" s="51">
        <v>28</v>
      </c>
      <c r="C2" s="52"/>
      <c r="E2" s="11" t="s">
        <v>8</v>
      </c>
      <c r="F2" s="8" t="s">
        <v>9</v>
      </c>
      <c r="G2" s="12" t="s">
        <v>10</v>
      </c>
      <c r="H2" s="13" t="s">
        <v>11</v>
      </c>
      <c r="I2" s="14" t="e">
        <f>VLOOKUP(F1,[1]Pokemon!$A$1:$I$874,3,FALSE)+IF(F3="Sim",20,0)</f>
        <v>#N/A</v>
      </c>
      <c r="J2" s="15">
        <v>0</v>
      </c>
      <c r="K2" s="8" t="e">
        <f>IF($B$5="Vigoroso",ROUNDUP((N2+J2)*1.2,0),N2+J2)</f>
        <v>#N/A</v>
      </c>
      <c r="L2" s="16">
        <v>0</v>
      </c>
      <c r="M2" s="17"/>
      <c r="N2" s="9" t="e">
        <f>I2+LOOKUP(I2,[1]Dados!$C$3:$D$12,[1]Dados!$E$3:$E$12)*(ROUNDDOWN(F5/2,0))+LOOKUP(I2,[1]Dados!$C$3:$D$12,[1]Dados!$F$3:$F$12)*(ROUNDDOWN((F5-1)/2,0))</f>
        <v>#N/A</v>
      </c>
      <c r="O2" s="18" t="s">
        <v>12</v>
      </c>
      <c r="P2" s="19"/>
      <c r="T2" s="11" t="s">
        <v>8</v>
      </c>
      <c r="U2" s="8" t="s">
        <v>9</v>
      </c>
      <c r="V2" s="12" t="s">
        <v>10</v>
      </c>
      <c r="W2" s="13" t="s">
        <v>11</v>
      </c>
      <c r="X2" s="14" t="e">
        <f>VLOOKUP(U1,[1]Pokemon!$A$1:$I$874,3,FALSE)+IF(U3="Sim",20,0)</f>
        <v>#N/A</v>
      </c>
      <c r="Y2" s="15">
        <v>0</v>
      </c>
      <c r="Z2" s="8" t="e">
        <f>IF($B$5="Vigoroso",ROUNDUP((AC2+Y2)*1.2,0),AC2+Y2)</f>
        <v>#N/A</v>
      </c>
      <c r="AA2" s="16">
        <v>0</v>
      </c>
      <c r="AB2" s="17"/>
      <c r="AC2" s="9" t="e">
        <f>X2+LOOKUP(X2,[1]Dados!$C$3:$D$12,[1]Dados!$E$3:$E$12)*(ROUNDDOWN(U5/2,0))+LOOKUP(X2,[1]Dados!$C$3:$D$12,[1]Dados!$F$3:$F$12)*(ROUNDDOWN((U5-1)/2,0))</f>
        <v>#N/A</v>
      </c>
      <c r="AD2" s="18" t="s">
        <v>12</v>
      </c>
      <c r="AE2" s="19"/>
    </row>
    <row r="3" spans="1:31" x14ac:dyDescent="0.3">
      <c r="A3" s="10" t="s">
        <v>13</v>
      </c>
      <c r="B3" s="51" t="s">
        <v>51</v>
      </c>
      <c r="C3" s="52"/>
      <c r="E3" s="11" t="s">
        <v>14</v>
      </c>
      <c r="F3" s="8" t="s">
        <v>15</v>
      </c>
      <c r="G3" s="20"/>
      <c r="H3" s="13" t="s">
        <v>16</v>
      </c>
      <c r="I3" s="21">
        <f>20+IF(F3="Sim",10,0)</f>
        <v>20</v>
      </c>
      <c r="J3" s="22">
        <v>0</v>
      </c>
      <c r="K3" s="8">
        <f>18+(F5*2)+IF(F3="Sim",10,0)+J3</f>
        <v>20</v>
      </c>
      <c r="L3" s="16">
        <v>0</v>
      </c>
      <c r="M3" s="17"/>
      <c r="N3" s="9"/>
      <c r="O3" s="18" t="s">
        <v>17</v>
      </c>
      <c r="P3" s="19"/>
      <c r="T3" s="11" t="s">
        <v>14</v>
      </c>
      <c r="U3" s="8" t="s">
        <v>15</v>
      </c>
      <c r="V3" s="20"/>
      <c r="W3" s="13" t="s">
        <v>16</v>
      </c>
      <c r="X3" s="21">
        <f>20+IF(U3="Sim",10,0)</f>
        <v>20</v>
      </c>
      <c r="Y3" s="22">
        <v>0</v>
      </c>
      <c r="Z3" s="8">
        <f>18+(U5*2)+IF(U3="Sim",10,0)+Y3</f>
        <v>20</v>
      </c>
      <c r="AA3" s="16">
        <v>0</v>
      </c>
      <c r="AB3" s="17"/>
      <c r="AC3" s="9"/>
      <c r="AD3" s="18" t="s">
        <v>17</v>
      </c>
      <c r="AE3" s="19"/>
    </row>
    <row r="4" spans="1:31" x14ac:dyDescent="0.3">
      <c r="A4" s="10" t="s">
        <v>18</v>
      </c>
      <c r="B4" s="51" t="s">
        <v>52</v>
      </c>
      <c r="C4" s="52"/>
      <c r="E4" s="11" t="s">
        <v>19</v>
      </c>
      <c r="F4" s="23" t="e">
        <f>VLOOKUP(F1,[1]Pokemon!$A$1:$I$874,2,FALSE)</f>
        <v>#N/A</v>
      </c>
      <c r="G4" s="20"/>
      <c r="H4" s="13" t="s">
        <v>12</v>
      </c>
      <c r="I4" s="14" t="e">
        <f>VLOOKUP(F1,[1]Pokemon!$A$1:$I$874,4,FALSE)+IF(F3="Sim",1,0)</f>
        <v>#N/A</v>
      </c>
      <c r="J4" s="22">
        <v>1</v>
      </c>
      <c r="K4" s="8" t="e">
        <f>IF(L7="Sim", ROUNDUP((N4+ROUNDDOWN(F7/10,0))*J4*P2,0), ROUNDUP((N4+ROUNDDOWN(F7/10,0))*J4,0))</f>
        <v>#N/A</v>
      </c>
      <c r="L4" s="24" t="s">
        <v>20</v>
      </c>
      <c r="M4" s="17"/>
      <c r="N4" s="9" t="e">
        <f>I4+LOOKUP(I4,[1]Dados!$H$3:$I$12,[1]Dados!$J$3:$J$12)*(ROUNDDOWN(F5/2,0))+LOOKUP(I4,[1]Dados!$H$3:$I$12,[1]Dados!$K$3:$K$12)*(ROUNDDOWN((F5-1)/2,0))</f>
        <v>#N/A</v>
      </c>
      <c r="O4" s="18" t="s">
        <v>21</v>
      </c>
      <c r="P4" s="19"/>
      <c r="T4" s="11" t="s">
        <v>19</v>
      </c>
      <c r="U4" s="23" t="e">
        <f>VLOOKUP(U1,[1]Pokemon!$A$1:$I$874,2,FALSE)</f>
        <v>#N/A</v>
      </c>
      <c r="V4" s="20"/>
      <c r="W4" s="13" t="s">
        <v>12</v>
      </c>
      <c r="X4" s="14" t="e">
        <f>VLOOKUP(U1,[1]Pokemon!$A$1:$I$874,4,FALSE)+IF(U3="Sim",1,0)</f>
        <v>#N/A</v>
      </c>
      <c r="Y4" s="22">
        <v>1</v>
      </c>
      <c r="Z4" s="8" t="e">
        <f>IF(AA7="Sim", ROUNDUP((AC4+ROUNDDOWN(U7/10,0))*Y4*AE2,0), ROUNDUP((AC4+ROUNDDOWN(U7/10,0))*Y4,0))</f>
        <v>#N/A</v>
      </c>
      <c r="AA4" s="24" t="s">
        <v>20</v>
      </c>
      <c r="AB4" s="17"/>
      <c r="AC4" s="9" t="e">
        <f>X4+LOOKUP(X4,[1]Dados!$H$3:$I$12,[1]Dados!$J$3:$J$12)*(ROUNDDOWN(U5/2,0))+LOOKUP(X4,[1]Dados!$H$3:$I$12,[1]Dados!$K$3:$K$12)*(ROUNDDOWN((U5-1)/2,0))</f>
        <v>#N/A</v>
      </c>
      <c r="AD4" s="18" t="s">
        <v>21</v>
      </c>
      <c r="AE4" s="19"/>
    </row>
    <row r="5" spans="1:31" x14ac:dyDescent="0.3">
      <c r="A5" s="10" t="s">
        <v>22</v>
      </c>
      <c r="B5" s="51" t="s">
        <v>186</v>
      </c>
      <c r="C5" s="52"/>
      <c r="E5" s="11" t="s">
        <v>23</v>
      </c>
      <c r="F5" s="25">
        <v>1</v>
      </c>
      <c r="G5" s="20"/>
      <c r="H5" s="13" t="s">
        <v>17</v>
      </c>
      <c r="I5" s="14" t="e">
        <f>VLOOKUP(F1,[1]Pokemon!$A$1:$I$874,5,FALSE)+IF(F3="Sim",1,0)</f>
        <v>#N/A</v>
      </c>
      <c r="J5" s="22">
        <v>1</v>
      </c>
      <c r="K5" s="8" t="e">
        <f>IF(L7="Sim", ROUNDUP((N5+ROUNDDOWN(F7/10,0))*J5*P3,0), ROUNDUP((N5+ROUNDDOWN(F7/10,0))*J5,0))</f>
        <v>#N/A</v>
      </c>
      <c r="L5" s="26" t="e">
        <f>ROUNDDOWN(I8/2,0)</f>
        <v>#N/A</v>
      </c>
      <c r="M5" s="17"/>
      <c r="N5" s="9" t="e">
        <f>I5+LOOKUP(I5,[1]Dados!$H$3:$I$12,[1]Dados!$J$3:$J$12)*(ROUNDDOWN(F5/2,0))+LOOKUP(I5,[1]Dados!$H$3:$I$12,[1]Dados!$K$3:$K$12)*(ROUNDDOWN((F5-1)/2,0))</f>
        <v>#N/A</v>
      </c>
      <c r="O5" s="18" t="s">
        <v>24</v>
      </c>
      <c r="P5" s="19"/>
      <c r="T5" s="11" t="s">
        <v>23</v>
      </c>
      <c r="U5" s="25">
        <v>1</v>
      </c>
      <c r="V5" s="20"/>
      <c r="W5" s="13" t="s">
        <v>17</v>
      </c>
      <c r="X5" s="14" t="e">
        <f>VLOOKUP(U1,[1]Pokemon!$A$1:$I$874,5,FALSE)+IF(U3="Sim",1,0)</f>
        <v>#N/A</v>
      </c>
      <c r="Y5" s="22">
        <v>1</v>
      </c>
      <c r="Z5" s="8" t="e">
        <f>IF(AA7="Sim", ROUNDUP((AC5+ROUNDDOWN(U7/10,0))*Y5*AE3,0), ROUNDUP((AC5+ROUNDDOWN(U7/10,0))*Y5,0))</f>
        <v>#N/A</v>
      </c>
      <c r="AA5" s="26" t="e">
        <f>ROUNDDOWN(X8/2,0)</f>
        <v>#N/A</v>
      </c>
      <c r="AB5" s="17"/>
      <c r="AC5" s="9" t="e">
        <f>X5+LOOKUP(X5,[1]Dados!$H$3:$I$12,[1]Dados!$J$3:$J$12)*(ROUNDDOWN(U5/2,0))+LOOKUP(X5,[1]Dados!$H$3:$I$12,[1]Dados!$K$3:$K$12)*(ROUNDDOWN((U5-1)/2,0))</f>
        <v>#N/A</v>
      </c>
      <c r="AD5" s="18" t="s">
        <v>24</v>
      </c>
      <c r="AE5" s="19"/>
    </row>
    <row r="6" spans="1:31" ht="15" thickBot="1" x14ac:dyDescent="0.35">
      <c r="A6" s="27" t="s">
        <v>25</v>
      </c>
      <c r="B6" s="57" t="s">
        <v>32</v>
      </c>
      <c r="C6" s="58"/>
      <c r="E6" s="11" t="s">
        <v>26</v>
      </c>
      <c r="F6" s="23">
        <v>0</v>
      </c>
      <c r="G6" s="20"/>
      <c r="H6" s="13" t="s">
        <v>21</v>
      </c>
      <c r="I6" s="14" t="e">
        <f>VLOOKUP(F1,[1]Pokemon!$A$1:$I$874,6,FALSE)+IF(F3="Sim",1,0)</f>
        <v>#N/A</v>
      </c>
      <c r="J6" s="22">
        <v>1</v>
      </c>
      <c r="K6" s="8" t="e">
        <f>IF(L7="Sim", ROUNDUP((N6+ROUNDDOWN(F7/10,0))*J6*P4,0), ROUNDUP((N6+ROUNDDOWN(F7/10,0))*J6,0))</f>
        <v>#N/A</v>
      </c>
      <c r="L6" s="24" t="s">
        <v>27</v>
      </c>
      <c r="M6" s="17"/>
      <c r="N6" s="9" t="e">
        <f>I6+LOOKUP(I6,[1]Dados!$H$3:$I$12,[1]Dados!$J$3:$J$12)*(ROUNDDOWN(F5/2,0))+LOOKUP(I6,[1]Dados!$H$3:$I$12,[1]Dados!$K$3:$K$12)*(ROUNDDOWN((F5-1)/2,0))</f>
        <v>#N/A</v>
      </c>
      <c r="O6" s="28" t="s">
        <v>28</v>
      </c>
      <c r="P6" s="29"/>
      <c r="T6" s="11" t="s">
        <v>26</v>
      </c>
      <c r="U6" s="23">
        <v>0</v>
      </c>
      <c r="V6" s="20"/>
      <c r="W6" s="13" t="s">
        <v>21</v>
      </c>
      <c r="X6" s="14" t="e">
        <f>VLOOKUP(U1,[1]Pokemon!$A$1:$I$874,6,FALSE)+IF(U3="Sim",1,0)</f>
        <v>#N/A</v>
      </c>
      <c r="Y6" s="22">
        <v>1</v>
      </c>
      <c r="Z6" s="8" t="e">
        <f>IF(AA7="Sim", ROUNDUP((AC6+ROUNDDOWN(U7/10,0))*Y6*AE4,0), ROUNDUP((AC6+ROUNDDOWN(U7/10,0))*Y6,0))</f>
        <v>#N/A</v>
      </c>
      <c r="AA6" s="24" t="s">
        <v>27</v>
      </c>
      <c r="AB6" s="17"/>
      <c r="AC6" s="9" t="e">
        <f>X6+LOOKUP(X6,[1]Dados!$H$3:$I$12,[1]Dados!$J$3:$J$12)*(ROUNDDOWN(U5/2,0))+LOOKUP(X6,[1]Dados!$H$3:$I$12,[1]Dados!$K$3:$K$12)*(ROUNDDOWN((U5-1)/2,0))</f>
        <v>#N/A</v>
      </c>
      <c r="AD6" s="28" t="s">
        <v>28</v>
      </c>
      <c r="AE6" s="29"/>
    </row>
    <row r="7" spans="1:31" ht="15" thickBot="1" x14ac:dyDescent="0.35">
      <c r="A7" s="59"/>
      <c r="B7" s="59"/>
      <c r="C7" s="59"/>
      <c r="E7" s="11" t="s">
        <v>29</v>
      </c>
      <c r="F7" s="30">
        <v>0</v>
      </c>
      <c r="G7" s="20"/>
      <c r="H7" s="13" t="s">
        <v>24</v>
      </c>
      <c r="I7" s="14" t="e">
        <f>VLOOKUP(F1,[1]Pokemon!$A$1:$I$874,7,FALSE)+IF(F3="Sim",1,0)</f>
        <v>#N/A</v>
      </c>
      <c r="J7" s="22">
        <v>1</v>
      </c>
      <c r="K7" s="8" t="e">
        <f>IF(L7="Sim", ROUNDUP((N7+ROUNDDOWN(F7/10,0))*J7*P5,0), ROUNDUP((N7+ROUNDDOWN(F7/10,0))*J7,0))</f>
        <v>#N/A</v>
      </c>
      <c r="L7" s="26" t="s">
        <v>15</v>
      </c>
      <c r="M7" s="17"/>
      <c r="N7" s="9" t="e">
        <f>I7+LOOKUP(I7,[1]Dados!$H$3:$I$12,[1]Dados!$J$3:$J$12)*(ROUNDDOWN(F5/2,0))+LOOKUP(I7,[1]Dados!$H$3:$I$12,[1]Dados!$K$3:$K$12)*(ROUNDDOWN((F5-1)/2,0))</f>
        <v>#N/A</v>
      </c>
      <c r="T7" s="11" t="s">
        <v>29</v>
      </c>
      <c r="U7" s="30">
        <v>0</v>
      </c>
      <c r="V7" s="20"/>
      <c r="W7" s="13" t="s">
        <v>24</v>
      </c>
      <c r="X7" s="14" t="e">
        <f>VLOOKUP(U1,[1]Pokemon!$A$1:$I$874,7,FALSE)+IF(U3="Sim",1,0)</f>
        <v>#N/A</v>
      </c>
      <c r="Y7" s="22">
        <v>1</v>
      </c>
      <c r="Z7" s="8" t="e">
        <f>IF(AA7="Sim", ROUNDUP((AC7+ROUNDDOWN(U7/10,0))*Y7*AE5,0), ROUNDUP((AC7+ROUNDDOWN(U7/10,0))*Y7,0))</f>
        <v>#N/A</v>
      </c>
      <c r="AA7" s="26" t="s">
        <v>15</v>
      </c>
      <c r="AB7" s="17"/>
      <c r="AC7" s="9" t="e">
        <f>X7+LOOKUP(X7,[1]Dados!$H$3:$I$12,[1]Dados!$J$3:$J$12)*(ROUNDDOWN(U5/2,0))+LOOKUP(X7,[1]Dados!$H$3:$I$12,[1]Dados!$K$3:$K$12)*(ROUNDDOWN((U5-1)/2,0))</f>
        <v>#N/A</v>
      </c>
    </row>
    <row r="8" spans="1:31" x14ac:dyDescent="0.3">
      <c r="A8" s="1" t="s">
        <v>30</v>
      </c>
      <c r="B8" s="55">
        <v>3</v>
      </c>
      <c r="C8" s="56"/>
      <c r="E8" s="11" t="s">
        <v>31</v>
      </c>
      <c r="F8" s="23" t="s">
        <v>32</v>
      </c>
      <c r="G8" s="20"/>
      <c r="H8" s="13" t="s">
        <v>28</v>
      </c>
      <c r="I8" s="14" t="e">
        <f>VLOOKUP(F1,[1]Pokemon!$A$1:$I$874,8,FALSE)+IF(F3="Sim",1,0)</f>
        <v>#N/A</v>
      </c>
      <c r="J8" s="22">
        <f>1*IF(F9="Paralisado",0.5,1)</f>
        <v>1</v>
      </c>
      <c r="K8" s="8" t="e">
        <f>IF(L7="Sim", ROUNDUP(N8*J8*P6,0), ROUNDUP(N8*J8,0))</f>
        <v>#N/A</v>
      </c>
      <c r="L8" s="31" t="e">
        <f>IF(L7 = "Sim", ROUNDUP((K8/(10*P6)), 0)&amp;"d6", ROUNDUP((K8/10), 0)&amp;"d6")</f>
        <v>#N/A</v>
      </c>
      <c r="M8" s="17"/>
      <c r="N8" s="9" t="e">
        <f>I8+LOOKUP(I8,[1]Dados!$H$3:$I$12,[1]Dados!$J$3:$J$12)*(ROUNDDOWN(F5/2,0))+LOOKUP(I8,[1]Dados!$H$3:$I$12,[1]Dados!$K$3:$K$12)*(ROUNDDOWN((F5-1)/2,0))</f>
        <v>#N/A</v>
      </c>
      <c r="T8" s="11" t="s">
        <v>31</v>
      </c>
      <c r="U8" s="23" t="s">
        <v>32</v>
      </c>
      <c r="V8" s="20"/>
      <c r="W8" s="13" t="s">
        <v>28</v>
      </c>
      <c r="X8" s="14" t="e">
        <f>VLOOKUP(U1,[1]Pokemon!$A$1:$I$874,8,FALSE)+IF(U3="Sim",1,0)</f>
        <v>#N/A</v>
      </c>
      <c r="Y8" s="22">
        <f>1*IF(U9="Paralisado",0.5,1)</f>
        <v>1</v>
      </c>
      <c r="Z8" s="8" t="e">
        <f>IF(AA7="Sim", ROUNDUP(AC8*Y8*AE6,0), ROUNDUP(AC8*Y8,0))</f>
        <v>#N/A</v>
      </c>
      <c r="AA8" s="31" t="e">
        <f>IF(AA7 = "Sim", ROUNDUP((Z8/(10*AE6)), 0)&amp;"d6", ROUNDUP((Z8/10), 0)&amp;"d6")</f>
        <v>#N/A</v>
      </c>
      <c r="AB8" s="17"/>
      <c r="AC8" s="9" t="e">
        <f>X8+LOOKUP(X8,[1]Dados!$H$3:$I$12,[1]Dados!$J$3:$J$12)*(ROUNDDOWN(U5/2,0))+LOOKUP(X8,[1]Dados!$H$3:$I$12,[1]Dados!$K$3:$K$12)*(ROUNDDOWN((U5-1)/2,0))</f>
        <v>#N/A</v>
      </c>
    </row>
    <row r="9" spans="1:31" x14ac:dyDescent="0.3">
      <c r="A9" s="10" t="s">
        <v>33</v>
      </c>
      <c r="B9" s="51">
        <v>5</v>
      </c>
      <c r="C9" s="52"/>
      <c r="E9" s="11" t="s">
        <v>34</v>
      </c>
      <c r="F9" s="23"/>
      <c r="G9" s="20"/>
      <c r="H9" s="13" t="s">
        <v>35</v>
      </c>
      <c r="I9" s="14" t="e">
        <f>VLOOKUP(F1,[1]Pokemon!$A$1:$I$874,9,FALSE)</f>
        <v>#N/A</v>
      </c>
      <c r="J9" s="13" t="s">
        <v>36</v>
      </c>
      <c r="K9" s="13"/>
      <c r="L9" s="32" t="e">
        <f>((F5+1)*I9/2)-F6</f>
        <v>#N/A</v>
      </c>
      <c r="M9" s="17"/>
      <c r="N9" s="33"/>
      <c r="T9" s="11" t="s">
        <v>34</v>
      </c>
      <c r="U9" s="23"/>
      <c r="V9" s="20"/>
      <c r="W9" s="13" t="s">
        <v>35</v>
      </c>
      <c r="X9" s="14" t="e">
        <f>VLOOKUP(U1,[1]Pokemon!$A$1:$I$874,9,FALSE)</f>
        <v>#N/A</v>
      </c>
      <c r="Y9" s="13" t="s">
        <v>36</v>
      </c>
      <c r="Z9" s="13"/>
      <c r="AA9" s="32" t="e">
        <f>((U5+1)*X9/2)-U6</f>
        <v>#N/A</v>
      </c>
      <c r="AB9" s="17"/>
      <c r="AC9" s="33"/>
    </row>
    <row r="10" spans="1:31" x14ac:dyDescent="0.3">
      <c r="A10" s="10" t="s">
        <v>37</v>
      </c>
      <c r="B10" s="51">
        <v>5</v>
      </c>
      <c r="C10" s="52"/>
      <c r="E10" s="34"/>
      <c r="F10" s="8"/>
      <c r="G10" s="17"/>
      <c r="H10" s="8"/>
      <c r="I10" s="8"/>
      <c r="J10" s="8"/>
      <c r="K10" s="8"/>
      <c r="L10" s="26"/>
      <c r="M10" s="17"/>
      <c r="N10" s="35"/>
      <c r="T10" s="34"/>
      <c r="U10" s="8"/>
      <c r="V10" s="17"/>
      <c r="W10" s="8"/>
      <c r="X10" s="8"/>
      <c r="Y10" s="8"/>
      <c r="Z10" s="8"/>
      <c r="AA10" s="26"/>
      <c r="AB10" s="17"/>
      <c r="AC10" s="35"/>
    </row>
    <row r="11" spans="1:31" x14ac:dyDescent="0.3">
      <c r="A11" s="10" t="s">
        <v>38</v>
      </c>
      <c r="B11" s="51">
        <v>4</v>
      </c>
      <c r="C11" s="52"/>
      <c r="E11" s="60" t="s">
        <v>39</v>
      </c>
      <c r="F11" s="61"/>
      <c r="G11" s="13" t="s">
        <v>40</v>
      </c>
      <c r="H11" s="13"/>
      <c r="I11" s="13"/>
      <c r="J11" s="13" t="s">
        <v>16</v>
      </c>
      <c r="K11" s="13" t="s">
        <v>41</v>
      </c>
      <c r="L11" s="24" t="s">
        <v>42</v>
      </c>
      <c r="M11" s="17"/>
      <c r="N11" s="35"/>
      <c r="T11" s="60" t="s">
        <v>39</v>
      </c>
      <c r="U11" s="61"/>
      <c r="V11" s="13" t="s">
        <v>40</v>
      </c>
      <c r="W11" s="13"/>
      <c r="X11" s="13"/>
      <c r="Y11" s="13" t="s">
        <v>16</v>
      </c>
      <c r="Z11" s="13" t="s">
        <v>41</v>
      </c>
      <c r="AA11" s="24" t="s">
        <v>42</v>
      </c>
      <c r="AB11" s="17"/>
      <c r="AC11" s="35"/>
    </row>
    <row r="12" spans="1:31" x14ac:dyDescent="0.3">
      <c r="A12" s="10" t="s">
        <v>43</v>
      </c>
      <c r="B12" s="51">
        <v>0</v>
      </c>
      <c r="C12" s="52"/>
      <c r="E12" s="62"/>
      <c r="F12" s="63"/>
      <c r="G12" s="63" t="e">
        <f>VLOOKUP(E12,[2]Golpes!$A$1:$G$653,2,FALSE)&amp;"/"&amp;VLOOKUP(E12,[2]Golpes!$A$1:$G$653,3,FALSE)</f>
        <v>#N/A</v>
      </c>
      <c r="H12" s="63"/>
      <c r="I12" s="63"/>
      <c r="J12" s="25" t="e">
        <f>VLOOKUP(E12,[2]Golpes!$A$1:$G$653,4,FALSE)</f>
        <v>#N/A</v>
      </c>
      <c r="K12" s="25" t="e">
        <f>VLOOKUP(E12,[2]Golpes!$A$1:$G$653,5,FALSE)</f>
        <v>#N/A</v>
      </c>
      <c r="L12" s="36" t="e">
        <f>VLOOKUP(E12,[2]Golpes!$A$1:$G$653,6,FALSE)</f>
        <v>#N/A</v>
      </c>
      <c r="M12" s="17" t="e">
        <f>VLOOKUP(E12,[2]Golpes!$A$1:$G$653,7,FALSE)</f>
        <v>#N/A</v>
      </c>
      <c r="N12" s="35"/>
      <c r="T12" s="62"/>
      <c r="U12" s="63"/>
      <c r="V12" s="63" t="e">
        <f>VLOOKUP(T12,[2]Golpes!$A$1:$G$653,2,FALSE)&amp;"/"&amp;VLOOKUP(T12,[2]Golpes!$A$1:$G$653,3,FALSE)</f>
        <v>#N/A</v>
      </c>
      <c r="W12" s="63"/>
      <c r="X12" s="63"/>
      <c r="Y12" s="25" t="e">
        <f>VLOOKUP(T12,[2]Golpes!$A$1:$G$653,4,FALSE)</f>
        <v>#N/A</v>
      </c>
      <c r="Z12" s="25" t="e">
        <f>VLOOKUP(T12,[2]Golpes!$A$1:$G$653,5,FALSE)</f>
        <v>#N/A</v>
      </c>
      <c r="AA12" s="36" t="e">
        <f>VLOOKUP(T12,[2]Golpes!$A$1:$G$653,6,FALSE)</f>
        <v>#N/A</v>
      </c>
      <c r="AB12" s="17" t="e">
        <f>VLOOKUP(T12,[2]Golpes!$A$1:$G$653,7,FALSE)</f>
        <v>#N/A</v>
      </c>
      <c r="AC12" s="35"/>
    </row>
    <row r="13" spans="1:31" ht="15" thickBot="1" x14ac:dyDescent="0.35">
      <c r="A13" s="27" t="s">
        <v>44</v>
      </c>
      <c r="B13" s="57">
        <v>5</v>
      </c>
      <c r="C13" s="58"/>
      <c r="E13" s="62"/>
      <c r="F13" s="63"/>
      <c r="G13" s="63" t="e">
        <f>VLOOKUP(E13,[2]Golpes!$A$1:$G$653,2,FALSE)&amp;"/"&amp;VLOOKUP(E13,[2]Golpes!$A$1:$G$653,3,FALSE)</f>
        <v>#N/A</v>
      </c>
      <c r="H13" s="63"/>
      <c r="I13" s="63"/>
      <c r="J13" s="25" t="e">
        <f>VLOOKUP(E13,[2]Golpes!$A$1:$G$653,4,FALSE)</f>
        <v>#N/A</v>
      </c>
      <c r="K13" s="25" t="e">
        <f>VLOOKUP(E13,[2]Golpes!$A$1:$G$653,5,FALSE)</f>
        <v>#N/A</v>
      </c>
      <c r="L13" s="36" t="e">
        <f>VLOOKUP(E13,[2]Golpes!$A$1:$G$653,6,FALSE)</f>
        <v>#N/A</v>
      </c>
      <c r="M13" s="17" t="e">
        <f>VLOOKUP(E13,[2]Golpes!$A$1:$G$653,7,FALSE)</f>
        <v>#N/A</v>
      </c>
      <c r="N13" s="35"/>
      <c r="T13" s="62"/>
      <c r="U13" s="63"/>
      <c r="V13" s="63" t="e">
        <f>VLOOKUP(T13,[2]Golpes!$A$1:$G$653,2,FALSE)&amp;"/"&amp;VLOOKUP(T13,[2]Golpes!$A$1:$G$653,3,FALSE)</f>
        <v>#N/A</v>
      </c>
      <c r="W13" s="63"/>
      <c r="X13" s="63"/>
      <c r="Y13" s="25" t="e">
        <f>VLOOKUP(T13,[2]Golpes!$A$1:$G$653,4,FALSE)</f>
        <v>#N/A</v>
      </c>
      <c r="Z13" s="25" t="e">
        <f>VLOOKUP(T13,[2]Golpes!$A$1:$G$653,5,FALSE)</f>
        <v>#N/A</v>
      </c>
      <c r="AA13" s="36" t="e">
        <f>VLOOKUP(T13,[2]Golpes!$A$1:$G$653,6,FALSE)</f>
        <v>#N/A</v>
      </c>
      <c r="AB13" s="17" t="e">
        <f>VLOOKUP(T13,[2]Golpes!$A$1:$G$653,7,FALSE)</f>
        <v>#N/A</v>
      </c>
      <c r="AC13" s="35"/>
    </row>
    <row r="14" spans="1:31" x14ac:dyDescent="0.3">
      <c r="A14" s="37" t="s">
        <v>45</v>
      </c>
      <c r="B14" s="38">
        <v>50</v>
      </c>
      <c r="C14" s="39">
        <f>B10*10</f>
        <v>50</v>
      </c>
      <c r="E14" s="62"/>
      <c r="F14" s="63"/>
      <c r="G14" s="63" t="e">
        <f>VLOOKUP(E14,[2]Golpes!$A$1:$G$653,2,FALSE)&amp;"/"&amp;VLOOKUP(E14,[2]Golpes!$A$1:$G$653,3,FALSE)</f>
        <v>#N/A</v>
      </c>
      <c r="H14" s="63"/>
      <c r="I14" s="63"/>
      <c r="J14" s="25" t="e">
        <f>VLOOKUP(E14,[2]Golpes!$A$1:$G$653,4,FALSE)</f>
        <v>#N/A</v>
      </c>
      <c r="K14" s="25" t="e">
        <f>VLOOKUP(E14,[2]Golpes!$A$1:$G$653,5,FALSE)</f>
        <v>#N/A</v>
      </c>
      <c r="L14" s="36" t="e">
        <f>VLOOKUP(E14,[2]Golpes!$A$1:$G$653,6,FALSE)</f>
        <v>#N/A</v>
      </c>
      <c r="M14" s="17" t="e">
        <f>VLOOKUP(E14,[2]Golpes!$A$1:$G$653,7,FALSE)</f>
        <v>#N/A</v>
      </c>
      <c r="N14" s="35"/>
      <c r="T14" s="62"/>
      <c r="U14" s="63"/>
      <c r="V14" s="63" t="e">
        <f>VLOOKUP(T14,[2]Golpes!$A$1:$G$653,2,FALSE)&amp;"/"&amp;VLOOKUP(T14,[2]Golpes!$A$1:$G$653,3,FALSE)</f>
        <v>#N/A</v>
      </c>
      <c r="W14" s="63"/>
      <c r="X14" s="63"/>
      <c r="Y14" s="25" t="e">
        <f>VLOOKUP(T14,[2]Golpes!$A$1:$G$653,4,FALSE)</f>
        <v>#N/A</v>
      </c>
      <c r="Z14" s="25" t="e">
        <f>VLOOKUP(T14,[2]Golpes!$A$1:$G$653,5,FALSE)</f>
        <v>#N/A</v>
      </c>
      <c r="AA14" s="36" t="e">
        <f>VLOOKUP(T14,[2]Golpes!$A$1:$G$653,6,FALSE)</f>
        <v>#N/A</v>
      </c>
      <c r="AB14" s="17" t="e">
        <f>VLOOKUP(T14,[2]Golpes!$A$1:$G$653,7,FALSE)</f>
        <v>#N/A</v>
      </c>
      <c r="AC14" s="35"/>
    </row>
    <row r="15" spans="1:31" ht="15" thickBot="1" x14ac:dyDescent="0.35">
      <c r="A15" s="40" t="s">
        <v>46</v>
      </c>
      <c r="B15" s="41">
        <v>50</v>
      </c>
      <c r="C15" s="42">
        <f>B14</f>
        <v>50</v>
      </c>
      <c r="E15" s="67"/>
      <c r="F15" s="68"/>
      <c r="G15" s="68" t="e">
        <f>VLOOKUP(E15,[2]Golpes!$A$1:$G$653,2,FALSE)&amp;"/"&amp;VLOOKUP(E15,[2]Golpes!$A$1:$G$653,3,FALSE)</f>
        <v>#N/A</v>
      </c>
      <c r="H15" s="68"/>
      <c r="I15" s="68"/>
      <c r="J15" s="43" t="e">
        <f>VLOOKUP(E15,[2]Golpes!$A$1:$G$653,4,FALSE)</f>
        <v>#N/A</v>
      </c>
      <c r="K15" s="43" t="e">
        <f>VLOOKUP(E15,[2]Golpes!$A$1:$G$653,5,FALSE)</f>
        <v>#N/A</v>
      </c>
      <c r="L15" s="44" t="e">
        <f>VLOOKUP(E15,[2]Golpes!$A$1:$G$653,6,FALSE)</f>
        <v>#N/A</v>
      </c>
      <c r="M15" s="17" t="e">
        <f>VLOOKUP(E15,[2]Golpes!$A$1:$G$653,7,FALSE)</f>
        <v>#N/A</v>
      </c>
      <c r="N15" s="35"/>
      <c r="T15" s="67"/>
      <c r="U15" s="68"/>
      <c r="V15" s="68" t="e">
        <f>VLOOKUP(T15,[2]Golpes!$A$1:$G$653,2,FALSE)&amp;"/"&amp;VLOOKUP(T15,[2]Golpes!$A$1:$G$653,3,FALSE)</f>
        <v>#N/A</v>
      </c>
      <c r="W15" s="68"/>
      <c r="X15" s="68"/>
      <c r="Y15" s="43" t="e">
        <f>VLOOKUP(T15,[2]Golpes!$A$1:$G$653,4,FALSE)</f>
        <v>#N/A</v>
      </c>
      <c r="Z15" s="43" t="e">
        <f>VLOOKUP(T15,[2]Golpes!$A$1:$G$653,5,FALSE)</f>
        <v>#N/A</v>
      </c>
      <c r="AA15" s="44" t="e">
        <f>VLOOKUP(T15,[2]Golpes!$A$1:$G$653,6,FALSE)</f>
        <v>#N/A</v>
      </c>
      <c r="AB15" s="17" t="e">
        <f>VLOOKUP(T15,[2]Golpes!$A$1:$G$653,7,FALSE)</f>
        <v>#N/A</v>
      </c>
      <c r="AC15" s="35"/>
    </row>
    <row r="16" spans="1:31" ht="15" thickBot="1" x14ac:dyDescent="0.35">
      <c r="A16" s="59">
        <v>4</v>
      </c>
      <c r="B16" s="59"/>
      <c r="C16" s="59"/>
    </row>
    <row r="17" spans="1:31" ht="15" thickBot="1" x14ac:dyDescent="0.35">
      <c r="A17" s="64" t="s">
        <v>47</v>
      </c>
      <c r="B17" s="65"/>
      <c r="C17" s="66"/>
      <c r="E17" s="2" t="s">
        <v>1</v>
      </c>
      <c r="F17" s="3"/>
      <c r="G17" s="4"/>
      <c r="H17" s="5"/>
      <c r="I17" s="6" t="s">
        <v>2</v>
      </c>
      <c r="J17" s="6" t="s">
        <v>3</v>
      </c>
      <c r="K17" s="6" t="s">
        <v>4</v>
      </c>
      <c r="L17" s="7" t="s">
        <v>5</v>
      </c>
      <c r="M17" s="8"/>
      <c r="N17" s="9"/>
      <c r="O17" s="53" t="s">
        <v>6</v>
      </c>
      <c r="P17" s="54"/>
      <c r="T17" s="2" t="s">
        <v>1</v>
      </c>
      <c r="U17" s="3"/>
      <c r="V17" s="4"/>
      <c r="W17" s="5"/>
      <c r="X17" s="6" t="s">
        <v>2</v>
      </c>
      <c r="Y17" s="6" t="s">
        <v>3</v>
      </c>
      <c r="Z17" s="6" t="s">
        <v>4</v>
      </c>
      <c r="AA17" s="7" t="s">
        <v>5</v>
      </c>
      <c r="AB17" s="8"/>
      <c r="AC17" s="9"/>
      <c r="AD17" s="53" t="s">
        <v>6</v>
      </c>
      <c r="AE17" s="54"/>
    </row>
    <row r="18" spans="1:31" x14ac:dyDescent="0.3">
      <c r="A18" s="71" t="s">
        <v>187</v>
      </c>
      <c r="B18" s="49"/>
      <c r="C18" s="72"/>
      <c r="E18" s="11" t="s">
        <v>8</v>
      </c>
      <c r="F18" s="8" t="s">
        <v>9</v>
      </c>
      <c r="G18" s="12" t="s">
        <v>10</v>
      </c>
      <c r="H18" s="13" t="s">
        <v>11</v>
      </c>
      <c r="I18" s="14" t="e">
        <f>VLOOKUP(F17,[1]Pokemon!$A$1:$I$874,3,FALSE)+IF(F19="Sim",20,0)</f>
        <v>#N/A</v>
      </c>
      <c r="J18" s="15">
        <v>0</v>
      </c>
      <c r="K18" s="8" t="e">
        <f>IF($B$5="Vigoroso",ROUNDUP((N18+J18)*1.2,0),N18+J18)</f>
        <v>#N/A</v>
      </c>
      <c r="L18" s="16">
        <v>0</v>
      </c>
      <c r="M18" s="17"/>
      <c r="N18" s="9" t="e">
        <f>I18+LOOKUP(I18,[1]Dados!$C$3:$D$12,[1]Dados!$E$3:$E$12)*(ROUNDDOWN(F21/2,0))+LOOKUP(I18,[1]Dados!$C$3:$D$12,[1]Dados!$F$3:$F$12)*(ROUNDDOWN((F21-1)/2,0))</f>
        <v>#N/A</v>
      </c>
      <c r="O18" s="18" t="s">
        <v>12</v>
      </c>
      <c r="P18" s="19"/>
      <c r="T18" s="11" t="s">
        <v>8</v>
      </c>
      <c r="U18" s="8" t="s">
        <v>9</v>
      </c>
      <c r="V18" s="12" t="s">
        <v>10</v>
      </c>
      <c r="W18" s="13" t="s">
        <v>11</v>
      </c>
      <c r="X18" s="14" t="e">
        <f>VLOOKUP(U17,[1]Pokemon!$A$1:$I$874,3,FALSE)+IF(U19="Sim",20,0)</f>
        <v>#N/A</v>
      </c>
      <c r="Y18" s="15">
        <v>0</v>
      </c>
      <c r="Z18" s="8" t="e">
        <f>IF($B$5="Vigoroso",ROUNDUP((AC18+Y18)*1.2,0),AC18+Y18)</f>
        <v>#N/A</v>
      </c>
      <c r="AA18" s="16">
        <v>0</v>
      </c>
      <c r="AB18" s="17"/>
      <c r="AC18" s="9" t="e">
        <f>X18+LOOKUP(X18,[1]Dados!$C$3:$D$12,[1]Dados!$E$3:$E$12)*(ROUNDDOWN(U21/2,0))+LOOKUP(X18,[1]Dados!$C$3:$D$12,[1]Dados!$F$3:$F$12)*(ROUNDDOWN((U21-1)/2,0))</f>
        <v>#N/A</v>
      </c>
      <c r="AD18" s="18" t="s">
        <v>12</v>
      </c>
      <c r="AE18" s="19"/>
    </row>
    <row r="19" spans="1:31" x14ac:dyDescent="0.3">
      <c r="A19" s="71"/>
      <c r="B19" s="49"/>
      <c r="C19" s="72"/>
      <c r="E19" s="11" t="s">
        <v>14</v>
      </c>
      <c r="F19" s="8" t="s">
        <v>15</v>
      </c>
      <c r="G19" s="20"/>
      <c r="H19" s="13" t="s">
        <v>16</v>
      </c>
      <c r="I19" s="21">
        <f>20+IF(F19="Sim",10,0)</f>
        <v>20</v>
      </c>
      <c r="J19" s="22">
        <v>0</v>
      </c>
      <c r="K19" s="8">
        <f>18+(F21*2)+IF(F19="Sim",10,0)+J19</f>
        <v>20</v>
      </c>
      <c r="L19" s="16">
        <v>0</v>
      </c>
      <c r="M19" s="17"/>
      <c r="N19" s="9"/>
      <c r="O19" s="18" t="s">
        <v>17</v>
      </c>
      <c r="P19" s="19"/>
      <c r="T19" s="11" t="s">
        <v>14</v>
      </c>
      <c r="U19" s="8" t="s">
        <v>15</v>
      </c>
      <c r="V19" s="20"/>
      <c r="W19" s="13" t="s">
        <v>16</v>
      </c>
      <c r="X19" s="21">
        <f>20+IF(U19="Sim",10,0)</f>
        <v>20</v>
      </c>
      <c r="Y19" s="22">
        <v>0</v>
      </c>
      <c r="Z19" s="8">
        <f>18+(U21*2)+IF(U19="Sim",10,0)+Y19</f>
        <v>20</v>
      </c>
      <c r="AA19" s="16">
        <v>0</v>
      </c>
      <c r="AB19" s="17"/>
      <c r="AC19" s="9"/>
      <c r="AD19" s="18" t="s">
        <v>17</v>
      </c>
      <c r="AE19" s="19"/>
    </row>
    <row r="20" spans="1:31" x14ac:dyDescent="0.3">
      <c r="A20" s="71"/>
      <c r="B20" s="49"/>
      <c r="C20" s="72"/>
      <c r="E20" s="11" t="s">
        <v>19</v>
      </c>
      <c r="F20" s="23" t="e">
        <f>VLOOKUP(F17,[1]Pokemon!$A$1:$I$874,2,FALSE)</f>
        <v>#N/A</v>
      </c>
      <c r="G20" s="20"/>
      <c r="H20" s="13" t="s">
        <v>12</v>
      </c>
      <c r="I20" s="14" t="e">
        <f>VLOOKUP(F17,[1]Pokemon!$A$1:$I$874,4,FALSE)+IF(F19="Sim",1,0)</f>
        <v>#N/A</v>
      </c>
      <c r="J20" s="22">
        <v>1</v>
      </c>
      <c r="K20" s="8" t="e">
        <f>IF(L23="Sim", ROUNDUP((N20+ROUNDDOWN(F23/10,0))*J20*P18,0), ROUNDUP((N20+ROUNDDOWN(F23/10,0))*J20,0))</f>
        <v>#N/A</v>
      </c>
      <c r="L20" s="24" t="s">
        <v>20</v>
      </c>
      <c r="M20" s="17"/>
      <c r="N20" s="9" t="e">
        <f>I20+LOOKUP(I20,[1]Dados!$H$3:$I$12,[1]Dados!$J$3:$J$12)*(ROUNDDOWN(F21/2,0))+LOOKUP(I20,[1]Dados!$H$3:$I$12,[1]Dados!$K$3:$K$12)*(ROUNDDOWN((F21-1)/2,0))</f>
        <v>#N/A</v>
      </c>
      <c r="O20" s="18" t="s">
        <v>21</v>
      </c>
      <c r="P20" s="19"/>
      <c r="T20" s="11" t="s">
        <v>19</v>
      </c>
      <c r="U20" s="23" t="e">
        <f>VLOOKUP(U17,[1]Pokemon!$A$1:$I$874,2,FALSE)</f>
        <v>#N/A</v>
      </c>
      <c r="V20" s="20"/>
      <c r="W20" s="13" t="s">
        <v>12</v>
      </c>
      <c r="X20" s="14" t="e">
        <f>VLOOKUP(U17,[1]Pokemon!$A$1:$I$874,4,FALSE)+IF(U19="Sim",1,0)</f>
        <v>#N/A</v>
      </c>
      <c r="Y20" s="22">
        <v>1</v>
      </c>
      <c r="Z20" s="8" t="e">
        <f>IF(AA23="Sim", ROUNDUP((AC20+ROUNDDOWN(U23/10,0))*Y20*AE18,0), ROUNDUP((AC20+ROUNDDOWN(U23/10,0))*Y20,0))</f>
        <v>#N/A</v>
      </c>
      <c r="AA20" s="24" t="s">
        <v>20</v>
      </c>
      <c r="AB20" s="17"/>
      <c r="AC20" s="9" t="e">
        <f>X20+LOOKUP(X20,[1]Dados!$H$3:$I$12,[1]Dados!$J$3:$J$12)*(ROUNDDOWN(U21/2,0))+LOOKUP(X20,[1]Dados!$H$3:$I$12,[1]Dados!$K$3:$K$12)*(ROUNDDOWN((U21-1)/2,0))</f>
        <v>#N/A</v>
      </c>
      <c r="AD20" s="18" t="s">
        <v>21</v>
      </c>
      <c r="AE20" s="19"/>
    </row>
    <row r="21" spans="1:31" x14ac:dyDescent="0.3">
      <c r="A21" s="71"/>
      <c r="B21" s="49"/>
      <c r="C21" s="72"/>
      <c r="E21" s="11" t="s">
        <v>23</v>
      </c>
      <c r="F21" s="25">
        <v>1</v>
      </c>
      <c r="G21" s="20"/>
      <c r="H21" s="13" t="s">
        <v>17</v>
      </c>
      <c r="I21" s="14" t="e">
        <f>VLOOKUP(F17,[1]Pokemon!$A$1:$I$874,5,FALSE)+IF(F19="Sim",1,0)</f>
        <v>#N/A</v>
      </c>
      <c r="J21" s="22">
        <v>1</v>
      </c>
      <c r="K21" s="8" t="e">
        <f>IF(L23="Sim", ROUNDUP((N21+ROUNDDOWN(F23/10,0))*J21*P19,0), ROUNDUP((N21+ROUNDDOWN(F23/10,0))*J21,0))</f>
        <v>#N/A</v>
      </c>
      <c r="L21" s="26" t="e">
        <f>ROUNDDOWN(I24/2,0)</f>
        <v>#N/A</v>
      </c>
      <c r="M21" s="17"/>
      <c r="N21" s="9" t="e">
        <f>I21+LOOKUP(I21,[1]Dados!$H$3:$I$12,[1]Dados!$J$3:$J$12)*(ROUNDDOWN(F21/2,0))+LOOKUP(I21,[1]Dados!$H$3:$I$12,[1]Dados!$K$3:$K$12)*(ROUNDDOWN((F21-1)/2,0))</f>
        <v>#N/A</v>
      </c>
      <c r="O21" s="18" t="s">
        <v>24</v>
      </c>
      <c r="P21" s="19"/>
      <c r="T21" s="11" t="s">
        <v>23</v>
      </c>
      <c r="U21" s="25">
        <v>1</v>
      </c>
      <c r="V21" s="20"/>
      <c r="W21" s="13" t="s">
        <v>17</v>
      </c>
      <c r="X21" s="14" t="e">
        <f>VLOOKUP(U17,[1]Pokemon!$A$1:$I$874,5,FALSE)+IF(U19="Sim",1,0)</f>
        <v>#N/A</v>
      </c>
      <c r="Y21" s="22">
        <v>1</v>
      </c>
      <c r="Z21" s="8" t="e">
        <f>IF(AA23="Sim", ROUNDUP((AC21+ROUNDDOWN(U23/10,0))*Y21*AE19,0), ROUNDUP((AC21+ROUNDDOWN(U23/10,0))*Y21,0))</f>
        <v>#N/A</v>
      </c>
      <c r="AA21" s="26" t="e">
        <f>ROUNDDOWN(X24/2,0)</f>
        <v>#N/A</v>
      </c>
      <c r="AB21" s="17"/>
      <c r="AC21" s="9" t="e">
        <f>X21+LOOKUP(X21,[1]Dados!$H$3:$I$12,[1]Dados!$J$3:$J$12)*(ROUNDDOWN(U21/2,0))+LOOKUP(X21,[1]Dados!$H$3:$I$12,[1]Dados!$K$3:$K$12)*(ROUNDDOWN((U21-1)/2,0))</f>
        <v>#N/A</v>
      </c>
      <c r="AD21" s="18" t="s">
        <v>24</v>
      </c>
      <c r="AE21" s="19"/>
    </row>
    <row r="22" spans="1:31" ht="15" thickBot="1" x14ac:dyDescent="0.35">
      <c r="A22" s="71"/>
      <c r="B22" s="49"/>
      <c r="C22" s="72"/>
      <c r="E22" s="11" t="s">
        <v>26</v>
      </c>
      <c r="F22" s="23">
        <v>0</v>
      </c>
      <c r="G22" s="20"/>
      <c r="H22" s="13" t="s">
        <v>21</v>
      </c>
      <c r="I22" s="14" t="e">
        <f>VLOOKUP(F17,[1]Pokemon!$A$1:$I$874,6,FALSE)+IF(F19="Sim",1,0)</f>
        <v>#N/A</v>
      </c>
      <c r="J22" s="22">
        <v>1</v>
      </c>
      <c r="K22" s="8" t="e">
        <f>IF(L23="Sim", ROUNDUP((N22+ROUNDDOWN(F23/10,0))*J22*P20,0), ROUNDUP((N22+ROUNDDOWN(F23/10,0))*J22,0))</f>
        <v>#N/A</v>
      </c>
      <c r="L22" s="24" t="s">
        <v>27</v>
      </c>
      <c r="M22" s="17"/>
      <c r="N22" s="9" t="e">
        <f>I22+LOOKUP(I22,[1]Dados!$H$3:$I$12,[1]Dados!$J$3:$J$12)*(ROUNDDOWN(F21/2,0))+LOOKUP(I22,[1]Dados!$H$3:$I$12,[1]Dados!$K$3:$K$12)*(ROUNDDOWN((F21-1)/2,0))</f>
        <v>#N/A</v>
      </c>
      <c r="O22" s="28" t="s">
        <v>28</v>
      </c>
      <c r="P22" s="29"/>
      <c r="T22" s="11" t="s">
        <v>26</v>
      </c>
      <c r="U22" s="23">
        <v>0</v>
      </c>
      <c r="V22" s="20"/>
      <c r="W22" s="13" t="s">
        <v>21</v>
      </c>
      <c r="X22" s="14" t="e">
        <f>VLOOKUP(U17,[1]Pokemon!$A$1:$I$874,6,FALSE)+IF(U19="Sim",1,0)</f>
        <v>#N/A</v>
      </c>
      <c r="Y22" s="22">
        <v>1</v>
      </c>
      <c r="Z22" s="8" t="e">
        <f>IF(AA23="Sim", ROUNDUP((AC22+ROUNDDOWN(U23/10,0))*Y22*AE20,0), ROUNDUP((AC22+ROUNDDOWN(U23/10,0))*Y22,0))</f>
        <v>#N/A</v>
      </c>
      <c r="AA22" s="24" t="s">
        <v>27</v>
      </c>
      <c r="AB22" s="17"/>
      <c r="AC22" s="9" t="e">
        <f>X22+LOOKUP(X22,[1]Dados!$H$3:$I$12,[1]Dados!$J$3:$J$12)*(ROUNDDOWN(U21/2,0))+LOOKUP(X22,[1]Dados!$H$3:$I$12,[1]Dados!$K$3:$K$12)*(ROUNDDOWN((U21-1)/2,0))</f>
        <v>#N/A</v>
      </c>
      <c r="AD22" s="28" t="s">
        <v>28</v>
      </c>
      <c r="AE22" s="29"/>
    </row>
    <row r="23" spans="1:31" x14ac:dyDescent="0.3">
      <c r="A23" s="71"/>
      <c r="B23" s="49"/>
      <c r="C23" s="72"/>
      <c r="E23" s="11" t="s">
        <v>29</v>
      </c>
      <c r="F23" s="30">
        <v>0</v>
      </c>
      <c r="G23" s="20"/>
      <c r="H23" s="13" t="s">
        <v>24</v>
      </c>
      <c r="I23" s="14" t="e">
        <f>VLOOKUP(F17,[1]Pokemon!$A$1:$I$874,7,FALSE)+IF(F19="Sim",1,0)</f>
        <v>#N/A</v>
      </c>
      <c r="J23" s="22">
        <v>1</v>
      </c>
      <c r="K23" s="8" t="e">
        <f>IF(L23="Sim", ROUNDUP((N23+ROUNDDOWN(F23/10,0))*J23*P21,0), ROUNDUP((N23+ROUNDDOWN(F23/10,0))*J23,0))</f>
        <v>#N/A</v>
      </c>
      <c r="L23" s="26" t="s">
        <v>15</v>
      </c>
      <c r="M23" s="17"/>
      <c r="N23" s="9" t="e">
        <f>I23+LOOKUP(I23,[1]Dados!$H$3:$I$12,[1]Dados!$J$3:$J$12)*(ROUNDDOWN(F21/2,0))+LOOKUP(I23,[1]Dados!$H$3:$I$12,[1]Dados!$K$3:$K$12)*(ROUNDDOWN((F21-1)/2,0))</f>
        <v>#N/A</v>
      </c>
      <c r="T23" s="11" t="s">
        <v>29</v>
      </c>
      <c r="U23" s="30">
        <v>0</v>
      </c>
      <c r="V23" s="20"/>
      <c r="W23" s="13" t="s">
        <v>24</v>
      </c>
      <c r="X23" s="14" t="e">
        <f>VLOOKUP(U17,[1]Pokemon!$A$1:$I$874,7,FALSE)+IF(U19="Sim",1,0)</f>
        <v>#N/A</v>
      </c>
      <c r="Y23" s="22">
        <v>1</v>
      </c>
      <c r="Z23" s="8" t="e">
        <f>IF(AA23="Sim", ROUNDUP((AC23+ROUNDDOWN(U23/10,0))*Y23*AE21,0), ROUNDUP((AC23+ROUNDDOWN(U23/10,0))*Y23,0))</f>
        <v>#N/A</v>
      </c>
      <c r="AA23" s="26" t="s">
        <v>15</v>
      </c>
      <c r="AB23" s="17"/>
      <c r="AC23" s="9" t="e">
        <f>X23+LOOKUP(X23,[1]Dados!$H$3:$I$12,[1]Dados!$J$3:$J$12)*(ROUNDDOWN(U21/2,0))+LOOKUP(X23,[1]Dados!$H$3:$I$12,[1]Dados!$K$3:$K$12)*(ROUNDDOWN((U21-1)/2,0))</f>
        <v>#N/A</v>
      </c>
    </row>
    <row r="24" spans="1:31" x14ac:dyDescent="0.3">
      <c r="A24" s="71"/>
      <c r="B24" s="49"/>
      <c r="C24" s="72"/>
      <c r="E24" s="11" t="s">
        <v>31</v>
      </c>
      <c r="F24" s="23" t="s">
        <v>32</v>
      </c>
      <c r="G24" s="20"/>
      <c r="H24" s="13" t="s">
        <v>28</v>
      </c>
      <c r="I24" s="14" t="e">
        <f>VLOOKUP(F17,[1]Pokemon!$A$1:$I$874,8,FALSE)+IF(F19="Sim",1,0)</f>
        <v>#N/A</v>
      </c>
      <c r="J24" s="22">
        <f>1*IF(F25="Paralisado",0.5,1)</f>
        <v>1</v>
      </c>
      <c r="K24" s="8" t="e">
        <f>IF(L23="Sim", ROUNDUP(N24*J24*P22,0), ROUNDUP(N24*J24,0))</f>
        <v>#N/A</v>
      </c>
      <c r="L24" s="31" t="e">
        <f>IF(L23 = "Sim", ROUNDUP((K24/(10*P22)), 0)&amp;"d6", ROUNDUP((K24/10), 0)&amp;"d6")</f>
        <v>#N/A</v>
      </c>
      <c r="M24" s="17"/>
      <c r="N24" s="9" t="e">
        <f>I24+LOOKUP(I24,[1]Dados!$H$3:$I$12,[1]Dados!$J$3:$J$12)*(ROUNDDOWN(F21/2,0))+LOOKUP(I24,[1]Dados!$H$3:$I$12,[1]Dados!$K$3:$K$12)*(ROUNDDOWN((F21-1)/2,0))</f>
        <v>#N/A</v>
      </c>
      <c r="T24" s="11" t="s">
        <v>31</v>
      </c>
      <c r="U24" s="23" t="s">
        <v>32</v>
      </c>
      <c r="V24" s="20"/>
      <c r="W24" s="13" t="s">
        <v>28</v>
      </c>
      <c r="X24" s="14" t="e">
        <f>VLOOKUP(U17,[1]Pokemon!$A$1:$I$874,8,FALSE)+IF(U19="Sim",1,0)</f>
        <v>#N/A</v>
      </c>
      <c r="Y24" s="22">
        <f>1*IF(U25="Paralisado",0.5,1)</f>
        <v>1</v>
      </c>
      <c r="Z24" s="8" t="e">
        <f>IF(AA23="Sim", ROUNDUP(AC24*Y24*AE22,0), ROUNDUP(AC24*Y24,0))</f>
        <v>#N/A</v>
      </c>
      <c r="AA24" s="31" t="e">
        <f>IF(AA23 = "Sim", ROUNDUP((Z24/(10*AE22)), 0)&amp;"d6", ROUNDUP((Z24/10), 0)&amp;"d6")</f>
        <v>#N/A</v>
      </c>
      <c r="AB24" s="17"/>
      <c r="AC24" s="9" t="e">
        <f>X24+LOOKUP(X24,[1]Dados!$H$3:$I$12,[1]Dados!$J$3:$J$12)*(ROUNDDOWN(U21/2,0))+LOOKUP(X24,[1]Dados!$H$3:$I$12,[1]Dados!$K$3:$K$12)*(ROUNDDOWN((U21-1)/2,0))</f>
        <v>#N/A</v>
      </c>
    </row>
    <row r="25" spans="1:31" x14ac:dyDescent="0.3">
      <c r="A25" s="71"/>
      <c r="B25" s="49"/>
      <c r="C25" s="72"/>
      <c r="E25" s="11" t="s">
        <v>34</v>
      </c>
      <c r="F25" s="23"/>
      <c r="G25" s="20"/>
      <c r="H25" s="13" t="s">
        <v>35</v>
      </c>
      <c r="I25" s="14" t="e">
        <f>VLOOKUP(F17,[1]Pokemon!$A$1:$I$874,9,FALSE)</f>
        <v>#N/A</v>
      </c>
      <c r="J25" s="13" t="s">
        <v>36</v>
      </c>
      <c r="K25" s="13"/>
      <c r="L25" s="32" t="e">
        <f>((F21+1)*I25/2)-F22</f>
        <v>#N/A</v>
      </c>
      <c r="M25" s="17"/>
      <c r="N25" s="33"/>
      <c r="T25" s="11" t="s">
        <v>34</v>
      </c>
      <c r="U25" s="23"/>
      <c r="V25" s="20"/>
      <c r="W25" s="13" t="s">
        <v>35</v>
      </c>
      <c r="X25" s="14" t="e">
        <f>VLOOKUP(U17,[1]Pokemon!$A$1:$I$874,9,FALSE)</f>
        <v>#N/A</v>
      </c>
      <c r="Y25" s="13" t="s">
        <v>36</v>
      </c>
      <c r="Z25" s="13"/>
      <c r="AA25" s="32" t="e">
        <f>((U21+1)*X25/2)-U22</f>
        <v>#N/A</v>
      </c>
      <c r="AB25" s="17"/>
      <c r="AC25" s="33"/>
    </row>
    <row r="26" spans="1:31" x14ac:dyDescent="0.3">
      <c r="A26" s="71"/>
      <c r="B26" s="49"/>
      <c r="C26" s="72"/>
      <c r="E26" s="34"/>
      <c r="F26" s="8"/>
      <c r="G26" s="17"/>
      <c r="H26" s="8"/>
      <c r="I26" s="8"/>
      <c r="J26" s="8"/>
      <c r="K26" s="8"/>
      <c r="L26" s="26"/>
      <c r="M26" s="17"/>
      <c r="N26" s="35"/>
      <c r="T26" s="34"/>
      <c r="U26" s="8"/>
      <c r="V26" s="17"/>
      <c r="W26" s="8"/>
      <c r="X26" s="8"/>
      <c r="Y26" s="8"/>
      <c r="Z26" s="8"/>
      <c r="AA26" s="26"/>
      <c r="AB26" s="17"/>
      <c r="AC26" s="35"/>
    </row>
    <row r="27" spans="1:31" x14ac:dyDescent="0.3">
      <c r="A27" s="71"/>
      <c r="B27" s="49"/>
      <c r="C27" s="72"/>
      <c r="E27" s="60" t="s">
        <v>39</v>
      </c>
      <c r="F27" s="61"/>
      <c r="G27" s="13" t="s">
        <v>40</v>
      </c>
      <c r="H27" s="13"/>
      <c r="I27" s="13"/>
      <c r="J27" s="13" t="s">
        <v>16</v>
      </c>
      <c r="K27" s="13" t="s">
        <v>41</v>
      </c>
      <c r="L27" s="24" t="s">
        <v>42</v>
      </c>
      <c r="M27" s="17"/>
      <c r="N27" s="35"/>
      <c r="T27" s="60" t="s">
        <v>39</v>
      </c>
      <c r="U27" s="61"/>
      <c r="V27" s="13" t="s">
        <v>40</v>
      </c>
      <c r="W27" s="13"/>
      <c r="X27" s="13"/>
      <c r="Y27" s="13" t="s">
        <v>16</v>
      </c>
      <c r="Z27" s="13" t="s">
        <v>41</v>
      </c>
      <c r="AA27" s="24" t="s">
        <v>42</v>
      </c>
      <c r="AB27" s="17"/>
      <c r="AC27" s="35"/>
    </row>
    <row r="28" spans="1:31" x14ac:dyDescent="0.3">
      <c r="A28" s="71"/>
      <c r="B28" s="49"/>
      <c r="C28" s="72"/>
      <c r="E28" s="62"/>
      <c r="F28" s="63"/>
      <c r="G28" s="63" t="e">
        <f>VLOOKUP(E28,[2]Golpes!$A$1:$G$653,2,FALSE)&amp;"/"&amp;VLOOKUP(E28,[2]Golpes!$A$1:$G$653,3,FALSE)</f>
        <v>#N/A</v>
      </c>
      <c r="H28" s="63"/>
      <c r="I28" s="63"/>
      <c r="J28" s="25" t="e">
        <f>VLOOKUP(E28,[2]Golpes!$A$1:$G$653,4,FALSE)</f>
        <v>#N/A</v>
      </c>
      <c r="K28" s="25" t="e">
        <f>VLOOKUP(E28,[2]Golpes!$A$1:$G$653,5,FALSE)</f>
        <v>#N/A</v>
      </c>
      <c r="L28" s="36" t="e">
        <f>VLOOKUP(E28,[2]Golpes!$A$1:$G$653,6,FALSE)</f>
        <v>#N/A</v>
      </c>
      <c r="M28" s="17" t="e">
        <f>VLOOKUP(E28,[2]Golpes!$A$1:$G$653,7,FALSE)</f>
        <v>#N/A</v>
      </c>
      <c r="N28" s="35"/>
      <c r="T28" s="62"/>
      <c r="U28" s="63"/>
      <c r="V28" s="63" t="e">
        <f>VLOOKUP(T28,[2]Golpes!$A$1:$G$653,2,FALSE)&amp;"/"&amp;VLOOKUP(T28,[2]Golpes!$A$1:$G$653,3,FALSE)</f>
        <v>#N/A</v>
      </c>
      <c r="W28" s="63"/>
      <c r="X28" s="63"/>
      <c r="Y28" s="25" t="e">
        <f>VLOOKUP(T28,[2]Golpes!$A$1:$G$653,4,FALSE)</f>
        <v>#N/A</v>
      </c>
      <c r="Z28" s="25" t="e">
        <f>VLOOKUP(T28,[2]Golpes!$A$1:$G$653,5,FALSE)</f>
        <v>#N/A</v>
      </c>
      <c r="AA28" s="36" t="e">
        <f>VLOOKUP(T28,[2]Golpes!$A$1:$G$653,6,FALSE)</f>
        <v>#N/A</v>
      </c>
      <c r="AB28" s="17" t="e">
        <f>VLOOKUP(T28,[2]Golpes!$A$1:$G$653,7,FALSE)</f>
        <v>#N/A</v>
      </c>
      <c r="AC28" s="35"/>
    </row>
    <row r="29" spans="1:31" ht="15" thickBot="1" x14ac:dyDescent="0.35">
      <c r="A29" s="73"/>
      <c r="B29" s="74"/>
      <c r="C29" s="75"/>
      <c r="E29" s="62"/>
      <c r="F29" s="63"/>
      <c r="G29" s="63" t="e">
        <f>VLOOKUP(E29,[2]Golpes!$A$1:$G$653,2,FALSE)&amp;"/"&amp;VLOOKUP(E29,[2]Golpes!$A$1:$G$653,3,FALSE)</f>
        <v>#N/A</v>
      </c>
      <c r="H29" s="63"/>
      <c r="I29" s="63"/>
      <c r="J29" s="25" t="e">
        <f>VLOOKUP(E29,[2]Golpes!$A$1:$G$653,4,FALSE)</f>
        <v>#N/A</v>
      </c>
      <c r="K29" s="25" t="e">
        <f>VLOOKUP(E29,[2]Golpes!$A$1:$G$653,5,FALSE)</f>
        <v>#N/A</v>
      </c>
      <c r="L29" s="36" t="e">
        <f>VLOOKUP(E29,[2]Golpes!$A$1:$G$653,6,FALSE)</f>
        <v>#N/A</v>
      </c>
      <c r="M29" s="17" t="e">
        <f>VLOOKUP(E29,[2]Golpes!$A$1:$G$653,7,FALSE)</f>
        <v>#N/A</v>
      </c>
      <c r="N29" s="35"/>
      <c r="T29" s="62"/>
      <c r="U29" s="63"/>
      <c r="V29" s="63" t="e">
        <f>VLOOKUP(T29,[2]Golpes!$A$1:$G$653,2,FALSE)&amp;"/"&amp;VLOOKUP(T29,[2]Golpes!$A$1:$G$653,3,FALSE)</f>
        <v>#N/A</v>
      </c>
      <c r="W29" s="63"/>
      <c r="X29" s="63"/>
      <c r="Y29" s="25" t="e">
        <f>VLOOKUP(T29,[2]Golpes!$A$1:$G$653,4,FALSE)</f>
        <v>#N/A</v>
      </c>
      <c r="Z29" s="25" t="e">
        <f>VLOOKUP(T29,[2]Golpes!$A$1:$G$653,5,FALSE)</f>
        <v>#N/A</v>
      </c>
      <c r="AA29" s="36" t="e">
        <f>VLOOKUP(T29,[2]Golpes!$A$1:$G$653,6,FALSE)</f>
        <v>#N/A</v>
      </c>
      <c r="AB29" s="17" t="e">
        <f>VLOOKUP(T29,[2]Golpes!$A$1:$G$653,7,FALSE)</f>
        <v>#N/A</v>
      </c>
      <c r="AC29" s="35"/>
    </row>
    <row r="30" spans="1:31" ht="15" thickBot="1" x14ac:dyDescent="0.35">
      <c r="A30" s="64" t="s">
        <v>48</v>
      </c>
      <c r="B30" s="65"/>
      <c r="C30" s="66"/>
      <c r="E30" s="62"/>
      <c r="F30" s="63"/>
      <c r="G30" s="63" t="e">
        <f>VLOOKUP(E30,[2]Golpes!$A$1:$G$653,2,FALSE)&amp;"/"&amp;VLOOKUP(E30,[2]Golpes!$A$1:$G$653,3,FALSE)</f>
        <v>#N/A</v>
      </c>
      <c r="H30" s="63"/>
      <c r="I30" s="63"/>
      <c r="J30" s="25" t="e">
        <f>VLOOKUP(E30,[2]Golpes!$A$1:$G$653,4,FALSE)</f>
        <v>#N/A</v>
      </c>
      <c r="K30" s="25" t="e">
        <f>VLOOKUP(E30,[2]Golpes!$A$1:$G$653,5,FALSE)</f>
        <v>#N/A</v>
      </c>
      <c r="L30" s="36" t="e">
        <f>VLOOKUP(E30,[2]Golpes!$A$1:$G$653,6,FALSE)</f>
        <v>#N/A</v>
      </c>
      <c r="M30" s="17" t="e">
        <f>VLOOKUP(E30,[2]Golpes!$A$1:$G$653,7,FALSE)</f>
        <v>#N/A</v>
      </c>
      <c r="N30" s="35"/>
      <c r="T30" s="62"/>
      <c r="U30" s="63"/>
      <c r="V30" s="63" t="e">
        <f>VLOOKUP(T30,[2]Golpes!$A$1:$G$653,2,FALSE)&amp;"/"&amp;VLOOKUP(T30,[2]Golpes!$A$1:$G$653,3,FALSE)</f>
        <v>#N/A</v>
      </c>
      <c r="W30" s="63"/>
      <c r="X30" s="63"/>
      <c r="Y30" s="25" t="e">
        <f>VLOOKUP(T30,[2]Golpes!$A$1:$G$653,4,FALSE)</f>
        <v>#N/A</v>
      </c>
      <c r="Z30" s="25" t="e">
        <f>VLOOKUP(T30,[2]Golpes!$A$1:$G$653,5,FALSE)</f>
        <v>#N/A</v>
      </c>
      <c r="AA30" s="36" t="e">
        <f>VLOOKUP(T30,[2]Golpes!$A$1:$G$653,6,FALSE)</f>
        <v>#N/A</v>
      </c>
      <c r="AB30" s="17" t="e">
        <f>VLOOKUP(T30,[2]Golpes!$A$1:$G$653,7,FALSE)</f>
        <v>#N/A</v>
      </c>
      <c r="AC30" s="35"/>
    </row>
    <row r="31" spans="1:31" ht="15" thickBot="1" x14ac:dyDescent="0.35">
      <c r="A31" s="84"/>
      <c r="B31" s="48"/>
      <c r="C31" s="85"/>
      <c r="E31" s="67"/>
      <c r="F31" s="68"/>
      <c r="G31" s="68" t="e">
        <f>VLOOKUP(E31,[2]Golpes!$A$1:$G$653,2,FALSE)&amp;"/"&amp;VLOOKUP(E31,[2]Golpes!$A$1:$G$653,3,FALSE)</f>
        <v>#N/A</v>
      </c>
      <c r="H31" s="68"/>
      <c r="I31" s="68"/>
      <c r="J31" s="43" t="e">
        <f>VLOOKUP(E31,[2]Golpes!$A$1:$G$653,4,FALSE)</f>
        <v>#N/A</v>
      </c>
      <c r="K31" s="43" t="e">
        <f>VLOOKUP(E31,[2]Golpes!$A$1:$G$653,5,FALSE)</f>
        <v>#N/A</v>
      </c>
      <c r="L31" s="44" t="e">
        <f>VLOOKUP(E31,[2]Golpes!$A$1:$G$653,6,FALSE)</f>
        <v>#N/A</v>
      </c>
      <c r="M31" s="17" t="e">
        <f>VLOOKUP(E31,[2]Golpes!$A$1:$G$653,7,FALSE)</f>
        <v>#N/A</v>
      </c>
      <c r="N31" s="35"/>
      <c r="T31" s="67"/>
      <c r="U31" s="68"/>
      <c r="V31" s="68" t="e">
        <f>VLOOKUP(T31,[2]Golpes!$A$1:$G$653,2,FALSE)&amp;"/"&amp;VLOOKUP(T31,[2]Golpes!$A$1:$G$653,3,FALSE)</f>
        <v>#N/A</v>
      </c>
      <c r="W31" s="68"/>
      <c r="X31" s="68"/>
      <c r="Y31" s="43" t="e">
        <f>VLOOKUP(T31,[2]Golpes!$A$1:$G$653,4,FALSE)</f>
        <v>#N/A</v>
      </c>
      <c r="Z31" s="43" t="e">
        <f>VLOOKUP(T31,[2]Golpes!$A$1:$G$653,5,FALSE)</f>
        <v>#N/A</v>
      </c>
      <c r="AA31" s="44" t="e">
        <f>VLOOKUP(T31,[2]Golpes!$A$1:$G$653,6,FALSE)</f>
        <v>#N/A</v>
      </c>
      <c r="AB31" s="17" t="e">
        <f>VLOOKUP(T31,[2]Golpes!$A$1:$G$653,7,FALSE)</f>
        <v>#N/A</v>
      </c>
      <c r="AC31" s="35"/>
    </row>
    <row r="32" spans="1:31" ht="15" thickBot="1" x14ac:dyDescent="0.35">
      <c r="A32" s="71"/>
      <c r="B32" s="49"/>
      <c r="C32" s="72"/>
    </row>
    <row r="33" spans="1:31" x14ac:dyDescent="0.3">
      <c r="A33" s="71"/>
      <c r="B33" s="49"/>
      <c r="C33" s="72"/>
      <c r="E33" s="2" t="s">
        <v>1</v>
      </c>
      <c r="F33" s="3"/>
      <c r="G33" s="4"/>
      <c r="H33" s="5"/>
      <c r="I33" s="6" t="s">
        <v>2</v>
      </c>
      <c r="J33" s="6" t="s">
        <v>3</v>
      </c>
      <c r="K33" s="6" t="s">
        <v>4</v>
      </c>
      <c r="L33" s="7" t="s">
        <v>5</v>
      </c>
      <c r="M33" s="8"/>
      <c r="N33" s="9"/>
      <c r="O33" s="53" t="s">
        <v>6</v>
      </c>
      <c r="P33" s="54"/>
      <c r="T33" s="2" t="s">
        <v>1</v>
      </c>
      <c r="U33" s="3"/>
      <c r="V33" s="4"/>
      <c r="W33" s="5"/>
      <c r="X33" s="6" t="s">
        <v>2</v>
      </c>
      <c r="Y33" s="6" t="s">
        <v>3</v>
      </c>
      <c r="Z33" s="6" t="s">
        <v>4</v>
      </c>
      <c r="AA33" s="7" t="s">
        <v>5</v>
      </c>
      <c r="AB33" s="8"/>
      <c r="AC33" s="9"/>
      <c r="AD33" s="53" t="s">
        <v>6</v>
      </c>
      <c r="AE33" s="54"/>
    </row>
    <row r="34" spans="1:31" x14ac:dyDescent="0.3">
      <c r="A34" s="71"/>
      <c r="B34" s="49"/>
      <c r="C34" s="72"/>
      <c r="E34" s="11" t="s">
        <v>8</v>
      </c>
      <c r="F34" s="8" t="s">
        <v>9</v>
      </c>
      <c r="G34" s="12" t="s">
        <v>10</v>
      </c>
      <c r="H34" s="13" t="s">
        <v>11</v>
      </c>
      <c r="I34" s="14" t="e">
        <f>VLOOKUP(F33,[1]Pokemon!$A$1:$I$874,3,FALSE)+IF(F35="Sim",20,0)</f>
        <v>#N/A</v>
      </c>
      <c r="J34" s="15">
        <v>0</v>
      </c>
      <c r="K34" s="8" t="e">
        <f>IF($B$5="Vigoroso",ROUNDUP((N34+J34)*1.2,0),N34+J34)</f>
        <v>#N/A</v>
      </c>
      <c r="L34" s="16">
        <v>0</v>
      </c>
      <c r="M34" s="17"/>
      <c r="N34" s="9" t="e">
        <f>I34+LOOKUP(I34,[1]Dados!$C$3:$D$12,[1]Dados!$E$3:$E$12)*(ROUNDDOWN(F37/2,0))+LOOKUP(I34,[1]Dados!$C$3:$D$12,[1]Dados!$F$3:$F$12)*(ROUNDDOWN((F37-1)/2,0))</f>
        <v>#N/A</v>
      </c>
      <c r="O34" s="18" t="s">
        <v>12</v>
      </c>
      <c r="P34" s="19"/>
      <c r="T34" s="11" t="s">
        <v>8</v>
      </c>
      <c r="U34" s="8" t="s">
        <v>9</v>
      </c>
      <c r="V34" s="12" t="s">
        <v>10</v>
      </c>
      <c r="W34" s="13" t="s">
        <v>11</v>
      </c>
      <c r="X34" s="14" t="e">
        <f>VLOOKUP(U33,[1]Pokemon!$A$1:$I$874,3,FALSE)+IF(U35="Sim",20,0)</f>
        <v>#N/A</v>
      </c>
      <c r="Y34" s="15">
        <v>0</v>
      </c>
      <c r="Z34" s="8" t="e">
        <f>IF($B$5="Vigoroso",ROUNDUP((AC34+Y34)*1.2,0),AC34+Y34)</f>
        <v>#N/A</v>
      </c>
      <c r="AA34" s="16">
        <v>0</v>
      </c>
      <c r="AB34" s="17"/>
      <c r="AC34" s="9" t="e">
        <f>X34+LOOKUP(X34,[1]Dados!$C$3:$D$12,[1]Dados!$E$3:$E$12)*(ROUNDDOWN(U37/2,0))+LOOKUP(X34,[1]Dados!$C$3:$D$12,[1]Dados!$F$3:$F$12)*(ROUNDDOWN((U37-1)/2,0))</f>
        <v>#N/A</v>
      </c>
      <c r="AD34" s="18" t="s">
        <v>12</v>
      </c>
      <c r="AE34" s="19"/>
    </row>
    <row r="35" spans="1:31" x14ac:dyDescent="0.3">
      <c r="A35" s="71"/>
      <c r="B35" s="49"/>
      <c r="C35" s="72"/>
      <c r="E35" s="11" t="s">
        <v>14</v>
      </c>
      <c r="F35" s="8" t="s">
        <v>15</v>
      </c>
      <c r="G35" s="20"/>
      <c r="H35" s="13" t="s">
        <v>16</v>
      </c>
      <c r="I35" s="21">
        <f>20+IF(F35="Sim",10,0)</f>
        <v>20</v>
      </c>
      <c r="J35" s="22">
        <v>0</v>
      </c>
      <c r="K35" s="8">
        <f>18+(F37*2)+IF(F35="Sim",10,0)+J35</f>
        <v>20</v>
      </c>
      <c r="L35" s="16">
        <v>0</v>
      </c>
      <c r="M35" s="17"/>
      <c r="N35" s="9"/>
      <c r="O35" s="18" t="s">
        <v>17</v>
      </c>
      <c r="P35" s="19"/>
      <c r="T35" s="11" t="s">
        <v>14</v>
      </c>
      <c r="U35" s="8" t="s">
        <v>15</v>
      </c>
      <c r="V35" s="20"/>
      <c r="W35" s="13" t="s">
        <v>16</v>
      </c>
      <c r="X35" s="21">
        <f>20+IF(U35="Sim",10,0)</f>
        <v>20</v>
      </c>
      <c r="Y35" s="22">
        <v>0</v>
      </c>
      <c r="Z35" s="8">
        <f>18+(U37*2)+IF(U35="Sim",10,0)+Y35</f>
        <v>20</v>
      </c>
      <c r="AA35" s="16">
        <v>0</v>
      </c>
      <c r="AB35" s="17"/>
      <c r="AC35" s="9"/>
      <c r="AD35" s="18" t="s">
        <v>17</v>
      </c>
      <c r="AE35" s="19"/>
    </row>
    <row r="36" spans="1:31" ht="15" thickBot="1" x14ac:dyDescent="0.35">
      <c r="A36" s="73"/>
      <c r="B36" s="74"/>
      <c r="C36" s="75"/>
      <c r="E36" s="11" t="s">
        <v>19</v>
      </c>
      <c r="F36" s="23" t="e">
        <f>VLOOKUP(F33,[1]Pokemon!$A$1:$I$874,2,FALSE)</f>
        <v>#N/A</v>
      </c>
      <c r="G36" s="20"/>
      <c r="H36" s="13" t="s">
        <v>12</v>
      </c>
      <c r="I36" s="14" t="e">
        <f>VLOOKUP(F33,[1]Pokemon!$A$1:$I$874,4,FALSE)+IF(F35="Sim",1,0)</f>
        <v>#N/A</v>
      </c>
      <c r="J36" s="22">
        <v>1</v>
      </c>
      <c r="K36" s="8" t="e">
        <f>IF(L39="Sim", ROUNDUP((N36+ROUNDDOWN(F39/10,0))*J36*P34,0), ROUNDUP((N36+ROUNDDOWN(F39/10,0))*J36,0))</f>
        <v>#N/A</v>
      </c>
      <c r="L36" s="24" t="s">
        <v>20</v>
      </c>
      <c r="M36" s="17"/>
      <c r="N36" s="9" t="e">
        <f>I36+LOOKUP(I36,[1]Dados!$H$3:$I$12,[1]Dados!$J$3:$J$12)*(ROUNDDOWN(F37/2,0))+LOOKUP(I36,[1]Dados!$H$3:$I$12,[1]Dados!$K$3:$K$12)*(ROUNDDOWN((F37-1)/2,0))</f>
        <v>#N/A</v>
      </c>
      <c r="O36" s="18" t="s">
        <v>21</v>
      </c>
      <c r="P36" s="19"/>
      <c r="T36" s="11" t="s">
        <v>19</v>
      </c>
      <c r="U36" s="23" t="e">
        <f>VLOOKUP(U33,[1]Pokemon!$A$1:$I$874,2,FALSE)</f>
        <v>#N/A</v>
      </c>
      <c r="V36" s="20"/>
      <c r="W36" s="13" t="s">
        <v>12</v>
      </c>
      <c r="X36" s="14" t="e">
        <f>VLOOKUP(U33,[1]Pokemon!$A$1:$I$874,4,FALSE)+IF(U35="Sim",1,0)</f>
        <v>#N/A</v>
      </c>
      <c r="Y36" s="22">
        <v>1</v>
      </c>
      <c r="Z36" s="8" t="e">
        <f>IF(AA39="Sim", ROUNDUP((AC36+ROUNDDOWN(U39/10,0))*Y36*AE34,0), ROUNDUP((AC36+ROUNDDOWN(U39/10,0))*Y36,0))</f>
        <v>#N/A</v>
      </c>
      <c r="AA36" s="24" t="s">
        <v>20</v>
      </c>
      <c r="AB36" s="17"/>
      <c r="AC36" s="9" t="e">
        <f>X36+LOOKUP(X36,[1]Dados!$H$3:$I$12,[1]Dados!$J$3:$J$12)*(ROUNDDOWN(U37/2,0))+LOOKUP(X36,[1]Dados!$H$3:$I$12,[1]Dados!$K$3:$K$12)*(ROUNDDOWN((U37-1)/2,0))</f>
        <v>#N/A</v>
      </c>
      <c r="AD36" s="18" t="s">
        <v>21</v>
      </c>
      <c r="AE36" s="19"/>
    </row>
    <row r="37" spans="1:31" ht="15" thickBot="1" x14ac:dyDescent="0.35">
      <c r="A37" s="64" t="s">
        <v>49</v>
      </c>
      <c r="B37" s="65"/>
      <c r="C37" s="66"/>
      <c r="E37" s="11" t="s">
        <v>23</v>
      </c>
      <c r="F37" s="25">
        <v>1</v>
      </c>
      <c r="G37" s="20"/>
      <c r="H37" s="13" t="s">
        <v>17</v>
      </c>
      <c r="I37" s="14" t="e">
        <f>VLOOKUP(F33,[1]Pokemon!$A$1:$I$874,5,FALSE)+IF(F35="Sim",1,0)</f>
        <v>#N/A</v>
      </c>
      <c r="J37" s="22">
        <v>1</v>
      </c>
      <c r="K37" s="8" t="e">
        <f>IF(L39="Sim", ROUNDUP((N37+ROUNDDOWN(F39/10,0))*J37*P35,0), ROUNDUP((N37+ROUNDDOWN(F39/10,0))*J37,0))</f>
        <v>#N/A</v>
      </c>
      <c r="L37" s="26" t="e">
        <f>ROUNDDOWN(I40/2,0)</f>
        <v>#N/A</v>
      </c>
      <c r="M37" s="17"/>
      <c r="N37" s="9" t="e">
        <f>I37+LOOKUP(I37,[1]Dados!$H$3:$I$12,[1]Dados!$J$3:$J$12)*(ROUNDDOWN(F37/2,0))+LOOKUP(I37,[1]Dados!$H$3:$I$12,[1]Dados!$K$3:$K$12)*(ROUNDDOWN((F37-1)/2,0))</f>
        <v>#N/A</v>
      </c>
      <c r="O37" s="18" t="s">
        <v>24</v>
      </c>
      <c r="P37" s="19"/>
      <c r="T37" s="11" t="s">
        <v>23</v>
      </c>
      <c r="U37" s="25">
        <v>1</v>
      </c>
      <c r="V37" s="20"/>
      <c r="W37" s="13" t="s">
        <v>17</v>
      </c>
      <c r="X37" s="14" t="e">
        <f>VLOOKUP(U33,[1]Pokemon!$A$1:$I$874,5,FALSE)+IF(U35="Sim",1,0)</f>
        <v>#N/A</v>
      </c>
      <c r="Y37" s="22">
        <v>1</v>
      </c>
      <c r="Z37" s="8" t="e">
        <f>IF(AA39="Sim", ROUNDUP((AC37+ROUNDDOWN(U39/10,0))*Y37*AE35,0), ROUNDUP((AC37+ROUNDDOWN(U39/10,0))*Y37,0))</f>
        <v>#N/A</v>
      </c>
      <c r="AA37" s="26" t="e">
        <f>ROUNDDOWN(X40/2,0)</f>
        <v>#N/A</v>
      </c>
      <c r="AB37" s="17"/>
      <c r="AC37" s="9" t="e">
        <f>X37+LOOKUP(X37,[1]Dados!$H$3:$I$12,[1]Dados!$J$3:$J$12)*(ROUNDDOWN(U37/2,0))+LOOKUP(X37,[1]Dados!$H$3:$I$12,[1]Dados!$K$3:$K$12)*(ROUNDDOWN((U37-1)/2,0))</f>
        <v>#N/A</v>
      </c>
      <c r="AD37" s="18" t="s">
        <v>24</v>
      </c>
      <c r="AE37" s="19"/>
    </row>
    <row r="38" spans="1:31" ht="15" thickBot="1" x14ac:dyDescent="0.35">
      <c r="A38" s="38"/>
      <c r="B38" s="38"/>
      <c r="C38" s="45"/>
      <c r="E38" s="11" t="s">
        <v>26</v>
      </c>
      <c r="F38" s="23">
        <v>0</v>
      </c>
      <c r="G38" s="20"/>
      <c r="H38" s="13" t="s">
        <v>21</v>
      </c>
      <c r="I38" s="14" t="e">
        <f>VLOOKUP(F33,[1]Pokemon!$A$1:$I$874,6,FALSE)+IF(F35="Sim",1,0)</f>
        <v>#N/A</v>
      </c>
      <c r="J38" s="22">
        <v>1</v>
      </c>
      <c r="K38" s="8" t="e">
        <f>IF(L39="Sim", ROUNDUP((N38+ROUNDDOWN(F39/10,0))*J38*P36,0), ROUNDUP((N38+ROUNDDOWN(F39/10,0))*J38,0))</f>
        <v>#N/A</v>
      </c>
      <c r="L38" s="24" t="s">
        <v>27</v>
      </c>
      <c r="M38" s="17"/>
      <c r="N38" s="9" t="e">
        <f>I38+LOOKUP(I38,[1]Dados!$H$3:$I$12,[1]Dados!$J$3:$J$12)*(ROUNDDOWN(F37/2,0))+LOOKUP(I38,[1]Dados!$H$3:$I$12,[1]Dados!$K$3:$K$12)*(ROUNDDOWN((F37-1)/2,0))</f>
        <v>#N/A</v>
      </c>
      <c r="O38" s="28" t="s">
        <v>28</v>
      </c>
      <c r="P38" s="29"/>
      <c r="T38" s="11" t="s">
        <v>26</v>
      </c>
      <c r="U38" s="23">
        <v>0</v>
      </c>
      <c r="V38" s="20"/>
      <c r="W38" s="13" t="s">
        <v>21</v>
      </c>
      <c r="X38" s="14" t="e">
        <f>VLOOKUP(U33,[1]Pokemon!$A$1:$I$874,6,FALSE)+IF(U35="Sim",1,0)</f>
        <v>#N/A</v>
      </c>
      <c r="Y38" s="22">
        <v>1</v>
      </c>
      <c r="Z38" s="8" t="e">
        <f>IF(AA39="Sim", ROUNDUP((AC38+ROUNDDOWN(U39/10,0))*Y38*AE36,0), ROUNDUP((AC38+ROUNDDOWN(U39/10,0))*Y38,0))</f>
        <v>#N/A</v>
      </c>
      <c r="AA38" s="24" t="s">
        <v>27</v>
      </c>
      <c r="AB38" s="17"/>
      <c r="AC38" s="9" t="e">
        <f>X38+LOOKUP(X38,[1]Dados!$H$3:$I$12,[1]Dados!$J$3:$J$12)*(ROUNDDOWN(U37/2,0))+LOOKUP(X38,[1]Dados!$H$3:$I$12,[1]Dados!$K$3:$K$12)*(ROUNDDOWN((U37-1)/2,0))</f>
        <v>#N/A</v>
      </c>
      <c r="AD38" s="28" t="s">
        <v>28</v>
      </c>
      <c r="AE38" s="29"/>
    </row>
    <row r="39" spans="1:31" x14ac:dyDescent="0.3">
      <c r="C39" s="46"/>
      <c r="E39" s="11" t="s">
        <v>29</v>
      </c>
      <c r="F39" s="30">
        <v>0</v>
      </c>
      <c r="G39" s="20"/>
      <c r="H39" s="13" t="s">
        <v>24</v>
      </c>
      <c r="I39" s="14" t="e">
        <f>VLOOKUP(F33,[1]Pokemon!$A$1:$I$874,7,FALSE)+IF(F35="Sim",1,0)</f>
        <v>#N/A</v>
      </c>
      <c r="J39" s="22">
        <v>1</v>
      </c>
      <c r="K39" s="8" t="e">
        <f>IF(L39="Sim", ROUNDUP((N39+ROUNDDOWN(F39/10,0))*J39*P37,0), ROUNDUP((N39+ROUNDDOWN(F39/10,0))*J39,0))</f>
        <v>#N/A</v>
      </c>
      <c r="L39" s="26" t="s">
        <v>15</v>
      </c>
      <c r="M39" s="17"/>
      <c r="N39" s="9" t="e">
        <f>I39+LOOKUP(I39,[1]Dados!$H$3:$I$12,[1]Dados!$J$3:$J$12)*(ROUNDDOWN(F37/2,0))+LOOKUP(I39,[1]Dados!$H$3:$I$12,[1]Dados!$K$3:$K$12)*(ROUNDDOWN((F37-1)/2,0))</f>
        <v>#N/A</v>
      </c>
      <c r="T39" s="11" t="s">
        <v>29</v>
      </c>
      <c r="U39" s="30">
        <v>0</v>
      </c>
      <c r="V39" s="20"/>
      <c r="W39" s="13" t="s">
        <v>24</v>
      </c>
      <c r="X39" s="14" t="e">
        <f>VLOOKUP(U33,[1]Pokemon!$A$1:$I$874,7,FALSE)+IF(U35="Sim",1,0)</f>
        <v>#N/A</v>
      </c>
      <c r="Y39" s="22">
        <v>1</v>
      </c>
      <c r="Z39" s="8" t="e">
        <f>IF(AA39="Sim", ROUNDUP((AC39+ROUNDDOWN(U39/10,0))*Y39*AE37,0), ROUNDUP((AC39+ROUNDDOWN(U39/10,0))*Y39,0))</f>
        <v>#N/A</v>
      </c>
      <c r="AA39" s="26" t="s">
        <v>15</v>
      </c>
      <c r="AB39" s="17"/>
      <c r="AC39" s="9" t="e">
        <f>X39+LOOKUP(X39,[1]Dados!$H$3:$I$12,[1]Dados!$J$3:$J$12)*(ROUNDDOWN(U37/2,0))+LOOKUP(X39,[1]Dados!$H$3:$I$12,[1]Dados!$K$3:$K$12)*(ROUNDDOWN((U37-1)/2,0))</f>
        <v>#N/A</v>
      </c>
    </row>
    <row r="40" spans="1:31" x14ac:dyDescent="0.3">
      <c r="C40" s="46"/>
      <c r="E40" s="11" t="s">
        <v>31</v>
      </c>
      <c r="F40" s="23" t="s">
        <v>32</v>
      </c>
      <c r="G40" s="20"/>
      <c r="H40" s="13" t="s">
        <v>28</v>
      </c>
      <c r="I40" s="14" t="e">
        <f>VLOOKUP(F33,[1]Pokemon!$A$1:$I$874,8,FALSE)+IF(F35="Sim",1,0)</f>
        <v>#N/A</v>
      </c>
      <c r="J40" s="22">
        <f>1*IF(F41="Paralisado",0.5,1)</f>
        <v>1</v>
      </c>
      <c r="K40" s="8" t="e">
        <f>IF(L39="Sim", ROUNDUP(N40*J40*P38,0), ROUNDUP(N40*J40,0))</f>
        <v>#N/A</v>
      </c>
      <c r="L40" s="31" t="e">
        <f>IF(L39 = "Sim", ROUNDUP((K40/(10*P38)), 0)&amp;"d6", ROUNDUP((K40/10), 0)&amp;"d6")</f>
        <v>#N/A</v>
      </c>
      <c r="M40" s="17"/>
      <c r="N40" s="9" t="e">
        <f>I40+LOOKUP(I40,[1]Dados!$H$3:$I$12,[1]Dados!$J$3:$J$12)*(ROUNDDOWN(F37/2,0))+LOOKUP(I40,[1]Dados!$H$3:$I$12,[1]Dados!$K$3:$K$12)*(ROUNDDOWN((F37-1)/2,0))</f>
        <v>#N/A</v>
      </c>
      <c r="T40" s="11" t="s">
        <v>31</v>
      </c>
      <c r="U40" s="23" t="s">
        <v>32</v>
      </c>
      <c r="V40" s="20"/>
      <c r="W40" s="13" t="s">
        <v>28</v>
      </c>
      <c r="X40" s="14" t="e">
        <f>VLOOKUP(U33,[1]Pokemon!$A$1:$I$874,8,FALSE)+IF(U35="Sim",1,0)</f>
        <v>#N/A</v>
      </c>
      <c r="Y40" s="22">
        <f>1*IF(U41="Paralisado",0.5,1)</f>
        <v>1</v>
      </c>
      <c r="Z40" s="8" t="e">
        <f>IF(AA39="Sim", ROUNDUP(AC40*Y40*AE38,0), ROUNDUP(AC40*Y40,0))</f>
        <v>#N/A</v>
      </c>
      <c r="AA40" s="31" t="e">
        <f>IF(AA39 = "Sim", ROUNDUP((Z40/(10*AE38)), 0)&amp;"d6", ROUNDUP((Z40/10), 0)&amp;"d6")</f>
        <v>#N/A</v>
      </c>
      <c r="AB40" s="17"/>
      <c r="AC40" s="9" t="e">
        <f>X40+LOOKUP(X40,[1]Dados!$H$3:$I$12,[1]Dados!$J$3:$J$12)*(ROUNDDOWN(U37/2,0))+LOOKUP(X40,[1]Dados!$H$3:$I$12,[1]Dados!$K$3:$K$12)*(ROUNDDOWN((U37-1)/2,0))</f>
        <v>#N/A</v>
      </c>
    </row>
    <row r="41" spans="1:31" x14ac:dyDescent="0.3">
      <c r="C41" s="46"/>
      <c r="E41" s="11" t="s">
        <v>34</v>
      </c>
      <c r="F41" s="23"/>
      <c r="G41" s="20"/>
      <c r="H41" s="13" t="s">
        <v>35</v>
      </c>
      <c r="I41" s="14" t="e">
        <f>VLOOKUP(F33,[1]Pokemon!$A$1:$I$874,9,FALSE)</f>
        <v>#N/A</v>
      </c>
      <c r="J41" s="13" t="s">
        <v>36</v>
      </c>
      <c r="K41" s="13"/>
      <c r="L41" s="32" t="e">
        <f>((F37+1)*I41/2)-F38</f>
        <v>#N/A</v>
      </c>
      <c r="M41" s="17"/>
      <c r="N41" s="33"/>
      <c r="T41" s="11" t="s">
        <v>34</v>
      </c>
      <c r="U41" s="23"/>
      <c r="V41" s="20"/>
      <c r="W41" s="13" t="s">
        <v>35</v>
      </c>
      <c r="X41" s="14" t="e">
        <f>VLOOKUP(U33,[1]Pokemon!$A$1:$I$874,9,FALSE)</f>
        <v>#N/A</v>
      </c>
      <c r="Y41" s="13" t="s">
        <v>36</v>
      </c>
      <c r="Z41" s="13"/>
      <c r="AA41" s="32" t="e">
        <f>((U37+1)*X41/2)-U38</f>
        <v>#N/A</v>
      </c>
      <c r="AB41" s="17"/>
      <c r="AC41" s="33"/>
    </row>
    <row r="42" spans="1:31" x14ac:dyDescent="0.3">
      <c r="C42" s="46"/>
      <c r="E42" s="34"/>
      <c r="F42" s="8"/>
      <c r="G42" s="17"/>
      <c r="H42" s="8"/>
      <c r="I42" s="8"/>
      <c r="J42" s="8"/>
      <c r="K42" s="8"/>
      <c r="L42" s="26"/>
      <c r="M42" s="17"/>
      <c r="N42" s="35"/>
      <c r="T42" s="34"/>
      <c r="U42" s="8"/>
      <c r="V42" s="17"/>
      <c r="W42" s="8"/>
      <c r="X42" s="8"/>
      <c r="Y42" s="8"/>
      <c r="Z42" s="8"/>
      <c r="AA42" s="26"/>
      <c r="AB42" s="17"/>
      <c r="AC42" s="35"/>
    </row>
    <row r="43" spans="1:31" x14ac:dyDescent="0.3">
      <c r="C43" s="46"/>
      <c r="E43" s="60" t="s">
        <v>39</v>
      </c>
      <c r="F43" s="61"/>
      <c r="G43" s="13" t="s">
        <v>40</v>
      </c>
      <c r="H43" s="13"/>
      <c r="I43" s="13"/>
      <c r="J43" s="13" t="s">
        <v>16</v>
      </c>
      <c r="K43" s="13" t="s">
        <v>41</v>
      </c>
      <c r="L43" s="24" t="s">
        <v>42</v>
      </c>
      <c r="M43" s="17"/>
      <c r="N43" s="35"/>
      <c r="T43" s="60" t="s">
        <v>39</v>
      </c>
      <c r="U43" s="61"/>
      <c r="V43" s="13" t="s">
        <v>40</v>
      </c>
      <c r="W43" s="13"/>
      <c r="X43" s="13"/>
      <c r="Y43" s="13" t="s">
        <v>16</v>
      </c>
      <c r="Z43" s="13" t="s">
        <v>41</v>
      </c>
      <c r="AA43" s="24" t="s">
        <v>42</v>
      </c>
      <c r="AB43" s="17"/>
      <c r="AC43" s="35"/>
    </row>
    <row r="44" spans="1:31" x14ac:dyDescent="0.3">
      <c r="C44" s="46"/>
      <c r="E44" s="62"/>
      <c r="F44" s="63"/>
      <c r="G44" s="63" t="e">
        <f>VLOOKUP(E44,[2]Golpes!$A$1:$G$653,2,FALSE)&amp;"/"&amp;VLOOKUP(E44,[2]Golpes!$A$1:$G$653,3,FALSE)</f>
        <v>#N/A</v>
      </c>
      <c r="H44" s="63"/>
      <c r="I44" s="63"/>
      <c r="J44" s="25" t="e">
        <f>VLOOKUP(E44,[2]Golpes!$A$1:$G$653,4,FALSE)</f>
        <v>#N/A</v>
      </c>
      <c r="K44" s="25" t="e">
        <f>VLOOKUP(E44,[2]Golpes!$A$1:$G$653,5,FALSE)</f>
        <v>#N/A</v>
      </c>
      <c r="L44" s="36" t="e">
        <f>VLOOKUP(E44,[2]Golpes!$A$1:$G$653,6,FALSE)</f>
        <v>#N/A</v>
      </c>
      <c r="M44" s="17" t="e">
        <f>VLOOKUP(E44,[2]Golpes!$A$1:$G$653,7,FALSE)</f>
        <v>#N/A</v>
      </c>
      <c r="N44" s="35"/>
      <c r="T44" s="62"/>
      <c r="U44" s="63"/>
      <c r="V44" s="63" t="e">
        <f>VLOOKUP(T44,[2]Golpes!$A$1:$G$653,2,FALSE)&amp;"/"&amp;VLOOKUP(T44,[2]Golpes!$A$1:$G$653,3,FALSE)</f>
        <v>#N/A</v>
      </c>
      <c r="W44" s="63"/>
      <c r="X44" s="63"/>
      <c r="Y44" s="25" t="e">
        <f>VLOOKUP(T44,[2]Golpes!$A$1:$G$653,4,FALSE)</f>
        <v>#N/A</v>
      </c>
      <c r="Z44" s="25" t="e">
        <f>VLOOKUP(T44,[2]Golpes!$A$1:$G$653,5,FALSE)</f>
        <v>#N/A</v>
      </c>
      <c r="AA44" s="36" t="e">
        <f>VLOOKUP(T44,[2]Golpes!$A$1:$G$653,6,FALSE)</f>
        <v>#N/A</v>
      </c>
      <c r="AB44" s="17" t="e">
        <f>VLOOKUP(T44,[2]Golpes!$A$1:$G$653,7,FALSE)</f>
        <v>#N/A</v>
      </c>
      <c r="AC44" s="35"/>
    </row>
    <row r="45" spans="1:31" x14ac:dyDescent="0.3">
      <c r="C45" s="46"/>
      <c r="E45" s="62"/>
      <c r="F45" s="63"/>
      <c r="G45" s="63" t="e">
        <f>VLOOKUP(E45,[2]Golpes!$A$1:$G$653,2,FALSE)&amp;"/"&amp;VLOOKUP(E45,[2]Golpes!$A$1:$G$653,3,FALSE)</f>
        <v>#N/A</v>
      </c>
      <c r="H45" s="63"/>
      <c r="I45" s="63"/>
      <c r="J45" s="25" t="e">
        <f>VLOOKUP(E45,[2]Golpes!$A$1:$G$653,4,FALSE)</f>
        <v>#N/A</v>
      </c>
      <c r="K45" s="25" t="e">
        <f>VLOOKUP(E45,[2]Golpes!$A$1:$G$653,5,FALSE)</f>
        <v>#N/A</v>
      </c>
      <c r="L45" s="36" t="e">
        <f>VLOOKUP(E45,[2]Golpes!$A$1:$G$653,6,FALSE)</f>
        <v>#N/A</v>
      </c>
      <c r="M45" s="17" t="e">
        <f>VLOOKUP(E45,[2]Golpes!$A$1:$G$653,7,FALSE)</f>
        <v>#N/A</v>
      </c>
      <c r="N45" s="35"/>
      <c r="T45" s="62"/>
      <c r="U45" s="63"/>
      <c r="V45" s="63" t="e">
        <f>VLOOKUP(T45,[2]Golpes!$A$1:$G$653,2,FALSE)&amp;"/"&amp;VLOOKUP(T45,[2]Golpes!$A$1:$G$653,3,FALSE)</f>
        <v>#N/A</v>
      </c>
      <c r="W45" s="63"/>
      <c r="X45" s="63"/>
      <c r="Y45" s="25" t="e">
        <f>VLOOKUP(T45,[2]Golpes!$A$1:$G$653,4,FALSE)</f>
        <v>#N/A</v>
      </c>
      <c r="Z45" s="25" t="e">
        <f>VLOOKUP(T45,[2]Golpes!$A$1:$G$653,5,FALSE)</f>
        <v>#N/A</v>
      </c>
      <c r="AA45" s="36" t="e">
        <f>VLOOKUP(T45,[2]Golpes!$A$1:$G$653,6,FALSE)</f>
        <v>#N/A</v>
      </c>
      <c r="AB45" s="17" t="e">
        <f>VLOOKUP(T45,[2]Golpes!$A$1:$G$653,7,FALSE)</f>
        <v>#N/A</v>
      </c>
      <c r="AC45" s="35"/>
    </row>
    <row r="46" spans="1:31" x14ac:dyDescent="0.3">
      <c r="C46" s="46"/>
      <c r="E46" s="62"/>
      <c r="F46" s="63"/>
      <c r="G46" s="63" t="e">
        <f>VLOOKUP(E46,[2]Golpes!$A$1:$G$653,2,FALSE)&amp;"/"&amp;VLOOKUP(E46,[2]Golpes!$A$1:$G$653,3,FALSE)</f>
        <v>#N/A</v>
      </c>
      <c r="H46" s="63"/>
      <c r="I46" s="63"/>
      <c r="J46" s="25" t="e">
        <f>VLOOKUP(E46,[2]Golpes!$A$1:$G$653,4,FALSE)</f>
        <v>#N/A</v>
      </c>
      <c r="K46" s="25" t="e">
        <f>VLOOKUP(E46,[2]Golpes!$A$1:$G$653,5,FALSE)</f>
        <v>#N/A</v>
      </c>
      <c r="L46" s="36" t="e">
        <f>VLOOKUP(E46,[2]Golpes!$A$1:$G$653,6,FALSE)</f>
        <v>#N/A</v>
      </c>
      <c r="M46" s="17" t="e">
        <f>VLOOKUP(E46,[2]Golpes!$A$1:$G$653,7,FALSE)</f>
        <v>#N/A</v>
      </c>
      <c r="N46" s="35"/>
      <c r="T46" s="62"/>
      <c r="U46" s="63"/>
      <c r="V46" s="63" t="e">
        <f>VLOOKUP(T46,[2]Golpes!$A$1:$G$653,2,FALSE)&amp;"/"&amp;VLOOKUP(T46,[2]Golpes!$A$1:$G$653,3,FALSE)</f>
        <v>#N/A</v>
      </c>
      <c r="W46" s="63"/>
      <c r="X46" s="63"/>
      <c r="Y46" s="25" t="e">
        <f>VLOOKUP(T46,[2]Golpes!$A$1:$G$653,4,FALSE)</f>
        <v>#N/A</v>
      </c>
      <c r="Z46" s="25" t="e">
        <f>VLOOKUP(T46,[2]Golpes!$A$1:$G$653,5,FALSE)</f>
        <v>#N/A</v>
      </c>
      <c r="AA46" s="36" t="e">
        <f>VLOOKUP(T46,[2]Golpes!$A$1:$G$653,6,FALSE)</f>
        <v>#N/A</v>
      </c>
      <c r="AB46" s="17" t="e">
        <f>VLOOKUP(T46,[2]Golpes!$A$1:$G$653,7,FALSE)</f>
        <v>#N/A</v>
      </c>
      <c r="AC46" s="35"/>
    </row>
    <row r="47" spans="1:31" ht="15" thickBot="1" x14ac:dyDescent="0.35">
      <c r="C47" s="46"/>
      <c r="E47" s="67"/>
      <c r="F47" s="68"/>
      <c r="G47" s="68" t="e">
        <f>VLOOKUP(E47,[2]Golpes!$A$1:$G$653,2,FALSE)&amp;"/"&amp;VLOOKUP(E47,[2]Golpes!$A$1:$G$653,3,FALSE)</f>
        <v>#N/A</v>
      </c>
      <c r="H47" s="68"/>
      <c r="I47" s="68"/>
      <c r="J47" s="43" t="e">
        <f>VLOOKUP(E47,[2]Golpes!$A$1:$G$653,4,FALSE)</f>
        <v>#N/A</v>
      </c>
      <c r="K47" s="43" t="e">
        <f>VLOOKUP(E47,[2]Golpes!$A$1:$G$653,5,FALSE)</f>
        <v>#N/A</v>
      </c>
      <c r="L47" s="44" t="e">
        <f>VLOOKUP(E47,[2]Golpes!$A$1:$G$653,6,FALSE)</f>
        <v>#N/A</v>
      </c>
      <c r="M47" s="17" t="e">
        <f>VLOOKUP(E47,[2]Golpes!$A$1:$G$653,7,FALSE)</f>
        <v>#N/A</v>
      </c>
      <c r="N47" s="35"/>
      <c r="T47" s="67"/>
      <c r="U47" s="68"/>
      <c r="V47" s="68" t="e">
        <f>VLOOKUP(T47,[2]Golpes!$A$1:$G$653,2,FALSE)&amp;"/"&amp;VLOOKUP(T47,[2]Golpes!$A$1:$G$653,3,FALSE)</f>
        <v>#N/A</v>
      </c>
      <c r="W47" s="68"/>
      <c r="X47" s="68"/>
      <c r="Y47" s="43" t="e">
        <f>VLOOKUP(T47,[2]Golpes!$A$1:$G$653,4,FALSE)</f>
        <v>#N/A</v>
      </c>
      <c r="Z47" s="43" t="e">
        <f>VLOOKUP(T47,[2]Golpes!$A$1:$G$653,5,FALSE)</f>
        <v>#N/A</v>
      </c>
      <c r="AA47" s="44" t="e">
        <f>VLOOKUP(T47,[2]Golpes!$A$1:$G$653,6,FALSE)</f>
        <v>#N/A</v>
      </c>
      <c r="AB47" s="17" t="e">
        <f>VLOOKUP(T47,[2]Golpes!$A$1:$G$653,7,FALSE)</f>
        <v>#N/A</v>
      </c>
      <c r="AC47" s="35"/>
    </row>
    <row r="48" spans="1:31" x14ac:dyDescent="0.3">
      <c r="C48" s="46"/>
    </row>
    <row r="49" spans="3:3" x14ac:dyDescent="0.3">
      <c r="C49" s="46"/>
    </row>
    <row r="50" spans="3:3" x14ac:dyDescent="0.3">
      <c r="C50" s="46"/>
    </row>
    <row r="51" spans="3:3" x14ac:dyDescent="0.3">
      <c r="C51" s="46"/>
    </row>
    <row r="52" spans="3:3" x14ac:dyDescent="0.3">
      <c r="C52" s="46"/>
    </row>
    <row r="53" spans="3:3" x14ac:dyDescent="0.3">
      <c r="C53" s="46"/>
    </row>
    <row r="54" spans="3:3" x14ac:dyDescent="0.3">
      <c r="C54" s="46"/>
    </row>
    <row r="55" spans="3:3" x14ac:dyDescent="0.3">
      <c r="C55" s="46"/>
    </row>
    <row r="56" spans="3:3" x14ac:dyDescent="0.3">
      <c r="C56" s="46"/>
    </row>
    <row r="57" spans="3:3" x14ac:dyDescent="0.3">
      <c r="C57" s="46"/>
    </row>
    <row r="58" spans="3:3" x14ac:dyDescent="0.3">
      <c r="C58" s="46"/>
    </row>
  </sheetData>
  <mergeCells count="83">
    <mergeCell ref="E47:F47"/>
    <mergeCell ref="G47:I47"/>
    <mergeCell ref="T47:U47"/>
    <mergeCell ref="V47:X47"/>
    <mergeCell ref="B1:C1"/>
    <mergeCell ref="E45:F45"/>
    <mergeCell ref="G45:I45"/>
    <mergeCell ref="T45:U45"/>
    <mergeCell ref="V45:X45"/>
    <mergeCell ref="E46:F46"/>
    <mergeCell ref="G46:I46"/>
    <mergeCell ref="T46:U46"/>
    <mergeCell ref="V46:X46"/>
    <mergeCell ref="E44:F44"/>
    <mergeCell ref="G44:I44"/>
    <mergeCell ref="T44:U44"/>
    <mergeCell ref="AD33:AE33"/>
    <mergeCell ref="A34:C36"/>
    <mergeCell ref="A37:C37"/>
    <mergeCell ref="E43:F43"/>
    <mergeCell ref="T43:U43"/>
    <mergeCell ref="V44:X44"/>
    <mergeCell ref="A31:C33"/>
    <mergeCell ref="E31:F31"/>
    <mergeCell ref="G31:I31"/>
    <mergeCell ref="T31:U31"/>
    <mergeCell ref="V31:X31"/>
    <mergeCell ref="O33:P33"/>
    <mergeCell ref="A30:C30"/>
    <mergeCell ref="E30:F30"/>
    <mergeCell ref="G30:I30"/>
    <mergeCell ref="T30:U30"/>
    <mergeCell ref="V30:X30"/>
    <mergeCell ref="V15:X15"/>
    <mergeCell ref="AD17:AE17"/>
    <mergeCell ref="A18:C20"/>
    <mergeCell ref="A24:C26"/>
    <mergeCell ref="A27:C29"/>
    <mergeCell ref="E27:F27"/>
    <mergeCell ref="T27:U27"/>
    <mergeCell ref="E28:F28"/>
    <mergeCell ref="G28:I28"/>
    <mergeCell ref="T28:U28"/>
    <mergeCell ref="V28:X28"/>
    <mergeCell ref="E29:F29"/>
    <mergeCell ref="G29:I29"/>
    <mergeCell ref="T29:U29"/>
    <mergeCell ref="V29:X29"/>
    <mergeCell ref="A21:C23"/>
    <mergeCell ref="A16:C16"/>
    <mergeCell ref="A17:C17"/>
    <mergeCell ref="O17:P17"/>
    <mergeCell ref="V12:X12"/>
    <mergeCell ref="B13:C13"/>
    <mergeCell ref="E13:F13"/>
    <mergeCell ref="G13:I13"/>
    <mergeCell ref="T13:U13"/>
    <mergeCell ref="V13:X13"/>
    <mergeCell ref="E14:F14"/>
    <mergeCell ref="G14:I14"/>
    <mergeCell ref="T14:U14"/>
    <mergeCell ref="V14:X14"/>
    <mergeCell ref="E15:F15"/>
    <mergeCell ref="G15:I15"/>
    <mergeCell ref="T15:U15"/>
    <mergeCell ref="E11:F11"/>
    <mergeCell ref="T11:U11"/>
    <mergeCell ref="B12:C12"/>
    <mergeCell ref="E12:F12"/>
    <mergeCell ref="G12:I12"/>
    <mergeCell ref="T12:U12"/>
    <mergeCell ref="B11:C11"/>
    <mergeCell ref="B6:C6"/>
    <mergeCell ref="A7:C7"/>
    <mergeCell ref="B8:C8"/>
    <mergeCell ref="B9:C9"/>
    <mergeCell ref="B10:C10"/>
    <mergeCell ref="B5:C5"/>
    <mergeCell ref="O1:P1"/>
    <mergeCell ref="AD1:AE1"/>
    <mergeCell ref="B2:C2"/>
    <mergeCell ref="B3:C3"/>
    <mergeCell ref="B4:C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58"/>
  <sheetViews>
    <sheetView workbookViewId="0">
      <selection activeCell="B3" sqref="B3:C3"/>
    </sheetView>
  </sheetViews>
  <sheetFormatPr defaultRowHeight="14.4" x14ac:dyDescent="0.3"/>
  <sheetData>
    <row r="1" spans="1:31" x14ac:dyDescent="0.3">
      <c r="A1" s="1" t="s">
        <v>0</v>
      </c>
      <c r="B1" s="55" t="s">
        <v>183</v>
      </c>
      <c r="C1" s="56"/>
      <c r="E1" s="2" t="s">
        <v>1</v>
      </c>
      <c r="F1" s="3"/>
      <c r="G1" s="4"/>
      <c r="H1" s="5"/>
      <c r="I1" s="6" t="s">
        <v>2</v>
      </c>
      <c r="J1" s="6" t="s">
        <v>3</v>
      </c>
      <c r="K1" s="6" t="s">
        <v>4</v>
      </c>
      <c r="L1" s="7" t="s">
        <v>5</v>
      </c>
      <c r="M1" s="8"/>
      <c r="N1" s="9"/>
      <c r="O1" s="53" t="s">
        <v>6</v>
      </c>
      <c r="P1" s="54"/>
      <c r="T1" s="2" t="s">
        <v>1</v>
      </c>
      <c r="U1" s="3"/>
      <c r="V1" s="4"/>
      <c r="W1" s="5"/>
      <c r="X1" s="6" t="s">
        <v>2</v>
      </c>
      <c r="Y1" s="6" t="s">
        <v>3</v>
      </c>
      <c r="Z1" s="6" t="s">
        <v>4</v>
      </c>
      <c r="AA1" s="7" t="s">
        <v>5</v>
      </c>
      <c r="AB1" s="8"/>
      <c r="AC1" s="9"/>
      <c r="AD1" s="53" t="s">
        <v>6</v>
      </c>
      <c r="AE1" s="54"/>
    </row>
    <row r="2" spans="1:31" x14ac:dyDescent="0.3">
      <c r="A2" s="10" t="s">
        <v>7</v>
      </c>
      <c r="B2" s="51">
        <v>41</v>
      </c>
      <c r="C2" s="52"/>
      <c r="E2" s="11" t="s">
        <v>8</v>
      </c>
      <c r="F2" s="8" t="s">
        <v>9</v>
      </c>
      <c r="G2" s="12" t="s">
        <v>10</v>
      </c>
      <c r="H2" s="13" t="s">
        <v>11</v>
      </c>
      <c r="I2" s="14" t="e">
        <f>VLOOKUP(F1,[1]Pokemon!$A$1:$I$874,3,FALSE)+IF(F3="Sim",20,0)</f>
        <v>#N/A</v>
      </c>
      <c r="J2" s="15">
        <v>0</v>
      </c>
      <c r="K2" s="8" t="e">
        <f>IF($B$5="Vigoroso",ROUNDUP((N2+J2)*1.2,0),N2+J2)</f>
        <v>#N/A</v>
      </c>
      <c r="L2" s="16">
        <v>0</v>
      </c>
      <c r="M2" s="17"/>
      <c r="N2" s="9" t="e">
        <f>I2+LOOKUP(I2,[1]Dados!$C$3:$D$12,[1]Dados!$E$3:$E$12)*(ROUNDDOWN(F5/2,0))+LOOKUP(I2,[1]Dados!$C$3:$D$12,[1]Dados!$F$3:$F$12)*(ROUNDDOWN((F5-1)/2,0))</f>
        <v>#N/A</v>
      </c>
      <c r="O2" s="18" t="s">
        <v>12</v>
      </c>
      <c r="P2" s="19"/>
      <c r="T2" s="11" t="s">
        <v>8</v>
      </c>
      <c r="U2" s="8" t="s">
        <v>9</v>
      </c>
      <c r="V2" s="12" t="s">
        <v>10</v>
      </c>
      <c r="W2" s="13" t="s">
        <v>11</v>
      </c>
      <c r="X2" s="14" t="e">
        <f>VLOOKUP(U1,[1]Pokemon!$A$1:$I$874,3,FALSE)+IF(U3="Sim",20,0)</f>
        <v>#N/A</v>
      </c>
      <c r="Y2" s="15">
        <v>0</v>
      </c>
      <c r="Z2" s="8" t="e">
        <f>IF($B$5="Vigoroso",ROUNDUP((AC2+Y2)*1.2,0),AC2+Y2)</f>
        <v>#N/A</v>
      </c>
      <c r="AA2" s="16">
        <v>0</v>
      </c>
      <c r="AB2" s="17"/>
      <c r="AC2" s="9" t="e">
        <f>X2+LOOKUP(X2,[1]Dados!$C$3:$D$12,[1]Dados!$E$3:$E$12)*(ROUNDDOWN(U5/2,0))+LOOKUP(X2,[1]Dados!$C$3:$D$12,[1]Dados!$F$3:$F$12)*(ROUNDDOWN((U5-1)/2,0))</f>
        <v>#N/A</v>
      </c>
      <c r="AD2" s="18" t="s">
        <v>12</v>
      </c>
      <c r="AE2" s="19"/>
    </row>
    <row r="3" spans="1:31" x14ac:dyDescent="0.3">
      <c r="A3" s="10" t="s">
        <v>13</v>
      </c>
      <c r="B3" s="51" t="s">
        <v>51</v>
      </c>
      <c r="C3" s="52"/>
      <c r="E3" s="11" t="s">
        <v>14</v>
      </c>
      <c r="F3" s="8" t="s">
        <v>15</v>
      </c>
      <c r="G3" s="20"/>
      <c r="H3" s="13" t="s">
        <v>16</v>
      </c>
      <c r="I3" s="21">
        <f>20+IF(F3="Sim",10,0)</f>
        <v>20</v>
      </c>
      <c r="J3" s="22">
        <v>0</v>
      </c>
      <c r="K3" s="8">
        <f>18+(F5*2)+IF(F3="Sim",10,0)+J3</f>
        <v>20</v>
      </c>
      <c r="L3" s="16">
        <v>0</v>
      </c>
      <c r="M3" s="17"/>
      <c r="N3" s="9"/>
      <c r="O3" s="18" t="s">
        <v>17</v>
      </c>
      <c r="P3" s="19"/>
      <c r="T3" s="11" t="s">
        <v>14</v>
      </c>
      <c r="U3" s="8" t="s">
        <v>15</v>
      </c>
      <c r="V3" s="20"/>
      <c r="W3" s="13" t="s">
        <v>16</v>
      </c>
      <c r="X3" s="21">
        <f>20+IF(U3="Sim",10,0)</f>
        <v>20</v>
      </c>
      <c r="Y3" s="22">
        <v>0</v>
      </c>
      <c r="Z3" s="8">
        <f>18+(U5*2)+IF(U3="Sim",10,0)+Y3</f>
        <v>20</v>
      </c>
      <c r="AA3" s="16">
        <v>0</v>
      </c>
      <c r="AB3" s="17"/>
      <c r="AC3" s="9"/>
      <c r="AD3" s="18" t="s">
        <v>17</v>
      </c>
      <c r="AE3" s="19"/>
    </row>
    <row r="4" spans="1:31" x14ac:dyDescent="0.3">
      <c r="A4" s="10" t="s">
        <v>18</v>
      </c>
      <c r="B4" s="51" t="s">
        <v>52</v>
      </c>
      <c r="C4" s="52"/>
      <c r="E4" s="11" t="s">
        <v>19</v>
      </c>
      <c r="F4" s="23" t="e">
        <f>VLOOKUP(F1,[1]Pokemon!$A$1:$I$874,2,FALSE)</f>
        <v>#N/A</v>
      </c>
      <c r="G4" s="20"/>
      <c r="H4" s="13" t="s">
        <v>12</v>
      </c>
      <c r="I4" s="14" t="e">
        <f>VLOOKUP(F1,[1]Pokemon!$A$1:$I$874,4,FALSE)+IF(F3="Sim",1,0)</f>
        <v>#N/A</v>
      </c>
      <c r="J4" s="22">
        <v>1</v>
      </c>
      <c r="K4" s="8" t="e">
        <f>IF(L7="Sim", ROUNDUP((N4+ROUNDDOWN(F7/10,0))*J4*P2,0), ROUNDUP((N4+ROUNDDOWN(F7/10,0))*J4,0))</f>
        <v>#N/A</v>
      </c>
      <c r="L4" s="24" t="s">
        <v>20</v>
      </c>
      <c r="M4" s="17"/>
      <c r="N4" s="9" t="e">
        <f>I4+LOOKUP(I4,[1]Dados!$H$3:$I$12,[1]Dados!$J$3:$J$12)*(ROUNDDOWN(F5/2,0))+LOOKUP(I4,[1]Dados!$H$3:$I$12,[1]Dados!$K$3:$K$12)*(ROUNDDOWN((F5-1)/2,0))</f>
        <v>#N/A</v>
      </c>
      <c r="O4" s="18" t="s">
        <v>21</v>
      </c>
      <c r="P4" s="19"/>
      <c r="T4" s="11" t="s">
        <v>19</v>
      </c>
      <c r="U4" s="23" t="e">
        <f>VLOOKUP(U1,[1]Pokemon!$A$1:$I$874,2,FALSE)</f>
        <v>#N/A</v>
      </c>
      <c r="V4" s="20"/>
      <c r="W4" s="13" t="s">
        <v>12</v>
      </c>
      <c r="X4" s="14" t="e">
        <f>VLOOKUP(U1,[1]Pokemon!$A$1:$I$874,4,FALSE)+IF(U3="Sim",1,0)</f>
        <v>#N/A</v>
      </c>
      <c r="Y4" s="22">
        <v>1</v>
      </c>
      <c r="Z4" s="8" t="e">
        <f>IF(AA7="Sim", ROUNDUP((AC4+ROUNDDOWN(U7/10,0))*Y4*AE2,0), ROUNDUP((AC4+ROUNDDOWN(U7/10,0))*Y4,0))</f>
        <v>#N/A</v>
      </c>
      <c r="AA4" s="24" t="s">
        <v>20</v>
      </c>
      <c r="AB4" s="17"/>
      <c r="AC4" s="9" t="e">
        <f>X4+LOOKUP(X4,[1]Dados!$H$3:$I$12,[1]Dados!$J$3:$J$12)*(ROUNDDOWN(U5/2,0))+LOOKUP(X4,[1]Dados!$H$3:$I$12,[1]Dados!$K$3:$K$12)*(ROUNDDOWN((U5-1)/2,0))</f>
        <v>#N/A</v>
      </c>
      <c r="AD4" s="18" t="s">
        <v>21</v>
      </c>
      <c r="AE4" s="19"/>
    </row>
    <row r="5" spans="1:31" x14ac:dyDescent="0.3">
      <c r="A5" s="10" t="s">
        <v>22</v>
      </c>
      <c r="B5" s="51" t="s">
        <v>184</v>
      </c>
      <c r="C5" s="52"/>
      <c r="E5" s="11" t="s">
        <v>23</v>
      </c>
      <c r="F5" s="25">
        <v>1</v>
      </c>
      <c r="G5" s="20"/>
      <c r="H5" s="13" t="s">
        <v>17</v>
      </c>
      <c r="I5" s="14" t="e">
        <f>VLOOKUP(F1,[1]Pokemon!$A$1:$I$874,5,FALSE)+IF(F3="Sim",1,0)</f>
        <v>#N/A</v>
      </c>
      <c r="J5" s="22">
        <v>1</v>
      </c>
      <c r="K5" s="8" t="e">
        <f>IF(L7="Sim", ROUNDUP((N5+ROUNDDOWN(F7/10,0))*J5*P3,0), ROUNDUP((N5+ROUNDDOWN(F7/10,0))*J5,0))</f>
        <v>#N/A</v>
      </c>
      <c r="L5" s="26" t="e">
        <f>ROUNDDOWN(I8/2,0)</f>
        <v>#N/A</v>
      </c>
      <c r="M5" s="17"/>
      <c r="N5" s="9" t="e">
        <f>I5+LOOKUP(I5,[1]Dados!$H$3:$I$12,[1]Dados!$J$3:$J$12)*(ROUNDDOWN(F5/2,0))+LOOKUP(I5,[1]Dados!$H$3:$I$12,[1]Dados!$K$3:$K$12)*(ROUNDDOWN((F5-1)/2,0))</f>
        <v>#N/A</v>
      </c>
      <c r="O5" s="18" t="s">
        <v>24</v>
      </c>
      <c r="P5" s="19"/>
      <c r="T5" s="11" t="s">
        <v>23</v>
      </c>
      <c r="U5" s="25">
        <v>1</v>
      </c>
      <c r="V5" s="20"/>
      <c r="W5" s="13" t="s">
        <v>17</v>
      </c>
      <c r="X5" s="14" t="e">
        <f>VLOOKUP(U1,[1]Pokemon!$A$1:$I$874,5,FALSE)+IF(U3="Sim",1,0)</f>
        <v>#N/A</v>
      </c>
      <c r="Y5" s="22">
        <v>1</v>
      </c>
      <c r="Z5" s="8" t="e">
        <f>IF(AA7="Sim", ROUNDUP((AC5+ROUNDDOWN(U7/10,0))*Y5*AE3,0), ROUNDUP((AC5+ROUNDDOWN(U7/10,0))*Y5,0))</f>
        <v>#N/A</v>
      </c>
      <c r="AA5" s="26" t="e">
        <f>ROUNDDOWN(X8/2,0)</f>
        <v>#N/A</v>
      </c>
      <c r="AB5" s="17"/>
      <c r="AC5" s="9" t="e">
        <f>X5+LOOKUP(X5,[1]Dados!$H$3:$I$12,[1]Dados!$J$3:$J$12)*(ROUNDDOWN(U5/2,0))+LOOKUP(X5,[1]Dados!$H$3:$I$12,[1]Dados!$K$3:$K$12)*(ROUNDDOWN((U5-1)/2,0))</f>
        <v>#N/A</v>
      </c>
      <c r="AD5" s="18" t="s">
        <v>24</v>
      </c>
      <c r="AE5" s="19"/>
    </row>
    <row r="6" spans="1:31" ht="15" thickBot="1" x14ac:dyDescent="0.35">
      <c r="A6" s="27" t="s">
        <v>25</v>
      </c>
      <c r="B6" s="57" t="s">
        <v>32</v>
      </c>
      <c r="C6" s="58"/>
      <c r="E6" s="11" t="s">
        <v>26</v>
      </c>
      <c r="F6" s="23">
        <v>0</v>
      </c>
      <c r="G6" s="20"/>
      <c r="H6" s="13" t="s">
        <v>21</v>
      </c>
      <c r="I6" s="14" t="e">
        <f>VLOOKUP(F1,[1]Pokemon!$A$1:$I$874,6,FALSE)+IF(F3="Sim",1,0)</f>
        <v>#N/A</v>
      </c>
      <c r="J6" s="22">
        <v>1</v>
      </c>
      <c r="K6" s="8" t="e">
        <f>IF(L7="Sim", ROUNDUP((N6+ROUNDDOWN(F7/10,0))*J6*P4,0), ROUNDUP((N6+ROUNDDOWN(F7/10,0))*J6,0))</f>
        <v>#N/A</v>
      </c>
      <c r="L6" s="24" t="s">
        <v>27</v>
      </c>
      <c r="M6" s="17"/>
      <c r="N6" s="9" t="e">
        <f>I6+LOOKUP(I6,[1]Dados!$H$3:$I$12,[1]Dados!$J$3:$J$12)*(ROUNDDOWN(F5/2,0))+LOOKUP(I6,[1]Dados!$H$3:$I$12,[1]Dados!$K$3:$K$12)*(ROUNDDOWN((F5-1)/2,0))</f>
        <v>#N/A</v>
      </c>
      <c r="O6" s="28" t="s">
        <v>28</v>
      </c>
      <c r="P6" s="29"/>
      <c r="T6" s="11" t="s">
        <v>26</v>
      </c>
      <c r="U6" s="23">
        <v>0</v>
      </c>
      <c r="V6" s="20"/>
      <c r="W6" s="13" t="s">
        <v>21</v>
      </c>
      <c r="X6" s="14" t="e">
        <f>VLOOKUP(U1,[1]Pokemon!$A$1:$I$874,6,FALSE)+IF(U3="Sim",1,0)</f>
        <v>#N/A</v>
      </c>
      <c r="Y6" s="22">
        <v>1</v>
      </c>
      <c r="Z6" s="8" t="e">
        <f>IF(AA7="Sim", ROUNDUP((AC6+ROUNDDOWN(U7/10,0))*Y6*AE4,0), ROUNDUP((AC6+ROUNDDOWN(U7/10,0))*Y6,0))</f>
        <v>#N/A</v>
      </c>
      <c r="AA6" s="24" t="s">
        <v>27</v>
      </c>
      <c r="AB6" s="17"/>
      <c r="AC6" s="9" t="e">
        <f>X6+LOOKUP(X6,[1]Dados!$H$3:$I$12,[1]Dados!$J$3:$J$12)*(ROUNDDOWN(U5/2,0))+LOOKUP(X6,[1]Dados!$H$3:$I$12,[1]Dados!$K$3:$K$12)*(ROUNDDOWN((U5-1)/2,0))</f>
        <v>#N/A</v>
      </c>
      <c r="AD6" s="28" t="s">
        <v>28</v>
      </c>
      <c r="AE6" s="29"/>
    </row>
    <row r="7" spans="1:31" ht="15" thickBot="1" x14ac:dyDescent="0.35">
      <c r="A7" s="59"/>
      <c r="B7" s="59"/>
      <c r="C7" s="59"/>
      <c r="E7" s="11" t="s">
        <v>29</v>
      </c>
      <c r="F7" s="30">
        <v>0</v>
      </c>
      <c r="G7" s="20"/>
      <c r="H7" s="13" t="s">
        <v>24</v>
      </c>
      <c r="I7" s="14" t="e">
        <f>VLOOKUP(F1,[1]Pokemon!$A$1:$I$874,7,FALSE)+IF(F3="Sim",1,0)</f>
        <v>#N/A</v>
      </c>
      <c r="J7" s="22">
        <v>1</v>
      </c>
      <c r="K7" s="8" t="e">
        <f>IF(L7="Sim", ROUNDUP((N7+ROUNDDOWN(F7/10,0))*J7*P5,0), ROUNDUP((N7+ROUNDDOWN(F7/10,0))*J7,0))</f>
        <v>#N/A</v>
      </c>
      <c r="L7" s="26" t="s">
        <v>15</v>
      </c>
      <c r="M7" s="17"/>
      <c r="N7" s="9" t="e">
        <f>I7+LOOKUP(I7,[1]Dados!$H$3:$I$12,[1]Dados!$J$3:$J$12)*(ROUNDDOWN(F5/2,0))+LOOKUP(I7,[1]Dados!$H$3:$I$12,[1]Dados!$K$3:$K$12)*(ROUNDDOWN((F5-1)/2,0))</f>
        <v>#N/A</v>
      </c>
      <c r="T7" s="11" t="s">
        <v>29</v>
      </c>
      <c r="U7" s="30">
        <v>0</v>
      </c>
      <c r="V7" s="20"/>
      <c r="W7" s="13" t="s">
        <v>24</v>
      </c>
      <c r="X7" s="14" t="e">
        <f>VLOOKUP(U1,[1]Pokemon!$A$1:$I$874,7,FALSE)+IF(U3="Sim",1,0)</f>
        <v>#N/A</v>
      </c>
      <c r="Y7" s="22">
        <v>1</v>
      </c>
      <c r="Z7" s="8" t="e">
        <f>IF(AA7="Sim", ROUNDUP((AC7+ROUNDDOWN(U7/10,0))*Y7*AE5,0), ROUNDUP((AC7+ROUNDDOWN(U7/10,0))*Y7,0))</f>
        <v>#N/A</v>
      </c>
      <c r="AA7" s="26" t="s">
        <v>15</v>
      </c>
      <c r="AB7" s="17"/>
      <c r="AC7" s="9" t="e">
        <f>X7+LOOKUP(X7,[1]Dados!$H$3:$I$12,[1]Dados!$J$3:$J$12)*(ROUNDDOWN(U5/2,0))+LOOKUP(X7,[1]Dados!$H$3:$I$12,[1]Dados!$K$3:$K$12)*(ROUNDDOWN((U5-1)/2,0))</f>
        <v>#N/A</v>
      </c>
    </row>
    <row r="8" spans="1:31" x14ac:dyDescent="0.3">
      <c r="A8" s="1" t="s">
        <v>30</v>
      </c>
      <c r="B8" s="55">
        <v>4</v>
      </c>
      <c r="C8" s="56"/>
      <c r="E8" s="11" t="s">
        <v>31</v>
      </c>
      <c r="F8" s="23" t="s">
        <v>32</v>
      </c>
      <c r="G8" s="20"/>
      <c r="H8" s="13" t="s">
        <v>28</v>
      </c>
      <c r="I8" s="14" t="e">
        <f>VLOOKUP(F1,[1]Pokemon!$A$1:$I$874,8,FALSE)+IF(F3="Sim",1,0)</f>
        <v>#N/A</v>
      </c>
      <c r="J8" s="22">
        <f>1*IF(F9="Paralisado",0.5,1)</f>
        <v>1</v>
      </c>
      <c r="K8" s="8" t="e">
        <f>IF(L7="Sim", ROUNDUP(N8*J8*P6,0), ROUNDUP(N8*J8,0))</f>
        <v>#N/A</v>
      </c>
      <c r="L8" s="31" t="e">
        <f>IF(L7 = "Sim", ROUNDUP((K8/(10*P6)), 0)&amp;"d6", ROUNDUP((K8/10), 0)&amp;"d6")</f>
        <v>#N/A</v>
      </c>
      <c r="M8" s="17"/>
      <c r="N8" s="9" t="e">
        <f>I8+LOOKUP(I8,[1]Dados!$H$3:$I$12,[1]Dados!$J$3:$J$12)*(ROUNDDOWN(F5/2,0))+LOOKUP(I8,[1]Dados!$H$3:$I$12,[1]Dados!$K$3:$K$12)*(ROUNDDOWN((F5-1)/2,0))</f>
        <v>#N/A</v>
      </c>
      <c r="T8" s="11" t="s">
        <v>31</v>
      </c>
      <c r="U8" s="23" t="s">
        <v>32</v>
      </c>
      <c r="V8" s="20"/>
      <c r="W8" s="13" t="s">
        <v>28</v>
      </c>
      <c r="X8" s="14" t="e">
        <f>VLOOKUP(U1,[1]Pokemon!$A$1:$I$874,8,FALSE)+IF(U3="Sim",1,0)</f>
        <v>#N/A</v>
      </c>
      <c r="Y8" s="22">
        <f>1*IF(U9="Paralisado",0.5,1)</f>
        <v>1</v>
      </c>
      <c r="Z8" s="8" t="e">
        <f>IF(AA7="Sim", ROUNDUP(AC8*Y8*AE6,0), ROUNDUP(AC8*Y8,0))</f>
        <v>#N/A</v>
      </c>
      <c r="AA8" s="31" t="e">
        <f>IF(AA7 = "Sim", ROUNDUP((Z8/(10*AE6)), 0)&amp;"d6", ROUNDUP((Z8/10), 0)&amp;"d6")</f>
        <v>#N/A</v>
      </c>
      <c r="AB8" s="17"/>
      <c r="AC8" s="9" t="e">
        <f>X8+LOOKUP(X8,[1]Dados!$H$3:$I$12,[1]Dados!$J$3:$J$12)*(ROUNDDOWN(U5/2,0))+LOOKUP(X8,[1]Dados!$H$3:$I$12,[1]Dados!$K$3:$K$12)*(ROUNDDOWN((U5-1)/2,0))</f>
        <v>#N/A</v>
      </c>
    </row>
    <row r="9" spans="1:31" x14ac:dyDescent="0.3">
      <c r="A9" s="10" t="s">
        <v>33</v>
      </c>
      <c r="B9" s="51">
        <v>3</v>
      </c>
      <c r="C9" s="52"/>
      <c r="E9" s="11" t="s">
        <v>34</v>
      </c>
      <c r="F9" s="23"/>
      <c r="G9" s="20"/>
      <c r="H9" s="13" t="s">
        <v>35</v>
      </c>
      <c r="I9" s="14" t="e">
        <f>VLOOKUP(F1,[1]Pokemon!$A$1:$I$874,9,FALSE)</f>
        <v>#N/A</v>
      </c>
      <c r="J9" s="13" t="s">
        <v>36</v>
      </c>
      <c r="K9" s="13"/>
      <c r="L9" s="32" t="e">
        <f>((F5+1)*I9/2)-F6</f>
        <v>#N/A</v>
      </c>
      <c r="M9" s="17"/>
      <c r="N9" s="33"/>
      <c r="T9" s="11" t="s">
        <v>34</v>
      </c>
      <c r="U9" s="23"/>
      <c r="V9" s="20"/>
      <c r="W9" s="13" t="s">
        <v>35</v>
      </c>
      <c r="X9" s="14" t="e">
        <f>VLOOKUP(U1,[1]Pokemon!$A$1:$I$874,9,FALSE)</f>
        <v>#N/A</v>
      </c>
      <c r="Y9" s="13" t="s">
        <v>36</v>
      </c>
      <c r="Z9" s="13"/>
      <c r="AA9" s="32" t="e">
        <f>((U5+1)*X9/2)-U6</f>
        <v>#N/A</v>
      </c>
      <c r="AB9" s="17"/>
      <c r="AC9" s="33"/>
    </row>
    <row r="10" spans="1:31" x14ac:dyDescent="0.3">
      <c r="A10" s="10" t="s">
        <v>37</v>
      </c>
      <c r="B10" s="51">
        <v>5</v>
      </c>
      <c r="C10" s="52"/>
      <c r="E10" s="34"/>
      <c r="F10" s="8"/>
      <c r="G10" s="17"/>
      <c r="H10" s="8"/>
      <c r="I10" s="8"/>
      <c r="J10" s="8"/>
      <c r="K10" s="8"/>
      <c r="L10" s="26"/>
      <c r="M10" s="17"/>
      <c r="N10" s="35"/>
      <c r="T10" s="34"/>
      <c r="U10" s="8"/>
      <c r="V10" s="17"/>
      <c r="W10" s="8"/>
      <c r="X10" s="8"/>
      <c r="Y10" s="8"/>
      <c r="Z10" s="8"/>
      <c r="AA10" s="26"/>
      <c r="AB10" s="17"/>
      <c r="AC10" s="35"/>
    </row>
    <row r="11" spans="1:31" x14ac:dyDescent="0.3">
      <c r="A11" s="10" t="s">
        <v>38</v>
      </c>
      <c r="B11" s="51">
        <v>3</v>
      </c>
      <c r="C11" s="52"/>
      <c r="E11" s="60" t="s">
        <v>39</v>
      </c>
      <c r="F11" s="61"/>
      <c r="G11" s="13" t="s">
        <v>40</v>
      </c>
      <c r="H11" s="13"/>
      <c r="I11" s="13"/>
      <c r="J11" s="13" t="s">
        <v>16</v>
      </c>
      <c r="K11" s="13" t="s">
        <v>41</v>
      </c>
      <c r="L11" s="24" t="s">
        <v>42</v>
      </c>
      <c r="M11" s="17"/>
      <c r="N11" s="35"/>
      <c r="T11" s="60" t="s">
        <v>39</v>
      </c>
      <c r="U11" s="61"/>
      <c r="V11" s="13" t="s">
        <v>40</v>
      </c>
      <c r="W11" s="13"/>
      <c r="X11" s="13"/>
      <c r="Y11" s="13" t="s">
        <v>16</v>
      </c>
      <c r="Z11" s="13" t="s">
        <v>41</v>
      </c>
      <c r="AA11" s="24" t="s">
        <v>42</v>
      </c>
      <c r="AB11" s="17"/>
      <c r="AC11" s="35"/>
    </row>
    <row r="12" spans="1:31" x14ac:dyDescent="0.3">
      <c r="A12" s="10" t="s">
        <v>43</v>
      </c>
      <c r="B12" s="51">
        <v>3</v>
      </c>
      <c r="C12" s="52"/>
      <c r="E12" s="62"/>
      <c r="F12" s="63"/>
      <c r="G12" s="63" t="e">
        <f>VLOOKUP(E12,[2]Golpes!$A$1:$G$653,2,FALSE)&amp;"/"&amp;VLOOKUP(E12,[2]Golpes!$A$1:$G$653,3,FALSE)</f>
        <v>#N/A</v>
      </c>
      <c r="H12" s="63"/>
      <c r="I12" s="63"/>
      <c r="J12" s="25" t="e">
        <f>VLOOKUP(E12,[2]Golpes!$A$1:$G$653,4,FALSE)</f>
        <v>#N/A</v>
      </c>
      <c r="K12" s="25" t="e">
        <f>VLOOKUP(E12,[2]Golpes!$A$1:$G$653,5,FALSE)</f>
        <v>#N/A</v>
      </c>
      <c r="L12" s="36" t="e">
        <f>VLOOKUP(E12,[2]Golpes!$A$1:$G$653,6,FALSE)</f>
        <v>#N/A</v>
      </c>
      <c r="M12" s="17" t="e">
        <f>VLOOKUP(E12,[2]Golpes!$A$1:$G$653,7,FALSE)</f>
        <v>#N/A</v>
      </c>
      <c r="N12" s="35"/>
      <c r="T12" s="62"/>
      <c r="U12" s="63"/>
      <c r="V12" s="63" t="e">
        <f>VLOOKUP(T12,[2]Golpes!$A$1:$G$653,2,FALSE)&amp;"/"&amp;VLOOKUP(T12,[2]Golpes!$A$1:$G$653,3,FALSE)</f>
        <v>#N/A</v>
      </c>
      <c r="W12" s="63"/>
      <c r="X12" s="63"/>
      <c r="Y12" s="25" t="e">
        <f>VLOOKUP(T12,[2]Golpes!$A$1:$G$653,4,FALSE)</f>
        <v>#N/A</v>
      </c>
      <c r="Z12" s="25" t="e">
        <f>VLOOKUP(T12,[2]Golpes!$A$1:$G$653,5,FALSE)</f>
        <v>#N/A</v>
      </c>
      <c r="AA12" s="36" t="e">
        <f>VLOOKUP(T12,[2]Golpes!$A$1:$G$653,6,FALSE)</f>
        <v>#N/A</v>
      </c>
      <c r="AB12" s="17" t="e">
        <f>VLOOKUP(T12,[2]Golpes!$A$1:$G$653,7,FALSE)</f>
        <v>#N/A</v>
      </c>
      <c r="AC12" s="35"/>
    </row>
    <row r="13" spans="1:31" ht="15" thickBot="1" x14ac:dyDescent="0.35">
      <c r="A13" s="27" t="s">
        <v>44</v>
      </c>
      <c r="B13" s="57">
        <v>4</v>
      </c>
      <c r="C13" s="58"/>
      <c r="E13" s="62"/>
      <c r="F13" s="63"/>
      <c r="G13" s="63" t="e">
        <f>VLOOKUP(E13,[2]Golpes!$A$1:$G$653,2,FALSE)&amp;"/"&amp;VLOOKUP(E13,[2]Golpes!$A$1:$G$653,3,FALSE)</f>
        <v>#N/A</v>
      </c>
      <c r="H13" s="63"/>
      <c r="I13" s="63"/>
      <c r="J13" s="25" t="e">
        <f>VLOOKUP(E13,[2]Golpes!$A$1:$G$653,4,FALSE)</f>
        <v>#N/A</v>
      </c>
      <c r="K13" s="25" t="e">
        <f>VLOOKUP(E13,[2]Golpes!$A$1:$G$653,5,FALSE)</f>
        <v>#N/A</v>
      </c>
      <c r="L13" s="36" t="e">
        <f>VLOOKUP(E13,[2]Golpes!$A$1:$G$653,6,FALSE)</f>
        <v>#N/A</v>
      </c>
      <c r="M13" s="17" t="e">
        <f>VLOOKUP(E13,[2]Golpes!$A$1:$G$653,7,FALSE)</f>
        <v>#N/A</v>
      </c>
      <c r="N13" s="35"/>
      <c r="T13" s="62"/>
      <c r="U13" s="63"/>
      <c r="V13" s="63" t="e">
        <f>VLOOKUP(T13,[2]Golpes!$A$1:$G$653,2,FALSE)&amp;"/"&amp;VLOOKUP(T13,[2]Golpes!$A$1:$G$653,3,FALSE)</f>
        <v>#N/A</v>
      </c>
      <c r="W13" s="63"/>
      <c r="X13" s="63"/>
      <c r="Y13" s="25" t="e">
        <f>VLOOKUP(T13,[2]Golpes!$A$1:$G$653,4,FALSE)</f>
        <v>#N/A</v>
      </c>
      <c r="Z13" s="25" t="e">
        <f>VLOOKUP(T13,[2]Golpes!$A$1:$G$653,5,FALSE)</f>
        <v>#N/A</v>
      </c>
      <c r="AA13" s="36" t="e">
        <f>VLOOKUP(T13,[2]Golpes!$A$1:$G$653,6,FALSE)</f>
        <v>#N/A</v>
      </c>
      <c r="AB13" s="17" t="e">
        <f>VLOOKUP(T13,[2]Golpes!$A$1:$G$653,7,FALSE)</f>
        <v>#N/A</v>
      </c>
      <c r="AC13" s="35"/>
    </row>
    <row r="14" spans="1:31" x14ac:dyDescent="0.3">
      <c r="A14" s="37" t="s">
        <v>45</v>
      </c>
      <c r="B14" s="38">
        <v>50</v>
      </c>
      <c r="C14" s="39">
        <f>B10*10</f>
        <v>50</v>
      </c>
      <c r="E14" s="62"/>
      <c r="F14" s="63"/>
      <c r="G14" s="63" t="e">
        <f>VLOOKUP(E14,[2]Golpes!$A$1:$G$653,2,FALSE)&amp;"/"&amp;VLOOKUP(E14,[2]Golpes!$A$1:$G$653,3,FALSE)</f>
        <v>#N/A</v>
      </c>
      <c r="H14" s="63"/>
      <c r="I14" s="63"/>
      <c r="J14" s="25" t="e">
        <f>VLOOKUP(E14,[2]Golpes!$A$1:$G$653,4,FALSE)</f>
        <v>#N/A</v>
      </c>
      <c r="K14" s="25" t="e">
        <f>VLOOKUP(E14,[2]Golpes!$A$1:$G$653,5,FALSE)</f>
        <v>#N/A</v>
      </c>
      <c r="L14" s="36" t="e">
        <f>VLOOKUP(E14,[2]Golpes!$A$1:$G$653,6,FALSE)</f>
        <v>#N/A</v>
      </c>
      <c r="M14" s="17" t="e">
        <f>VLOOKUP(E14,[2]Golpes!$A$1:$G$653,7,FALSE)</f>
        <v>#N/A</v>
      </c>
      <c r="N14" s="35"/>
      <c r="T14" s="62"/>
      <c r="U14" s="63"/>
      <c r="V14" s="63" t="e">
        <f>VLOOKUP(T14,[2]Golpes!$A$1:$G$653,2,FALSE)&amp;"/"&amp;VLOOKUP(T14,[2]Golpes!$A$1:$G$653,3,FALSE)</f>
        <v>#N/A</v>
      </c>
      <c r="W14" s="63"/>
      <c r="X14" s="63"/>
      <c r="Y14" s="25" t="e">
        <f>VLOOKUP(T14,[2]Golpes!$A$1:$G$653,4,FALSE)</f>
        <v>#N/A</v>
      </c>
      <c r="Z14" s="25" t="e">
        <f>VLOOKUP(T14,[2]Golpes!$A$1:$G$653,5,FALSE)</f>
        <v>#N/A</v>
      </c>
      <c r="AA14" s="36" t="e">
        <f>VLOOKUP(T14,[2]Golpes!$A$1:$G$653,6,FALSE)</f>
        <v>#N/A</v>
      </c>
      <c r="AB14" s="17" t="e">
        <f>VLOOKUP(T14,[2]Golpes!$A$1:$G$653,7,FALSE)</f>
        <v>#N/A</v>
      </c>
      <c r="AC14" s="35"/>
    </row>
    <row r="15" spans="1:31" ht="15" thickBot="1" x14ac:dyDescent="0.35">
      <c r="A15" s="40" t="s">
        <v>46</v>
      </c>
      <c r="B15" s="41">
        <v>50</v>
      </c>
      <c r="C15" s="42">
        <f>B14</f>
        <v>50</v>
      </c>
      <c r="E15" s="67"/>
      <c r="F15" s="68"/>
      <c r="G15" s="68" t="e">
        <f>VLOOKUP(E15,[2]Golpes!$A$1:$G$653,2,FALSE)&amp;"/"&amp;VLOOKUP(E15,[2]Golpes!$A$1:$G$653,3,FALSE)</f>
        <v>#N/A</v>
      </c>
      <c r="H15" s="68"/>
      <c r="I15" s="68"/>
      <c r="J15" s="43" t="e">
        <f>VLOOKUP(E15,[2]Golpes!$A$1:$G$653,4,FALSE)</f>
        <v>#N/A</v>
      </c>
      <c r="K15" s="43" t="e">
        <f>VLOOKUP(E15,[2]Golpes!$A$1:$G$653,5,FALSE)</f>
        <v>#N/A</v>
      </c>
      <c r="L15" s="44" t="e">
        <f>VLOOKUP(E15,[2]Golpes!$A$1:$G$653,6,FALSE)</f>
        <v>#N/A</v>
      </c>
      <c r="M15" s="17" t="e">
        <f>VLOOKUP(E15,[2]Golpes!$A$1:$G$653,7,FALSE)</f>
        <v>#N/A</v>
      </c>
      <c r="N15" s="35"/>
      <c r="T15" s="67"/>
      <c r="U15" s="68"/>
      <c r="V15" s="68" t="e">
        <f>VLOOKUP(T15,[2]Golpes!$A$1:$G$653,2,FALSE)&amp;"/"&amp;VLOOKUP(T15,[2]Golpes!$A$1:$G$653,3,FALSE)</f>
        <v>#N/A</v>
      </c>
      <c r="W15" s="68"/>
      <c r="X15" s="68"/>
      <c r="Y15" s="43" t="e">
        <f>VLOOKUP(T15,[2]Golpes!$A$1:$G$653,4,FALSE)</f>
        <v>#N/A</v>
      </c>
      <c r="Z15" s="43" t="e">
        <f>VLOOKUP(T15,[2]Golpes!$A$1:$G$653,5,FALSE)</f>
        <v>#N/A</v>
      </c>
      <c r="AA15" s="44" t="e">
        <f>VLOOKUP(T15,[2]Golpes!$A$1:$G$653,6,FALSE)</f>
        <v>#N/A</v>
      </c>
      <c r="AB15" s="17" t="e">
        <f>VLOOKUP(T15,[2]Golpes!$A$1:$G$653,7,FALSE)</f>
        <v>#N/A</v>
      </c>
      <c r="AC15" s="35"/>
    </row>
    <row r="16" spans="1:31" ht="15" thickBot="1" x14ac:dyDescent="0.35">
      <c r="A16" s="59">
        <v>3</v>
      </c>
      <c r="B16" s="59"/>
      <c r="C16" s="59"/>
    </row>
    <row r="17" spans="1:31" ht="15" thickBot="1" x14ac:dyDescent="0.35">
      <c r="A17" s="64" t="s">
        <v>47</v>
      </c>
      <c r="B17" s="65"/>
      <c r="C17" s="66"/>
      <c r="E17" s="2" t="s">
        <v>1</v>
      </c>
      <c r="F17" s="3"/>
      <c r="G17" s="4"/>
      <c r="H17" s="5"/>
      <c r="I17" s="6" t="s">
        <v>2</v>
      </c>
      <c r="J17" s="6" t="s">
        <v>3</v>
      </c>
      <c r="K17" s="6" t="s">
        <v>4</v>
      </c>
      <c r="L17" s="7" t="s">
        <v>5</v>
      </c>
      <c r="M17" s="8"/>
      <c r="N17" s="9"/>
      <c r="O17" s="53" t="s">
        <v>6</v>
      </c>
      <c r="P17" s="54"/>
      <c r="T17" s="2" t="s">
        <v>1</v>
      </c>
      <c r="U17" s="3"/>
      <c r="V17" s="4"/>
      <c r="W17" s="5"/>
      <c r="X17" s="6" t="s">
        <v>2</v>
      </c>
      <c r="Y17" s="6" t="s">
        <v>3</v>
      </c>
      <c r="Z17" s="6" t="s">
        <v>4</v>
      </c>
      <c r="AA17" s="7" t="s">
        <v>5</v>
      </c>
      <c r="AB17" s="8"/>
      <c r="AC17" s="9"/>
      <c r="AD17" s="53" t="s">
        <v>6</v>
      </c>
      <c r="AE17" s="54"/>
    </row>
    <row r="18" spans="1:31" x14ac:dyDescent="0.3">
      <c r="A18" s="71"/>
      <c r="B18" s="49"/>
      <c r="C18" s="72"/>
      <c r="E18" s="11" t="s">
        <v>8</v>
      </c>
      <c r="F18" s="8" t="s">
        <v>9</v>
      </c>
      <c r="G18" s="12" t="s">
        <v>10</v>
      </c>
      <c r="H18" s="13" t="s">
        <v>11</v>
      </c>
      <c r="I18" s="14" t="e">
        <f>VLOOKUP(F17,[1]Pokemon!$A$1:$I$874,3,FALSE)+IF(F19="Sim",20,0)</f>
        <v>#N/A</v>
      </c>
      <c r="J18" s="15">
        <v>0</v>
      </c>
      <c r="K18" s="8" t="e">
        <f>IF($B$5="Vigoroso",ROUNDUP((N18+J18)*1.2,0),N18+J18)</f>
        <v>#N/A</v>
      </c>
      <c r="L18" s="16">
        <v>0</v>
      </c>
      <c r="M18" s="17"/>
      <c r="N18" s="9" t="e">
        <f>I18+LOOKUP(I18,[1]Dados!$C$3:$D$12,[1]Dados!$E$3:$E$12)*(ROUNDDOWN(F21/2,0))+LOOKUP(I18,[1]Dados!$C$3:$D$12,[1]Dados!$F$3:$F$12)*(ROUNDDOWN((F21-1)/2,0))</f>
        <v>#N/A</v>
      </c>
      <c r="O18" s="18" t="s">
        <v>12</v>
      </c>
      <c r="P18" s="19"/>
      <c r="T18" s="11" t="s">
        <v>8</v>
      </c>
      <c r="U18" s="8" t="s">
        <v>9</v>
      </c>
      <c r="V18" s="12" t="s">
        <v>10</v>
      </c>
      <c r="W18" s="13" t="s">
        <v>11</v>
      </c>
      <c r="X18" s="14" t="e">
        <f>VLOOKUP(U17,[1]Pokemon!$A$1:$I$874,3,FALSE)+IF(U19="Sim",20,0)</f>
        <v>#N/A</v>
      </c>
      <c r="Y18" s="15">
        <v>0</v>
      </c>
      <c r="Z18" s="8" t="e">
        <f>IF($B$5="Vigoroso",ROUNDUP((AC18+Y18)*1.2,0),AC18+Y18)</f>
        <v>#N/A</v>
      </c>
      <c r="AA18" s="16">
        <v>0</v>
      </c>
      <c r="AB18" s="17"/>
      <c r="AC18" s="9" t="e">
        <f>X18+LOOKUP(X18,[1]Dados!$C$3:$D$12,[1]Dados!$E$3:$E$12)*(ROUNDDOWN(U21/2,0))+LOOKUP(X18,[1]Dados!$C$3:$D$12,[1]Dados!$F$3:$F$12)*(ROUNDDOWN((U21-1)/2,0))</f>
        <v>#N/A</v>
      </c>
      <c r="AD18" s="18" t="s">
        <v>12</v>
      </c>
      <c r="AE18" s="19"/>
    </row>
    <row r="19" spans="1:31" x14ac:dyDescent="0.3">
      <c r="A19" s="71"/>
      <c r="B19" s="49"/>
      <c r="C19" s="72"/>
      <c r="E19" s="11" t="s">
        <v>14</v>
      </c>
      <c r="F19" s="8" t="s">
        <v>15</v>
      </c>
      <c r="G19" s="20"/>
      <c r="H19" s="13" t="s">
        <v>16</v>
      </c>
      <c r="I19" s="21">
        <f>20+IF(F19="Sim",10,0)</f>
        <v>20</v>
      </c>
      <c r="J19" s="22">
        <v>0</v>
      </c>
      <c r="K19" s="8">
        <f>18+(F21*2)+IF(F19="Sim",10,0)+J19</f>
        <v>20</v>
      </c>
      <c r="L19" s="16">
        <v>0</v>
      </c>
      <c r="M19" s="17"/>
      <c r="N19" s="9"/>
      <c r="O19" s="18" t="s">
        <v>17</v>
      </c>
      <c r="P19" s="19"/>
      <c r="T19" s="11" t="s">
        <v>14</v>
      </c>
      <c r="U19" s="8" t="s">
        <v>15</v>
      </c>
      <c r="V19" s="20"/>
      <c r="W19" s="13" t="s">
        <v>16</v>
      </c>
      <c r="X19" s="21">
        <f>20+IF(U19="Sim",10,0)</f>
        <v>20</v>
      </c>
      <c r="Y19" s="22">
        <v>0</v>
      </c>
      <c r="Z19" s="8">
        <f>18+(U21*2)+IF(U19="Sim",10,0)+Y19</f>
        <v>20</v>
      </c>
      <c r="AA19" s="16">
        <v>0</v>
      </c>
      <c r="AB19" s="17"/>
      <c r="AC19" s="9"/>
      <c r="AD19" s="18" t="s">
        <v>17</v>
      </c>
      <c r="AE19" s="19"/>
    </row>
    <row r="20" spans="1:31" x14ac:dyDescent="0.3">
      <c r="A20" s="71"/>
      <c r="B20" s="49"/>
      <c r="C20" s="72"/>
      <c r="E20" s="11" t="s">
        <v>19</v>
      </c>
      <c r="F20" s="23" t="e">
        <f>VLOOKUP(F17,[1]Pokemon!$A$1:$I$874,2,FALSE)</f>
        <v>#N/A</v>
      </c>
      <c r="G20" s="20"/>
      <c r="H20" s="13" t="s">
        <v>12</v>
      </c>
      <c r="I20" s="14" t="e">
        <f>VLOOKUP(F17,[1]Pokemon!$A$1:$I$874,4,FALSE)+IF(F19="Sim",1,0)</f>
        <v>#N/A</v>
      </c>
      <c r="J20" s="22">
        <v>1</v>
      </c>
      <c r="K20" s="8" t="e">
        <f>IF(L23="Sim", ROUNDUP((N20+ROUNDDOWN(F23/10,0))*J20*P18,0), ROUNDUP((N20+ROUNDDOWN(F23/10,0))*J20,0))</f>
        <v>#N/A</v>
      </c>
      <c r="L20" s="24" t="s">
        <v>20</v>
      </c>
      <c r="M20" s="17"/>
      <c r="N20" s="9" t="e">
        <f>I20+LOOKUP(I20,[1]Dados!$H$3:$I$12,[1]Dados!$J$3:$J$12)*(ROUNDDOWN(F21/2,0))+LOOKUP(I20,[1]Dados!$H$3:$I$12,[1]Dados!$K$3:$K$12)*(ROUNDDOWN((F21-1)/2,0))</f>
        <v>#N/A</v>
      </c>
      <c r="O20" s="18" t="s">
        <v>21</v>
      </c>
      <c r="P20" s="19"/>
      <c r="T20" s="11" t="s">
        <v>19</v>
      </c>
      <c r="U20" s="23" t="e">
        <f>VLOOKUP(U17,[1]Pokemon!$A$1:$I$874,2,FALSE)</f>
        <v>#N/A</v>
      </c>
      <c r="V20" s="20"/>
      <c r="W20" s="13" t="s">
        <v>12</v>
      </c>
      <c r="X20" s="14" t="e">
        <f>VLOOKUP(U17,[1]Pokemon!$A$1:$I$874,4,FALSE)+IF(U19="Sim",1,0)</f>
        <v>#N/A</v>
      </c>
      <c r="Y20" s="22">
        <v>1</v>
      </c>
      <c r="Z20" s="8" t="e">
        <f>IF(AA23="Sim", ROUNDUP((AC20+ROUNDDOWN(U23/10,0))*Y20*AE18,0), ROUNDUP((AC20+ROUNDDOWN(U23/10,0))*Y20,0))</f>
        <v>#N/A</v>
      </c>
      <c r="AA20" s="24" t="s">
        <v>20</v>
      </c>
      <c r="AB20" s="17"/>
      <c r="AC20" s="9" t="e">
        <f>X20+LOOKUP(X20,[1]Dados!$H$3:$I$12,[1]Dados!$J$3:$J$12)*(ROUNDDOWN(U21/2,0))+LOOKUP(X20,[1]Dados!$H$3:$I$12,[1]Dados!$K$3:$K$12)*(ROUNDDOWN((U21-1)/2,0))</f>
        <v>#N/A</v>
      </c>
      <c r="AD20" s="18" t="s">
        <v>21</v>
      </c>
      <c r="AE20" s="19"/>
    </row>
    <row r="21" spans="1:31" x14ac:dyDescent="0.3">
      <c r="A21" s="71"/>
      <c r="B21" s="49"/>
      <c r="C21" s="72"/>
      <c r="E21" s="11" t="s">
        <v>23</v>
      </c>
      <c r="F21" s="25">
        <v>1</v>
      </c>
      <c r="G21" s="20"/>
      <c r="H21" s="13" t="s">
        <v>17</v>
      </c>
      <c r="I21" s="14" t="e">
        <f>VLOOKUP(F17,[1]Pokemon!$A$1:$I$874,5,FALSE)+IF(F19="Sim",1,0)</f>
        <v>#N/A</v>
      </c>
      <c r="J21" s="22">
        <v>1</v>
      </c>
      <c r="K21" s="8" t="e">
        <f>IF(L23="Sim", ROUNDUP((N21+ROUNDDOWN(F23/10,0))*J21*P19,0), ROUNDUP((N21+ROUNDDOWN(F23/10,0))*J21,0))</f>
        <v>#N/A</v>
      </c>
      <c r="L21" s="26" t="e">
        <f>ROUNDDOWN(I24/2,0)</f>
        <v>#N/A</v>
      </c>
      <c r="M21" s="17"/>
      <c r="N21" s="9" t="e">
        <f>I21+LOOKUP(I21,[1]Dados!$H$3:$I$12,[1]Dados!$J$3:$J$12)*(ROUNDDOWN(F21/2,0))+LOOKUP(I21,[1]Dados!$H$3:$I$12,[1]Dados!$K$3:$K$12)*(ROUNDDOWN((F21-1)/2,0))</f>
        <v>#N/A</v>
      </c>
      <c r="O21" s="18" t="s">
        <v>24</v>
      </c>
      <c r="P21" s="19"/>
      <c r="T21" s="11" t="s">
        <v>23</v>
      </c>
      <c r="U21" s="25">
        <v>1</v>
      </c>
      <c r="V21" s="20"/>
      <c r="W21" s="13" t="s">
        <v>17</v>
      </c>
      <c r="X21" s="14" t="e">
        <f>VLOOKUP(U17,[1]Pokemon!$A$1:$I$874,5,FALSE)+IF(U19="Sim",1,0)</f>
        <v>#N/A</v>
      </c>
      <c r="Y21" s="22">
        <v>1</v>
      </c>
      <c r="Z21" s="8" t="e">
        <f>IF(AA23="Sim", ROUNDUP((AC21+ROUNDDOWN(U23/10,0))*Y21*AE19,0), ROUNDUP((AC21+ROUNDDOWN(U23/10,0))*Y21,0))</f>
        <v>#N/A</v>
      </c>
      <c r="AA21" s="26" t="e">
        <f>ROUNDDOWN(X24/2,0)</f>
        <v>#N/A</v>
      </c>
      <c r="AB21" s="17"/>
      <c r="AC21" s="9" t="e">
        <f>X21+LOOKUP(X21,[1]Dados!$H$3:$I$12,[1]Dados!$J$3:$J$12)*(ROUNDDOWN(U21/2,0))+LOOKUP(X21,[1]Dados!$H$3:$I$12,[1]Dados!$K$3:$K$12)*(ROUNDDOWN((U21-1)/2,0))</f>
        <v>#N/A</v>
      </c>
      <c r="AD21" s="18" t="s">
        <v>24</v>
      </c>
      <c r="AE21" s="19"/>
    </row>
    <row r="22" spans="1:31" ht="15" thickBot="1" x14ac:dyDescent="0.35">
      <c r="A22" s="71"/>
      <c r="B22" s="49"/>
      <c r="C22" s="72"/>
      <c r="E22" s="11" t="s">
        <v>26</v>
      </c>
      <c r="F22" s="23">
        <v>0</v>
      </c>
      <c r="G22" s="20"/>
      <c r="H22" s="13" t="s">
        <v>21</v>
      </c>
      <c r="I22" s="14" t="e">
        <f>VLOOKUP(F17,[1]Pokemon!$A$1:$I$874,6,FALSE)+IF(F19="Sim",1,0)</f>
        <v>#N/A</v>
      </c>
      <c r="J22" s="22">
        <v>1</v>
      </c>
      <c r="K22" s="8" t="e">
        <f>IF(L23="Sim", ROUNDUP((N22+ROUNDDOWN(F23/10,0))*J22*P20,0), ROUNDUP((N22+ROUNDDOWN(F23/10,0))*J22,0))</f>
        <v>#N/A</v>
      </c>
      <c r="L22" s="24" t="s">
        <v>27</v>
      </c>
      <c r="M22" s="17"/>
      <c r="N22" s="9" t="e">
        <f>I22+LOOKUP(I22,[1]Dados!$H$3:$I$12,[1]Dados!$J$3:$J$12)*(ROUNDDOWN(F21/2,0))+LOOKUP(I22,[1]Dados!$H$3:$I$12,[1]Dados!$K$3:$K$12)*(ROUNDDOWN((F21-1)/2,0))</f>
        <v>#N/A</v>
      </c>
      <c r="O22" s="28" t="s">
        <v>28</v>
      </c>
      <c r="P22" s="29"/>
      <c r="T22" s="11" t="s">
        <v>26</v>
      </c>
      <c r="U22" s="23">
        <v>0</v>
      </c>
      <c r="V22" s="20"/>
      <c r="W22" s="13" t="s">
        <v>21</v>
      </c>
      <c r="X22" s="14" t="e">
        <f>VLOOKUP(U17,[1]Pokemon!$A$1:$I$874,6,FALSE)+IF(U19="Sim",1,0)</f>
        <v>#N/A</v>
      </c>
      <c r="Y22" s="22">
        <v>1</v>
      </c>
      <c r="Z22" s="8" t="e">
        <f>IF(AA23="Sim", ROUNDUP((AC22+ROUNDDOWN(U23/10,0))*Y22*AE20,0), ROUNDUP((AC22+ROUNDDOWN(U23/10,0))*Y22,0))</f>
        <v>#N/A</v>
      </c>
      <c r="AA22" s="24" t="s">
        <v>27</v>
      </c>
      <c r="AB22" s="17"/>
      <c r="AC22" s="9" t="e">
        <f>X22+LOOKUP(X22,[1]Dados!$H$3:$I$12,[1]Dados!$J$3:$J$12)*(ROUNDDOWN(U21/2,0))+LOOKUP(X22,[1]Dados!$H$3:$I$12,[1]Dados!$K$3:$K$12)*(ROUNDDOWN((U21-1)/2,0))</f>
        <v>#N/A</v>
      </c>
      <c r="AD22" s="28" t="s">
        <v>28</v>
      </c>
      <c r="AE22" s="29"/>
    </row>
    <row r="23" spans="1:31" x14ac:dyDescent="0.3">
      <c r="A23" s="71"/>
      <c r="B23" s="49"/>
      <c r="C23" s="72"/>
      <c r="E23" s="11" t="s">
        <v>29</v>
      </c>
      <c r="F23" s="30">
        <v>0</v>
      </c>
      <c r="G23" s="20"/>
      <c r="H23" s="13" t="s">
        <v>24</v>
      </c>
      <c r="I23" s="14" t="e">
        <f>VLOOKUP(F17,[1]Pokemon!$A$1:$I$874,7,FALSE)+IF(F19="Sim",1,0)</f>
        <v>#N/A</v>
      </c>
      <c r="J23" s="22">
        <v>1</v>
      </c>
      <c r="K23" s="8" t="e">
        <f>IF(L23="Sim", ROUNDUP((N23+ROUNDDOWN(F23/10,0))*J23*P21,0), ROUNDUP((N23+ROUNDDOWN(F23/10,0))*J23,0))</f>
        <v>#N/A</v>
      </c>
      <c r="L23" s="26" t="s">
        <v>15</v>
      </c>
      <c r="M23" s="17"/>
      <c r="N23" s="9" t="e">
        <f>I23+LOOKUP(I23,[1]Dados!$H$3:$I$12,[1]Dados!$J$3:$J$12)*(ROUNDDOWN(F21/2,0))+LOOKUP(I23,[1]Dados!$H$3:$I$12,[1]Dados!$K$3:$K$12)*(ROUNDDOWN((F21-1)/2,0))</f>
        <v>#N/A</v>
      </c>
      <c r="T23" s="11" t="s">
        <v>29</v>
      </c>
      <c r="U23" s="30">
        <v>0</v>
      </c>
      <c r="V23" s="20"/>
      <c r="W23" s="13" t="s">
        <v>24</v>
      </c>
      <c r="X23" s="14" t="e">
        <f>VLOOKUP(U17,[1]Pokemon!$A$1:$I$874,7,FALSE)+IF(U19="Sim",1,0)</f>
        <v>#N/A</v>
      </c>
      <c r="Y23" s="22">
        <v>1</v>
      </c>
      <c r="Z23" s="8" t="e">
        <f>IF(AA23="Sim", ROUNDUP((AC23+ROUNDDOWN(U23/10,0))*Y23*AE21,0), ROUNDUP((AC23+ROUNDDOWN(U23/10,0))*Y23,0))</f>
        <v>#N/A</v>
      </c>
      <c r="AA23" s="26" t="s">
        <v>15</v>
      </c>
      <c r="AB23" s="17"/>
      <c r="AC23" s="9" t="e">
        <f>X23+LOOKUP(X23,[1]Dados!$H$3:$I$12,[1]Dados!$J$3:$J$12)*(ROUNDDOWN(U21/2,0))+LOOKUP(X23,[1]Dados!$H$3:$I$12,[1]Dados!$K$3:$K$12)*(ROUNDDOWN((U21-1)/2,0))</f>
        <v>#N/A</v>
      </c>
    </row>
    <row r="24" spans="1:31" x14ac:dyDescent="0.3">
      <c r="A24" s="71"/>
      <c r="B24" s="49"/>
      <c r="C24" s="72"/>
      <c r="E24" s="11" t="s">
        <v>31</v>
      </c>
      <c r="F24" s="23" t="s">
        <v>32</v>
      </c>
      <c r="G24" s="20"/>
      <c r="H24" s="13" t="s">
        <v>28</v>
      </c>
      <c r="I24" s="14" t="e">
        <f>VLOOKUP(F17,[1]Pokemon!$A$1:$I$874,8,FALSE)+IF(F19="Sim",1,0)</f>
        <v>#N/A</v>
      </c>
      <c r="J24" s="22">
        <f>1*IF(F25="Paralisado",0.5,1)</f>
        <v>1</v>
      </c>
      <c r="K24" s="8" t="e">
        <f>IF(L23="Sim", ROUNDUP(N24*J24*P22,0), ROUNDUP(N24*J24,0))</f>
        <v>#N/A</v>
      </c>
      <c r="L24" s="31" t="e">
        <f>IF(L23 = "Sim", ROUNDUP((K24/(10*P22)), 0)&amp;"d6", ROUNDUP((K24/10), 0)&amp;"d6")</f>
        <v>#N/A</v>
      </c>
      <c r="M24" s="17"/>
      <c r="N24" s="9" t="e">
        <f>I24+LOOKUP(I24,[1]Dados!$H$3:$I$12,[1]Dados!$J$3:$J$12)*(ROUNDDOWN(F21/2,0))+LOOKUP(I24,[1]Dados!$H$3:$I$12,[1]Dados!$K$3:$K$12)*(ROUNDDOWN((F21-1)/2,0))</f>
        <v>#N/A</v>
      </c>
      <c r="T24" s="11" t="s">
        <v>31</v>
      </c>
      <c r="U24" s="23" t="s">
        <v>32</v>
      </c>
      <c r="V24" s="20"/>
      <c r="W24" s="13" t="s">
        <v>28</v>
      </c>
      <c r="X24" s="14" t="e">
        <f>VLOOKUP(U17,[1]Pokemon!$A$1:$I$874,8,FALSE)+IF(U19="Sim",1,0)</f>
        <v>#N/A</v>
      </c>
      <c r="Y24" s="22">
        <f>1*IF(U25="Paralisado",0.5,1)</f>
        <v>1</v>
      </c>
      <c r="Z24" s="8" t="e">
        <f>IF(AA23="Sim", ROUNDUP(AC24*Y24*AE22,0), ROUNDUP(AC24*Y24,0))</f>
        <v>#N/A</v>
      </c>
      <c r="AA24" s="31" t="e">
        <f>IF(AA23 = "Sim", ROUNDUP((Z24/(10*AE22)), 0)&amp;"d6", ROUNDUP((Z24/10), 0)&amp;"d6")</f>
        <v>#N/A</v>
      </c>
      <c r="AB24" s="17"/>
      <c r="AC24" s="9" t="e">
        <f>X24+LOOKUP(X24,[1]Dados!$H$3:$I$12,[1]Dados!$J$3:$J$12)*(ROUNDDOWN(U21/2,0))+LOOKUP(X24,[1]Dados!$H$3:$I$12,[1]Dados!$K$3:$K$12)*(ROUNDDOWN((U21-1)/2,0))</f>
        <v>#N/A</v>
      </c>
    </row>
    <row r="25" spans="1:31" x14ac:dyDescent="0.3">
      <c r="A25" s="71"/>
      <c r="B25" s="49"/>
      <c r="C25" s="72"/>
      <c r="E25" s="11" t="s">
        <v>34</v>
      </c>
      <c r="F25" s="23"/>
      <c r="G25" s="20"/>
      <c r="H25" s="13" t="s">
        <v>35</v>
      </c>
      <c r="I25" s="14" t="e">
        <f>VLOOKUP(F17,[1]Pokemon!$A$1:$I$874,9,FALSE)</f>
        <v>#N/A</v>
      </c>
      <c r="J25" s="13" t="s">
        <v>36</v>
      </c>
      <c r="K25" s="13"/>
      <c r="L25" s="32" t="e">
        <f>((F21+1)*I25/2)-F22</f>
        <v>#N/A</v>
      </c>
      <c r="M25" s="17"/>
      <c r="N25" s="33"/>
      <c r="T25" s="11" t="s">
        <v>34</v>
      </c>
      <c r="U25" s="23"/>
      <c r="V25" s="20"/>
      <c r="W25" s="13" t="s">
        <v>35</v>
      </c>
      <c r="X25" s="14" t="e">
        <f>VLOOKUP(U17,[1]Pokemon!$A$1:$I$874,9,FALSE)</f>
        <v>#N/A</v>
      </c>
      <c r="Y25" s="13" t="s">
        <v>36</v>
      </c>
      <c r="Z25" s="13"/>
      <c r="AA25" s="32" t="e">
        <f>((U21+1)*X25/2)-U22</f>
        <v>#N/A</v>
      </c>
      <c r="AB25" s="17"/>
      <c r="AC25" s="33"/>
    </row>
    <row r="26" spans="1:31" x14ac:dyDescent="0.3">
      <c r="A26" s="71"/>
      <c r="B26" s="49"/>
      <c r="C26" s="72"/>
      <c r="E26" s="34"/>
      <c r="F26" s="8"/>
      <c r="G26" s="17"/>
      <c r="H26" s="8"/>
      <c r="I26" s="8"/>
      <c r="J26" s="8"/>
      <c r="K26" s="8"/>
      <c r="L26" s="26"/>
      <c r="M26" s="17"/>
      <c r="N26" s="35"/>
      <c r="T26" s="34"/>
      <c r="U26" s="8"/>
      <c r="V26" s="17"/>
      <c r="W26" s="8"/>
      <c r="X26" s="8"/>
      <c r="Y26" s="8"/>
      <c r="Z26" s="8"/>
      <c r="AA26" s="26"/>
      <c r="AB26" s="17"/>
      <c r="AC26" s="35"/>
    </row>
    <row r="27" spans="1:31" x14ac:dyDescent="0.3">
      <c r="A27" s="71"/>
      <c r="B27" s="49"/>
      <c r="C27" s="72"/>
      <c r="E27" s="60" t="s">
        <v>39</v>
      </c>
      <c r="F27" s="61"/>
      <c r="G27" s="13" t="s">
        <v>40</v>
      </c>
      <c r="H27" s="13"/>
      <c r="I27" s="13"/>
      <c r="J27" s="13" t="s">
        <v>16</v>
      </c>
      <c r="K27" s="13" t="s">
        <v>41</v>
      </c>
      <c r="L27" s="24" t="s">
        <v>42</v>
      </c>
      <c r="M27" s="17"/>
      <c r="N27" s="35"/>
      <c r="T27" s="60" t="s">
        <v>39</v>
      </c>
      <c r="U27" s="61"/>
      <c r="V27" s="13" t="s">
        <v>40</v>
      </c>
      <c r="W27" s="13"/>
      <c r="X27" s="13"/>
      <c r="Y27" s="13" t="s">
        <v>16</v>
      </c>
      <c r="Z27" s="13" t="s">
        <v>41</v>
      </c>
      <c r="AA27" s="24" t="s">
        <v>42</v>
      </c>
      <c r="AB27" s="17"/>
      <c r="AC27" s="35"/>
    </row>
    <row r="28" spans="1:31" x14ac:dyDescent="0.3">
      <c r="A28" s="71"/>
      <c r="B28" s="49"/>
      <c r="C28" s="72"/>
      <c r="E28" s="62"/>
      <c r="F28" s="63"/>
      <c r="G28" s="63" t="e">
        <f>VLOOKUP(E28,[2]Golpes!$A$1:$G$653,2,FALSE)&amp;"/"&amp;VLOOKUP(E28,[2]Golpes!$A$1:$G$653,3,FALSE)</f>
        <v>#N/A</v>
      </c>
      <c r="H28" s="63"/>
      <c r="I28" s="63"/>
      <c r="J28" s="25" t="e">
        <f>VLOOKUP(E28,[2]Golpes!$A$1:$G$653,4,FALSE)</f>
        <v>#N/A</v>
      </c>
      <c r="K28" s="25" t="e">
        <f>VLOOKUP(E28,[2]Golpes!$A$1:$G$653,5,FALSE)</f>
        <v>#N/A</v>
      </c>
      <c r="L28" s="36" t="e">
        <f>VLOOKUP(E28,[2]Golpes!$A$1:$G$653,6,FALSE)</f>
        <v>#N/A</v>
      </c>
      <c r="M28" s="17" t="e">
        <f>VLOOKUP(E28,[2]Golpes!$A$1:$G$653,7,FALSE)</f>
        <v>#N/A</v>
      </c>
      <c r="N28" s="35"/>
      <c r="T28" s="62"/>
      <c r="U28" s="63"/>
      <c r="V28" s="63" t="e">
        <f>VLOOKUP(T28,[2]Golpes!$A$1:$G$653,2,FALSE)&amp;"/"&amp;VLOOKUP(T28,[2]Golpes!$A$1:$G$653,3,FALSE)</f>
        <v>#N/A</v>
      </c>
      <c r="W28" s="63"/>
      <c r="X28" s="63"/>
      <c r="Y28" s="25" t="e">
        <f>VLOOKUP(T28,[2]Golpes!$A$1:$G$653,4,FALSE)</f>
        <v>#N/A</v>
      </c>
      <c r="Z28" s="25" t="e">
        <f>VLOOKUP(T28,[2]Golpes!$A$1:$G$653,5,FALSE)</f>
        <v>#N/A</v>
      </c>
      <c r="AA28" s="36" t="e">
        <f>VLOOKUP(T28,[2]Golpes!$A$1:$G$653,6,FALSE)</f>
        <v>#N/A</v>
      </c>
      <c r="AB28" s="17" t="e">
        <f>VLOOKUP(T28,[2]Golpes!$A$1:$G$653,7,FALSE)</f>
        <v>#N/A</v>
      </c>
      <c r="AC28" s="35"/>
    </row>
    <row r="29" spans="1:31" ht="15" thickBot="1" x14ac:dyDescent="0.35">
      <c r="A29" s="73"/>
      <c r="B29" s="74"/>
      <c r="C29" s="75"/>
      <c r="E29" s="62"/>
      <c r="F29" s="63"/>
      <c r="G29" s="63" t="e">
        <f>VLOOKUP(E29,[2]Golpes!$A$1:$G$653,2,FALSE)&amp;"/"&amp;VLOOKUP(E29,[2]Golpes!$A$1:$G$653,3,FALSE)</f>
        <v>#N/A</v>
      </c>
      <c r="H29" s="63"/>
      <c r="I29" s="63"/>
      <c r="J29" s="25" t="e">
        <f>VLOOKUP(E29,[2]Golpes!$A$1:$G$653,4,FALSE)</f>
        <v>#N/A</v>
      </c>
      <c r="K29" s="25" t="e">
        <f>VLOOKUP(E29,[2]Golpes!$A$1:$G$653,5,FALSE)</f>
        <v>#N/A</v>
      </c>
      <c r="L29" s="36" t="e">
        <f>VLOOKUP(E29,[2]Golpes!$A$1:$G$653,6,FALSE)</f>
        <v>#N/A</v>
      </c>
      <c r="M29" s="17" t="e">
        <f>VLOOKUP(E29,[2]Golpes!$A$1:$G$653,7,FALSE)</f>
        <v>#N/A</v>
      </c>
      <c r="N29" s="35"/>
      <c r="T29" s="62"/>
      <c r="U29" s="63"/>
      <c r="V29" s="63" t="e">
        <f>VLOOKUP(T29,[2]Golpes!$A$1:$G$653,2,FALSE)&amp;"/"&amp;VLOOKUP(T29,[2]Golpes!$A$1:$G$653,3,FALSE)</f>
        <v>#N/A</v>
      </c>
      <c r="W29" s="63"/>
      <c r="X29" s="63"/>
      <c r="Y29" s="25" t="e">
        <f>VLOOKUP(T29,[2]Golpes!$A$1:$G$653,4,FALSE)</f>
        <v>#N/A</v>
      </c>
      <c r="Z29" s="25" t="e">
        <f>VLOOKUP(T29,[2]Golpes!$A$1:$G$653,5,FALSE)</f>
        <v>#N/A</v>
      </c>
      <c r="AA29" s="36" t="e">
        <f>VLOOKUP(T29,[2]Golpes!$A$1:$G$653,6,FALSE)</f>
        <v>#N/A</v>
      </c>
      <c r="AB29" s="17" t="e">
        <f>VLOOKUP(T29,[2]Golpes!$A$1:$G$653,7,FALSE)</f>
        <v>#N/A</v>
      </c>
      <c r="AC29" s="35"/>
    </row>
    <row r="30" spans="1:31" ht="15" thickBot="1" x14ac:dyDescent="0.35">
      <c r="A30" s="64" t="s">
        <v>48</v>
      </c>
      <c r="B30" s="65"/>
      <c r="C30" s="66"/>
      <c r="E30" s="62"/>
      <c r="F30" s="63"/>
      <c r="G30" s="63" t="e">
        <f>VLOOKUP(E30,[2]Golpes!$A$1:$G$653,2,FALSE)&amp;"/"&amp;VLOOKUP(E30,[2]Golpes!$A$1:$G$653,3,FALSE)</f>
        <v>#N/A</v>
      </c>
      <c r="H30" s="63"/>
      <c r="I30" s="63"/>
      <c r="J30" s="25" t="e">
        <f>VLOOKUP(E30,[2]Golpes!$A$1:$G$653,4,FALSE)</f>
        <v>#N/A</v>
      </c>
      <c r="K30" s="25" t="e">
        <f>VLOOKUP(E30,[2]Golpes!$A$1:$G$653,5,FALSE)</f>
        <v>#N/A</v>
      </c>
      <c r="L30" s="36" t="e">
        <f>VLOOKUP(E30,[2]Golpes!$A$1:$G$653,6,FALSE)</f>
        <v>#N/A</v>
      </c>
      <c r="M30" s="17" t="e">
        <f>VLOOKUP(E30,[2]Golpes!$A$1:$G$653,7,FALSE)</f>
        <v>#N/A</v>
      </c>
      <c r="N30" s="35"/>
      <c r="T30" s="62"/>
      <c r="U30" s="63"/>
      <c r="V30" s="63" t="e">
        <f>VLOOKUP(T30,[2]Golpes!$A$1:$G$653,2,FALSE)&amp;"/"&amp;VLOOKUP(T30,[2]Golpes!$A$1:$G$653,3,FALSE)</f>
        <v>#N/A</v>
      </c>
      <c r="W30" s="63"/>
      <c r="X30" s="63"/>
      <c r="Y30" s="25" t="e">
        <f>VLOOKUP(T30,[2]Golpes!$A$1:$G$653,4,FALSE)</f>
        <v>#N/A</v>
      </c>
      <c r="Z30" s="25" t="e">
        <f>VLOOKUP(T30,[2]Golpes!$A$1:$G$653,5,FALSE)</f>
        <v>#N/A</v>
      </c>
      <c r="AA30" s="36" t="e">
        <f>VLOOKUP(T30,[2]Golpes!$A$1:$G$653,6,FALSE)</f>
        <v>#N/A</v>
      </c>
      <c r="AB30" s="17" t="e">
        <f>VLOOKUP(T30,[2]Golpes!$A$1:$G$653,7,FALSE)</f>
        <v>#N/A</v>
      </c>
      <c r="AC30" s="35"/>
    </row>
    <row r="31" spans="1:31" ht="15" thickBot="1" x14ac:dyDescent="0.35">
      <c r="A31" s="84"/>
      <c r="B31" s="48"/>
      <c r="C31" s="85"/>
      <c r="E31" s="67"/>
      <c r="F31" s="68"/>
      <c r="G31" s="68" t="e">
        <f>VLOOKUP(E31,[2]Golpes!$A$1:$G$653,2,FALSE)&amp;"/"&amp;VLOOKUP(E31,[2]Golpes!$A$1:$G$653,3,FALSE)</f>
        <v>#N/A</v>
      </c>
      <c r="H31" s="68"/>
      <c r="I31" s="68"/>
      <c r="J31" s="43" t="e">
        <f>VLOOKUP(E31,[2]Golpes!$A$1:$G$653,4,FALSE)</f>
        <v>#N/A</v>
      </c>
      <c r="K31" s="43" t="e">
        <f>VLOOKUP(E31,[2]Golpes!$A$1:$G$653,5,FALSE)</f>
        <v>#N/A</v>
      </c>
      <c r="L31" s="44" t="e">
        <f>VLOOKUP(E31,[2]Golpes!$A$1:$G$653,6,FALSE)</f>
        <v>#N/A</v>
      </c>
      <c r="M31" s="17" t="e">
        <f>VLOOKUP(E31,[2]Golpes!$A$1:$G$653,7,FALSE)</f>
        <v>#N/A</v>
      </c>
      <c r="N31" s="35"/>
      <c r="T31" s="67"/>
      <c r="U31" s="68"/>
      <c r="V31" s="68" t="e">
        <f>VLOOKUP(T31,[2]Golpes!$A$1:$G$653,2,FALSE)&amp;"/"&amp;VLOOKUP(T31,[2]Golpes!$A$1:$G$653,3,FALSE)</f>
        <v>#N/A</v>
      </c>
      <c r="W31" s="68"/>
      <c r="X31" s="68"/>
      <c r="Y31" s="43" t="e">
        <f>VLOOKUP(T31,[2]Golpes!$A$1:$G$653,4,FALSE)</f>
        <v>#N/A</v>
      </c>
      <c r="Z31" s="43" t="e">
        <f>VLOOKUP(T31,[2]Golpes!$A$1:$G$653,5,FALSE)</f>
        <v>#N/A</v>
      </c>
      <c r="AA31" s="44" t="e">
        <f>VLOOKUP(T31,[2]Golpes!$A$1:$G$653,6,FALSE)</f>
        <v>#N/A</v>
      </c>
      <c r="AB31" s="17" t="e">
        <f>VLOOKUP(T31,[2]Golpes!$A$1:$G$653,7,FALSE)</f>
        <v>#N/A</v>
      </c>
      <c r="AC31" s="35"/>
    </row>
    <row r="32" spans="1:31" ht="15" thickBot="1" x14ac:dyDescent="0.35">
      <c r="A32" s="71"/>
      <c r="B32" s="49"/>
      <c r="C32" s="72"/>
    </row>
    <row r="33" spans="1:31" x14ac:dyDescent="0.3">
      <c r="A33" s="71"/>
      <c r="B33" s="49"/>
      <c r="C33" s="72"/>
      <c r="E33" s="2" t="s">
        <v>1</v>
      </c>
      <c r="F33" s="3"/>
      <c r="G33" s="4"/>
      <c r="H33" s="5"/>
      <c r="I33" s="6" t="s">
        <v>2</v>
      </c>
      <c r="J33" s="6" t="s">
        <v>3</v>
      </c>
      <c r="K33" s="6" t="s">
        <v>4</v>
      </c>
      <c r="L33" s="7" t="s">
        <v>5</v>
      </c>
      <c r="M33" s="8"/>
      <c r="N33" s="9"/>
      <c r="O33" s="53" t="s">
        <v>6</v>
      </c>
      <c r="P33" s="54"/>
      <c r="T33" s="2" t="s">
        <v>1</v>
      </c>
      <c r="U33" s="3"/>
      <c r="V33" s="4"/>
      <c r="W33" s="5"/>
      <c r="X33" s="6" t="s">
        <v>2</v>
      </c>
      <c r="Y33" s="6" t="s">
        <v>3</v>
      </c>
      <c r="Z33" s="6" t="s">
        <v>4</v>
      </c>
      <c r="AA33" s="7" t="s">
        <v>5</v>
      </c>
      <c r="AB33" s="8"/>
      <c r="AC33" s="9"/>
      <c r="AD33" s="53" t="s">
        <v>6</v>
      </c>
      <c r="AE33" s="54"/>
    </row>
    <row r="34" spans="1:31" x14ac:dyDescent="0.3">
      <c r="A34" s="71"/>
      <c r="B34" s="49"/>
      <c r="C34" s="72"/>
      <c r="E34" s="11" t="s">
        <v>8</v>
      </c>
      <c r="F34" s="8" t="s">
        <v>9</v>
      </c>
      <c r="G34" s="12" t="s">
        <v>10</v>
      </c>
      <c r="H34" s="13" t="s">
        <v>11</v>
      </c>
      <c r="I34" s="14" t="e">
        <f>VLOOKUP(F33,[1]Pokemon!$A$1:$I$874,3,FALSE)+IF(F35="Sim",20,0)</f>
        <v>#N/A</v>
      </c>
      <c r="J34" s="15">
        <v>0</v>
      </c>
      <c r="K34" s="8" t="e">
        <f>IF($B$5="Vigoroso",ROUNDUP((N34+J34)*1.2,0),N34+J34)</f>
        <v>#N/A</v>
      </c>
      <c r="L34" s="16">
        <v>0</v>
      </c>
      <c r="M34" s="17"/>
      <c r="N34" s="9" t="e">
        <f>I34+LOOKUP(I34,[1]Dados!$C$3:$D$12,[1]Dados!$E$3:$E$12)*(ROUNDDOWN(F37/2,0))+LOOKUP(I34,[1]Dados!$C$3:$D$12,[1]Dados!$F$3:$F$12)*(ROUNDDOWN((F37-1)/2,0))</f>
        <v>#N/A</v>
      </c>
      <c r="O34" s="18" t="s">
        <v>12</v>
      </c>
      <c r="P34" s="19"/>
      <c r="T34" s="11" t="s">
        <v>8</v>
      </c>
      <c r="U34" s="8" t="s">
        <v>9</v>
      </c>
      <c r="V34" s="12" t="s">
        <v>10</v>
      </c>
      <c r="W34" s="13" t="s">
        <v>11</v>
      </c>
      <c r="X34" s="14" t="e">
        <f>VLOOKUP(U33,[1]Pokemon!$A$1:$I$874,3,FALSE)+IF(U35="Sim",20,0)</f>
        <v>#N/A</v>
      </c>
      <c r="Y34" s="15">
        <v>0</v>
      </c>
      <c r="Z34" s="8" t="e">
        <f>IF($B$5="Vigoroso",ROUNDUP((AC34+Y34)*1.2,0),AC34+Y34)</f>
        <v>#N/A</v>
      </c>
      <c r="AA34" s="16">
        <v>0</v>
      </c>
      <c r="AB34" s="17"/>
      <c r="AC34" s="9" t="e">
        <f>X34+LOOKUP(X34,[1]Dados!$C$3:$D$12,[1]Dados!$E$3:$E$12)*(ROUNDDOWN(U37/2,0))+LOOKUP(X34,[1]Dados!$C$3:$D$12,[1]Dados!$F$3:$F$12)*(ROUNDDOWN((U37-1)/2,0))</f>
        <v>#N/A</v>
      </c>
      <c r="AD34" s="18" t="s">
        <v>12</v>
      </c>
      <c r="AE34" s="19"/>
    </row>
    <row r="35" spans="1:31" x14ac:dyDescent="0.3">
      <c r="A35" s="71"/>
      <c r="B35" s="49"/>
      <c r="C35" s="72"/>
      <c r="E35" s="11" t="s">
        <v>14</v>
      </c>
      <c r="F35" s="8" t="s">
        <v>15</v>
      </c>
      <c r="G35" s="20"/>
      <c r="H35" s="13" t="s">
        <v>16</v>
      </c>
      <c r="I35" s="21">
        <f>20+IF(F35="Sim",10,0)</f>
        <v>20</v>
      </c>
      <c r="J35" s="22">
        <v>0</v>
      </c>
      <c r="K35" s="8">
        <f>18+(F37*2)+IF(F35="Sim",10,0)+J35</f>
        <v>20</v>
      </c>
      <c r="L35" s="16">
        <v>0</v>
      </c>
      <c r="M35" s="17"/>
      <c r="N35" s="9"/>
      <c r="O35" s="18" t="s">
        <v>17</v>
      </c>
      <c r="P35" s="19"/>
      <c r="T35" s="11" t="s">
        <v>14</v>
      </c>
      <c r="U35" s="8" t="s">
        <v>15</v>
      </c>
      <c r="V35" s="20"/>
      <c r="W35" s="13" t="s">
        <v>16</v>
      </c>
      <c r="X35" s="21">
        <f>20+IF(U35="Sim",10,0)</f>
        <v>20</v>
      </c>
      <c r="Y35" s="22">
        <v>0</v>
      </c>
      <c r="Z35" s="8">
        <f>18+(U37*2)+IF(U35="Sim",10,0)+Y35</f>
        <v>20</v>
      </c>
      <c r="AA35" s="16">
        <v>0</v>
      </c>
      <c r="AB35" s="17"/>
      <c r="AC35" s="9"/>
      <c r="AD35" s="18" t="s">
        <v>17</v>
      </c>
      <c r="AE35" s="19"/>
    </row>
    <row r="36" spans="1:31" ht="15" thickBot="1" x14ac:dyDescent="0.35">
      <c r="A36" s="73"/>
      <c r="B36" s="74"/>
      <c r="C36" s="75"/>
      <c r="E36" s="11" t="s">
        <v>19</v>
      </c>
      <c r="F36" s="23" t="e">
        <f>VLOOKUP(F33,[1]Pokemon!$A$1:$I$874,2,FALSE)</f>
        <v>#N/A</v>
      </c>
      <c r="G36" s="20"/>
      <c r="H36" s="13" t="s">
        <v>12</v>
      </c>
      <c r="I36" s="14" t="e">
        <f>VLOOKUP(F33,[1]Pokemon!$A$1:$I$874,4,FALSE)+IF(F35="Sim",1,0)</f>
        <v>#N/A</v>
      </c>
      <c r="J36" s="22">
        <v>1</v>
      </c>
      <c r="K36" s="8" t="e">
        <f>IF(L39="Sim", ROUNDUP((N36+ROUNDDOWN(F39/10,0))*J36*P34,0), ROUNDUP((N36+ROUNDDOWN(F39/10,0))*J36,0))</f>
        <v>#N/A</v>
      </c>
      <c r="L36" s="24" t="s">
        <v>20</v>
      </c>
      <c r="M36" s="17"/>
      <c r="N36" s="9" t="e">
        <f>I36+LOOKUP(I36,[1]Dados!$H$3:$I$12,[1]Dados!$J$3:$J$12)*(ROUNDDOWN(F37/2,0))+LOOKUP(I36,[1]Dados!$H$3:$I$12,[1]Dados!$K$3:$K$12)*(ROUNDDOWN((F37-1)/2,0))</f>
        <v>#N/A</v>
      </c>
      <c r="O36" s="18" t="s">
        <v>21</v>
      </c>
      <c r="P36" s="19"/>
      <c r="T36" s="11" t="s">
        <v>19</v>
      </c>
      <c r="U36" s="23" t="e">
        <f>VLOOKUP(U33,[1]Pokemon!$A$1:$I$874,2,FALSE)</f>
        <v>#N/A</v>
      </c>
      <c r="V36" s="20"/>
      <c r="W36" s="13" t="s">
        <v>12</v>
      </c>
      <c r="X36" s="14" t="e">
        <f>VLOOKUP(U33,[1]Pokemon!$A$1:$I$874,4,FALSE)+IF(U35="Sim",1,0)</f>
        <v>#N/A</v>
      </c>
      <c r="Y36" s="22">
        <v>1</v>
      </c>
      <c r="Z36" s="8" t="e">
        <f>IF(AA39="Sim", ROUNDUP((AC36+ROUNDDOWN(U39/10,0))*Y36*AE34,0), ROUNDUP((AC36+ROUNDDOWN(U39/10,0))*Y36,0))</f>
        <v>#N/A</v>
      </c>
      <c r="AA36" s="24" t="s">
        <v>20</v>
      </c>
      <c r="AB36" s="17"/>
      <c r="AC36" s="9" t="e">
        <f>X36+LOOKUP(X36,[1]Dados!$H$3:$I$12,[1]Dados!$J$3:$J$12)*(ROUNDDOWN(U37/2,0))+LOOKUP(X36,[1]Dados!$H$3:$I$12,[1]Dados!$K$3:$K$12)*(ROUNDDOWN((U37-1)/2,0))</f>
        <v>#N/A</v>
      </c>
      <c r="AD36" s="18" t="s">
        <v>21</v>
      </c>
      <c r="AE36" s="19"/>
    </row>
    <row r="37" spans="1:31" ht="15" thickBot="1" x14ac:dyDescent="0.35">
      <c r="A37" s="64" t="s">
        <v>49</v>
      </c>
      <c r="B37" s="65"/>
      <c r="C37" s="66"/>
      <c r="E37" s="11" t="s">
        <v>23</v>
      </c>
      <c r="F37" s="25">
        <v>1</v>
      </c>
      <c r="G37" s="20"/>
      <c r="H37" s="13" t="s">
        <v>17</v>
      </c>
      <c r="I37" s="14" t="e">
        <f>VLOOKUP(F33,[1]Pokemon!$A$1:$I$874,5,FALSE)+IF(F35="Sim",1,0)</f>
        <v>#N/A</v>
      </c>
      <c r="J37" s="22">
        <v>1</v>
      </c>
      <c r="K37" s="8" t="e">
        <f>IF(L39="Sim", ROUNDUP((N37+ROUNDDOWN(F39/10,0))*J37*P35,0), ROUNDUP((N37+ROUNDDOWN(F39/10,0))*J37,0))</f>
        <v>#N/A</v>
      </c>
      <c r="L37" s="26" t="e">
        <f>ROUNDDOWN(I40/2,0)</f>
        <v>#N/A</v>
      </c>
      <c r="M37" s="17"/>
      <c r="N37" s="9" t="e">
        <f>I37+LOOKUP(I37,[1]Dados!$H$3:$I$12,[1]Dados!$J$3:$J$12)*(ROUNDDOWN(F37/2,0))+LOOKUP(I37,[1]Dados!$H$3:$I$12,[1]Dados!$K$3:$K$12)*(ROUNDDOWN((F37-1)/2,0))</f>
        <v>#N/A</v>
      </c>
      <c r="O37" s="18" t="s">
        <v>24</v>
      </c>
      <c r="P37" s="19"/>
      <c r="T37" s="11" t="s">
        <v>23</v>
      </c>
      <c r="U37" s="25">
        <v>1</v>
      </c>
      <c r="V37" s="20"/>
      <c r="W37" s="13" t="s">
        <v>17</v>
      </c>
      <c r="X37" s="14" t="e">
        <f>VLOOKUP(U33,[1]Pokemon!$A$1:$I$874,5,FALSE)+IF(U35="Sim",1,0)</f>
        <v>#N/A</v>
      </c>
      <c r="Y37" s="22">
        <v>1</v>
      </c>
      <c r="Z37" s="8" t="e">
        <f>IF(AA39="Sim", ROUNDUP((AC37+ROUNDDOWN(U39/10,0))*Y37*AE35,0), ROUNDUP((AC37+ROUNDDOWN(U39/10,0))*Y37,0))</f>
        <v>#N/A</v>
      </c>
      <c r="AA37" s="26" t="e">
        <f>ROUNDDOWN(X40/2,0)</f>
        <v>#N/A</v>
      </c>
      <c r="AB37" s="17"/>
      <c r="AC37" s="9" t="e">
        <f>X37+LOOKUP(X37,[1]Dados!$H$3:$I$12,[1]Dados!$J$3:$J$12)*(ROUNDDOWN(U37/2,0))+LOOKUP(X37,[1]Dados!$H$3:$I$12,[1]Dados!$K$3:$K$12)*(ROUNDDOWN((U37-1)/2,0))</f>
        <v>#N/A</v>
      </c>
      <c r="AD37" s="18" t="s">
        <v>24</v>
      </c>
      <c r="AE37" s="19"/>
    </row>
    <row r="38" spans="1:31" ht="15" thickBot="1" x14ac:dyDescent="0.35">
      <c r="A38" s="38"/>
      <c r="B38" s="38"/>
      <c r="C38" s="45"/>
      <c r="E38" s="11" t="s">
        <v>26</v>
      </c>
      <c r="F38" s="23">
        <v>0</v>
      </c>
      <c r="G38" s="20"/>
      <c r="H38" s="13" t="s">
        <v>21</v>
      </c>
      <c r="I38" s="14" t="e">
        <f>VLOOKUP(F33,[1]Pokemon!$A$1:$I$874,6,FALSE)+IF(F35="Sim",1,0)</f>
        <v>#N/A</v>
      </c>
      <c r="J38" s="22">
        <v>1</v>
      </c>
      <c r="K38" s="8" t="e">
        <f>IF(L39="Sim", ROUNDUP((N38+ROUNDDOWN(F39/10,0))*J38*P36,0), ROUNDUP((N38+ROUNDDOWN(F39/10,0))*J38,0))</f>
        <v>#N/A</v>
      </c>
      <c r="L38" s="24" t="s">
        <v>27</v>
      </c>
      <c r="M38" s="17"/>
      <c r="N38" s="9" t="e">
        <f>I38+LOOKUP(I38,[1]Dados!$H$3:$I$12,[1]Dados!$J$3:$J$12)*(ROUNDDOWN(F37/2,0))+LOOKUP(I38,[1]Dados!$H$3:$I$12,[1]Dados!$K$3:$K$12)*(ROUNDDOWN((F37-1)/2,0))</f>
        <v>#N/A</v>
      </c>
      <c r="O38" s="28" t="s">
        <v>28</v>
      </c>
      <c r="P38" s="29"/>
      <c r="T38" s="11" t="s">
        <v>26</v>
      </c>
      <c r="U38" s="23">
        <v>0</v>
      </c>
      <c r="V38" s="20"/>
      <c r="W38" s="13" t="s">
        <v>21</v>
      </c>
      <c r="X38" s="14" t="e">
        <f>VLOOKUP(U33,[1]Pokemon!$A$1:$I$874,6,FALSE)+IF(U35="Sim",1,0)</f>
        <v>#N/A</v>
      </c>
      <c r="Y38" s="22">
        <v>1</v>
      </c>
      <c r="Z38" s="8" t="e">
        <f>IF(AA39="Sim", ROUNDUP((AC38+ROUNDDOWN(U39/10,0))*Y38*AE36,0), ROUNDUP((AC38+ROUNDDOWN(U39/10,0))*Y38,0))</f>
        <v>#N/A</v>
      </c>
      <c r="AA38" s="24" t="s">
        <v>27</v>
      </c>
      <c r="AB38" s="17"/>
      <c r="AC38" s="9" t="e">
        <f>X38+LOOKUP(X38,[1]Dados!$H$3:$I$12,[1]Dados!$J$3:$J$12)*(ROUNDDOWN(U37/2,0))+LOOKUP(X38,[1]Dados!$H$3:$I$12,[1]Dados!$K$3:$K$12)*(ROUNDDOWN((U37-1)/2,0))</f>
        <v>#N/A</v>
      </c>
      <c r="AD38" s="28" t="s">
        <v>28</v>
      </c>
      <c r="AE38" s="29"/>
    </row>
    <row r="39" spans="1:31" x14ac:dyDescent="0.3">
      <c r="C39" s="46"/>
      <c r="E39" s="11" t="s">
        <v>29</v>
      </c>
      <c r="F39" s="30">
        <v>0</v>
      </c>
      <c r="G39" s="20"/>
      <c r="H39" s="13" t="s">
        <v>24</v>
      </c>
      <c r="I39" s="14" t="e">
        <f>VLOOKUP(F33,[1]Pokemon!$A$1:$I$874,7,FALSE)+IF(F35="Sim",1,0)</f>
        <v>#N/A</v>
      </c>
      <c r="J39" s="22">
        <v>1</v>
      </c>
      <c r="K39" s="8" t="e">
        <f>IF(L39="Sim", ROUNDUP((N39+ROUNDDOWN(F39/10,0))*J39*P37,0), ROUNDUP((N39+ROUNDDOWN(F39/10,0))*J39,0))</f>
        <v>#N/A</v>
      </c>
      <c r="L39" s="26" t="s">
        <v>15</v>
      </c>
      <c r="M39" s="17"/>
      <c r="N39" s="9" t="e">
        <f>I39+LOOKUP(I39,[1]Dados!$H$3:$I$12,[1]Dados!$J$3:$J$12)*(ROUNDDOWN(F37/2,0))+LOOKUP(I39,[1]Dados!$H$3:$I$12,[1]Dados!$K$3:$K$12)*(ROUNDDOWN((F37-1)/2,0))</f>
        <v>#N/A</v>
      </c>
      <c r="T39" s="11" t="s">
        <v>29</v>
      </c>
      <c r="U39" s="30">
        <v>0</v>
      </c>
      <c r="V39" s="20"/>
      <c r="W39" s="13" t="s">
        <v>24</v>
      </c>
      <c r="X39" s="14" t="e">
        <f>VLOOKUP(U33,[1]Pokemon!$A$1:$I$874,7,FALSE)+IF(U35="Sim",1,0)</f>
        <v>#N/A</v>
      </c>
      <c r="Y39" s="22">
        <v>1</v>
      </c>
      <c r="Z39" s="8" t="e">
        <f>IF(AA39="Sim", ROUNDUP((AC39+ROUNDDOWN(U39/10,0))*Y39*AE37,0), ROUNDUP((AC39+ROUNDDOWN(U39/10,0))*Y39,0))</f>
        <v>#N/A</v>
      </c>
      <c r="AA39" s="26" t="s">
        <v>15</v>
      </c>
      <c r="AB39" s="17"/>
      <c r="AC39" s="9" t="e">
        <f>X39+LOOKUP(X39,[1]Dados!$H$3:$I$12,[1]Dados!$J$3:$J$12)*(ROUNDDOWN(U37/2,0))+LOOKUP(X39,[1]Dados!$H$3:$I$12,[1]Dados!$K$3:$K$12)*(ROUNDDOWN((U37-1)/2,0))</f>
        <v>#N/A</v>
      </c>
    </row>
    <row r="40" spans="1:31" x14ac:dyDescent="0.3">
      <c r="C40" s="46"/>
      <c r="E40" s="11" t="s">
        <v>31</v>
      </c>
      <c r="F40" s="23" t="s">
        <v>32</v>
      </c>
      <c r="G40" s="20"/>
      <c r="H40" s="13" t="s">
        <v>28</v>
      </c>
      <c r="I40" s="14" t="e">
        <f>VLOOKUP(F33,[1]Pokemon!$A$1:$I$874,8,FALSE)+IF(F35="Sim",1,0)</f>
        <v>#N/A</v>
      </c>
      <c r="J40" s="22">
        <f>1*IF(F41="Paralisado",0.5,1)</f>
        <v>1</v>
      </c>
      <c r="K40" s="8" t="e">
        <f>IF(L39="Sim", ROUNDUP(N40*J40*P38,0), ROUNDUP(N40*J40,0))</f>
        <v>#N/A</v>
      </c>
      <c r="L40" s="31" t="e">
        <f>IF(L39 = "Sim", ROUNDUP((K40/(10*P38)), 0)&amp;"d6", ROUNDUP((K40/10), 0)&amp;"d6")</f>
        <v>#N/A</v>
      </c>
      <c r="M40" s="17"/>
      <c r="N40" s="9" t="e">
        <f>I40+LOOKUP(I40,[1]Dados!$H$3:$I$12,[1]Dados!$J$3:$J$12)*(ROUNDDOWN(F37/2,0))+LOOKUP(I40,[1]Dados!$H$3:$I$12,[1]Dados!$K$3:$K$12)*(ROUNDDOWN((F37-1)/2,0))</f>
        <v>#N/A</v>
      </c>
      <c r="T40" s="11" t="s">
        <v>31</v>
      </c>
      <c r="U40" s="23" t="s">
        <v>32</v>
      </c>
      <c r="V40" s="20"/>
      <c r="W40" s="13" t="s">
        <v>28</v>
      </c>
      <c r="X40" s="14" t="e">
        <f>VLOOKUP(U33,[1]Pokemon!$A$1:$I$874,8,FALSE)+IF(U35="Sim",1,0)</f>
        <v>#N/A</v>
      </c>
      <c r="Y40" s="22">
        <f>1*IF(U41="Paralisado",0.5,1)</f>
        <v>1</v>
      </c>
      <c r="Z40" s="8" t="e">
        <f>IF(AA39="Sim", ROUNDUP(AC40*Y40*AE38,0), ROUNDUP(AC40*Y40,0))</f>
        <v>#N/A</v>
      </c>
      <c r="AA40" s="31" t="e">
        <f>IF(AA39 = "Sim", ROUNDUP((Z40/(10*AE38)), 0)&amp;"d6", ROUNDUP((Z40/10), 0)&amp;"d6")</f>
        <v>#N/A</v>
      </c>
      <c r="AB40" s="17"/>
      <c r="AC40" s="9" t="e">
        <f>X40+LOOKUP(X40,[1]Dados!$H$3:$I$12,[1]Dados!$J$3:$J$12)*(ROUNDDOWN(U37/2,0))+LOOKUP(X40,[1]Dados!$H$3:$I$12,[1]Dados!$K$3:$K$12)*(ROUNDDOWN((U37-1)/2,0))</f>
        <v>#N/A</v>
      </c>
    </row>
    <row r="41" spans="1:31" x14ac:dyDescent="0.3">
      <c r="C41" s="46"/>
      <c r="E41" s="11" t="s">
        <v>34</v>
      </c>
      <c r="F41" s="23"/>
      <c r="G41" s="20"/>
      <c r="H41" s="13" t="s">
        <v>35</v>
      </c>
      <c r="I41" s="14" t="e">
        <f>VLOOKUP(F33,[1]Pokemon!$A$1:$I$874,9,FALSE)</f>
        <v>#N/A</v>
      </c>
      <c r="J41" s="13" t="s">
        <v>36</v>
      </c>
      <c r="K41" s="13"/>
      <c r="L41" s="32" t="e">
        <f>((F37+1)*I41/2)-F38</f>
        <v>#N/A</v>
      </c>
      <c r="M41" s="17"/>
      <c r="N41" s="33"/>
      <c r="T41" s="11" t="s">
        <v>34</v>
      </c>
      <c r="U41" s="23"/>
      <c r="V41" s="20"/>
      <c r="W41" s="13" t="s">
        <v>35</v>
      </c>
      <c r="X41" s="14" t="e">
        <f>VLOOKUP(U33,[1]Pokemon!$A$1:$I$874,9,FALSE)</f>
        <v>#N/A</v>
      </c>
      <c r="Y41" s="13" t="s">
        <v>36</v>
      </c>
      <c r="Z41" s="13"/>
      <c r="AA41" s="32" t="e">
        <f>((U37+1)*X41/2)-U38</f>
        <v>#N/A</v>
      </c>
      <c r="AB41" s="17"/>
      <c r="AC41" s="33"/>
    </row>
    <row r="42" spans="1:31" x14ac:dyDescent="0.3">
      <c r="C42" s="46"/>
      <c r="E42" s="34"/>
      <c r="F42" s="8"/>
      <c r="G42" s="17"/>
      <c r="H42" s="8"/>
      <c r="I42" s="8"/>
      <c r="J42" s="8"/>
      <c r="K42" s="8"/>
      <c r="L42" s="26"/>
      <c r="M42" s="17"/>
      <c r="N42" s="35"/>
      <c r="T42" s="34"/>
      <c r="U42" s="8"/>
      <c r="V42" s="17"/>
      <c r="W42" s="8"/>
      <c r="X42" s="8"/>
      <c r="Y42" s="8"/>
      <c r="Z42" s="8"/>
      <c r="AA42" s="26"/>
      <c r="AB42" s="17"/>
      <c r="AC42" s="35"/>
    </row>
    <row r="43" spans="1:31" x14ac:dyDescent="0.3">
      <c r="C43" s="46"/>
      <c r="E43" s="60" t="s">
        <v>39</v>
      </c>
      <c r="F43" s="61"/>
      <c r="G43" s="13" t="s">
        <v>40</v>
      </c>
      <c r="H43" s="13"/>
      <c r="I43" s="13"/>
      <c r="J43" s="13" t="s">
        <v>16</v>
      </c>
      <c r="K43" s="13" t="s">
        <v>41</v>
      </c>
      <c r="L43" s="24" t="s">
        <v>42</v>
      </c>
      <c r="M43" s="17"/>
      <c r="N43" s="35"/>
      <c r="T43" s="60" t="s">
        <v>39</v>
      </c>
      <c r="U43" s="61"/>
      <c r="V43" s="13" t="s">
        <v>40</v>
      </c>
      <c r="W43" s="13"/>
      <c r="X43" s="13"/>
      <c r="Y43" s="13" t="s">
        <v>16</v>
      </c>
      <c r="Z43" s="13" t="s">
        <v>41</v>
      </c>
      <c r="AA43" s="24" t="s">
        <v>42</v>
      </c>
      <c r="AB43" s="17"/>
      <c r="AC43" s="35"/>
    </row>
    <row r="44" spans="1:31" x14ac:dyDescent="0.3">
      <c r="C44" s="46"/>
      <c r="E44" s="62"/>
      <c r="F44" s="63"/>
      <c r="G44" s="63" t="e">
        <f>VLOOKUP(E44,[2]Golpes!$A$1:$G$653,2,FALSE)&amp;"/"&amp;VLOOKUP(E44,[2]Golpes!$A$1:$G$653,3,FALSE)</f>
        <v>#N/A</v>
      </c>
      <c r="H44" s="63"/>
      <c r="I44" s="63"/>
      <c r="J44" s="25" t="e">
        <f>VLOOKUP(E44,[2]Golpes!$A$1:$G$653,4,FALSE)</f>
        <v>#N/A</v>
      </c>
      <c r="K44" s="25" t="e">
        <f>VLOOKUP(E44,[2]Golpes!$A$1:$G$653,5,FALSE)</f>
        <v>#N/A</v>
      </c>
      <c r="L44" s="36" t="e">
        <f>VLOOKUP(E44,[2]Golpes!$A$1:$G$653,6,FALSE)</f>
        <v>#N/A</v>
      </c>
      <c r="M44" s="17" t="e">
        <f>VLOOKUP(E44,[2]Golpes!$A$1:$G$653,7,FALSE)</f>
        <v>#N/A</v>
      </c>
      <c r="N44" s="35"/>
      <c r="T44" s="62"/>
      <c r="U44" s="63"/>
      <c r="V44" s="63" t="e">
        <f>VLOOKUP(T44,[2]Golpes!$A$1:$G$653,2,FALSE)&amp;"/"&amp;VLOOKUP(T44,[2]Golpes!$A$1:$G$653,3,FALSE)</f>
        <v>#N/A</v>
      </c>
      <c r="W44" s="63"/>
      <c r="X44" s="63"/>
      <c r="Y44" s="25" t="e">
        <f>VLOOKUP(T44,[2]Golpes!$A$1:$G$653,4,FALSE)</f>
        <v>#N/A</v>
      </c>
      <c r="Z44" s="25" t="e">
        <f>VLOOKUP(T44,[2]Golpes!$A$1:$G$653,5,FALSE)</f>
        <v>#N/A</v>
      </c>
      <c r="AA44" s="36" t="e">
        <f>VLOOKUP(T44,[2]Golpes!$A$1:$G$653,6,FALSE)</f>
        <v>#N/A</v>
      </c>
      <c r="AB44" s="17" t="e">
        <f>VLOOKUP(T44,[2]Golpes!$A$1:$G$653,7,FALSE)</f>
        <v>#N/A</v>
      </c>
      <c r="AC44" s="35"/>
    </row>
    <row r="45" spans="1:31" x14ac:dyDescent="0.3">
      <c r="C45" s="46"/>
      <c r="E45" s="62"/>
      <c r="F45" s="63"/>
      <c r="G45" s="63" t="e">
        <f>VLOOKUP(E45,[2]Golpes!$A$1:$G$653,2,FALSE)&amp;"/"&amp;VLOOKUP(E45,[2]Golpes!$A$1:$G$653,3,FALSE)</f>
        <v>#N/A</v>
      </c>
      <c r="H45" s="63"/>
      <c r="I45" s="63"/>
      <c r="J45" s="25" t="e">
        <f>VLOOKUP(E45,[2]Golpes!$A$1:$G$653,4,FALSE)</f>
        <v>#N/A</v>
      </c>
      <c r="K45" s="25" t="e">
        <f>VLOOKUP(E45,[2]Golpes!$A$1:$G$653,5,FALSE)</f>
        <v>#N/A</v>
      </c>
      <c r="L45" s="36" t="e">
        <f>VLOOKUP(E45,[2]Golpes!$A$1:$G$653,6,FALSE)</f>
        <v>#N/A</v>
      </c>
      <c r="M45" s="17" t="e">
        <f>VLOOKUP(E45,[2]Golpes!$A$1:$G$653,7,FALSE)</f>
        <v>#N/A</v>
      </c>
      <c r="N45" s="35"/>
      <c r="T45" s="62"/>
      <c r="U45" s="63"/>
      <c r="V45" s="63" t="e">
        <f>VLOOKUP(T45,[2]Golpes!$A$1:$G$653,2,FALSE)&amp;"/"&amp;VLOOKUP(T45,[2]Golpes!$A$1:$G$653,3,FALSE)</f>
        <v>#N/A</v>
      </c>
      <c r="W45" s="63"/>
      <c r="X45" s="63"/>
      <c r="Y45" s="25" t="e">
        <f>VLOOKUP(T45,[2]Golpes!$A$1:$G$653,4,FALSE)</f>
        <v>#N/A</v>
      </c>
      <c r="Z45" s="25" t="e">
        <f>VLOOKUP(T45,[2]Golpes!$A$1:$G$653,5,FALSE)</f>
        <v>#N/A</v>
      </c>
      <c r="AA45" s="36" t="e">
        <f>VLOOKUP(T45,[2]Golpes!$A$1:$G$653,6,FALSE)</f>
        <v>#N/A</v>
      </c>
      <c r="AB45" s="17" t="e">
        <f>VLOOKUP(T45,[2]Golpes!$A$1:$G$653,7,FALSE)</f>
        <v>#N/A</v>
      </c>
      <c r="AC45" s="35"/>
    </row>
    <row r="46" spans="1:31" x14ac:dyDescent="0.3">
      <c r="C46" s="46"/>
      <c r="E46" s="62"/>
      <c r="F46" s="63"/>
      <c r="G46" s="63" t="e">
        <f>VLOOKUP(E46,[2]Golpes!$A$1:$G$653,2,FALSE)&amp;"/"&amp;VLOOKUP(E46,[2]Golpes!$A$1:$G$653,3,FALSE)</f>
        <v>#N/A</v>
      </c>
      <c r="H46" s="63"/>
      <c r="I46" s="63"/>
      <c r="J46" s="25" t="e">
        <f>VLOOKUP(E46,[2]Golpes!$A$1:$G$653,4,FALSE)</f>
        <v>#N/A</v>
      </c>
      <c r="K46" s="25" t="e">
        <f>VLOOKUP(E46,[2]Golpes!$A$1:$G$653,5,FALSE)</f>
        <v>#N/A</v>
      </c>
      <c r="L46" s="36" t="e">
        <f>VLOOKUP(E46,[2]Golpes!$A$1:$G$653,6,FALSE)</f>
        <v>#N/A</v>
      </c>
      <c r="M46" s="17" t="e">
        <f>VLOOKUP(E46,[2]Golpes!$A$1:$G$653,7,FALSE)</f>
        <v>#N/A</v>
      </c>
      <c r="N46" s="35"/>
      <c r="T46" s="62"/>
      <c r="U46" s="63"/>
      <c r="V46" s="63" t="e">
        <f>VLOOKUP(T46,[2]Golpes!$A$1:$G$653,2,FALSE)&amp;"/"&amp;VLOOKUP(T46,[2]Golpes!$A$1:$G$653,3,FALSE)</f>
        <v>#N/A</v>
      </c>
      <c r="W46" s="63"/>
      <c r="X46" s="63"/>
      <c r="Y46" s="25" t="e">
        <f>VLOOKUP(T46,[2]Golpes!$A$1:$G$653,4,FALSE)</f>
        <v>#N/A</v>
      </c>
      <c r="Z46" s="25" t="e">
        <f>VLOOKUP(T46,[2]Golpes!$A$1:$G$653,5,FALSE)</f>
        <v>#N/A</v>
      </c>
      <c r="AA46" s="36" t="e">
        <f>VLOOKUP(T46,[2]Golpes!$A$1:$G$653,6,FALSE)</f>
        <v>#N/A</v>
      </c>
      <c r="AB46" s="17" t="e">
        <f>VLOOKUP(T46,[2]Golpes!$A$1:$G$653,7,FALSE)</f>
        <v>#N/A</v>
      </c>
      <c r="AC46" s="35"/>
    </row>
    <row r="47" spans="1:31" ht="15" thickBot="1" x14ac:dyDescent="0.35">
      <c r="C47" s="46"/>
      <c r="E47" s="67"/>
      <c r="F47" s="68"/>
      <c r="G47" s="68" t="e">
        <f>VLOOKUP(E47,[2]Golpes!$A$1:$G$653,2,FALSE)&amp;"/"&amp;VLOOKUP(E47,[2]Golpes!$A$1:$G$653,3,FALSE)</f>
        <v>#N/A</v>
      </c>
      <c r="H47" s="68"/>
      <c r="I47" s="68"/>
      <c r="J47" s="43" t="e">
        <f>VLOOKUP(E47,[2]Golpes!$A$1:$G$653,4,FALSE)</f>
        <v>#N/A</v>
      </c>
      <c r="K47" s="43" t="e">
        <f>VLOOKUP(E47,[2]Golpes!$A$1:$G$653,5,FALSE)</f>
        <v>#N/A</v>
      </c>
      <c r="L47" s="44" t="e">
        <f>VLOOKUP(E47,[2]Golpes!$A$1:$G$653,6,FALSE)</f>
        <v>#N/A</v>
      </c>
      <c r="M47" s="17" t="e">
        <f>VLOOKUP(E47,[2]Golpes!$A$1:$G$653,7,FALSE)</f>
        <v>#N/A</v>
      </c>
      <c r="N47" s="35"/>
      <c r="T47" s="67"/>
      <c r="U47" s="68"/>
      <c r="V47" s="68" t="e">
        <f>VLOOKUP(T47,[2]Golpes!$A$1:$G$653,2,FALSE)&amp;"/"&amp;VLOOKUP(T47,[2]Golpes!$A$1:$G$653,3,FALSE)</f>
        <v>#N/A</v>
      </c>
      <c r="W47" s="68"/>
      <c r="X47" s="68"/>
      <c r="Y47" s="43" t="e">
        <f>VLOOKUP(T47,[2]Golpes!$A$1:$G$653,4,FALSE)</f>
        <v>#N/A</v>
      </c>
      <c r="Z47" s="43" t="e">
        <f>VLOOKUP(T47,[2]Golpes!$A$1:$G$653,5,FALSE)</f>
        <v>#N/A</v>
      </c>
      <c r="AA47" s="44" t="e">
        <f>VLOOKUP(T47,[2]Golpes!$A$1:$G$653,6,FALSE)</f>
        <v>#N/A</v>
      </c>
      <c r="AB47" s="17" t="e">
        <f>VLOOKUP(T47,[2]Golpes!$A$1:$G$653,7,FALSE)</f>
        <v>#N/A</v>
      </c>
      <c r="AC47" s="35"/>
    </row>
    <row r="48" spans="1:31" x14ac:dyDescent="0.3">
      <c r="C48" s="46"/>
    </row>
    <row r="49" spans="3:3" x14ac:dyDescent="0.3">
      <c r="C49" s="46"/>
    </row>
    <row r="50" spans="3:3" x14ac:dyDescent="0.3">
      <c r="C50" s="46"/>
    </row>
    <row r="51" spans="3:3" x14ac:dyDescent="0.3">
      <c r="C51" s="46"/>
    </row>
    <row r="52" spans="3:3" x14ac:dyDescent="0.3">
      <c r="C52" s="46"/>
    </row>
    <row r="53" spans="3:3" x14ac:dyDescent="0.3">
      <c r="C53" s="46"/>
    </row>
    <row r="54" spans="3:3" x14ac:dyDescent="0.3">
      <c r="C54" s="46"/>
    </row>
    <row r="55" spans="3:3" x14ac:dyDescent="0.3">
      <c r="C55" s="46"/>
    </row>
    <row r="56" spans="3:3" x14ac:dyDescent="0.3">
      <c r="C56" s="46"/>
    </row>
    <row r="57" spans="3:3" x14ac:dyDescent="0.3">
      <c r="C57" s="46"/>
    </row>
    <row r="58" spans="3:3" x14ac:dyDescent="0.3">
      <c r="C58" s="46"/>
    </row>
  </sheetData>
  <mergeCells count="83">
    <mergeCell ref="E47:F47"/>
    <mergeCell ref="G47:I47"/>
    <mergeCell ref="T47:U47"/>
    <mergeCell ref="V47:X47"/>
    <mergeCell ref="E45:F45"/>
    <mergeCell ref="G45:I45"/>
    <mergeCell ref="T45:U45"/>
    <mergeCell ref="V45:X45"/>
    <mergeCell ref="E46:F46"/>
    <mergeCell ref="G46:I46"/>
    <mergeCell ref="T46:U46"/>
    <mergeCell ref="V46:X46"/>
    <mergeCell ref="AD33:AE33"/>
    <mergeCell ref="A34:C36"/>
    <mergeCell ref="A37:C37"/>
    <mergeCell ref="E43:F43"/>
    <mergeCell ref="T43:U43"/>
    <mergeCell ref="V44:X44"/>
    <mergeCell ref="A31:C33"/>
    <mergeCell ref="E31:F31"/>
    <mergeCell ref="G31:I31"/>
    <mergeCell ref="T31:U31"/>
    <mergeCell ref="V31:X31"/>
    <mergeCell ref="O33:P33"/>
    <mergeCell ref="E44:F44"/>
    <mergeCell ref="G44:I44"/>
    <mergeCell ref="T44:U44"/>
    <mergeCell ref="A30:C30"/>
    <mergeCell ref="E30:F30"/>
    <mergeCell ref="G30:I30"/>
    <mergeCell ref="T30:U30"/>
    <mergeCell ref="V30:X30"/>
    <mergeCell ref="V15:X15"/>
    <mergeCell ref="AD17:AE17"/>
    <mergeCell ref="A18:C20"/>
    <mergeCell ref="A24:C26"/>
    <mergeCell ref="A27:C29"/>
    <mergeCell ref="E27:F27"/>
    <mergeCell ref="T27:U27"/>
    <mergeCell ref="E28:F28"/>
    <mergeCell ref="G28:I28"/>
    <mergeCell ref="T28:U28"/>
    <mergeCell ref="V28:X28"/>
    <mergeCell ref="E29:F29"/>
    <mergeCell ref="G29:I29"/>
    <mergeCell ref="T29:U29"/>
    <mergeCell ref="V29:X29"/>
    <mergeCell ref="A21:C23"/>
    <mergeCell ref="A16:C16"/>
    <mergeCell ref="A17:C17"/>
    <mergeCell ref="O17:P17"/>
    <mergeCell ref="V12:X12"/>
    <mergeCell ref="B13:C13"/>
    <mergeCell ref="E13:F13"/>
    <mergeCell ref="G13:I13"/>
    <mergeCell ref="T13:U13"/>
    <mergeCell ref="V13:X13"/>
    <mergeCell ref="E14:F14"/>
    <mergeCell ref="G14:I14"/>
    <mergeCell ref="T14:U14"/>
    <mergeCell ref="V14:X14"/>
    <mergeCell ref="E15:F15"/>
    <mergeCell ref="G15:I15"/>
    <mergeCell ref="T15:U15"/>
    <mergeCell ref="E11:F11"/>
    <mergeCell ref="T11:U11"/>
    <mergeCell ref="B12:C12"/>
    <mergeCell ref="E12:F12"/>
    <mergeCell ref="G12:I12"/>
    <mergeCell ref="T12:U12"/>
    <mergeCell ref="B11:C11"/>
    <mergeCell ref="B6:C6"/>
    <mergeCell ref="A7:C7"/>
    <mergeCell ref="B8:C8"/>
    <mergeCell ref="B9:C9"/>
    <mergeCell ref="B10:C10"/>
    <mergeCell ref="B5:C5"/>
    <mergeCell ref="O1:P1"/>
    <mergeCell ref="AD1:AE1"/>
    <mergeCell ref="B2:C2"/>
    <mergeCell ref="B3:C3"/>
    <mergeCell ref="B4:C4"/>
    <mergeCell ref="B1:C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58"/>
  <sheetViews>
    <sheetView workbookViewId="0">
      <selection activeCell="A16" sqref="A16:C16"/>
    </sheetView>
  </sheetViews>
  <sheetFormatPr defaultRowHeight="14.4" x14ac:dyDescent="0.3"/>
  <sheetData>
    <row r="1" spans="1:31" x14ac:dyDescent="0.3">
      <c r="A1" s="1" t="s">
        <v>0</v>
      </c>
      <c r="B1" s="55" t="s">
        <v>188</v>
      </c>
      <c r="C1" s="56"/>
      <c r="E1" s="2" t="s">
        <v>1</v>
      </c>
      <c r="F1" s="3"/>
      <c r="G1" s="4"/>
      <c r="H1" s="5"/>
      <c r="I1" s="6" t="s">
        <v>2</v>
      </c>
      <c r="J1" s="6" t="s">
        <v>3</v>
      </c>
      <c r="K1" s="6" t="s">
        <v>4</v>
      </c>
      <c r="L1" s="7" t="s">
        <v>5</v>
      </c>
      <c r="M1" s="8"/>
      <c r="N1" s="9"/>
      <c r="O1" s="53" t="s">
        <v>6</v>
      </c>
      <c r="P1" s="54"/>
      <c r="T1" s="2" t="s">
        <v>1</v>
      </c>
      <c r="U1" s="3"/>
      <c r="V1" s="4"/>
      <c r="W1" s="5"/>
      <c r="X1" s="6" t="s">
        <v>2</v>
      </c>
      <c r="Y1" s="6" t="s">
        <v>3</v>
      </c>
      <c r="Z1" s="6" t="s">
        <v>4</v>
      </c>
      <c r="AA1" s="7" t="s">
        <v>5</v>
      </c>
      <c r="AB1" s="8"/>
      <c r="AC1" s="9"/>
      <c r="AD1" s="53" t="s">
        <v>6</v>
      </c>
      <c r="AE1" s="54"/>
    </row>
    <row r="2" spans="1:31" x14ac:dyDescent="0.3">
      <c r="A2" s="10" t="s">
        <v>7</v>
      </c>
      <c r="B2" s="51">
        <v>27</v>
      </c>
      <c r="C2" s="52"/>
      <c r="E2" s="11" t="s">
        <v>8</v>
      </c>
      <c r="F2" s="8" t="s">
        <v>9</v>
      </c>
      <c r="G2" s="12" t="s">
        <v>10</v>
      </c>
      <c r="H2" s="13" t="s">
        <v>11</v>
      </c>
      <c r="I2" s="14" t="e">
        <f>VLOOKUP(F1,[1]Pokemon!$A$1:$I$874,3,FALSE)+IF(F3="Sim",20,0)</f>
        <v>#N/A</v>
      </c>
      <c r="J2" s="15">
        <v>0</v>
      </c>
      <c r="K2" s="8" t="e">
        <f>IF($B$5="Vigoroso",ROUNDUP((N2+J2)*1.2,0),N2+J2)</f>
        <v>#N/A</v>
      </c>
      <c r="L2" s="16">
        <v>0</v>
      </c>
      <c r="M2" s="17"/>
      <c r="N2" s="9" t="e">
        <f>I2+LOOKUP(I2,[1]Dados!$C$3:$D$12,[1]Dados!$E$3:$E$12)*(ROUNDDOWN(F5/2,0))+LOOKUP(I2,[1]Dados!$C$3:$D$12,[1]Dados!$F$3:$F$12)*(ROUNDDOWN((F5-1)/2,0))</f>
        <v>#N/A</v>
      </c>
      <c r="O2" s="18" t="s">
        <v>12</v>
      </c>
      <c r="P2" s="19"/>
      <c r="T2" s="11" t="s">
        <v>8</v>
      </c>
      <c r="U2" s="8" t="s">
        <v>9</v>
      </c>
      <c r="V2" s="12" t="s">
        <v>10</v>
      </c>
      <c r="W2" s="13" t="s">
        <v>11</v>
      </c>
      <c r="X2" s="14" t="e">
        <f>VLOOKUP(U1,[1]Pokemon!$A$1:$I$874,3,FALSE)+IF(U3="Sim",20,0)</f>
        <v>#N/A</v>
      </c>
      <c r="Y2" s="15">
        <v>0</v>
      </c>
      <c r="Z2" s="8" t="e">
        <f>IF($B$5="Vigoroso",ROUNDUP((AC2+Y2)*1.2,0),AC2+Y2)</f>
        <v>#N/A</v>
      </c>
      <c r="AA2" s="16">
        <v>0</v>
      </c>
      <c r="AB2" s="17"/>
      <c r="AC2" s="9" t="e">
        <f>X2+LOOKUP(X2,[1]Dados!$C$3:$D$12,[1]Dados!$E$3:$E$12)*(ROUNDDOWN(U5/2,0))+LOOKUP(X2,[1]Dados!$C$3:$D$12,[1]Dados!$F$3:$F$12)*(ROUNDDOWN((U5-1)/2,0))</f>
        <v>#N/A</v>
      </c>
      <c r="AD2" s="18" t="s">
        <v>12</v>
      </c>
      <c r="AE2" s="19"/>
    </row>
    <row r="3" spans="1:31" x14ac:dyDescent="0.3">
      <c r="A3" s="10" t="s">
        <v>13</v>
      </c>
      <c r="B3" s="51" t="s">
        <v>51</v>
      </c>
      <c r="C3" s="52"/>
      <c r="E3" s="11" t="s">
        <v>14</v>
      </c>
      <c r="F3" s="8" t="s">
        <v>15</v>
      </c>
      <c r="G3" s="20"/>
      <c r="H3" s="13" t="s">
        <v>16</v>
      </c>
      <c r="I3" s="21">
        <f>20+IF(F3="Sim",10,0)</f>
        <v>20</v>
      </c>
      <c r="J3" s="22">
        <v>0</v>
      </c>
      <c r="K3" s="8">
        <f>18+(F5*2)+IF(F3="Sim",10,0)+J3</f>
        <v>20</v>
      </c>
      <c r="L3" s="16">
        <v>0</v>
      </c>
      <c r="M3" s="17"/>
      <c r="N3" s="9"/>
      <c r="O3" s="18" t="s">
        <v>17</v>
      </c>
      <c r="P3" s="19"/>
      <c r="T3" s="11" t="s">
        <v>14</v>
      </c>
      <c r="U3" s="8" t="s">
        <v>15</v>
      </c>
      <c r="V3" s="20"/>
      <c r="W3" s="13" t="s">
        <v>16</v>
      </c>
      <c r="X3" s="21">
        <f>20+IF(U3="Sim",10,0)</f>
        <v>20</v>
      </c>
      <c r="Y3" s="22">
        <v>0</v>
      </c>
      <c r="Z3" s="8">
        <f>18+(U5*2)+IF(U3="Sim",10,0)+Y3</f>
        <v>20</v>
      </c>
      <c r="AA3" s="16">
        <v>0</v>
      </c>
      <c r="AB3" s="17"/>
      <c r="AC3" s="9"/>
      <c r="AD3" s="18" t="s">
        <v>17</v>
      </c>
      <c r="AE3" s="19"/>
    </row>
    <row r="4" spans="1:31" x14ac:dyDescent="0.3">
      <c r="A4" s="10" t="s">
        <v>18</v>
      </c>
      <c r="B4" s="51" t="s">
        <v>52</v>
      </c>
      <c r="C4" s="52"/>
      <c r="E4" s="11" t="s">
        <v>19</v>
      </c>
      <c r="F4" s="23" t="e">
        <f>VLOOKUP(F1,[1]Pokemon!$A$1:$I$874,2,FALSE)</f>
        <v>#N/A</v>
      </c>
      <c r="G4" s="20"/>
      <c r="H4" s="13" t="s">
        <v>12</v>
      </c>
      <c r="I4" s="14" t="e">
        <f>VLOOKUP(F1,[1]Pokemon!$A$1:$I$874,4,FALSE)+IF(F3="Sim",1,0)</f>
        <v>#N/A</v>
      </c>
      <c r="J4" s="22">
        <v>1</v>
      </c>
      <c r="K4" s="8" t="e">
        <f>IF(L7="Sim", ROUNDUP((N4+ROUNDDOWN(F7/10,0))*J4*P2,0), ROUNDUP((N4+ROUNDDOWN(F7/10,0))*J4,0))</f>
        <v>#N/A</v>
      </c>
      <c r="L4" s="24" t="s">
        <v>20</v>
      </c>
      <c r="M4" s="17"/>
      <c r="N4" s="9" t="e">
        <f>I4+LOOKUP(I4,[1]Dados!$H$3:$I$12,[1]Dados!$J$3:$J$12)*(ROUNDDOWN(F5/2,0))+LOOKUP(I4,[1]Dados!$H$3:$I$12,[1]Dados!$K$3:$K$12)*(ROUNDDOWN((F5-1)/2,0))</f>
        <v>#N/A</v>
      </c>
      <c r="O4" s="18" t="s">
        <v>21</v>
      </c>
      <c r="P4" s="19"/>
      <c r="T4" s="11" t="s">
        <v>19</v>
      </c>
      <c r="U4" s="23" t="e">
        <f>VLOOKUP(U1,[1]Pokemon!$A$1:$I$874,2,FALSE)</f>
        <v>#N/A</v>
      </c>
      <c r="V4" s="20"/>
      <c r="W4" s="13" t="s">
        <v>12</v>
      </c>
      <c r="X4" s="14" t="e">
        <f>VLOOKUP(U1,[1]Pokemon!$A$1:$I$874,4,FALSE)+IF(U3="Sim",1,0)</f>
        <v>#N/A</v>
      </c>
      <c r="Y4" s="22">
        <v>1</v>
      </c>
      <c r="Z4" s="8" t="e">
        <f>IF(AA7="Sim", ROUNDUP((AC4+ROUNDDOWN(U7/10,0))*Y4*AE2,0), ROUNDUP((AC4+ROUNDDOWN(U7/10,0))*Y4,0))</f>
        <v>#N/A</v>
      </c>
      <c r="AA4" s="24" t="s">
        <v>20</v>
      </c>
      <c r="AB4" s="17"/>
      <c r="AC4" s="9" t="e">
        <f>X4+LOOKUP(X4,[1]Dados!$H$3:$I$12,[1]Dados!$J$3:$J$12)*(ROUNDDOWN(U5/2,0))+LOOKUP(X4,[1]Dados!$H$3:$I$12,[1]Dados!$K$3:$K$12)*(ROUNDDOWN((U5-1)/2,0))</f>
        <v>#N/A</v>
      </c>
      <c r="AD4" s="18" t="s">
        <v>21</v>
      </c>
      <c r="AE4" s="19"/>
    </row>
    <row r="5" spans="1:31" x14ac:dyDescent="0.3">
      <c r="A5" s="10" t="s">
        <v>22</v>
      </c>
      <c r="B5" s="51" t="s">
        <v>189</v>
      </c>
      <c r="C5" s="52"/>
      <c r="E5" s="11" t="s">
        <v>23</v>
      </c>
      <c r="F5" s="25">
        <v>1</v>
      </c>
      <c r="G5" s="20"/>
      <c r="H5" s="13" t="s">
        <v>17</v>
      </c>
      <c r="I5" s="14" t="e">
        <f>VLOOKUP(F1,[1]Pokemon!$A$1:$I$874,5,FALSE)+IF(F3="Sim",1,0)</f>
        <v>#N/A</v>
      </c>
      <c r="J5" s="22">
        <v>1</v>
      </c>
      <c r="K5" s="8" t="e">
        <f>IF(L7="Sim", ROUNDUP((N5+ROUNDDOWN(F7/10,0))*J5*P3,0), ROUNDUP((N5+ROUNDDOWN(F7/10,0))*J5,0))</f>
        <v>#N/A</v>
      </c>
      <c r="L5" s="26" t="e">
        <f>ROUNDDOWN(I8/2,0)</f>
        <v>#N/A</v>
      </c>
      <c r="M5" s="17"/>
      <c r="N5" s="9" t="e">
        <f>I5+LOOKUP(I5,[1]Dados!$H$3:$I$12,[1]Dados!$J$3:$J$12)*(ROUNDDOWN(F5/2,0))+LOOKUP(I5,[1]Dados!$H$3:$I$12,[1]Dados!$K$3:$K$12)*(ROUNDDOWN((F5-1)/2,0))</f>
        <v>#N/A</v>
      </c>
      <c r="O5" s="18" t="s">
        <v>24</v>
      </c>
      <c r="P5" s="19"/>
      <c r="T5" s="11" t="s">
        <v>23</v>
      </c>
      <c r="U5" s="25">
        <v>1</v>
      </c>
      <c r="V5" s="20"/>
      <c r="W5" s="13" t="s">
        <v>17</v>
      </c>
      <c r="X5" s="14" t="e">
        <f>VLOOKUP(U1,[1]Pokemon!$A$1:$I$874,5,FALSE)+IF(U3="Sim",1,0)</f>
        <v>#N/A</v>
      </c>
      <c r="Y5" s="22">
        <v>1</v>
      </c>
      <c r="Z5" s="8" t="e">
        <f>IF(AA7="Sim", ROUNDUP((AC5+ROUNDDOWN(U7/10,0))*Y5*AE3,0), ROUNDUP((AC5+ROUNDDOWN(U7/10,0))*Y5,0))</f>
        <v>#N/A</v>
      </c>
      <c r="AA5" s="26" t="e">
        <f>ROUNDDOWN(X8/2,0)</f>
        <v>#N/A</v>
      </c>
      <c r="AB5" s="17"/>
      <c r="AC5" s="9" t="e">
        <f>X5+LOOKUP(X5,[1]Dados!$H$3:$I$12,[1]Dados!$J$3:$J$12)*(ROUNDDOWN(U5/2,0))+LOOKUP(X5,[1]Dados!$H$3:$I$12,[1]Dados!$K$3:$K$12)*(ROUNDDOWN((U5-1)/2,0))</f>
        <v>#N/A</v>
      </c>
      <c r="AD5" s="18" t="s">
        <v>24</v>
      </c>
      <c r="AE5" s="19"/>
    </row>
    <row r="6" spans="1:31" ht="15" thickBot="1" x14ac:dyDescent="0.35">
      <c r="A6" s="27" t="s">
        <v>25</v>
      </c>
      <c r="B6" s="57" t="s">
        <v>32</v>
      </c>
      <c r="C6" s="58"/>
      <c r="E6" s="11" t="s">
        <v>26</v>
      </c>
      <c r="F6" s="23">
        <v>0</v>
      </c>
      <c r="G6" s="20"/>
      <c r="H6" s="13" t="s">
        <v>21</v>
      </c>
      <c r="I6" s="14" t="e">
        <f>VLOOKUP(F1,[1]Pokemon!$A$1:$I$874,6,FALSE)+IF(F3="Sim",1,0)</f>
        <v>#N/A</v>
      </c>
      <c r="J6" s="22">
        <v>1</v>
      </c>
      <c r="K6" s="8" t="e">
        <f>IF(L7="Sim", ROUNDUP((N6+ROUNDDOWN(F7/10,0))*J6*P4,0), ROUNDUP((N6+ROUNDDOWN(F7/10,0))*J6,0))</f>
        <v>#N/A</v>
      </c>
      <c r="L6" s="24" t="s">
        <v>27</v>
      </c>
      <c r="M6" s="17"/>
      <c r="N6" s="9" t="e">
        <f>I6+LOOKUP(I6,[1]Dados!$H$3:$I$12,[1]Dados!$J$3:$J$12)*(ROUNDDOWN(F5/2,0))+LOOKUP(I6,[1]Dados!$H$3:$I$12,[1]Dados!$K$3:$K$12)*(ROUNDDOWN((F5-1)/2,0))</f>
        <v>#N/A</v>
      </c>
      <c r="O6" s="28" t="s">
        <v>28</v>
      </c>
      <c r="P6" s="29"/>
      <c r="T6" s="11" t="s">
        <v>26</v>
      </c>
      <c r="U6" s="23">
        <v>0</v>
      </c>
      <c r="V6" s="20"/>
      <c r="W6" s="13" t="s">
        <v>21</v>
      </c>
      <c r="X6" s="14" t="e">
        <f>VLOOKUP(U1,[1]Pokemon!$A$1:$I$874,6,FALSE)+IF(U3="Sim",1,0)</f>
        <v>#N/A</v>
      </c>
      <c r="Y6" s="22">
        <v>1</v>
      </c>
      <c r="Z6" s="8" t="e">
        <f>IF(AA7="Sim", ROUNDUP((AC6+ROUNDDOWN(U7/10,0))*Y6*AE4,0), ROUNDUP((AC6+ROUNDDOWN(U7/10,0))*Y6,0))</f>
        <v>#N/A</v>
      </c>
      <c r="AA6" s="24" t="s">
        <v>27</v>
      </c>
      <c r="AB6" s="17"/>
      <c r="AC6" s="9" t="e">
        <f>X6+LOOKUP(X6,[1]Dados!$H$3:$I$12,[1]Dados!$J$3:$J$12)*(ROUNDDOWN(U5/2,0))+LOOKUP(X6,[1]Dados!$H$3:$I$12,[1]Dados!$K$3:$K$12)*(ROUNDDOWN((U5-1)/2,0))</f>
        <v>#N/A</v>
      </c>
      <c r="AD6" s="28" t="s">
        <v>28</v>
      </c>
      <c r="AE6" s="29"/>
    </row>
    <row r="7" spans="1:31" ht="15" thickBot="1" x14ac:dyDescent="0.35">
      <c r="A7" s="59"/>
      <c r="B7" s="59"/>
      <c r="C7" s="59"/>
      <c r="E7" s="11" t="s">
        <v>29</v>
      </c>
      <c r="F7" s="30">
        <v>0</v>
      </c>
      <c r="G7" s="20"/>
      <c r="H7" s="13" t="s">
        <v>24</v>
      </c>
      <c r="I7" s="14" t="e">
        <f>VLOOKUP(F1,[1]Pokemon!$A$1:$I$874,7,FALSE)+IF(F3="Sim",1,0)</f>
        <v>#N/A</v>
      </c>
      <c r="J7" s="22">
        <v>1</v>
      </c>
      <c r="K7" s="8" t="e">
        <f>IF(L7="Sim", ROUNDUP((N7+ROUNDDOWN(F7/10,0))*J7*P5,0), ROUNDUP((N7+ROUNDDOWN(F7/10,0))*J7,0))</f>
        <v>#N/A</v>
      </c>
      <c r="L7" s="26" t="s">
        <v>15</v>
      </c>
      <c r="M7" s="17"/>
      <c r="N7" s="9" t="e">
        <f>I7+LOOKUP(I7,[1]Dados!$H$3:$I$12,[1]Dados!$J$3:$J$12)*(ROUNDDOWN(F5/2,0))+LOOKUP(I7,[1]Dados!$H$3:$I$12,[1]Dados!$K$3:$K$12)*(ROUNDDOWN((F5-1)/2,0))</f>
        <v>#N/A</v>
      </c>
      <c r="T7" s="11" t="s">
        <v>29</v>
      </c>
      <c r="U7" s="30">
        <v>0</v>
      </c>
      <c r="V7" s="20"/>
      <c r="W7" s="13" t="s">
        <v>24</v>
      </c>
      <c r="X7" s="14" t="e">
        <f>VLOOKUP(U1,[1]Pokemon!$A$1:$I$874,7,FALSE)+IF(U3="Sim",1,0)</f>
        <v>#N/A</v>
      </c>
      <c r="Y7" s="22">
        <v>1</v>
      </c>
      <c r="Z7" s="8" t="e">
        <f>IF(AA7="Sim", ROUNDUP((AC7+ROUNDDOWN(U7/10,0))*Y7*AE5,0), ROUNDUP((AC7+ROUNDDOWN(U7/10,0))*Y7,0))</f>
        <v>#N/A</v>
      </c>
      <c r="AA7" s="26" t="s">
        <v>15</v>
      </c>
      <c r="AB7" s="17"/>
      <c r="AC7" s="9" t="e">
        <f>X7+LOOKUP(X7,[1]Dados!$H$3:$I$12,[1]Dados!$J$3:$J$12)*(ROUNDDOWN(U5/2,0))+LOOKUP(X7,[1]Dados!$H$3:$I$12,[1]Dados!$K$3:$K$12)*(ROUNDDOWN((U5-1)/2,0))</f>
        <v>#N/A</v>
      </c>
    </row>
    <row r="8" spans="1:31" x14ac:dyDescent="0.3">
      <c r="A8" s="1" t="s">
        <v>30</v>
      </c>
      <c r="B8" s="55">
        <v>4</v>
      </c>
      <c r="C8" s="56"/>
      <c r="E8" s="11" t="s">
        <v>31</v>
      </c>
      <c r="F8" s="23" t="s">
        <v>32</v>
      </c>
      <c r="G8" s="20"/>
      <c r="H8" s="13" t="s">
        <v>28</v>
      </c>
      <c r="I8" s="14" t="e">
        <f>VLOOKUP(F1,[1]Pokemon!$A$1:$I$874,8,FALSE)+IF(F3="Sim",1,0)</f>
        <v>#N/A</v>
      </c>
      <c r="J8" s="22">
        <f>1*IF(F9="Paralisado",0.5,1)</f>
        <v>1</v>
      </c>
      <c r="K8" s="8" t="e">
        <f>IF(L7="Sim", ROUNDUP(N8*J8*P6,0), ROUNDUP(N8*J8,0))</f>
        <v>#N/A</v>
      </c>
      <c r="L8" s="31" t="e">
        <f>IF(L7 = "Sim", ROUNDUP((K8/(10*P6)), 0)&amp;"d6", ROUNDUP((K8/10), 0)&amp;"d6")</f>
        <v>#N/A</v>
      </c>
      <c r="M8" s="17"/>
      <c r="N8" s="9" t="e">
        <f>I8+LOOKUP(I8,[1]Dados!$H$3:$I$12,[1]Dados!$J$3:$J$12)*(ROUNDDOWN(F5/2,0))+LOOKUP(I8,[1]Dados!$H$3:$I$12,[1]Dados!$K$3:$K$12)*(ROUNDDOWN((F5-1)/2,0))</f>
        <v>#N/A</v>
      </c>
      <c r="T8" s="11" t="s">
        <v>31</v>
      </c>
      <c r="U8" s="23" t="s">
        <v>32</v>
      </c>
      <c r="V8" s="20"/>
      <c r="W8" s="13" t="s">
        <v>28</v>
      </c>
      <c r="X8" s="14" t="e">
        <f>VLOOKUP(U1,[1]Pokemon!$A$1:$I$874,8,FALSE)+IF(U3="Sim",1,0)</f>
        <v>#N/A</v>
      </c>
      <c r="Y8" s="22">
        <f>1*IF(U9="Paralisado",0.5,1)</f>
        <v>1</v>
      </c>
      <c r="Z8" s="8" t="e">
        <f>IF(AA7="Sim", ROUNDUP(AC8*Y8*AE6,0), ROUNDUP(AC8*Y8,0))</f>
        <v>#N/A</v>
      </c>
      <c r="AA8" s="31" t="e">
        <f>IF(AA7 = "Sim", ROUNDUP((Z8/(10*AE6)), 0)&amp;"d6", ROUNDUP((Z8/10), 0)&amp;"d6")</f>
        <v>#N/A</v>
      </c>
      <c r="AB8" s="17"/>
      <c r="AC8" s="9" t="e">
        <f>X8+LOOKUP(X8,[1]Dados!$H$3:$I$12,[1]Dados!$J$3:$J$12)*(ROUNDDOWN(U5/2,0))+LOOKUP(X8,[1]Dados!$H$3:$I$12,[1]Dados!$K$3:$K$12)*(ROUNDDOWN((U5-1)/2,0))</f>
        <v>#N/A</v>
      </c>
    </row>
    <row r="9" spans="1:31" x14ac:dyDescent="0.3">
      <c r="A9" s="10" t="s">
        <v>33</v>
      </c>
      <c r="B9" s="51">
        <v>3</v>
      </c>
      <c r="C9" s="52"/>
      <c r="E9" s="11" t="s">
        <v>34</v>
      </c>
      <c r="F9" s="23"/>
      <c r="G9" s="20"/>
      <c r="H9" s="13" t="s">
        <v>35</v>
      </c>
      <c r="I9" s="14" t="e">
        <f>VLOOKUP(F1,[1]Pokemon!$A$1:$I$874,9,FALSE)</f>
        <v>#N/A</v>
      </c>
      <c r="J9" s="13" t="s">
        <v>36</v>
      </c>
      <c r="K9" s="13"/>
      <c r="L9" s="32" t="e">
        <f>((F5+1)*I9/2)-F6</f>
        <v>#N/A</v>
      </c>
      <c r="M9" s="17"/>
      <c r="N9" s="33"/>
      <c r="T9" s="11" t="s">
        <v>34</v>
      </c>
      <c r="U9" s="23"/>
      <c r="V9" s="20"/>
      <c r="W9" s="13" t="s">
        <v>35</v>
      </c>
      <c r="X9" s="14" t="e">
        <f>VLOOKUP(U1,[1]Pokemon!$A$1:$I$874,9,FALSE)</f>
        <v>#N/A</v>
      </c>
      <c r="Y9" s="13" t="s">
        <v>36</v>
      </c>
      <c r="Z9" s="13"/>
      <c r="AA9" s="32" t="e">
        <f>((U5+1)*X9/2)-U6</f>
        <v>#N/A</v>
      </c>
      <c r="AB9" s="17"/>
      <c r="AC9" s="33"/>
    </row>
    <row r="10" spans="1:31" x14ac:dyDescent="0.3">
      <c r="A10" s="10" t="s">
        <v>37</v>
      </c>
      <c r="B10" s="51">
        <v>4</v>
      </c>
      <c r="C10" s="52"/>
      <c r="E10" s="34"/>
      <c r="F10" s="8"/>
      <c r="G10" s="17"/>
      <c r="H10" s="8"/>
      <c r="I10" s="8"/>
      <c r="J10" s="8"/>
      <c r="K10" s="8"/>
      <c r="L10" s="26"/>
      <c r="M10" s="17"/>
      <c r="N10" s="35"/>
      <c r="T10" s="34"/>
      <c r="U10" s="8"/>
      <c r="V10" s="17"/>
      <c r="W10" s="8"/>
      <c r="X10" s="8"/>
      <c r="Y10" s="8"/>
      <c r="Z10" s="8"/>
      <c r="AA10" s="26"/>
      <c r="AB10" s="17"/>
      <c r="AC10" s="35"/>
    </row>
    <row r="11" spans="1:31" x14ac:dyDescent="0.3">
      <c r="A11" s="10" t="s">
        <v>38</v>
      </c>
      <c r="B11" s="51">
        <v>3</v>
      </c>
      <c r="C11" s="52"/>
      <c r="E11" s="60" t="s">
        <v>39</v>
      </c>
      <c r="F11" s="61"/>
      <c r="G11" s="13" t="s">
        <v>40</v>
      </c>
      <c r="H11" s="13"/>
      <c r="I11" s="13"/>
      <c r="J11" s="13" t="s">
        <v>16</v>
      </c>
      <c r="K11" s="13" t="s">
        <v>41</v>
      </c>
      <c r="L11" s="24" t="s">
        <v>42</v>
      </c>
      <c r="M11" s="17"/>
      <c r="N11" s="35"/>
      <c r="T11" s="60" t="s">
        <v>39</v>
      </c>
      <c r="U11" s="61"/>
      <c r="V11" s="13" t="s">
        <v>40</v>
      </c>
      <c r="W11" s="13"/>
      <c r="X11" s="13"/>
      <c r="Y11" s="13" t="s">
        <v>16</v>
      </c>
      <c r="Z11" s="13" t="s">
        <v>41</v>
      </c>
      <c r="AA11" s="24" t="s">
        <v>42</v>
      </c>
      <c r="AB11" s="17"/>
      <c r="AC11" s="35"/>
    </row>
    <row r="12" spans="1:31" x14ac:dyDescent="0.3">
      <c r="A12" s="10" t="s">
        <v>43</v>
      </c>
      <c r="B12" s="51">
        <v>3</v>
      </c>
      <c r="C12" s="52"/>
      <c r="E12" s="62"/>
      <c r="F12" s="63"/>
      <c r="G12" s="63" t="e">
        <f>VLOOKUP(E12,[2]Golpes!$A$1:$G$653,2,FALSE)&amp;"/"&amp;VLOOKUP(E12,[2]Golpes!$A$1:$G$653,3,FALSE)</f>
        <v>#N/A</v>
      </c>
      <c r="H12" s="63"/>
      <c r="I12" s="63"/>
      <c r="J12" s="25" t="e">
        <f>VLOOKUP(E12,[2]Golpes!$A$1:$G$653,4,FALSE)</f>
        <v>#N/A</v>
      </c>
      <c r="K12" s="25" t="e">
        <f>VLOOKUP(E12,[2]Golpes!$A$1:$G$653,5,FALSE)</f>
        <v>#N/A</v>
      </c>
      <c r="L12" s="36" t="e">
        <f>VLOOKUP(E12,[2]Golpes!$A$1:$G$653,6,FALSE)</f>
        <v>#N/A</v>
      </c>
      <c r="M12" s="17" t="e">
        <f>VLOOKUP(E12,[2]Golpes!$A$1:$G$653,7,FALSE)</f>
        <v>#N/A</v>
      </c>
      <c r="N12" s="35"/>
      <c r="T12" s="62"/>
      <c r="U12" s="63"/>
      <c r="V12" s="63" t="e">
        <f>VLOOKUP(T12,[2]Golpes!$A$1:$G$653,2,FALSE)&amp;"/"&amp;VLOOKUP(T12,[2]Golpes!$A$1:$G$653,3,FALSE)</f>
        <v>#N/A</v>
      </c>
      <c r="W12" s="63"/>
      <c r="X12" s="63"/>
      <c r="Y12" s="25" t="e">
        <f>VLOOKUP(T12,[2]Golpes!$A$1:$G$653,4,FALSE)</f>
        <v>#N/A</v>
      </c>
      <c r="Z12" s="25" t="e">
        <f>VLOOKUP(T12,[2]Golpes!$A$1:$G$653,5,FALSE)</f>
        <v>#N/A</v>
      </c>
      <c r="AA12" s="36" t="e">
        <f>VLOOKUP(T12,[2]Golpes!$A$1:$G$653,6,FALSE)</f>
        <v>#N/A</v>
      </c>
      <c r="AB12" s="17" t="e">
        <f>VLOOKUP(T12,[2]Golpes!$A$1:$G$653,7,FALSE)</f>
        <v>#N/A</v>
      </c>
      <c r="AC12" s="35"/>
    </row>
    <row r="13" spans="1:31" ht="15" thickBot="1" x14ac:dyDescent="0.35">
      <c r="A13" s="27" t="s">
        <v>44</v>
      </c>
      <c r="B13" s="57">
        <v>5</v>
      </c>
      <c r="C13" s="58"/>
      <c r="E13" s="62"/>
      <c r="F13" s="63"/>
      <c r="G13" s="63" t="e">
        <f>VLOOKUP(E13,[2]Golpes!$A$1:$G$653,2,FALSE)&amp;"/"&amp;VLOOKUP(E13,[2]Golpes!$A$1:$G$653,3,FALSE)</f>
        <v>#N/A</v>
      </c>
      <c r="H13" s="63"/>
      <c r="I13" s="63"/>
      <c r="J13" s="25" t="e">
        <f>VLOOKUP(E13,[2]Golpes!$A$1:$G$653,4,FALSE)</f>
        <v>#N/A</v>
      </c>
      <c r="K13" s="25" t="e">
        <f>VLOOKUP(E13,[2]Golpes!$A$1:$G$653,5,FALSE)</f>
        <v>#N/A</v>
      </c>
      <c r="L13" s="36" t="e">
        <f>VLOOKUP(E13,[2]Golpes!$A$1:$G$653,6,FALSE)</f>
        <v>#N/A</v>
      </c>
      <c r="M13" s="17" t="e">
        <f>VLOOKUP(E13,[2]Golpes!$A$1:$G$653,7,FALSE)</f>
        <v>#N/A</v>
      </c>
      <c r="N13" s="35"/>
      <c r="T13" s="62"/>
      <c r="U13" s="63"/>
      <c r="V13" s="63" t="e">
        <f>VLOOKUP(T13,[2]Golpes!$A$1:$G$653,2,FALSE)&amp;"/"&amp;VLOOKUP(T13,[2]Golpes!$A$1:$G$653,3,FALSE)</f>
        <v>#N/A</v>
      </c>
      <c r="W13" s="63"/>
      <c r="X13" s="63"/>
      <c r="Y13" s="25" t="e">
        <f>VLOOKUP(T13,[2]Golpes!$A$1:$G$653,4,FALSE)</f>
        <v>#N/A</v>
      </c>
      <c r="Z13" s="25" t="e">
        <f>VLOOKUP(T13,[2]Golpes!$A$1:$G$653,5,FALSE)</f>
        <v>#N/A</v>
      </c>
      <c r="AA13" s="36" t="e">
        <f>VLOOKUP(T13,[2]Golpes!$A$1:$G$653,6,FALSE)</f>
        <v>#N/A</v>
      </c>
      <c r="AB13" s="17" t="e">
        <f>VLOOKUP(T13,[2]Golpes!$A$1:$G$653,7,FALSE)</f>
        <v>#N/A</v>
      </c>
      <c r="AC13" s="35"/>
    </row>
    <row r="14" spans="1:31" x14ac:dyDescent="0.3">
      <c r="A14" s="37" t="s">
        <v>45</v>
      </c>
      <c r="B14" s="38">
        <v>40</v>
      </c>
      <c r="C14" s="39">
        <f>B10*10</f>
        <v>40</v>
      </c>
      <c r="E14" s="62"/>
      <c r="F14" s="63"/>
      <c r="G14" s="63" t="e">
        <f>VLOOKUP(E14,[2]Golpes!$A$1:$G$653,2,FALSE)&amp;"/"&amp;VLOOKUP(E14,[2]Golpes!$A$1:$G$653,3,FALSE)</f>
        <v>#N/A</v>
      </c>
      <c r="H14" s="63"/>
      <c r="I14" s="63"/>
      <c r="J14" s="25" t="e">
        <f>VLOOKUP(E14,[2]Golpes!$A$1:$G$653,4,FALSE)</f>
        <v>#N/A</v>
      </c>
      <c r="K14" s="25" t="e">
        <f>VLOOKUP(E14,[2]Golpes!$A$1:$G$653,5,FALSE)</f>
        <v>#N/A</v>
      </c>
      <c r="L14" s="36" t="e">
        <f>VLOOKUP(E14,[2]Golpes!$A$1:$G$653,6,FALSE)</f>
        <v>#N/A</v>
      </c>
      <c r="M14" s="17" t="e">
        <f>VLOOKUP(E14,[2]Golpes!$A$1:$G$653,7,FALSE)</f>
        <v>#N/A</v>
      </c>
      <c r="N14" s="35"/>
      <c r="T14" s="62"/>
      <c r="U14" s="63"/>
      <c r="V14" s="63" t="e">
        <f>VLOOKUP(T14,[2]Golpes!$A$1:$G$653,2,FALSE)&amp;"/"&amp;VLOOKUP(T14,[2]Golpes!$A$1:$G$653,3,FALSE)</f>
        <v>#N/A</v>
      </c>
      <c r="W14" s="63"/>
      <c r="X14" s="63"/>
      <c r="Y14" s="25" t="e">
        <f>VLOOKUP(T14,[2]Golpes!$A$1:$G$653,4,FALSE)</f>
        <v>#N/A</v>
      </c>
      <c r="Z14" s="25" t="e">
        <f>VLOOKUP(T14,[2]Golpes!$A$1:$G$653,5,FALSE)</f>
        <v>#N/A</v>
      </c>
      <c r="AA14" s="36" t="e">
        <f>VLOOKUP(T14,[2]Golpes!$A$1:$G$653,6,FALSE)</f>
        <v>#N/A</v>
      </c>
      <c r="AB14" s="17" t="e">
        <f>VLOOKUP(T14,[2]Golpes!$A$1:$G$653,7,FALSE)</f>
        <v>#N/A</v>
      </c>
      <c r="AC14" s="35"/>
    </row>
    <row r="15" spans="1:31" ht="15" thickBot="1" x14ac:dyDescent="0.35">
      <c r="A15" s="40" t="s">
        <v>46</v>
      </c>
      <c r="B15" s="41">
        <v>40</v>
      </c>
      <c r="C15" s="42">
        <f>B14</f>
        <v>40</v>
      </c>
      <c r="E15" s="67"/>
      <c r="F15" s="68"/>
      <c r="G15" s="68" t="e">
        <f>VLOOKUP(E15,[2]Golpes!$A$1:$G$653,2,FALSE)&amp;"/"&amp;VLOOKUP(E15,[2]Golpes!$A$1:$G$653,3,FALSE)</f>
        <v>#N/A</v>
      </c>
      <c r="H15" s="68"/>
      <c r="I15" s="68"/>
      <c r="J15" s="43" t="e">
        <f>VLOOKUP(E15,[2]Golpes!$A$1:$G$653,4,FALSE)</f>
        <v>#N/A</v>
      </c>
      <c r="K15" s="43" t="e">
        <f>VLOOKUP(E15,[2]Golpes!$A$1:$G$653,5,FALSE)</f>
        <v>#N/A</v>
      </c>
      <c r="L15" s="44" t="e">
        <f>VLOOKUP(E15,[2]Golpes!$A$1:$G$653,6,FALSE)</f>
        <v>#N/A</v>
      </c>
      <c r="M15" s="17" t="e">
        <f>VLOOKUP(E15,[2]Golpes!$A$1:$G$653,7,FALSE)</f>
        <v>#N/A</v>
      </c>
      <c r="N15" s="35"/>
      <c r="T15" s="67"/>
      <c r="U15" s="68"/>
      <c r="V15" s="68" t="e">
        <f>VLOOKUP(T15,[2]Golpes!$A$1:$G$653,2,FALSE)&amp;"/"&amp;VLOOKUP(T15,[2]Golpes!$A$1:$G$653,3,FALSE)</f>
        <v>#N/A</v>
      </c>
      <c r="W15" s="68"/>
      <c r="X15" s="68"/>
      <c r="Y15" s="43" t="e">
        <f>VLOOKUP(T15,[2]Golpes!$A$1:$G$653,4,FALSE)</f>
        <v>#N/A</v>
      </c>
      <c r="Z15" s="43" t="e">
        <f>VLOOKUP(T15,[2]Golpes!$A$1:$G$653,5,FALSE)</f>
        <v>#N/A</v>
      </c>
      <c r="AA15" s="44" t="e">
        <f>VLOOKUP(T15,[2]Golpes!$A$1:$G$653,6,FALSE)</f>
        <v>#N/A</v>
      </c>
      <c r="AB15" s="17" t="e">
        <f>VLOOKUP(T15,[2]Golpes!$A$1:$G$653,7,FALSE)</f>
        <v>#N/A</v>
      </c>
      <c r="AC15" s="35"/>
    </row>
    <row r="16" spans="1:31" ht="15" thickBot="1" x14ac:dyDescent="0.35">
      <c r="A16" s="59">
        <v>3</v>
      </c>
      <c r="B16" s="59"/>
      <c r="C16" s="59"/>
    </row>
    <row r="17" spans="1:31" ht="15" thickBot="1" x14ac:dyDescent="0.35">
      <c r="A17" s="64" t="s">
        <v>47</v>
      </c>
      <c r="B17" s="65"/>
      <c r="C17" s="66"/>
      <c r="E17" s="2" t="s">
        <v>1</v>
      </c>
      <c r="F17" s="3"/>
      <c r="G17" s="4"/>
      <c r="H17" s="5"/>
      <c r="I17" s="6" t="s">
        <v>2</v>
      </c>
      <c r="J17" s="6" t="s">
        <v>3</v>
      </c>
      <c r="K17" s="6" t="s">
        <v>4</v>
      </c>
      <c r="L17" s="7" t="s">
        <v>5</v>
      </c>
      <c r="M17" s="8"/>
      <c r="N17" s="9"/>
      <c r="O17" s="53" t="s">
        <v>6</v>
      </c>
      <c r="P17" s="54"/>
      <c r="T17" s="2" t="s">
        <v>1</v>
      </c>
      <c r="U17" s="3"/>
      <c r="V17" s="4"/>
      <c r="W17" s="5"/>
      <c r="X17" s="6" t="s">
        <v>2</v>
      </c>
      <c r="Y17" s="6" t="s">
        <v>3</v>
      </c>
      <c r="Z17" s="6" t="s">
        <v>4</v>
      </c>
      <c r="AA17" s="7" t="s">
        <v>5</v>
      </c>
      <c r="AB17" s="8"/>
      <c r="AC17" s="9"/>
      <c r="AD17" s="53" t="s">
        <v>6</v>
      </c>
      <c r="AE17" s="54"/>
    </row>
    <row r="18" spans="1:31" x14ac:dyDescent="0.3">
      <c r="A18" s="71"/>
      <c r="B18" s="49"/>
      <c r="C18" s="72"/>
      <c r="E18" s="11" t="s">
        <v>8</v>
      </c>
      <c r="F18" s="8" t="s">
        <v>9</v>
      </c>
      <c r="G18" s="12" t="s">
        <v>10</v>
      </c>
      <c r="H18" s="13" t="s">
        <v>11</v>
      </c>
      <c r="I18" s="14" t="e">
        <f>VLOOKUP(F17,[1]Pokemon!$A$1:$I$874,3,FALSE)+IF(F19="Sim",20,0)</f>
        <v>#N/A</v>
      </c>
      <c r="J18" s="15">
        <v>0</v>
      </c>
      <c r="K18" s="8" t="e">
        <f>IF($B$5="Vigoroso",ROUNDUP((N18+J18)*1.2,0),N18+J18)</f>
        <v>#N/A</v>
      </c>
      <c r="L18" s="16">
        <v>0</v>
      </c>
      <c r="M18" s="17"/>
      <c r="N18" s="9" t="e">
        <f>I18+LOOKUP(I18,[1]Dados!$C$3:$D$12,[1]Dados!$E$3:$E$12)*(ROUNDDOWN(F21/2,0))+LOOKUP(I18,[1]Dados!$C$3:$D$12,[1]Dados!$F$3:$F$12)*(ROUNDDOWN((F21-1)/2,0))</f>
        <v>#N/A</v>
      </c>
      <c r="O18" s="18" t="s">
        <v>12</v>
      </c>
      <c r="P18" s="19"/>
      <c r="T18" s="11" t="s">
        <v>8</v>
      </c>
      <c r="U18" s="8" t="s">
        <v>9</v>
      </c>
      <c r="V18" s="12" t="s">
        <v>10</v>
      </c>
      <c r="W18" s="13" t="s">
        <v>11</v>
      </c>
      <c r="X18" s="14" t="e">
        <f>VLOOKUP(U17,[1]Pokemon!$A$1:$I$874,3,FALSE)+IF(U19="Sim",20,0)</f>
        <v>#N/A</v>
      </c>
      <c r="Y18" s="15">
        <v>0</v>
      </c>
      <c r="Z18" s="8" t="e">
        <f>IF($B$5="Vigoroso",ROUNDUP((AC18+Y18)*1.2,0),AC18+Y18)</f>
        <v>#N/A</v>
      </c>
      <c r="AA18" s="16">
        <v>0</v>
      </c>
      <c r="AB18" s="17"/>
      <c r="AC18" s="9" t="e">
        <f>X18+LOOKUP(X18,[1]Dados!$C$3:$D$12,[1]Dados!$E$3:$E$12)*(ROUNDDOWN(U21/2,0))+LOOKUP(X18,[1]Dados!$C$3:$D$12,[1]Dados!$F$3:$F$12)*(ROUNDDOWN((U21-1)/2,0))</f>
        <v>#N/A</v>
      </c>
      <c r="AD18" s="18" t="s">
        <v>12</v>
      </c>
      <c r="AE18" s="19"/>
    </row>
    <row r="19" spans="1:31" x14ac:dyDescent="0.3">
      <c r="A19" s="71"/>
      <c r="B19" s="49"/>
      <c r="C19" s="72"/>
      <c r="E19" s="11" t="s">
        <v>14</v>
      </c>
      <c r="F19" s="8" t="s">
        <v>15</v>
      </c>
      <c r="G19" s="20"/>
      <c r="H19" s="13" t="s">
        <v>16</v>
      </c>
      <c r="I19" s="21">
        <f>20+IF(F19="Sim",10,0)</f>
        <v>20</v>
      </c>
      <c r="J19" s="22">
        <v>0</v>
      </c>
      <c r="K19" s="8">
        <f>18+(F21*2)+IF(F19="Sim",10,0)+J19</f>
        <v>20</v>
      </c>
      <c r="L19" s="16">
        <v>0</v>
      </c>
      <c r="M19" s="17"/>
      <c r="N19" s="9"/>
      <c r="O19" s="18" t="s">
        <v>17</v>
      </c>
      <c r="P19" s="19"/>
      <c r="T19" s="11" t="s">
        <v>14</v>
      </c>
      <c r="U19" s="8" t="s">
        <v>15</v>
      </c>
      <c r="V19" s="20"/>
      <c r="W19" s="13" t="s">
        <v>16</v>
      </c>
      <c r="X19" s="21">
        <f>20+IF(U19="Sim",10,0)</f>
        <v>20</v>
      </c>
      <c r="Y19" s="22">
        <v>0</v>
      </c>
      <c r="Z19" s="8">
        <f>18+(U21*2)+IF(U19="Sim",10,0)+Y19</f>
        <v>20</v>
      </c>
      <c r="AA19" s="16">
        <v>0</v>
      </c>
      <c r="AB19" s="17"/>
      <c r="AC19" s="9"/>
      <c r="AD19" s="18" t="s">
        <v>17</v>
      </c>
      <c r="AE19" s="19"/>
    </row>
    <row r="20" spans="1:31" x14ac:dyDescent="0.3">
      <c r="A20" s="71"/>
      <c r="B20" s="49"/>
      <c r="C20" s="72"/>
      <c r="E20" s="11" t="s">
        <v>19</v>
      </c>
      <c r="F20" s="23" t="e">
        <f>VLOOKUP(F17,[1]Pokemon!$A$1:$I$874,2,FALSE)</f>
        <v>#N/A</v>
      </c>
      <c r="G20" s="20"/>
      <c r="H20" s="13" t="s">
        <v>12</v>
      </c>
      <c r="I20" s="14" t="e">
        <f>VLOOKUP(F17,[1]Pokemon!$A$1:$I$874,4,FALSE)+IF(F19="Sim",1,0)</f>
        <v>#N/A</v>
      </c>
      <c r="J20" s="22">
        <v>1</v>
      </c>
      <c r="K20" s="8" t="e">
        <f>IF(L23="Sim", ROUNDUP((N20+ROUNDDOWN(F23/10,0))*J20*P18,0), ROUNDUP((N20+ROUNDDOWN(F23/10,0))*J20,0))</f>
        <v>#N/A</v>
      </c>
      <c r="L20" s="24" t="s">
        <v>20</v>
      </c>
      <c r="M20" s="17"/>
      <c r="N20" s="9" t="e">
        <f>I20+LOOKUP(I20,[1]Dados!$H$3:$I$12,[1]Dados!$J$3:$J$12)*(ROUNDDOWN(F21/2,0))+LOOKUP(I20,[1]Dados!$H$3:$I$12,[1]Dados!$K$3:$K$12)*(ROUNDDOWN((F21-1)/2,0))</f>
        <v>#N/A</v>
      </c>
      <c r="O20" s="18" t="s">
        <v>21</v>
      </c>
      <c r="P20" s="19"/>
      <c r="T20" s="11" t="s">
        <v>19</v>
      </c>
      <c r="U20" s="23" t="e">
        <f>VLOOKUP(U17,[1]Pokemon!$A$1:$I$874,2,FALSE)</f>
        <v>#N/A</v>
      </c>
      <c r="V20" s="20"/>
      <c r="W20" s="13" t="s">
        <v>12</v>
      </c>
      <c r="X20" s="14" t="e">
        <f>VLOOKUP(U17,[1]Pokemon!$A$1:$I$874,4,FALSE)+IF(U19="Sim",1,0)</f>
        <v>#N/A</v>
      </c>
      <c r="Y20" s="22">
        <v>1</v>
      </c>
      <c r="Z20" s="8" t="e">
        <f>IF(AA23="Sim", ROUNDUP((AC20+ROUNDDOWN(U23/10,0))*Y20*AE18,0), ROUNDUP((AC20+ROUNDDOWN(U23/10,0))*Y20,0))</f>
        <v>#N/A</v>
      </c>
      <c r="AA20" s="24" t="s">
        <v>20</v>
      </c>
      <c r="AB20" s="17"/>
      <c r="AC20" s="9" t="e">
        <f>X20+LOOKUP(X20,[1]Dados!$H$3:$I$12,[1]Dados!$J$3:$J$12)*(ROUNDDOWN(U21/2,0))+LOOKUP(X20,[1]Dados!$H$3:$I$12,[1]Dados!$K$3:$K$12)*(ROUNDDOWN((U21-1)/2,0))</f>
        <v>#N/A</v>
      </c>
      <c r="AD20" s="18" t="s">
        <v>21</v>
      </c>
      <c r="AE20" s="19"/>
    </row>
    <row r="21" spans="1:31" x14ac:dyDescent="0.3">
      <c r="A21" s="71"/>
      <c r="B21" s="49"/>
      <c r="C21" s="72"/>
      <c r="E21" s="11" t="s">
        <v>23</v>
      </c>
      <c r="F21" s="25">
        <v>1</v>
      </c>
      <c r="G21" s="20"/>
      <c r="H21" s="13" t="s">
        <v>17</v>
      </c>
      <c r="I21" s="14" t="e">
        <f>VLOOKUP(F17,[1]Pokemon!$A$1:$I$874,5,FALSE)+IF(F19="Sim",1,0)</f>
        <v>#N/A</v>
      </c>
      <c r="J21" s="22">
        <v>1</v>
      </c>
      <c r="K21" s="8" t="e">
        <f>IF(L23="Sim", ROUNDUP((N21+ROUNDDOWN(F23/10,0))*J21*P19,0), ROUNDUP((N21+ROUNDDOWN(F23/10,0))*J21,0))</f>
        <v>#N/A</v>
      </c>
      <c r="L21" s="26" t="e">
        <f>ROUNDDOWN(I24/2,0)</f>
        <v>#N/A</v>
      </c>
      <c r="M21" s="17"/>
      <c r="N21" s="9" t="e">
        <f>I21+LOOKUP(I21,[1]Dados!$H$3:$I$12,[1]Dados!$J$3:$J$12)*(ROUNDDOWN(F21/2,0))+LOOKUP(I21,[1]Dados!$H$3:$I$12,[1]Dados!$K$3:$K$12)*(ROUNDDOWN((F21-1)/2,0))</f>
        <v>#N/A</v>
      </c>
      <c r="O21" s="18" t="s">
        <v>24</v>
      </c>
      <c r="P21" s="19"/>
      <c r="T21" s="11" t="s">
        <v>23</v>
      </c>
      <c r="U21" s="25">
        <v>1</v>
      </c>
      <c r="V21" s="20"/>
      <c r="W21" s="13" t="s">
        <v>17</v>
      </c>
      <c r="X21" s="14" t="e">
        <f>VLOOKUP(U17,[1]Pokemon!$A$1:$I$874,5,FALSE)+IF(U19="Sim",1,0)</f>
        <v>#N/A</v>
      </c>
      <c r="Y21" s="22">
        <v>1</v>
      </c>
      <c r="Z21" s="8" t="e">
        <f>IF(AA23="Sim", ROUNDUP((AC21+ROUNDDOWN(U23/10,0))*Y21*AE19,0), ROUNDUP((AC21+ROUNDDOWN(U23/10,0))*Y21,0))</f>
        <v>#N/A</v>
      </c>
      <c r="AA21" s="26" t="e">
        <f>ROUNDDOWN(X24/2,0)</f>
        <v>#N/A</v>
      </c>
      <c r="AB21" s="17"/>
      <c r="AC21" s="9" t="e">
        <f>X21+LOOKUP(X21,[1]Dados!$H$3:$I$12,[1]Dados!$J$3:$J$12)*(ROUNDDOWN(U21/2,0))+LOOKUP(X21,[1]Dados!$H$3:$I$12,[1]Dados!$K$3:$K$12)*(ROUNDDOWN((U21-1)/2,0))</f>
        <v>#N/A</v>
      </c>
      <c r="AD21" s="18" t="s">
        <v>24</v>
      </c>
      <c r="AE21" s="19"/>
    </row>
    <row r="22" spans="1:31" ht="15" thickBot="1" x14ac:dyDescent="0.35">
      <c r="A22" s="71"/>
      <c r="B22" s="49"/>
      <c r="C22" s="72"/>
      <c r="E22" s="11" t="s">
        <v>26</v>
      </c>
      <c r="F22" s="23">
        <v>0</v>
      </c>
      <c r="G22" s="20"/>
      <c r="H22" s="13" t="s">
        <v>21</v>
      </c>
      <c r="I22" s="14" t="e">
        <f>VLOOKUP(F17,[1]Pokemon!$A$1:$I$874,6,FALSE)+IF(F19="Sim",1,0)</f>
        <v>#N/A</v>
      </c>
      <c r="J22" s="22">
        <v>1</v>
      </c>
      <c r="K22" s="8" t="e">
        <f>IF(L23="Sim", ROUNDUP((N22+ROUNDDOWN(F23/10,0))*J22*P20,0), ROUNDUP((N22+ROUNDDOWN(F23/10,0))*J22,0))</f>
        <v>#N/A</v>
      </c>
      <c r="L22" s="24" t="s">
        <v>27</v>
      </c>
      <c r="M22" s="17"/>
      <c r="N22" s="9" t="e">
        <f>I22+LOOKUP(I22,[1]Dados!$H$3:$I$12,[1]Dados!$J$3:$J$12)*(ROUNDDOWN(F21/2,0))+LOOKUP(I22,[1]Dados!$H$3:$I$12,[1]Dados!$K$3:$K$12)*(ROUNDDOWN((F21-1)/2,0))</f>
        <v>#N/A</v>
      </c>
      <c r="O22" s="28" t="s">
        <v>28</v>
      </c>
      <c r="P22" s="29"/>
      <c r="T22" s="11" t="s">
        <v>26</v>
      </c>
      <c r="U22" s="23">
        <v>0</v>
      </c>
      <c r="V22" s="20"/>
      <c r="W22" s="13" t="s">
        <v>21</v>
      </c>
      <c r="X22" s="14" t="e">
        <f>VLOOKUP(U17,[1]Pokemon!$A$1:$I$874,6,FALSE)+IF(U19="Sim",1,0)</f>
        <v>#N/A</v>
      </c>
      <c r="Y22" s="22">
        <v>1</v>
      </c>
      <c r="Z22" s="8" t="e">
        <f>IF(AA23="Sim", ROUNDUP((AC22+ROUNDDOWN(U23/10,0))*Y22*AE20,0), ROUNDUP((AC22+ROUNDDOWN(U23/10,0))*Y22,0))</f>
        <v>#N/A</v>
      </c>
      <c r="AA22" s="24" t="s">
        <v>27</v>
      </c>
      <c r="AB22" s="17"/>
      <c r="AC22" s="9" t="e">
        <f>X22+LOOKUP(X22,[1]Dados!$H$3:$I$12,[1]Dados!$J$3:$J$12)*(ROUNDDOWN(U21/2,0))+LOOKUP(X22,[1]Dados!$H$3:$I$12,[1]Dados!$K$3:$K$12)*(ROUNDDOWN((U21-1)/2,0))</f>
        <v>#N/A</v>
      </c>
      <c r="AD22" s="28" t="s">
        <v>28</v>
      </c>
      <c r="AE22" s="29"/>
    </row>
    <row r="23" spans="1:31" x14ac:dyDescent="0.3">
      <c r="A23" s="71"/>
      <c r="B23" s="49"/>
      <c r="C23" s="72"/>
      <c r="E23" s="11" t="s">
        <v>29</v>
      </c>
      <c r="F23" s="30">
        <v>0</v>
      </c>
      <c r="G23" s="20"/>
      <c r="H23" s="13" t="s">
        <v>24</v>
      </c>
      <c r="I23" s="14" t="e">
        <f>VLOOKUP(F17,[1]Pokemon!$A$1:$I$874,7,FALSE)+IF(F19="Sim",1,0)</f>
        <v>#N/A</v>
      </c>
      <c r="J23" s="22">
        <v>1</v>
      </c>
      <c r="K23" s="8" t="e">
        <f>IF(L23="Sim", ROUNDUP((N23+ROUNDDOWN(F23/10,0))*J23*P21,0), ROUNDUP((N23+ROUNDDOWN(F23/10,0))*J23,0))</f>
        <v>#N/A</v>
      </c>
      <c r="L23" s="26" t="s">
        <v>15</v>
      </c>
      <c r="M23" s="17"/>
      <c r="N23" s="9" t="e">
        <f>I23+LOOKUP(I23,[1]Dados!$H$3:$I$12,[1]Dados!$J$3:$J$12)*(ROUNDDOWN(F21/2,0))+LOOKUP(I23,[1]Dados!$H$3:$I$12,[1]Dados!$K$3:$K$12)*(ROUNDDOWN((F21-1)/2,0))</f>
        <v>#N/A</v>
      </c>
      <c r="T23" s="11" t="s">
        <v>29</v>
      </c>
      <c r="U23" s="30">
        <v>0</v>
      </c>
      <c r="V23" s="20"/>
      <c r="W23" s="13" t="s">
        <v>24</v>
      </c>
      <c r="X23" s="14" t="e">
        <f>VLOOKUP(U17,[1]Pokemon!$A$1:$I$874,7,FALSE)+IF(U19="Sim",1,0)</f>
        <v>#N/A</v>
      </c>
      <c r="Y23" s="22">
        <v>1</v>
      </c>
      <c r="Z23" s="8" t="e">
        <f>IF(AA23="Sim", ROUNDUP((AC23+ROUNDDOWN(U23/10,0))*Y23*AE21,0), ROUNDUP((AC23+ROUNDDOWN(U23/10,0))*Y23,0))</f>
        <v>#N/A</v>
      </c>
      <c r="AA23" s="26" t="s">
        <v>15</v>
      </c>
      <c r="AB23" s="17"/>
      <c r="AC23" s="9" t="e">
        <f>X23+LOOKUP(X23,[1]Dados!$H$3:$I$12,[1]Dados!$J$3:$J$12)*(ROUNDDOWN(U21/2,0))+LOOKUP(X23,[1]Dados!$H$3:$I$12,[1]Dados!$K$3:$K$12)*(ROUNDDOWN((U21-1)/2,0))</f>
        <v>#N/A</v>
      </c>
    </row>
    <row r="24" spans="1:31" x14ac:dyDescent="0.3">
      <c r="A24" s="71"/>
      <c r="B24" s="49"/>
      <c r="C24" s="72"/>
      <c r="E24" s="11" t="s">
        <v>31</v>
      </c>
      <c r="F24" s="23" t="s">
        <v>32</v>
      </c>
      <c r="G24" s="20"/>
      <c r="H24" s="13" t="s">
        <v>28</v>
      </c>
      <c r="I24" s="14" t="e">
        <f>VLOOKUP(F17,[1]Pokemon!$A$1:$I$874,8,FALSE)+IF(F19="Sim",1,0)</f>
        <v>#N/A</v>
      </c>
      <c r="J24" s="22">
        <f>1*IF(F25="Paralisado",0.5,1)</f>
        <v>1</v>
      </c>
      <c r="K24" s="8" t="e">
        <f>IF(L23="Sim", ROUNDUP(N24*J24*P22,0), ROUNDUP(N24*J24,0))</f>
        <v>#N/A</v>
      </c>
      <c r="L24" s="31" t="e">
        <f>IF(L23 = "Sim", ROUNDUP((K24/(10*P22)), 0)&amp;"d6", ROUNDUP((K24/10), 0)&amp;"d6")</f>
        <v>#N/A</v>
      </c>
      <c r="M24" s="17"/>
      <c r="N24" s="9" t="e">
        <f>I24+LOOKUP(I24,[1]Dados!$H$3:$I$12,[1]Dados!$J$3:$J$12)*(ROUNDDOWN(F21/2,0))+LOOKUP(I24,[1]Dados!$H$3:$I$12,[1]Dados!$K$3:$K$12)*(ROUNDDOWN((F21-1)/2,0))</f>
        <v>#N/A</v>
      </c>
      <c r="T24" s="11" t="s">
        <v>31</v>
      </c>
      <c r="U24" s="23" t="s">
        <v>32</v>
      </c>
      <c r="V24" s="20"/>
      <c r="W24" s="13" t="s">
        <v>28</v>
      </c>
      <c r="X24" s="14" t="e">
        <f>VLOOKUP(U17,[1]Pokemon!$A$1:$I$874,8,FALSE)+IF(U19="Sim",1,0)</f>
        <v>#N/A</v>
      </c>
      <c r="Y24" s="22">
        <f>1*IF(U25="Paralisado",0.5,1)</f>
        <v>1</v>
      </c>
      <c r="Z24" s="8" t="e">
        <f>IF(AA23="Sim", ROUNDUP(AC24*Y24*AE22,0), ROUNDUP(AC24*Y24,0))</f>
        <v>#N/A</v>
      </c>
      <c r="AA24" s="31" t="e">
        <f>IF(AA23 = "Sim", ROUNDUP((Z24/(10*AE22)), 0)&amp;"d6", ROUNDUP((Z24/10), 0)&amp;"d6")</f>
        <v>#N/A</v>
      </c>
      <c r="AB24" s="17"/>
      <c r="AC24" s="9" t="e">
        <f>X24+LOOKUP(X24,[1]Dados!$H$3:$I$12,[1]Dados!$J$3:$J$12)*(ROUNDDOWN(U21/2,0))+LOOKUP(X24,[1]Dados!$H$3:$I$12,[1]Dados!$K$3:$K$12)*(ROUNDDOWN((U21-1)/2,0))</f>
        <v>#N/A</v>
      </c>
    </row>
    <row r="25" spans="1:31" x14ac:dyDescent="0.3">
      <c r="A25" s="71"/>
      <c r="B25" s="49"/>
      <c r="C25" s="72"/>
      <c r="E25" s="11" t="s">
        <v>34</v>
      </c>
      <c r="F25" s="23"/>
      <c r="G25" s="20"/>
      <c r="H25" s="13" t="s">
        <v>35</v>
      </c>
      <c r="I25" s="14" t="e">
        <f>VLOOKUP(F17,[1]Pokemon!$A$1:$I$874,9,FALSE)</f>
        <v>#N/A</v>
      </c>
      <c r="J25" s="13" t="s">
        <v>36</v>
      </c>
      <c r="K25" s="13"/>
      <c r="L25" s="32" t="e">
        <f>((F21+1)*I25/2)-F22</f>
        <v>#N/A</v>
      </c>
      <c r="M25" s="17"/>
      <c r="N25" s="33"/>
      <c r="T25" s="11" t="s">
        <v>34</v>
      </c>
      <c r="U25" s="23"/>
      <c r="V25" s="20"/>
      <c r="W25" s="13" t="s">
        <v>35</v>
      </c>
      <c r="X25" s="14" t="e">
        <f>VLOOKUP(U17,[1]Pokemon!$A$1:$I$874,9,FALSE)</f>
        <v>#N/A</v>
      </c>
      <c r="Y25" s="13" t="s">
        <v>36</v>
      </c>
      <c r="Z25" s="13"/>
      <c r="AA25" s="32" t="e">
        <f>((U21+1)*X25/2)-U22</f>
        <v>#N/A</v>
      </c>
      <c r="AB25" s="17"/>
      <c r="AC25" s="33"/>
    </row>
    <row r="26" spans="1:31" x14ac:dyDescent="0.3">
      <c r="A26" s="71"/>
      <c r="B26" s="49"/>
      <c r="C26" s="72"/>
      <c r="E26" s="34"/>
      <c r="F26" s="8"/>
      <c r="G26" s="17"/>
      <c r="H26" s="8"/>
      <c r="I26" s="8"/>
      <c r="J26" s="8"/>
      <c r="K26" s="8"/>
      <c r="L26" s="26"/>
      <c r="M26" s="17"/>
      <c r="N26" s="35"/>
      <c r="T26" s="34"/>
      <c r="U26" s="8"/>
      <c r="V26" s="17"/>
      <c r="W26" s="8"/>
      <c r="X26" s="8"/>
      <c r="Y26" s="8"/>
      <c r="Z26" s="8"/>
      <c r="AA26" s="26"/>
      <c r="AB26" s="17"/>
      <c r="AC26" s="35"/>
    </row>
    <row r="27" spans="1:31" x14ac:dyDescent="0.3">
      <c r="A27" s="71"/>
      <c r="B27" s="49"/>
      <c r="C27" s="72"/>
      <c r="E27" s="60" t="s">
        <v>39</v>
      </c>
      <c r="F27" s="61"/>
      <c r="G27" s="13" t="s">
        <v>40</v>
      </c>
      <c r="H27" s="13"/>
      <c r="I27" s="13"/>
      <c r="J27" s="13" t="s">
        <v>16</v>
      </c>
      <c r="K27" s="13" t="s">
        <v>41</v>
      </c>
      <c r="L27" s="24" t="s">
        <v>42</v>
      </c>
      <c r="M27" s="17"/>
      <c r="N27" s="35"/>
      <c r="T27" s="60" t="s">
        <v>39</v>
      </c>
      <c r="U27" s="61"/>
      <c r="V27" s="13" t="s">
        <v>40</v>
      </c>
      <c r="W27" s="13"/>
      <c r="X27" s="13"/>
      <c r="Y27" s="13" t="s">
        <v>16</v>
      </c>
      <c r="Z27" s="13" t="s">
        <v>41</v>
      </c>
      <c r="AA27" s="24" t="s">
        <v>42</v>
      </c>
      <c r="AB27" s="17"/>
      <c r="AC27" s="35"/>
    </row>
    <row r="28" spans="1:31" x14ac:dyDescent="0.3">
      <c r="A28" s="71"/>
      <c r="B28" s="49"/>
      <c r="C28" s="72"/>
      <c r="E28" s="62"/>
      <c r="F28" s="63"/>
      <c r="G28" s="63" t="e">
        <f>VLOOKUP(E28,[2]Golpes!$A$1:$G$653,2,FALSE)&amp;"/"&amp;VLOOKUP(E28,[2]Golpes!$A$1:$G$653,3,FALSE)</f>
        <v>#N/A</v>
      </c>
      <c r="H28" s="63"/>
      <c r="I28" s="63"/>
      <c r="J28" s="25" t="e">
        <f>VLOOKUP(E28,[2]Golpes!$A$1:$G$653,4,FALSE)</f>
        <v>#N/A</v>
      </c>
      <c r="K28" s="25" t="e">
        <f>VLOOKUP(E28,[2]Golpes!$A$1:$G$653,5,FALSE)</f>
        <v>#N/A</v>
      </c>
      <c r="L28" s="36" t="e">
        <f>VLOOKUP(E28,[2]Golpes!$A$1:$G$653,6,FALSE)</f>
        <v>#N/A</v>
      </c>
      <c r="M28" s="17" t="e">
        <f>VLOOKUP(E28,[2]Golpes!$A$1:$G$653,7,FALSE)</f>
        <v>#N/A</v>
      </c>
      <c r="N28" s="35"/>
      <c r="T28" s="62"/>
      <c r="U28" s="63"/>
      <c r="V28" s="63" t="e">
        <f>VLOOKUP(T28,[2]Golpes!$A$1:$G$653,2,FALSE)&amp;"/"&amp;VLOOKUP(T28,[2]Golpes!$A$1:$G$653,3,FALSE)</f>
        <v>#N/A</v>
      </c>
      <c r="W28" s="63"/>
      <c r="X28" s="63"/>
      <c r="Y28" s="25" t="e">
        <f>VLOOKUP(T28,[2]Golpes!$A$1:$G$653,4,FALSE)</f>
        <v>#N/A</v>
      </c>
      <c r="Z28" s="25" t="e">
        <f>VLOOKUP(T28,[2]Golpes!$A$1:$G$653,5,FALSE)</f>
        <v>#N/A</v>
      </c>
      <c r="AA28" s="36" t="e">
        <f>VLOOKUP(T28,[2]Golpes!$A$1:$G$653,6,FALSE)</f>
        <v>#N/A</v>
      </c>
      <c r="AB28" s="17" t="e">
        <f>VLOOKUP(T28,[2]Golpes!$A$1:$G$653,7,FALSE)</f>
        <v>#N/A</v>
      </c>
      <c r="AC28" s="35"/>
    </row>
    <row r="29" spans="1:31" ht="15" thickBot="1" x14ac:dyDescent="0.35">
      <c r="A29" s="73"/>
      <c r="B29" s="74"/>
      <c r="C29" s="75"/>
      <c r="E29" s="62"/>
      <c r="F29" s="63"/>
      <c r="G29" s="63" t="e">
        <f>VLOOKUP(E29,[2]Golpes!$A$1:$G$653,2,FALSE)&amp;"/"&amp;VLOOKUP(E29,[2]Golpes!$A$1:$G$653,3,FALSE)</f>
        <v>#N/A</v>
      </c>
      <c r="H29" s="63"/>
      <c r="I29" s="63"/>
      <c r="J29" s="25" t="e">
        <f>VLOOKUP(E29,[2]Golpes!$A$1:$G$653,4,FALSE)</f>
        <v>#N/A</v>
      </c>
      <c r="K29" s="25" t="e">
        <f>VLOOKUP(E29,[2]Golpes!$A$1:$G$653,5,FALSE)</f>
        <v>#N/A</v>
      </c>
      <c r="L29" s="36" t="e">
        <f>VLOOKUP(E29,[2]Golpes!$A$1:$G$653,6,FALSE)</f>
        <v>#N/A</v>
      </c>
      <c r="M29" s="17" t="e">
        <f>VLOOKUP(E29,[2]Golpes!$A$1:$G$653,7,FALSE)</f>
        <v>#N/A</v>
      </c>
      <c r="N29" s="35"/>
      <c r="T29" s="62"/>
      <c r="U29" s="63"/>
      <c r="V29" s="63" t="e">
        <f>VLOOKUP(T29,[2]Golpes!$A$1:$G$653,2,FALSE)&amp;"/"&amp;VLOOKUP(T29,[2]Golpes!$A$1:$G$653,3,FALSE)</f>
        <v>#N/A</v>
      </c>
      <c r="W29" s="63"/>
      <c r="X29" s="63"/>
      <c r="Y29" s="25" t="e">
        <f>VLOOKUP(T29,[2]Golpes!$A$1:$G$653,4,FALSE)</f>
        <v>#N/A</v>
      </c>
      <c r="Z29" s="25" t="e">
        <f>VLOOKUP(T29,[2]Golpes!$A$1:$G$653,5,FALSE)</f>
        <v>#N/A</v>
      </c>
      <c r="AA29" s="36" t="e">
        <f>VLOOKUP(T29,[2]Golpes!$A$1:$G$653,6,FALSE)</f>
        <v>#N/A</v>
      </c>
      <c r="AB29" s="17" t="e">
        <f>VLOOKUP(T29,[2]Golpes!$A$1:$G$653,7,FALSE)</f>
        <v>#N/A</v>
      </c>
      <c r="AC29" s="35"/>
    </row>
    <row r="30" spans="1:31" ht="15" thickBot="1" x14ac:dyDescent="0.35">
      <c r="A30" s="64" t="s">
        <v>48</v>
      </c>
      <c r="B30" s="65"/>
      <c r="C30" s="66"/>
      <c r="E30" s="62"/>
      <c r="F30" s="63"/>
      <c r="G30" s="63" t="e">
        <f>VLOOKUP(E30,[2]Golpes!$A$1:$G$653,2,FALSE)&amp;"/"&amp;VLOOKUP(E30,[2]Golpes!$A$1:$G$653,3,FALSE)</f>
        <v>#N/A</v>
      </c>
      <c r="H30" s="63"/>
      <c r="I30" s="63"/>
      <c r="J30" s="25" t="e">
        <f>VLOOKUP(E30,[2]Golpes!$A$1:$G$653,4,FALSE)</f>
        <v>#N/A</v>
      </c>
      <c r="K30" s="25" t="e">
        <f>VLOOKUP(E30,[2]Golpes!$A$1:$G$653,5,FALSE)</f>
        <v>#N/A</v>
      </c>
      <c r="L30" s="36" t="e">
        <f>VLOOKUP(E30,[2]Golpes!$A$1:$G$653,6,FALSE)</f>
        <v>#N/A</v>
      </c>
      <c r="M30" s="17" t="e">
        <f>VLOOKUP(E30,[2]Golpes!$A$1:$G$653,7,FALSE)</f>
        <v>#N/A</v>
      </c>
      <c r="N30" s="35"/>
      <c r="T30" s="62"/>
      <c r="U30" s="63"/>
      <c r="V30" s="63" t="e">
        <f>VLOOKUP(T30,[2]Golpes!$A$1:$G$653,2,FALSE)&amp;"/"&amp;VLOOKUP(T30,[2]Golpes!$A$1:$G$653,3,FALSE)</f>
        <v>#N/A</v>
      </c>
      <c r="W30" s="63"/>
      <c r="X30" s="63"/>
      <c r="Y30" s="25" t="e">
        <f>VLOOKUP(T30,[2]Golpes!$A$1:$G$653,4,FALSE)</f>
        <v>#N/A</v>
      </c>
      <c r="Z30" s="25" t="e">
        <f>VLOOKUP(T30,[2]Golpes!$A$1:$G$653,5,FALSE)</f>
        <v>#N/A</v>
      </c>
      <c r="AA30" s="36" t="e">
        <f>VLOOKUP(T30,[2]Golpes!$A$1:$G$653,6,FALSE)</f>
        <v>#N/A</v>
      </c>
      <c r="AB30" s="17" t="e">
        <f>VLOOKUP(T30,[2]Golpes!$A$1:$G$653,7,FALSE)</f>
        <v>#N/A</v>
      </c>
      <c r="AC30" s="35"/>
    </row>
    <row r="31" spans="1:31" ht="15" thickBot="1" x14ac:dyDescent="0.35">
      <c r="A31" s="84"/>
      <c r="B31" s="48"/>
      <c r="C31" s="85"/>
      <c r="E31" s="67"/>
      <c r="F31" s="68"/>
      <c r="G31" s="68" t="e">
        <f>VLOOKUP(E31,[2]Golpes!$A$1:$G$653,2,FALSE)&amp;"/"&amp;VLOOKUP(E31,[2]Golpes!$A$1:$G$653,3,FALSE)</f>
        <v>#N/A</v>
      </c>
      <c r="H31" s="68"/>
      <c r="I31" s="68"/>
      <c r="J31" s="43" t="e">
        <f>VLOOKUP(E31,[2]Golpes!$A$1:$G$653,4,FALSE)</f>
        <v>#N/A</v>
      </c>
      <c r="K31" s="43" t="e">
        <f>VLOOKUP(E31,[2]Golpes!$A$1:$G$653,5,FALSE)</f>
        <v>#N/A</v>
      </c>
      <c r="L31" s="44" t="e">
        <f>VLOOKUP(E31,[2]Golpes!$A$1:$G$653,6,FALSE)</f>
        <v>#N/A</v>
      </c>
      <c r="M31" s="17" t="e">
        <f>VLOOKUP(E31,[2]Golpes!$A$1:$G$653,7,FALSE)</f>
        <v>#N/A</v>
      </c>
      <c r="N31" s="35"/>
      <c r="T31" s="67"/>
      <c r="U31" s="68"/>
      <c r="V31" s="68" t="e">
        <f>VLOOKUP(T31,[2]Golpes!$A$1:$G$653,2,FALSE)&amp;"/"&amp;VLOOKUP(T31,[2]Golpes!$A$1:$G$653,3,FALSE)</f>
        <v>#N/A</v>
      </c>
      <c r="W31" s="68"/>
      <c r="X31" s="68"/>
      <c r="Y31" s="43" t="e">
        <f>VLOOKUP(T31,[2]Golpes!$A$1:$G$653,4,FALSE)</f>
        <v>#N/A</v>
      </c>
      <c r="Z31" s="43" t="e">
        <f>VLOOKUP(T31,[2]Golpes!$A$1:$G$653,5,FALSE)</f>
        <v>#N/A</v>
      </c>
      <c r="AA31" s="44" t="e">
        <f>VLOOKUP(T31,[2]Golpes!$A$1:$G$653,6,FALSE)</f>
        <v>#N/A</v>
      </c>
      <c r="AB31" s="17" t="e">
        <f>VLOOKUP(T31,[2]Golpes!$A$1:$G$653,7,FALSE)</f>
        <v>#N/A</v>
      </c>
      <c r="AC31" s="35"/>
    </row>
    <row r="32" spans="1:31" ht="15" thickBot="1" x14ac:dyDescent="0.35">
      <c r="A32" s="71"/>
      <c r="B32" s="49"/>
      <c r="C32" s="72"/>
    </row>
    <row r="33" spans="1:31" x14ac:dyDescent="0.3">
      <c r="A33" s="71"/>
      <c r="B33" s="49"/>
      <c r="C33" s="72"/>
      <c r="E33" s="2" t="s">
        <v>1</v>
      </c>
      <c r="F33" s="3"/>
      <c r="G33" s="4"/>
      <c r="H33" s="5"/>
      <c r="I33" s="6" t="s">
        <v>2</v>
      </c>
      <c r="J33" s="6" t="s">
        <v>3</v>
      </c>
      <c r="K33" s="6" t="s">
        <v>4</v>
      </c>
      <c r="L33" s="7" t="s">
        <v>5</v>
      </c>
      <c r="M33" s="8"/>
      <c r="N33" s="9"/>
      <c r="O33" s="53" t="s">
        <v>6</v>
      </c>
      <c r="P33" s="54"/>
      <c r="T33" s="2" t="s">
        <v>1</v>
      </c>
      <c r="U33" s="3"/>
      <c r="V33" s="4"/>
      <c r="W33" s="5"/>
      <c r="X33" s="6" t="s">
        <v>2</v>
      </c>
      <c r="Y33" s="6" t="s">
        <v>3</v>
      </c>
      <c r="Z33" s="6" t="s">
        <v>4</v>
      </c>
      <c r="AA33" s="7" t="s">
        <v>5</v>
      </c>
      <c r="AB33" s="8"/>
      <c r="AC33" s="9"/>
      <c r="AD33" s="53" t="s">
        <v>6</v>
      </c>
      <c r="AE33" s="54"/>
    </row>
    <row r="34" spans="1:31" x14ac:dyDescent="0.3">
      <c r="A34" s="71"/>
      <c r="B34" s="49"/>
      <c r="C34" s="72"/>
      <c r="E34" s="11" t="s">
        <v>8</v>
      </c>
      <c r="F34" s="8" t="s">
        <v>9</v>
      </c>
      <c r="G34" s="12" t="s">
        <v>10</v>
      </c>
      <c r="H34" s="13" t="s">
        <v>11</v>
      </c>
      <c r="I34" s="14" t="e">
        <f>VLOOKUP(F33,[1]Pokemon!$A$1:$I$874,3,FALSE)+IF(F35="Sim",20,0)</f>
        <v>#N/A</v>
      </c>
      <c r="J34" s="15">
        <v>0</v>
      </c>
      <c r="K34" s="8" t="e">
        <f>IF($B$5="Vigoroso",ROUNDUP((N34+J34)*1.2,0),N34+J34)</f>
        <v>#N/A</v>
      </c>
      <c r="L34" s="16">
        <v>0</v>
      </c>
      <c r="M34" s="17"/>
      <c r="N34" s="9" t="e">
        <f>I34+LOOKUP(I34,[1]Dados!$C$3:$D$12,[1]Dados!$E$3:$E$12)*(ROUNDDOWN(F37/2,0))+LOOKUP(I34,[1]Dados!$C$3:$D$12,[1]Dados!$F$3:$F$12)*(ROUNDDOWN((F37-1)/2,0))</f>
        <v>#N/A</v>
      </c>
      <c r="O34" s="18" t="s">
        <v>12</v>
      </c>
      <c r="P34" s="19"/>
      <c r="T34" s="11" t="s">
        <v>8</v>
      </c>
      <c r="U34" s="8" t="s">
        <v>9</v>
      </c>
      <c r="V34" s="12" t="s">
        <v>10</v>
      </c>
      <c r="W34" s="13" t="s">
        <v>11</v>
      </c>
      <c r="X34" s="14" t="e">
        <f>VLOOKUP(U33,[1]Pokemon!$A$1:$I$874,3,FALSE)+IF(U35="Sim",20,0)</f>
        <v>#N/A</v>
      </c>
      <c r="Y34" s="15">
        <v>0</v>
      </c>
      <c r="Z34" s="8" t="e">
        <f>IF($B$5="Vigoroso",ROUNDUP((AC34+Y34)*1.2,0),AC34+Y34)</f>
        <v>#N/A</v>
      </c>
      <c r="AA34" s="16">
        <v>0</v>
      </c>
      <c r="AB34" s="17"/>
      <c r="AC34" s="9" t="e">
        <f>X34+LOOKUP(X34,[1]Dados!$C$3:$D$12,[1]Dados!$E$3:$E$12)*(ROUNDDOWN(U37/2,0))+LOOKUP(X34,[1]Dados!$C$3:$D$12,[1]Dados!$F$3:$F$12)*(ROUNDDOWN((U37-1)/2,0))</f>
        <v>#N/A</v>
      </c>
      <c r="AD34" s="18" t="s">
        <v>12</v>
      </c>
      <c r="AE34" s="19"/>
    </row>
    <row r="35" spans="1:31" x14ac:dyDescent="0.3">
      <c r="A35" s="71"/>
      <c r="B35" s="49"/>
      <c r="C35" s="72"/>
      <c r="E35" s="11" t="s">
        <v>14</v>
      </c>
      <c r="F35" s="8" t="s">
        <v>15</v>
      </c>
      <c r="G35" s="20"/>
      <c r="H35" s="13" t="s">
        <v>16</v>
      </c>
      <c r="I35" s="21">
        <f>20+IF(F35="Sim",10,0)</f>
        <v>20</v>
      </c>
      <c r="J35" s="22">
        <v>0</v>
      </c>
      <c r="K35" s="8">
        <f>18+(F37*2)+IF(F35="Sim",10,0)+J35</f>
        <v>20</v>
      </c>
      <c r="L35" s="16">
        <v>0</v>
      </c>
      <c r="M35" s="17"/>
      <c r="N35" s="9"/>
      <c r="O35" s="18" t="s">
        <v>17</v>
      </c>
      <c r="P35" s="19"/>
      <c r="T35" s="11" t="s">
        <v>14</v>
      </c>
      <c r="U35" s="8" t="s">
        <v>15</v>
      </c>
      <c r="V35" s="20"/>
      <c r="W35" s="13" t="s">
        <v>16</v>
      </c>
      <c r="X35" s="21">
        <f>20+IF(U35="Sim",10,0)</f>
        <v>20</v>
      </c>
      <c r="Y35" s="22">
        <v>0</v>
      </c>
      <c r="Z35" s="8">
        <f>18+(U37*2)+IF(U35="Sim",10,0)+Y35</f>
        <v>20</v>
      </c>
      <c r="AA35" s="16">
        <v>0</v>
      </c>
      <c r="AB35" s="17"/>
      <c r="AC35" s="9"/>
      <c r="AD35" s="18" t="s">
        <v>17</v>
      </c>
      <c r="AE35" s="19"/>
    </row>
    <row r="36" spans="1:31" ht="15" thickBot="1" x14ac:dyDescent="0.35">
      <c r="A36" s="73"/>
      <c r="B36" s="74"/>
      <c r="C36" s="75"/>
      <c r="E36" s="11" t="s">
        <v>19</v>
      </c>
      <c r="F36" s="23" t="e">
        <f>VLOOKUP(F33,[1]Pokemon!$A$1:$I$874,2,FALSE)</f>
        <v>#N/A</v>
      </c>
      <c r="G36" s="20"/>
      <c r="H36" s="13" t="s">
        <v>12</v>
      </c>
      <c r="I36" s="14" t="e">
        <f>VLOOKUP(F33,[1]Pokemon!$A$1:$I$874,4,FALSE)+IF(F35="Sim",1,0)</f>
        <v>#N/A</v>
      </c>
      <c r="J36" s="22">
        <v>1</v>
      </c>
      <c r="K36" s="8" t="e">
        <f>IF(L39="Sim", ROUNDUP((N36+ROUNDDOWN(F39/10,0))*J36*P34,0), ROUNDUP((N36+ROUNDDOWN(F39/10,0))*J36,0))</f>
        <v>#N/A</v>
      </c>
      <c r="L36" s="24" t="s">
        <v>20</v>
      </c>
      <c r="M36" s="17"/>
      <c r="N36" s="9" t="e">
        <f>I36+LOOKUP(I36,[1]Dados!$H$3:$I$12,[1]Dados!$J$3:$J$12)*(ROUNDDOWN(F37/2,0))+LOOKUP(I36,[1]Dados!$H$3:$I$12,[1]Dados!$K$3:$K$12)*(ROUNDDOWN((F37-1)/2,0))</f>
        <v>#N/A</v>
      </c>
      <c r="O36" s="18" t="s">
        <v>21</v>
      </c>
      <c r="P36" s="19"/>
      <c r="T36" s="11" t="s">
        <v>19</v>
      </c>
      <c r="U36" s="23" t="e">
        <f>VLOOKUP(U33,[1]Pokemon!$A$1:$I$874,2,FALSE)</f>
        <v>#N/A</v>
      </c>
      <c r="V36" s="20"/>
      <c r="W36" s="13" t="s">
        <v>12</v>
      </c>
      <c r="X36" s="14" t="e">
        <f>VLOOKUP(U33,[1]Pokemon!$A$1:$I$874,4,FALSE)+IF(U35="Sim",1,0)</f>
        <v>#N/A</v>
      </c>
      <c r="Y36" s="22">
        <v>1</v>
      </c>
      <c r="Z36" s="8" t="e">
        <f>IF(AA39="Sim", ROUNDUP((AC36+ROUNDDOWN(U39/10,0))*Y36*AE34,0), ROUNDUP((AC36+ROUNDDOWN(U39/10,0))*Y36,0))</f>
        <v>#N/A</v>
      </c>
      <c r="AA36" s="24" t="s">
        <v>20</v>
      </c>
      <c r="AB36" s="17"/>
      <c r="AC36" s="9" t="e">
        <f>X36+LOOKUP(X36,[1]Dados!$H$3:$I$12,[1]Dados!$J$3:$J$12)*(ROUNDDOWN(U37/2,0))+LOOKUP(X36,[1]Dados!$H$3:$I$12,[1]Dados!$K$3:$K$12)*(ROUNDDOWN((U37-1)/2,0))</f>
        <v>#N/A</v>
      </c>
      <c r="AD36" s="18" t="s">
        <v>21</v>
      </c>
      <c r="AE36" s="19"/>
    </row>
    <row r="37" spans="1:31" ht="15" thickBot="1" x14ac:dyDescent="0.35">
      <c r="A37" s="64" t="s">
        <v>49</v>
      </c>
      <c r="B37" s="65"/>
      <c r="C37" s="66"/>
      <c r="E37" s="11" t="s">
        <v>23</v>
      </c>
      <c r="F37" s="25">
        <v>1</v>
      </c>
      <c r="G37" s="20"/>
      <c r="H37" s="13" t="s">
        <v>17</v>
      </c>
      <c r="I37" s="14" t="e">
        <f>VLOOKUP(F33,[1]Pokemon!$A$1:$I$874,5,FALSE)+IF(F35="Sim",1,0)</f>
        <v>#N/A</v>
      </c>
      <c r="J37" s="22">
        <v>1</v>
      </c>
      <c r="K37" s="8" t="e">
        <f>IF(L39="Sim", ROUNDUP((N37+ROUNDDOWN(F39/10,0))*J37*P35,0), ROUNDUP((N37+ROUNDDOWN(F39/10,0))*J37,0))</f>
        <v>#N/A</v>
      </c>
      <c r="L37" s="26" t="e">
        <f>ROUNDDOWN(I40/2,0)</f>
        <v>#N/A</v>
      </c>
      <c r="M37" s="17"/>
      <c r="N37" s="9" t="e">
        <f>I37+LOOKUP(I37,[1]Dados!$H$3:$I$12,[1]Dados!$J$3:$J$12)*(ROUNDDOWN(F37/2,0))+LOOKUP(I37,[1]Dados!$H$3:$I$12,[1]Dados!$K$3:$K$12)*(ROUNDDOWN((F37-1)/2,0))</f>
        <v>#N/A</v>
      </c>
      <c r="O37" s="18" t="s">
        <v>24</v>
      </c>
      <c r="P37" s="19"/>
      <c r="T37" s="11" t="s">
        <v>23</v>
      </c>
      <c r="U37" s="25">
        <v>1</v>
      </c>
      <c r="V37" s="20"/>
      <c r="W37" s="13" t="s">
        <v>17</v>
      </c>
      <c r="X37" s="14" t="e">
        <f>VLOOKUP(U33,[1]Pokemon!$A$1:$I$874,5,FALSE)+IF(U35="Sim",1,0)</f>
        <v>#N/A</v>
      </c>
      <c r="Y37" s="22">
        <v>1</v>
      </c>
      <c r="Z37" s="8" t="e">
        <f>IF(AA39="Sim", ROUNDUP((AC37+ROUNDDOWN(U39/10,0))*Y37*AE35,0), ROUNDUP((AC37+ROUNDDOWN(U39/10,0))*Y37,0))</f>
        <v>#N/A</v>
      </c>
      <c r="AA37" s="26" t="e">
        <f>ROUNDDOWN(X40/2,0)</f>
        <v>#N/A</v>
      </c>
      <c r="AB37" s="17"/>
      <c r="AC37" s="9" t="e">
        <f>X37+LOOKUP(X37,[1]Dados!$H$3:$I$12,[1]Dados!$J$3:$J$12)*(ROUNDDOWN(U37/2,0))+LOOKUP(X37,[1]Dados!$H$3:$I$12,[1]Dados!$K$3:$K$12)*(ROUNDDOWN((U37-1)/2,0))</f>
        <v>#N/A</v>
      </c>
      <c r="AD37" s="18" t="s">
        <v>24</v>
      </c>
      <c r="AE37" s="19"/>
    </row>
    <row r="38" spans="1:31" ht="15" thickBot="1" x14ac:dyDescent="0.35">
      <c r="A38" s="38"/>
      <c r="B38" s="38"/>
      <c r="C38" s="45"/>
      <c r="E38" s="11" t="s">
        <v>26</v>
      </c>
      <c r="F38" s="23">
        <v>0</v>
      </c>
      <c r="G38" s="20"/>
      <c r="H38" s="13" t="s">
        <v>21</v>
      </c>
      <c r="I38" s="14" t="e">
        <f>VLOOKUP(F33,[1]Pokemon!$A$1:$I$874,6,FALSE)+IF(F35="Sim",1,0)</f>
        <v>#N/A</v>
      </c>
      <c r="J38" s="22">
        <v>1</v>
      </c>
      <c r="K38" s="8" t="e">
        <f>IF(L39="Sim", ROUNDUP((N38+ROUNDDOWN(F39/10,0))*J38*P36,0), ROUNDUP((N38+ROUNDDOWN(F39/10,0))*J38,0))</f>
        <v>#N/A</v>
      </c>
      <c r="L38" s="24" t="s">
        <v>27</v>
      </c>
      <c r="M38" s="17"/>
      <c r="N38" s="9" t="e">
        <f>I38+LOOKUP(I38,[1]Dados!$H$3:$I$12,[1]Dados!$J$3:$J$12)*(ROUNDDOWN(F37/2,0))+LOOKUP(I38,[1]Dados!$H$3:$I$12,[1]Dados!$K$3:$K$12)*(ROUNDDOWN((F37-1)/2,0))</f>
        <v>#N/A</v>
      </c>
      <c r="O38" s="28" t="s">
        <v>28</v>
      </c>
      <c r="P38" s="29"/>
      <c r="T38" s="11" t="s">
        <v>26</v>
      </c>
      <c r="U38" s="23">
        <v>0</v>
      </c>
      <c r="V38" s="20"/>
      <c r="W38" s="13" t="s">
        <v>21</v>
      </c>
      <c r="X38" s="14" t="e">
        <f>VLOOKUP(U33,[1]Pokemon!$A$1:$I$874,6,FALSE)+IF(U35="Sim",1,0)</f>
        <v>#N/A</v>
      </c>
      <c r="Y38" s="22">
        <v>1</v>
      </c>
      <c r="Z38" s="8" t="e">
        <f>IF(AA39="Sim", ROUNDUP((AC38+ROUNDDOWN(U39/10,0))*Y38*AE36,0), ROUNDUP((AC38+ROUNDDOWN(U39/10,0))*Y38,0))</f>
        <v>#N/A</v>
      </c>
      <c r="AA38" s="24" t="s">
        <v>27</v>
      </c>
      <c r="AB38" s="17"/>
      <c r="AC38" s="9" t="e">
        <f>X38+LOOKUP(X38,[1]Dados!$H$3:$I$12,[1]Dados!$J$3:$J$12)*(ROUNDDOWN(U37/2,0))+LOOKUP(X38,[1]Dados!$H$3:$I$12,[1]Dados!$K$3:$K$12)*(ROUNDDOWN((U37-1)/2,0))</f>
        <v>#N/A</v>
      </c>
      <c r="AD38" s="28" t="s">
        <v>28</v>
      </c>
      <c r="AE38" s="29"/>
    </row>
    <row r="39" spans="1:31" x14ac:dyDescent="0.3">
      <c r="C39" s="46"/>
      <c r="E39" s="11" t="s">
        <v>29</v>
      </c>
      <c r="F39" s="30">
        <v>0</v>
      </c>
      <c r="G39" s="20"/>
      <c r="H39" s="13" t="s">
        <v>24</v>
      </c>
      <c r="I39" s="14" t="e">
        <f>VLOOKUP(F33,[1]Pokemon!$A$1:$I$874,7,FALSE)+IF(F35="Sim",1,0)</f>
        <v>#N/A</v>
      </c>
      <c r="J39" s="22">
        <v>1</v>
      </c>
      <c r="K39" s="8" t="e">
        <f>IF(L39="Sim", ROUNDUP((N39+ROUNDDOWN(F39/10,0))*J39*P37,0), ROUNDUP((N39+ROUNDDOWN(F39/10,0))*J39,0))</f>
        <v>#N/A</v>
      </c>
      <c r="L39" s="26" t="s">
        <v>15</v>
      </c>
      <c r="M39" s="17"/>
      <c r="N39" s="9" t="e">
        <f>I39+LOOKUP(I39,[1]Dados!$H$3:$I$12,[1]Dados!$J$3:$J$12)*(ROUNDDOWN(F37/2,0))+LOOKUP(I39,[1]Dados!$H$3:$I$12,[1]Dados!$K$3:$K$12)*(ROUNDDOWN((F37-1)/2,0))</f>
        <v>#N/A</v>
      </c>
      <c r="T39" s="11" t="s">
        <v>29</v>
      </c>
      <c r="U39" s="30">
        <v>0</v>
      </c>
      <c r="V39" s="20"/>
      <c r="W39" s="13" t="s">
        <v>24</v>
      </c>
      <c r="X39" s="14" t="e">
        <f>VLOOKUP(U33,[1]Pokemon!$A$1:$I$874,7,FALSE)+IF(U35="Sim",1,0)</f>
        <v>#N/A</v>
      </c>
      <c r="Y39" s="22">
        <v>1</v>
      </c>
      <c r="Z39" s="8" t="e">
        <f>IF(AA39="Sim", ROUNDUP((AC39+ROUNDDOWN(U39/10,0))*Y39*AE37,0), ROUNDUP((AC39+ROUNDDOWN(U39/10,0))*Y39,0))</f>
        <v>#N/A</v>
      </c>
      <c r="AA39" s="26" t="s">
        <v>15</v>
      </c>
      <c r="AB39" s="17"/>
      <c r="AC39" s="9" t="e">
        <f>X39+LOOKUP(X39,[1]Dados!$H$3:$I$12,[1]Dados!$J$3:$J$12)*(ROUNDDOWN(U37/2,0))+LOOKUP(X39,[1]Dados!$H$3:$I$12,[1]Dados!$K$3:$K$12)*(ROUNDDOWN((U37-1)/2,0))</f>
        <v>#N/A</v>
      </c>
    </row>
    <row r="40" spans="1:31" x14ac:dyDescent="0.3">
      <c r="C40" s="46"/>
      <c r="E40" s="11" t="s">
        <v>31</v>
      </c>
      <c r="F40" s="23" t="s">
        <v>32</v>
      </c>
      <c r="G40" s="20"/>
      <c r="H40" s="13" t="s">
        <v>28</v>
      </c>
      <c r="I40" s="14" t="e">
        <f>VLOOKUP(F33,[1]Pokemon!$A$1:$I$874,8,FALSE)+IF(F35="Sim",1,0)</f>
        <v>#N/A</v>
      </c>
      <c r="J40" s="22">
        <f>1*IF(F41="Paralisado",0.5,1)</f>
        <v>1</v>
      </c>
      <c r="K40" s="8" t="e">
        <f>IF(L39="Sim", ROUNDUP(N40*J40*P38,0), ROUNDUP(N40*J40,0))</f>
        <v>#N/A</v>
      </c>
      <c r="L40" s="31" t="e">
        <f>IF(L39 = "Sim", ROUNDUP((K40/(10*P38)), 0)&amp;"d6", ROUNDUP((K40/10), 0)&amp;"d6")</f>
        <v>#N/A</v>
      </c>
      <c r="M40" s="17"/>
      <c r="N40" s="9" t="e">
        <f>I40+LOOKUP(I40,[1]Dados!$H$3:$I$12,[1]Dados!$J$3:$J$12)*(ROUNDDOWN(F37/2,0))+LOOKUP(I40,[1]Dados!$H$3:$I$12,[1]Dados!$K$3:$K$12)*(ROUNDDOWN((F37-1)/2,0))</f>
        <v>#N/A</v>
      </c>
      <c r="T40" s="11" t="s">
        <v>31</v>
      </c>
      <c r="U40" s="23" t="s">
        <v>32</v>
      </c>
      <c r="V40" s="20"/>
      <c r="W40" s="13" t="s">
        <v>28</v>
      </c>
      <c r="X40" s="14" t="e">
        <f>VLOOKUP(U33,[1]Pokemon!$A$1:$I$874,8,FALSE)+IF(U35="Sim",1,0)</f>
        <v>#N/A</v>
      </c>
      <c r="Y40" s="22">
        <f>1*IF(U41="Paralisado",0.5,1)</f>
        <v>1</v>
      </c>
      <c r="Z40" s="8" t="e">
        <f>IF(AA39="Sim", ROUNDUP(AC40*Y40*AE38,0), ROUNDUP(AC40*Y40,0))</f>
        <v>#N/A</v>
      </c>
      <c r="AA40" s="31" t="e">
        <f>IF(AA39 = "Sim", ROUNDUP((Z40/(10*AE38)), 0)&amp;"d6", ROUNDUP((Z40/10), 0)&amp;"d6")</f>
        <v>#N/A</v>
      </c>
      <c r="AB40" s="17"/>
      <c r="AC40" s="9" t="e">
        <f>X40+LOOKUP(X40,[1]Dados!$H$3:$I$12,[1]Dados!$J$3:$J$12)*(ROUNDDOWN(U37/2,0))+LOOKUP(X40,[1]Dados!$H$3:$I$12,[1]Dados!$K$3:$K$12)*(ROUNDDOWN((U37-1)/2,0))</f>
        <v>#N/A</v>
      </c>
    </row>
    <row r="41" spans="1:31" x14ac:dyDescent="0.3">
      <c r="C41" s="46"/>
      <c r="E41" s="11" t="s">
        <v>34</v>
      </c>
      <c r="F41" s="23"/>
      <c r="G41" s="20"/>
      <c r="H41" s="13" t="s">
        <v>35</v>
      </c>
      <c r="I41" s="14" t="e">
        <f>VLOOKUP(F33,[1]Pokemon!$A$1:$I$874,9,FALSE)</f>
        <v>#N/A</v>
      </c>
      <c r="J41" s="13" t="s">
        <v>36</v>
      </c>
      <c r="K41" s="13"/>
      <c r="L41" s="32" t="e">
        <f>((F37+1)*I41/2)-F38</f>
        <v>#N/A</v>
      </c>
      <c r="M41" s="17"/>
      <c r="N41" s="33"/>
      <c r="T41" s="11" t="s">
        <v>34</v>
      </c>
      <c r="U41" s="23"/>
      <c r="V41" s="20"/>
      <c r="W41" s="13" t="s">
        <v>35</v>
      </c>
      <c r="X41" s="14" t="e">
        <f>VLOOKUP(U33,[1]Pokemon!$A$1:$I$874,9,FALSE)</f>
        <v>#N/A</v>
      </c>
      <c r="Y41" s="13" t="s">
        <v>36</v>
      </c>
      <c r="Z41" s="13"/>
      <c r="AA41" s="32" t="e">
        <f>((U37+1)*X41/2)-U38</f>
        <v>#N/A</v>
      </c>
      <c r="AB41" s="17"/>
      <c r="AC41" s="33"/>
    </row>
    <row r="42" spans="1:31" x14ac:dyDescent="0.3">
      <c r="C42" s="46"/>
      <c r="E42" s="34"/>
      <c r="F42" s="8"/>
      <c r="G42" s="17"/>
      <c r="H42" s="8"/>
      <c r="I42" s="8"/>
      <c r="J42" s="8"/>
      <c r="K42" s="8"/>
      <c r="L42" s="26"/>
      <c r="M42" s="17"/>
      <c r="N42" s="35"/>
      <c r="T42" s="34"/>
      <c r="U42" s="8"/>
      <c r="V42" s="17"/>
      <c r="W42" s="8"/>
      <c r="X42" s="8"/>
      <c r="Y42" s="8"/>
      <c r="Z42" s="8"/>
      <c r="AA42" s="26"/>
      <c r="AB42" s="17"/>
      <c r="AC42" s="35"/>
    </row>
    <row r="43" spans="1:31" x14ac:dyDescent="0.3">
      <c r="C43" s="46"/>
      <c r="E43" s="60" t="s">
        <v>39</v>
      </c>
      <c r="F43" s="61"/>
      <c r="G43" s="13" t="s">
        <v>40</v>
      </c>
      <c r="H43" s="13"/>
      <c r="I43" s="13"/>
      <c r="J43" s="13" t="s">
        <v>16</v>
      </c>
      <c r="K43" s="13" t="s">
        <v>41</v>
      </c>
      <c r="L43" s="24" t="s">
        <v>42</v>
      </c>
      <c r="M43" s="17"/>
      <c r="N43" s="35"/>
      <c r="T43" s="60" t="s">
        <v>39</v>
      </c>
      <c r="U43" s="61"/>
      <c r="V43" s="13" t="s">
        <v>40</v>
      </c>
      <c r="W43" s="13"/>
      <c r="X43" s="13"/>
      <c r="Y43" s="13" t="s">
        <v>16</v>
      </c>
      <c r="Z43" s="13" t="s">
        <v>41</v>
      </c>
      <c r="AA43" s="24" t="s">
        <v>42</v>
      </c>
      <c r="AB43" s="17"/>
      <c r="AC43" s="35"/>
    </row>
    <row r="44" spans="1:31" x14ac:dyDescent="0.3">
      <c r="C44" s="46"/>
      <c r="E44" s="62"/>
      <c r="F44" s="63"/>
      <c r="G44" s="63" t="e">
        <f>VLOOKUP(E44,[2]Golpes!$A$1:$G$653,2,FALSE)&amp;"/"&amp;VLOOKUP(E44,[2]Golpes!$A$1:$G$653,3,FALSE)</f>
        <v>#N/A</v>
      </c>
      <c r="H44" s="63"/>
      <c r="I44" s="63"/>
      <c r="J44" s="25" t="e">
        <f>VLOOKUP(E44,[2]Golpes!$A$1:$G$653,4,FALSE)</f>
        <v>#N/A</v>
      </c>
      <c r="K44" s="25" t="e">
        <f>VLOOKUP(E44,[2]Golpes!$A$1:$G$653,5,FALSE)</f>
        <v>#N/A</v>
      </c>
      <c r="L44" s="36" t="e">
        <f>VLOOKUP(E44,[2]Golpes!$A$1:$G$653,6,FALSE)</f>
        <v>#N/A</v>
      </c>
      <c r="M44" s="17" t="e">
        <f>VLOOKUP(E44,[2]Golpes!$A$1:$G$653,7,FALSE)</f>
        <v>#N/A</v>
      </c>
      <c r="N44" s="35"/>
      <c r="T44" s="62"/>
      <c r="U44" s="63"/>
      <c r="V44" s="63" t="e">
        <f>VLOOKUP(T44,[2]Golpes!$A$1:$G$653,2,FALSE)&amp;"/"&amp;VLOOKUP(T44,[2]Golpes!$A$1:$G$653,3,FALSE)</f>
        <v>#N/A</v>
      </c>
      <c r="W44" s="63"/>
      <c r="X44" s="63"/>
      <c r="Y44" s="25" t="e">
        <f>VLOOKUP(T44,[2]Golpes!$A$1:$G$653,4,FALSE)</f>
        <v>#N/A</v>
      </c>
      <c r="Z44" s="25" t="e">
        <f>VLOOKUP(T44,[2]Golpes!$A$1:$G$653,5,FALSE)</f>
        <v>#N/A</v>
      </c>
      <c r="AA44" s="36" t="e">
        <f>VLOOKUP(T44,[2]Golpes!$A$1:$G$653,6,FALSE)</f>
        <v>#N/A</v>
      </c>
      <c r="AB44" s="17" t="e">
        <f>VLOOKUP(T44,[2]Golpes!$A$1:$G$653,7,FALSE)</f>
        <v>#N/A</v>
      </c>
      <c r="AC44" s="35"/>
    </row>
    <row r="45" spans="1:31" x14ac:dyDescent="0.3">
      <c r="C45" s="46"/>
      <c r="E45" s="62"/>
      <c r="F45" s="63"/>
      <c r="G45" s="63" t="e">
        <f>VLOOKUP(E45,[2]Golpes!$A$1:$G$653,2,FALSE)&amp;"/"&amp;VLOOKUP(E45,[2]Golpes!$A$1:$G$653,3,FALSE)</f>
        <v>#N/A</v>
      </c>
      <c r="H45" s="63"/>
      <c r="I45" s="63"/>
      <c r="J45" s="25" t="e">
        <f>VLOOKUP(E45,[2]Golpes!$A$1:$G$653,4,FALSE)</f>
        <v>#N/A</v>
      </c>
      <c r="K45" s="25" t="e">
        <f>VLOOKUP(E45,[2]Golpes!$A$1:$G$653,5,FALSE)</f>
        <v>#N/A</v>
      </c>
      <c r="L45" s="36" t="e">
        <f>VLOOKUP(E45,[2]Golpes!$A$1:$G$653,6,FALSE)</f>
        <v>#N/A</v>
      </c>
      <c r="M45" s="17" t="e">
        <f>VLOOKUP(E45,[2]Golpes!$A$1:$G$653,7,FALSE)</f>
        <v>#N/A</v>
      </c>
      <c r="N45" s="35"/>
      <c r="T45" s="62"/>
      <c r="U45" s="63"/>
      <c r="V45" s="63" t="e">
        <f>VLOOKUP(T45,[2]Golpes!$A$1:$G$653,2,FALSE)&amp;"/"&amp;VLOOKUP(T45,[2]Golpes!$A$1:$G$653,3,FALSE)</f>
        <v>#N/A</v>
      </c>
      <c r="W45" s="63"/>
      <c r="X45" s="63"/>
      <c r="Y45" s="25" t="e">
        <f>VLOOKUP(T45,[2]Golpes!$A$1:$G$653,4,FALSE)</f>
        <v>#N/A</v>
      </c>
      <c r="Z45" s="25" t="e">
        <f>VLOOKUP(T45,[2]Golpes!$A$1:$G$653,5,FALSE)</f>
        <v>#N/A</v>
      </c>
      <c r="AA45" s="36" t="e">
        <f>VLOOKUP(T45,[2]Golpes!$A$1:$G$653,6,FALSE)</f>
        <v>#N/A</v>
      </c>
      <c r="AB45" s="17" t="e">
        <f>VLOOKUP(T45,[2]Golpes!$A$1:$G$653,7,FALSE)</f>
        <v>#N/A</v>
      </c>
      <c r="AC45" s="35"/>
    </row>
    <row r="46" spans="1:31" x14ac:dyDescent="0.3">
      <c r="C46" s="46"/>
      <c r="E46" s="62"/>
      <c r="F46" s="63"/>
      <c r="G46" s="63" t="e">
        <f>VLOOKUP(E46,[2]Golpes!$A$1:$G$653,2,FALSE)&amp;"/"&amp;VLOOKUP(E46,[2]Golpes!$A$1:$G$653,3,FALSE)</f>
        <v>#N/A</v>
      </c>
      <c r="H46" s="63"/>
      <c r="I46" s="63"/>
      <c r="J46" s="25" t="e">
        <f>VLOOKUP(E46,[2]Golpes!$A$1:$G$653,4,FALSE)</f>
        <v>#N/A</v>
      </c>
      <c r="K46" s="25" t="e">
        <f>VLOOKUP(E46,[2]Golpes!$A$1:$G$653,5,FALSE)</f>
        <v>#N/A</v>
      </c>
      <c r="L46" s="36" t="e">
        <f>VLOOKUP(E46,[2]Golpes!$A$1:$G$653,6,FALSE)</f>
        <v>#N/A</v>
      </c>
      <c r="M46" s="17" t="e">
        <f>VLOOKUP(E46,[2]Golpes!$A$1:$G$653,7,FALSE)</f>
        <v>#N/A</v>
      </c>
      <c r="N46" s="35"/>
      <c r="T46" s="62"/>
      <c r="U46" s="63"/>
      <c r="V46" s="63" t="e">
        <f>VLOOKUP(T46,[2]Golpes!$A$1:$G$653,2,FALSE)&amp;"/"&amp;VLOOKUP(T46,[2]Golpes!$A$1:$G$653,3,FALSE)</f>
        <v>#N/A</v>
      </c>
      <c r="W46" s="63"/>
      <c r="X46" s="63"/>
      <c r="Y46" s="25" t="e">
        <f>VLOOKUP(T46,[2]Golpes!$A$1:$G$653,4,FALSE)</f>
        <v>#N/A</v>
      </c>
      <c r="Z46" s="25" t="e">
        <f>VLOOKUP(T46,[2]Golpes!$A$1:$G$653,5,FALSE)</f>
        <v>#N/A</v>
      </c>
      <c r="AA46" s="36" t="e">
        <f>VLOOKUP(T46,[2]Golpes!$A$1:$G$653,6,FALSE)</f>
        <v>#N/A</v>
      </c>
      <c r="AB46" s="17" t="e">
        <f>VLOOKUP(T46,[2]Golpes!$A$1:$G$653,7,FALSE)</f>
        <v>#N/A</v>
      </c>
      <c r="AC46" s="35"/>
    </row>
    <row r="47" spans="1:31" ht="15" thickBot="1" x14ac:dyDescent="0.35">
      <c r="C47" s="46"/>
      <c r="E47" s="67"/>
      <c r="F47" s="68"/>
      <c r="G47" s="68" t="e">
        <f>VLOOKUP(E47,[2]Golpes!$A$1:$G$653,2,FALSE)&amp;"/"&amp;VLOOKUP(E47,[2]Golpes!$A$1:$G$653,3,FALSE)</f>
        <v>#N/A</v>
      </c>
      <c r="H47" s="68"/>
      <c r="I47" s="68"/>
      <c r="J47" s="43" t="e">
        <f>VLOOKUP(E47,[2]Golpes!$A$1:$G$653,4,FALSE)</f>
        <v>#N/A</v>
      </c>
      <c r="K47" s="43" t="e">
        <f>VLOOKUP(E47,[2]Golpes!$A$1:$G$653,5,FALSE)</f>
        <v>#N/A</v>
      </c>
      <c r="L47" s="44" t="e">
        <f>VLOOKUP(E47,[2]Golpes!$A$1:$G$653,6,FALSE)</f>
        <v>#N/A</v>
      </c>
      <c r="M47" s="17" t="e">
        <f>VLOOKUP(E47,[2]Golpes!$A$1:$G$653,7,FALSE)</f>
        <v>#N/A</v>
      </c>
      <c r="N47" s="35"/>
      <c r="T47" s="67"/>
      <c r="U47" s="68"/>
      <c r="V47" s="68" t="e">
        <f>VLOOKUP(T47,[2]Golpes!$A$1:$G$653,2,FALSE)&amp;"/"&amp;VLOOKUP(T47,[2]Golpes!$A$1:$G$653,3,FALSE)</f>
        <v>#N/A</v>
      </c>
      <c r="W47" s="68"/>
      <c r="X47" s="68"/>
      <c r="Y47" s="43" t="e">
        <f>VLOOKUP(T47,[2]Golpes!$A$1:$G$653,4,FALSE)</f>
        <v>#N/A</v>
      </c>
      <c r="Z47" s="43" t="e">
        <f>VLOOKUP(T47,[2]Golpes!$A$1:$G$653,5,FALSE)</f>
        <v>#N/A</v>
      </c>
      <c r="AA47" s="44" t="e">
        <f>VLOOKUP(T47,[2]Golpes!$A$1:$G$653,6,FALSE)</f>
        <v>#N/A</v>
      </c>
      <c r="AB47" s="17" t="e">
        <f>VLOOKUP(T47,[2]Golpes!$A$1:$G$653,7,FALSE)</f>
        <v>#N/A</v>
      </c>
      <c r="AC47" s="35"/>
    </row>
    <row r="48" spans="1:31" x14ac:dyDescent="0.3">
      <c r="C48" s="46"/>
    </row>
    <row r="49" spans="3:3" x14ac:dyDescent="0.3">
      <c r="C49" s="46"/>
    </row>
    <row r="50" spans="3:3" x14ac:dyDescent="0.3">
      <c r="C50" s="46"/>
    </row>
    <row r="51" spans="3:3" x14ac:dyDescent="0.3">
      <c r="C51" s="46"/>
    </row>
    <row r="52" spans="3:3" x14ac:dyDescent="0.3">
      <c r="C52" s="46"/>
    </row>
    <row r="53" spans="3:3" x14ac:dyDescent="0.3">
      <c r="C53" s="46"/>
    </row>
    <row r="54" spans="3:3" x14ac:dyDescent="0.3">
      <c r="C54" s="46"/>
    </row>
    <row r="55" spans="3:3" x14ac:dyDescent="0.3">
      <c r="C55" s="46"/>
    </row>
    <row r="56" spans="3:3" x14ac:dyDescent="0.3">
      <c r="C56" s="46"/>
    </row>
    <row r="57" spans="3:3" x14ac:dyDescent="0.3">
      <c r="C57" s="46"/>
    </row>
    <row r="58" spans="3:3" x14ac:dyDescent="0.3">
      <c r="C58" s="46"/>
    </row>
  </sheetData>
  <mergeCells count="83">
    <mergeCell ref="E47:F47"/>
    <mergeCell ref="G47:I47"/>
    <mergeCell ref="T47:U47"/>
    <mergeCell ref="V47:X47"/>
    <mergeCell ref="B1:C1"/>
    <mergeCell ref="E45:F45"/>
    <mergeCell ref="G45:I45"/>
    <mergeCell ref="T45:U45"/>
    <mergeCell ref="V45:X45"/>
    <mergeCell ref="E46:F46"/>
    <mergeCell ref="G46:I46"/>
    <mergeCell ref="T46:U46"/>
    <mergeCell ref="V46:X46"/>
    <mergeCell ref="E44:F44"/>
    <mergeCell ref="G44:I44"/>
    <mergeCell ref="T44:U44"/>
    <mergeCell ref="AD33:AE33"/>
    <mergeCell ref="A34:C36"/>
    <mergeCell ref="A37:C37"/>
    <mergeCell ref="E43:F43"/>
    <mergeCell ref="T43:U43"/>
    <mergeCell ref="V44:X44"/>
    <mergeCell ref="A31:C33"/>
    <mergeCell ref="E31:F31"/>
    <mergeCell ref="G31:I31"/>
    <mergeCell ref="T31:U31"/>
    <mergeCell ref="V31:X31"/>
    <mergeCell ref="O33:P33"/>
    <mergeCell ref="A30:C30"/>
    <mergeCell ref="E30:F30"/>
    <mergeCell ref="G30:I30"/>
    <mergeCell ref="T30:U30"/>
    <mergeCell ref="V30:X30"/>
    <mergeCell ref="V15:X15"/>
    <mergeCell ref="AD17:AE17"/>
    <mergeCell ref="A18:C20"/>
    <mergeCell ref="A24:C26"/>
    <mergeCell ref="A27:C29"/>
    <mergeCell ref="E27:F27"/>
    <mergeCell ref="T27:U27"/>
    <mergeCell ref="E28:F28"/>
    <mergeCell ref="G28:I28"/>
    <mergeCell ref="T28:U28"/>
    <mergeCell ref="V28:X28"/>
    <mergeCell ref="E29:F29"/>
    <mergeCell ref="G29:I29"/>
    <mergeCell ref="T29:U29"/>
    <mergeCell ref="V29:X29"/>
    <mergeCell ref="A21:C23"/>
    <mergeCell ref="A16:C16"/>
    <mergeCell ref="A17:C17"/>
    <mergeCell ref="O17:P17"/>
    <mergeCell ref="V12:X12"/>
    <mergeCell ref="B13:C13"/>
    <mergeCell ref="E13:F13"/>
    <mergeCell ref="G13:I13"/>
    <mergeCell ref="T13:U13"/>
    <mergeCell ref="V13:X13"/>
    <mergeCell ref="E14:F14"/>
    <mergeCell ref="G14:I14"/>
    <mergeCell ref="T14:U14"/>
    <mergeCell ref="V14:X14"/>
    <mergeCell ref="E15:F15"/>
    <mergeCell ref="G15:I15"/>
    <mergeCell ref="T15:U15"/>
    <mergeCell ref="E11:F11"/>
    <mergeCell ref="T11:U11"/>
    <mergeCell ref="B12:C12"/>
    <mergeCell ref="E12:F12"/>
    <mergeCell ref="G12:I12"/>
    <mergeCell ref="T12:U12"/>
    <mergeCell ref="B11:C11"/>
    <mergeCell ref="B6:C6"/>
    <mergeCell ref="A7:C7"/>
    <mergeCell ref="B8:C8"/>
    <mergeCell ref="B9:C9"/>
    <mergeCell ref="B10:C10"/>
    <mergeCell ref="B5:C5"/>
    <mergeCell ref="O1:P1"/>
    <mergeCell ref="AD1:AE1"/>
    <mergeCell ref="B2:C2"/>
    <mergeCell ref="B3:C3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8"/>
  <sheetViews>
    <sheetView workbookViewId="0">
      <selection activeCell="D16" sqref="D16"/>
    </sheetView>
  </sheetViews>
  <sheetFormatPr defaultRowHeight="14.4" x14ac:dyDescent="0.3"/>
  <sheetData>
    <row r="1" spans="1:31" x14ac:dyDescent="0.3">
      <c r="A1" s="1" t="s">
        <v>0</v>
      </c>
      <c r="B1" s="55" t="s">
        <v>87</v>
      </c>
      <c r="C1" s="56"/>
      <c r="E1" s="2" t="s">
        <v>1</v>
      </c>
      <c r="F1" s="3" t="s">
        <v>95</v>
      </c>
      <c r="G1" s="4" t="s">
        <v>175</v>
      </c>
      <c r="H1" s="5"/>
      <c r="I1" s="6" t="s">
        <v>2</v>
      </c>
      <c r="J1" s="6" t="s">
        <v>3</v>
      </c>
      <c r="K1" s="6" t="s">
        <v>4</v>
      </c>
      <c r="L1" s="7" t="s">
        <v>5</v>
      </c>
      <c r="M1" s="8"/>
      <c r="N1" s="9"/>
      <c r="O1" s="53" t="s">
        <v>6</v>
      </c>
      <c r="P1" s="54"/>
      <c r="T1" s="2" t="s">
        <v>1</v>
      </c>
      <c r="U1" s="3" t="s">
        <v>89</v>
      </c>
      <c r="V1" s="4"/>
      <c r="W1" s="5"/>
      <c r="X1" s="6" t="s">
        <v>2</v>
      </c>
      <c r="Y1" s="6" t="s">
        <v>3</v>
      </c>
      <c r="Z1" s="6" t="s">
        <v>4</v>
      </c>
      <c r="AA1" s="7" t="s">
        <v>5</v>
      </c>
      <c r="AB1" s="8"/>
      <c r="AC1" s="9"/>
      <c r="AD1" s="53" t="s">
        <v>6</v>
      </c>
      <c r="AE1" s="54"/>
    </row>
    <row r="2" spans="1:31" x14ac:dyDescent="0.3">
      <c r="A2" s="10" t="s">
        <v>7</v>
      </c>
      <c r="B2" s="51">
        <v>45</v>
      </c>
      <c r="C2" s="52"/>
      <c r="E2" s="11" t="s">
        <v>8</v>
      </c>
      <c r="F2" s="8" t="s">
        <v>9</v>
      </c>
      <c r="G2" s="12" t="s">
        <v>10</v>
      </c>
      <c r="H2" s="13" t="s">
        <v>11</v>
      </c>
      <c r="I2" s="14">
        <f>VLOOKUP(F1,[1]Pokemon!$A$1:$I$874,3,FALSE)+IF(F3="Sim",20,0)</f>
        <v>64</v>
      </c>
      <c r="J2" s="15">
        <v>0</v>
      </c>
      <c r="K2" s="8">
        <f>IF($B$5="Vigoroso",ROUNDUP((N2+J2)*1.2,0),N2+J2)</f>
        <v>134</v>
      </c>
      <c r="L2" s="16">
        <v>134</v>
      </c>
      <c r="M2" s="17"/>
      <c r="N2" s="9">
        <f>I2+LOOKUP(I2,[1]Dados!$C$3:$D$12,[1]Dados!$E$3:$E$12)*(ROUNDDOWN(F5/2,0))+LOOKUP(I2,[1]Dados!$C$3:$D$12,[1]Dados!$F$3:$F$12)*(ROUNDDOWN((F5-1)/2,0))</f>
        <v>134</v>
      </c>
      <c r="O2" s="18" t="s">
        <v>12</v>
      </c>
      <c r="P2" s="19"/>
      <c r="T2" s="11" t="s">
        <v>8</v>
      </c>
      <c r="U2" s="8" t="s">
        <v>9</v>
      </c>
      <c r="V2" s="12" t="s">
        <v>10</v>
      </c>
      <c r="W2" s="13" t="s">
        <v>11</v>
      </c>
      <c r="X2" s="14">
        <f>VLOOKUP(U1,[1]Pokemon!$A$1:$I$874,3,FALSE)+IF(U3="Sim",20,0)</f>
        <v>54</v>
      </c>
      <c r="Y2" s="15">
        <v>0</v>
      </c>
      <c r="Z2" s="8">
        <f>IF($B$5="Vigoroso",ROUNDUP((AC2+Y2)*1.2,0),AC2+Y2)</f>
        <v>150</v>
      </c>
      <c r="AA2" s="16">
        <v>150</v>
      </c>
      <c r="AB2" s="17"/>
      <c r="AC2" s="9">
        <f>X2+LOOKUP(X2,[1]Dados!$C$3:$D$12,[1]Dados!$E$3:$E$12)*(ROUNDDOWN(U5/2,0))+LOOKUP(X2,[1]Dados!$C$3:$D$12,[1]Dados!$F$3:$F$12)*(ROUNDDOWN((U5-1)/2,0))</f>
        <v>150</v>
      </c>
      <c r="AD2" s="18" t="s">
        <v>12</v>
      </c>
      <c r="AE2" s="19">
        <f>145/100</f>
        <v>1.45</v>
      </c>
    </row>
    <row r="3" spans="1:31" x14ac:dyDescent="0.3">
      <c r="A3" s="10" t="s">
        <v>13</v>
      </c>
      <c r="B3" s="51" t="s">
        <v>51</v>
      </c>
      <c r="C3" s="52"/>
      <c r="E3" s="11" t="s">
        <v>14</v>
      </c>
      <c r="F3" s="8" t="s">
        <v>59</v>
      </c>
      <c r="G3" s="47" t="s">
        <v>96</v>
      </c>
      <c r="H3" s="13" t="s">
        <v>16</v>
      </c>
      <c r="I3" s="21">
        <f>20+IF(F3="Sim",10,0)</f>
        <v>30</v>
      </c>
      <c r="J3" s="22">
        <v>0</v>
      </c>
      <c r="K3" s="8">
        <f>18+(F5*2)+IF(F3="Sim",10,0)+J3</f>
        <v>100</v>
      </c>
      <c r="L3" s="16">
        <v>100</v>
      </c>
      <c r="M3" s="17"/>
      <c r="N3" s="9"/>
      <c r="O3" s="18" t="s">
        <v>17</v>
      </c>
      <c r="P3" s="19"/>
      <c r="T3" s="11" t="s">
        <v>14</v>
      </c>
      <c r="U3" s="8" t="s">
        <v>59</v>
      </c>
      <c r="V3" s="20"/>
      <c r="W3" s="13" t="s">
        <v>16</v>
      </c>
      <c r="X3" s="21">
        <f>20+IF(U3="Sim",10,0)</f>
        <v>30</v>
      </c>
      <c r="Y3" s="22">
        <v>0</v>
      </c>
      <c r="Z3" s="8">
        <f>18+(U5*2)+IF(U3="Sim",10,0)+Y3</f>
        <v>158</v>
      </c>
      <c r="AA3" s="16">
        <v>158</v>
      </c>
      <c r="AB3" s="17"/>
      <c r="AC3" s="9"/>
      <c r="AD3" s="18" t="s">
        <v>17</v>
      </c>
      <c r="AE3" s="19">
        <f>165/135</f>
        <v>1.2222222222222223</v>
      </c>
    </row>
    <row r="4" spans="1:31" x14ac:dyDescent="0.3">
      <c r="A4" s="10" t="s">
        <v>18</v>
      </c>
      <c r="B4" s="51" t="s">
        <v>52</v>
      </c>
      <c r="C4" s="52"/>
      <c r="E4" s="11" t="s">
        <v>19</v>
      </c>
      <c r="F4" s="23" t="str">
        <f>VLOOKUP(F1,[1]Pokemon!$A$1:$I$874,2,FALSE)</f>
        <v>Fantasma</v>
      </c>
      <c r="G4" s="20"/>
      <c r="H4" s="13" t="s">
        <v>12</v>
      </c>
      <c r="I4" s="14">
        <f>VLOOKUP(F1,[1]Pokemon!$A$1:$I$874,4,FALSE)+IF(F3="Sim",1,0)</f>
        <v>6</v>
      </c>
      <c r="J4" s="22">
        <v>1</v>
      </c>
      <c r="K4" s="8">
        <f>IF(L7="Sim", ROUNDUP((N4+ROUNDDOWN(F7/10,0))*J4*P2,0), ROUNDUP((N4+ROUNDDOWN(F7/10,0))*J4,0))</f>
        <v>70</v>
      </c>
      <c r="L4" s="24" t="s">
        <v>20</v>
      </c>
      <c r="M4" s="17"/>
      <c r="N4" s="9">
        <f>I4+LOOKUP(I4,[1]Dados!$H$3:$I$12,[1]Dados!$J$3:$J$12)*(ROUNDDOWN(F5/2,0))+LOOKUP(I4,[1]Dados!$H$3:$I$12,[1]Dados!$K$3:$K$12)*(ROUNDDOWN((F5-1)/2,0))</f>
        <v>59</v>
      </c>
      <c r="O4" s="18" t="s">
        <v>21</v>
      </c>
      <c r="P4" s="19"/>
      <c r="T4" s="11" t="s">
        <v>19</v>
      </c>
      <c r="U4" s="23" t="str">
        <f>VLOOKUP(U1,[1]Pokemon!$A$1:$I$874,2,FALSE)</f>
        <v>Fantasma</v>
      </c>
      <c r="V4" s="20"/>
      <c r="W4" s="13" t="s">
        <v>12</v>
      </c>
      <c r="X4" s="14">
        <f>VLOOKUP(U1,[1]Pokemon!$A$1:$I$874,4,FALSE)+IF(U3="Sim",1,0)</f>
        <v>11</v>
      </c>
      <c r="Y4" s="22">
        <v>1</v>
      </c>
      <c r="Z4" s="8">
        <f>IF(AA7="Sim", ROUNDUP((AC4+ROUNDDOWN(U7/10,0))*Y4*AE2,0), ROUNDUP((AC4+ROUNDDOWN(U7/10,0))*Y4,0))</f>
        <v>202</v>
      </c>
      <c r="AA4" s="24" t="s">
        <v>20</v>
      </c>
      <c r="AB4" s="17"/>
      <c r="AC4" s="9">
        <f>X4+LOOKUP(X4,[1]Dados!$H$3:$I$12,[1]Dados!$J$3:$J$12)*(ROUNDDOWN(U5/2,0))+LOOKUP(X4,[1]Dados!$H$3:$I$12,[1]Dados!$K$3:$K$12)*(ROUNDDOWN((U5-1)/2,0))</f>
        <v>171</v>
      </c>
      <c r="AD4" s="18" t="s">
        <v>21</v>
      </c>
      <c r="AE4" s="19">
        <f>70/65</f>
        <v>1.0769230769230769</v>
      </c>
    </row>
    <row r="5" spans="1:31" x14ac:dyDescent="0.3">
      <c r="A5" s="10" t="s">
        <v>22</v>
      </c>
      <c r="B5" s="51" t="s">
        <v>53</v>
      </c>
      <c r="C5" s="52"/>
      <c r="E5" s="11" t="s">
        <v>23</v>
      </c>
      <c r="F5" s="25">
        <v>36</v>
      </c>
      <c r="G5" s="20"/>
      <c r="H5" s="13" t="s">
        <v>17</v>
      </c>
      <c r="I5" s="14">
        <f>VLOOKUP(F1,[1]Pokemon!$A$1:$I$874,5,FALSE)+IF(F3="Sim",1,0)</f>
        <v>15</v>
      </c>
      <c r="J5" s="22">
        <v>1</v>
      </c>
      <c r="K5" s="8">
        <f>IF(L7="Sim", ROUNDUP((N5+ROUNDDOWN(F7/10,0))*J5*P3,0), ROUNDUP((N5+ROUNDDOWN(F7/10,0))*J5,0))</f>
        <v>149</v>
      </c>
      <c r="L5" s="26">
        <f>ROUNDDOWN(I8/2,0)</f>
        <v>2</v>
      </c>
      <c r="M5" s="17"/>
      <c r="N5" s="9">
        <f>I5+LOOKUP(I5,[1]Dados!$H$3:$I$12,[1]Dados!$J$3:$J$12)*(ROUNDDOWN(F5/2,0))+LOOKUP(I5,[1]Dados!$H$3:$I$12,[1]Dados!$K$3:$K$12)*(ROUNDDOWN((F5-1)/2,0))</f>
        <v>138</v>
      </c>
      <c r="O5" s="18" t="s">
        <v>24</v>
      </c>
      <c r="P5" s="19"/>
      <c r="T5" s="11" t="s">
        <v>23</v>
      </c>
      <c r="U5" s="25">
        <v>65</v>
      </c>
      <c r="V5" s="20"/>
      <c r="W5" s="13" t="s">
        <v>17</v>
      </c>
      <c r="X5" s="14">
        <f>VLOOKUP(U1,[1]Pokemon!$A$1:$I$874,5,FALSE)+IF(U3="Sim",1,0)</f>
        <v>14</v>
      </c>
      <c r="Y5" s="22">
        <v>1</v>
      </c>
      <c r="Z5" s="8">
        <f>IF(AA7="Sim", ROUNDUP((AC5+ROUNDDOWN(U7/10,0))*Y5*AE3,0), ROUNDUP((AC5+ROUNDDOWN(U7/10,0))*Y5,0))</f>
        <v>269</v>
      </c>
      <c r="AA5" s="26">
        <f>ROUNDDOWN(X8/2,0)</f>
        <v>2</v>
      </c>
      <c r="AB5" s="17"/>
      <c r="AC5" s="9">
        <f>X5+LOOKUP(X5,[1]Dados!$H$3:$I$12,[1]Dados!$J$3:$J$12)*(ROUNDDOWN(U5/2,0))+LOOKUP(X5,[1]Dados!$H$3:$I$12,[1]Dados!$K$3:$K$12)*(ROUNDDOWN((U5-1)/2,0))</f>
        <v>238</v>
      </c>
      <c r="AD5" s="18" t="s">
        <v>24</v>
      </c>
      <c r="AE5" s="19">
        <f>165/135</f>
        <v>1.2222222222222223</v>
      </c>
    </row>
    <row r="6" spans="1:31" ht="15" thickBot="1" x14ac:dyDescent="0.35">
      <c r="A6" s="27" t="s">
        <v>25</v>
      </c>
      <c r="B6" s="57" t="s">
        <v>32</v>
      </c>
      <c r="C6" s="58"/>
      <c r="E6" s="11" t="s">
        <v>26</v>
      </c>
      <c r="F6" s="23">
        <v>0</v>
      </c>
      <c r="G6" s="20"/>
      <c r="H6" s="13" t="s">
        <v>21</v>
      </c>
      <c r="I6" s="14">
        <f>VLOOKUP(F1,[1]Pokemon!$A$1:$I$874,6,FALSE)+IF(F3="Sim",1,0)</f>
        <v>10</v>
      </c>
      <c r="J6" s="22">
        <v>1</v>
      </c>
      <c r="K6" s="8">
        <f>IF(L7="Sim", ROUNDUP((N6+ROUNDDOWN(F7/10,0))*J6*P4,0), ROUNDUP((N6+ROUNDDOWN(F7/10,0))*J6,0))</f>
        <v>109</v>
      </c>
      <c r="L6" s="24" t="s">
        <v>27</v>
      </c>
      <c r="M6" s="17"/>
      <c r="N6" s="9">
        <f>I6+LOOKUP(I6,[1]Dados!$H$3:$I$12,[1]Dados!$J$3:$J$12)*(ROUNDDOWN(F5/2,0))+LOOKUP(I6,[1]Dados!$H$3:$I$12,[1]Dados!$K$3:$K$12)*(ROUNDDOWN((F5-1)/2,0))</f>
        <v>98</v>
      </c>
      <c r="O6" s="28" t="s">
        <v>28</v>
      </c>
      <c r="P6" s="29"/>
      <c r="T6" s="11" t="s">
        <v>26</v>
      </c>
      <c r="U6" s="23">
        <v>0</v>
      </c>
      <c r="V6" s="20"/>
      <c r="W6" s="13" t="s">
        <v>21</v>
      </c>
      <c r="X6" s="14">
        <f>VLOOKUP(U1,[1]Pokemon!$A$1:$I$874,6,FALSE)+IF(U3="Sim",1,0)</f>
        <v>7</v>
      </c>
      <c r="Y6" s="22">
        <v>1</v>
      </c>
      <c r="Z6" s="8">
        <f>IF(AA7="Sim", ROUNDUP((AC6+ROUNDDOWN(U7/10,0))*Y6*AE4,0), ROUNDUP((AC6+ROUNDDOWN(U7/10,0))*Y6,0))</f>
        <v>134</v>
      </c>
      <c r="AA6" s="24" t="s">
        <v>27</v>
      </c>
      <c r="AB6" s="17"/>
      <c r="AC6" s="9">
        <f>X6+LOOKUP(X6,[1]Dados!$H$3:$I$12,[1]Dados!$J$3:$J$12)*(ROUNDDOWN(U5/2,0))+LOOKUP(X6,[1]Dados!$H$3:$I$12,[1]Dados!$K$3:$K$12)*(ROUNDDOWN((U5-1)/2,0))</f>
        <v>103</v>
      </c>
      <c r="AD6" s="28" t="s">
        <v>28</v>
      </c>
      <c r="AE6" s="29">
        <f>35/45</f>
        <v>0.77777777777777779</v>
      </c>
    </row>
    <row r="7" spans="1:31" ht="15" thickBot="1" x14ac:dyDescent="0.35">
      <c r="A7" s="59"/>
      <c r="B7" s="59"/>
      <c r="C7" s="59"/>
      <c r="E7" s="11" t="s">
        <v>29</v>
      </c>
      <c r="F7" s="30">
        <v>110</v>
      </c>
      <c r="G7" s="20"/>
      <c r="H7" s="13" t="s">
        <v>24</v>
      </c>
      <c r="I7" s="14">
        <f>VLOOKUP(F1,[1]Pokemon!$A$1:$I$874,7,FALSE)+IF(F3="Sim",1,0)</f>
        <v>11</v>
      </c>
      <c r="J7" s="22">
        <v>1</v>
      </c>
      <c r="K7" s="8">
        <f>IF(L7="Sim", ROUNDUP((N7+ROUNDDOWN(F7/10,0))*J7*P5,0), ROUNDUP((N7+ROUNDDOWN(F7/10,0))*J7,0))</f>
        <v>110</v>
      </c>
      <c r="L7" s="26" t="s">
        <v>15</v>
      </c>
      <c r="M7" s="17"/>
      <c r="N7" s="9">
        <f>I7+LOOKUP(I7,[1]Dados!$H$3:$I$12,[1]Dados!$J$3:$J$12)*(ROUNDDOWN(F5/2,0))+LOOKUP(I7,[1]Dados!$H$3:$I$12,[1]Dados!$K$3:$K$12)*(ROUNDDOWN((F5-1)/2,0))</f>
        <v>99</v>
      </c>
      <c r="T7" s="11" t="s">
        <v>29</v>
      </c>
      <c r="U7" s="30">
        <v>310</v>
      </c>
      <c r="V7" s="20"/>
      <c r="W7" s="13" t="s">
        <v>24</v>
      </c>
      <c r="X7" s="14">
        <f>VLOOKUP(U1,[1]Pokemon!$A$1:$I$874,7,FALSE)+IF(U3="Sim",1,0)</f>
        <v>14</v>
      </c>
      <c r="Y7" s="22">
        <v>1</v>
      </c>
      <c r="Z7" s="8">
        <f>IF(AA7="Sim", ROUNDUP((AC7+ROUNDDOWN(U7/10,0))*Y7*AE5,0), ROUNDUP((AC7+ROUNDDOWN(U7/10,0))*Y7,0))</f>
        <v>269</v>
      </c>
      <c r="AA7" s="26" t="s">
        <v>64</v>
      </c>
      <c r="AB7" s="17"/>
      <c r="AC7" s="9">
        <f>X7+LOOKUP(X7,[1]Dados!$H$3:$I$12,[1]Dados!$J$3:$J$12)*(ROUNDDOWN(U5/2,0))+LOOKUP(X7,[1]Dados!$H$3:$I$12,[1]Dados!$K$3:$K$12)*(ROUNDDOWN((U5-1)/2,0))</f>
        <v>238</v>
      </c>
    </row>
    <row r="8" spans="1:31" x14ac:dyDescent="0.3">
      <c r="A8" s="1" t="s">
        <v>30</v>
      </c>
      <c r="B8" s="55">
        <v>4</v>
      </c>
      <c r="C8" s="56"/>
      <c r="E8" s="11" t="s">
        <v>31</v>
      </c>
      <c r="F8" s="23" t="s">
        <v>32</v>
      </c>
      <c r="G8" s="20"/>
      <c r="H8" s="13" t="s">
        <v>28</v>
      </c>
      <c r="I8" s="14">
        <f>VLOOKUP(F1,[1]Pokemon!$A$1:$I$874,8,FALSE)+IF(F3="Sim",1,0)</f>
        <v>4</v>
      </c>
      <c r="J8" s="22">
        <f>1*IF(F9="Paralisado",0.5,1)</f>
        <v>1</v>
      </c>
      <c r="K8" s="8">
        <f>IF(L7="Sim", ROUNDUP(N8*J8*P6,0), ROUNDUP(N8*J8,0))</f>
        <v>39</v>
      </c>
      <c r="L8" s="31" t="str">
        <f>IF(L7 = "Sim", ROUNDUP((K8/(10*P6)), 0)&amp;"d6", ROUNDUP((K8/10), 0)&amp;"d6")</f>
        <v>4d6</v>
      </c>
      <c r="M8" s="17"/>
      <c r="N8" s="9">
        <f>I8+LOOKUP(I8,[1]Dados!$H$3:$I$12,[1]Dados!$J$3:$J$12)*(ROUNDDOWN(F5/2,0))+LOOKUP(I8,[1]Dados!$H$3:$I$12,[1]Dados!$K$3:$K$12)*(ROUNDDOWN((F5-1)/2,0))</f>
        <v>39</v>
      </c>
      <c r="T8" s="11" t="s">
        <v>31</v>
      </c>
      <c r="U8" s="23" t="s">
        <v>90</v>
      </c>
      <c r="V8" s="20"/>
      <c r="W8" s="13" t="s">
        <v>28</v>
      </c>
      <c r="X8" s="14">
        <f>VLOOKUP(U1,[1]Pokemon!$A$1:$I$874,8,FALSE)+IF(U3="Sim",1,0)</f>
        <v>5</v>
      </c>
      <c r="Y8" s="22">
        <f>1*IF(U9="Paralisado",0.5,1)</f>
        <v>1</v>
      </c>
      <c r="Z8" s="8">
        <f>IF(AA7="Sim", ROUNDUP(AC8*Y8*AE6,0), ROUNDUP(AC8*Y8,0))</f>
        <v>69</v>
      </c>
      <c r="AA8" s="31" t="str">
        <f>IF(AA7 = "Sim", ROUNDUP((Z8/(10*AE6)), 0)&amp;"d6", ROUNDUP((Z8/10), 0)&amp;"d6")</f>
        <v>7d6</v>
      </c>
      <c r="AB8" s="17"/>
      <c r="AC8" s="9">
        <f>X8+LOOKUP(X8,[1]Dados!$H$3:$I$12,[1]Dados!$J$3:$J$12)*(ROUNDDOWN(U5/2,0))+LOOKUP(X8,[1]Dados!$H$3:$I$12,[1]Dados!$K$3:$K$12)*(ROUNDDOWN((U5-1)/2,0))</f>
        <v>69</v>
      </c>
    </row>
    <row r="9" spans="1:31" x14ac:dyDescent="0.3">
      <c r="A9" s="10" t="s">
        <v>33</v>
      </c>
      <c r="B9" s="51">
        <v>3</v>
      </c>
      <c r="C9" s="52"/>
      <c r="E9" s="11" t="s">
        <v>34</v>
      </c>
      <c r="F9" s="23"/>
      <c r="G9" s="20"/>
      <c r="H9" s="13" t="s">
        <v>35</v>
      </c>
      <c r="I9" s="14">
        <f>VLOOKUP(F1,[1]Pokemon!$A$1:$I$874,9,FALSE)</f>
        <v>169</v>
      </c>
      <c r="J9" s="13" t="s">
        <v>36</v>
      </c>
      <c r="K9" s="13"/>
      <c r="L9" s="32">
        <f>((F5+1)*I9/2)-F6</f>
        <v>3126.5</v>
      </c>
      <c r="M9" s="17"/>
      <c r="N9" s="33"/>
      <c r="T9" s="11" t="s">
        <v>34</v>
      </c>
      <c r="U9" s="23"/>
      <c r="V9" s="20"/>
      <c r="W9" s="13" t="s">
        <v>35</v>
      </c>
      <c r="X9" s="14">
        <f>VLOOKUP(U1,[1]Pokemon!$A$1:$I$874,9,FALSE)</f>
        <v>236</v>
      </c>
      <c r="Y9" s="13" t="s">
        <v>36</v>
      </c>
      <c r="Z9" s="13"/>
      <c r="AA9" s="32">
        <f>((U5+1)*X9/2)-U6</f>
        <v>7788</v>
      </c>
      <c r="AB9" s="17"/>
      <c r="AC9" s="33"/>
    </row>
    <row r="10" spans="1:31" x14ac:dyDescent="0.3">
      <c r="A10" s="10" t="s">
        <v>37</v>
      </c>
      <c r="B10" s="51">
        <v>3</v>
      </c>
      <c r="C10" s="52"/>
      <c r="E10" s="34"/>
      <c r="F10" s="8"/>
      <c r="G10" s="17"/>
      <c r="H10" s="8"/>
      <c r="I10" s="8"/>
      <c r="J10" s="8"/>
      <c r="K10" s="8"/>
      <c r="L10" s="26"/>
      <c r="M10" s="17"/>
      <c r="N10" s="35"/>
      <c r="T10" s="34"/>
      <c r="U10" s="8"/>
      <c r="V10" s="17"/>
      <c r="W10" s="8"/>
      <c r="X10" s="8"/>
      <c r="Y10" s="8"/>
      <c r="Z10" s="8"/>
      <c r="AA10" s="26"/>
      <c r="AB10" s="17"/>
      <c r="AC10" s="35"/>
    </row>
    <row r="11" spans="1:31" x14ac:dyDescent="0.3">
      <c r="A11" s="10" t="s">
        <v>38</v>
      </c>
      <c r="B11" s="51">
        <v>3</v>
      </c>
      <c r="C11" s="52"/>
      <c r="E11" s="60" t="s">
        <v>39</v>
      </c>
      <c r="F11" s="61"/>
      <c r="G11" s="13" t="s">
        <v>40</v>
      </c>
      <c r="H11" s="13"/>
      <c r="I11" s="13"/>
      <c r="J11" s="13" t="s">
        <v>16</v>
      </c>
      <c r="K11" s="13" t="s">
        <v>41</v>
      </c>
      <c r="L11" s="24" t="s">
        <v>42</v>
      </c>
      <c r="M11" s="17"/>
      <c r="N11" s="35"/>
      <c r="T11" s="60" t="s">
        <v>39</v>
      </c>
      <c r="U11" s="61"/>
      <c r="V11" s="13" t="s">
        <v>40</v>
      </c>
      <c r="W11" s="13"/>
      <c r="X11" s="13"/>
      <c r="Y11" s="13" t="s">
        <v>16</v>
      </c>
      <c r="Z11" s="13" t="s">
        <v>41</v>
      </c>
      <c r="AA11" s="24" t="s">
        <v>42</v>
      </c>
      <c r="AB11" s="17"/>
      <c r="AC11" s="35"/>
    </row>
    <row r="12" spans="1:31" x14ac:dyDescent="0.3">
      <c r="A12" s="10" t="s">
        <v>43</v>
      </c>
      <c r="B12" s="51">
        <v>5</v>
      </c>
      <c r="C12" s="52"/>
      <c r="E12" s="62" t="s">
        <v>80</v>
      </c>
      <c r="F12" s="63"/>
      <c r="G12" s="63" t="str">
        <f>VLOOKUP(E12,[2]Golpes!$A$1:$G$653,2,FALSE)&amp;"/"&amp;VLOOKUP(E12,[2]Golpes!$A$1:$G$653,3,FALSE)</f>
        <v>Psíquico/Estado</v>
      </c>
      <c r="H12" s="63"/>
      <c r="I12" s="63"/>
      <c r="J12" s="25">
        <f>VLOOKUP(E12,[2]Golpes!$A$1:$G$653,4,FALSE)</f>
        <v>2</v>
      </c>
      <c r="K12" s="25" t="str">
        <f>VLOOKUP(E12,[2]Golpes!$A$1:$G$653,5,FALSE)</f>
        <v>-</v>
      </c>
      <c r="L12" s="36">
        <f>VLOOKUP(E12,[2]Golpes!$A$1:$G$653,6,FALSE)</f>
        <v>1</v>
      </c>
      <c r="M12" s="17" t="str">
        <f>VLOOKUP(E12,[2]Golpes!$A$1:$G$653,7,FALSE)</f>
        <v>Aumenta o Ataque Especial e a Defesa Especial em 10% do total (aumento máximo de 60% em cada).</v>
      </c>
      <c r="N12" s="35"/>
      <c r="T12" s="62" t="s">
        <v>91</v>
      </c>
      <c r="U12" s="63"/>
      <c r="V12" s="63" t="str">
        <f>VLOOKUP(T12,[2]Golpes!$A$1:$G$653,2,FALSE)&amp;"/"&amp;VLOOKUP(T12,[2]Golpes!$A$1:$G$653,3,FALSE)</f>
        <v>Fantasma/Físico</v>
      </c>
      <c r="W12" s="63"/>
      <c r="X12" s="63"/>
      <c r="Y12" s="25">
        <f>VLOOKUP(T12,[2]Golpes!$A$1:$G$653,4,FALSE)</f>
        <v>6</v>
      </c>
      <c r="Z12" s="25" t="str">
        <f>VLOOKUP(T12,[2]Golpes!$A$1:$G$653,5,FALSE)</f>
        <v>6d6</v>
      </c>
      <c r="AA12" s="36">
        <f>VLOOKUP(T12,[2]Golpes!$A$1:$G$653,6,FALSE)</f>
        <v>1</v>
      </c>
      <c r="AB12" s="17" t="str">
        <f>VLOOKUP(T12,[2]Golpes!$A$1:$G$653,7,FALSE)</f>
        <v>Causa dano ignorando qualquer mudança em sua Precisão.</v>
      </c>
      <c r="AC12" s="35"/>
    </row>
    <row r="13" spans="1:31" ht="15" thickBot="1" x14ac:dyDescent="0.35">
      <c r="A13" s="27" t="s">
        <v>44</v>
      </c>
      <c r="B13" s="57">
        <v>5</v>
      </c>
      <c r="C13" s="58"/>
      <c r="E13" s="62" t="s">
        <v>192</v>
      </c>
      <c r="F13" s="63"/>
      <c r="G13" s="63" t="str">
        <f>VLOOKUP(E13,[2]Golpes!$A$1:$G$653,2,FALSE)&amp;"/"&amp;VLOOKUP(E13,[2]Golpes!$A$1:$G$653,3,FALSE)</f>
        <v>Noturno/Especial</v>
      </c>
      <c r="H13" s="63"/>
      <c r="I13" s="63"/>
      <c r="J13" s="25">
        <f>VLOOKUP(E13,[2]Golpes!$A$1:$G$653,4,FALSE)</f>
        <v>10</v>
      </c>
      <c r="K13" s="25" t="str">
        <f>VLOOKUP(E13,[2]Golpes!$A$1:$G$653,5,FALSE)</f>
        <v>8d6</v>
      </c>
      <c r="L13" s="36">
        <f>VLOOKUP(E13,[2]Golpes!$A$1:$G$653,6,FALSE)</f>
        <v>1</v>
      </c>
      <c r="M13" s="17" t="str">
        <f>VLOOKUP(E13,[2]Golpes!$A$1:$G$653,7,FALSE)</f>
        <v>Causa dano e tem 20% de chance de causar condição Recuando.</v>
      </c>
      <c r="N13" s="35"/>
      <c r="T13" s="62" t="s">
        <v>92</v>
      </c>
      <c r="U13" s="63"/>
      <c r="V13" s="63" t="str">
        <f>VLOOKUP(T13,[2]Golpes!$A$1:$G$653,2,FALSE)&amp;"/"&amp;VLOOKUP(T13,[2]Golpes!$A$1:$G$653,3,FALSE)</f>
        <v>Gelo/Físico</v>
      </c>
      <c r="W13" s="63"/>
      <c r="X13" s="63"/>
      <c r="Y13" s="25">
        <f>VLOOKUP(T13,[2]Golpes!$A$1:$G$653,4,FALSE)</f>
        <v>9</v>
      </c>
      <c r="Z13" s="25" t="str">
        <f>VLOOKUP(T13,[2]Golpes!$A$1:$G$653,5,FALSE)</f>
        <v>8d6</v>
      </c>
      <c r="AA13" s="36">
        <f>VLOOKUP(T13,[2]Golpes!$A$1:$G$653,6,FALSE)</f>
        <v>1</v>
      </c>
      <c r="AB13" s="17" t="str">
        <f>VLOOKUP(T13,[2]Golpes!$A$1:$G$653,7,FALSE)</f>
        <v>Causa dano e tem 10% de chance de causar condição Congelado.</v>
      </c>
      <c r="AC13" s="35"/>
    </row>
    <row r="14" spans="1:31" x14ac:dyDescent="0.3">
      <c r="A14" s="37" t="s">
        <v>45</v>
      </c>
      <c r="B14" s="38">
        <v>30</v>
      </c>
      <c r="C14" s="39">
        <f>B10*10</f>
        <v>30</v>
      </c>
      <c r="E14" s="62" t="s">
        <v>102</v>
      </c>
      <c r="F14" s="63"/>
      <c r="G14" s="63" t="str">
        <f>VLOOKUP(E14,[2]Golpes!$A$1:$G$653,2,FALSE)&amp;"/"&amp;VLOOKUP(E14,[2]Golpes!$A$1:$G$653,3,FALSE)</f>
        <v>Fogo/Estado</v>
      </c>
      <c r="H14" s="63"/>
      <c r="I14" s="63"/>
      <c r="J14" s="25">
        <f>VLOOKUP(E14,[2]Golpes!$A$1:$G$653,4,FALSE)</f>
        <v>4</v>
      </c>
      <c r="K14" s="25" t="str">
        <f>VLOOKUP(E14,[2]Golpes!$A$1:$G$653,5,FALSE)</f>
        <v>-</v>
      </c>
      <c r="L14" s="36">
        <f>VLOOKUP(E14,[2]Golpes!$A$1:$G$653,6,FALSE)</f>
        <v>0.85</v>
      </c>
      <c r="M14" s="17" t="str">
        <f>VLOOKUP(E14,[2]Golpes!$A$1:$G$653,7,FALSE)</f>
        <v>Causa a condição Queimado.</v>
      </c>
      <c r="N14" s="35"/>
      <c r="T14" s="62" t="s">
        <v>86</v>
      </c>
      <c r="U14" s="63"/>
      <c r="V14" s="63" t="str">
        <f>VLOOKUP(T14,[2]Golpes!$A$1:$G$653,2,FALSE)&amp;"/"&amp;VLOOKUP(T14,[2]Golpes!$A$1:$G$653,3,FALSE)</f>
        <v>Lutador/Físico</v>
      </c>
      <c r="W14" s="63"/>
      <c r="X14" s="63"/>
      <c r="Y14" s="25">
        <f>VLOOKUP(T14,[2]Golpes!$A$1:$G$653,4,FALSE)</f>
        <v>18</v>
      </c>
      <c r="Z14" s="25" t="str">
        <f>VLOOKUP(T14,[2]Golpes!$A$1:$G$653,5,FALSE)</f>
        <v>22d6</v>
      </c>
      <c r="AA14" s="36">
        <f>VLOOKUP(T14,[2]Golpes!$A$1:$G$653,6,FALSE)</f>
        <v>1</v>
      </c>
      <c r="AB14" s="17" t="str">
        <f>VLOOKUP(T14,[2]Golpes!$A$1:$G$653,7,FALSE)</f>
        <v>Atacará depois do adversário e, se for atingido perderá o foco e ficará com a condição Recuando.</v>
      </c>
      <c r="AC14" s="35"/>
    </row>
    <row r="15" spans="1:31" ht="15" thickBot="1" x14ac:dyDescent="0.35">
      <c r="A15" s="40" t="s">
        <v>46</v>
      </c>
      <c r="B15" s="41">
        <v>30</v>
      </c>
      <c r="C15" s="42">
        <f>B14</f>
        <v>30</v>
      </c>
      <c r="E15" s="67" t="s">
        <v>193</v>
      </c>
      <c r="F15" s="68"/>
      <c r="G15" s="68" t="str">
        <f>VLOOKUP(E15,[2]Golpes!$A$1:$G$653,2,FALSE)&amp;"/"&amp;VLOOKUP(E15,[2]Golpes!$A$1:$G$653,3,FALSE)</f>
        <v>Psíquico/Especial</v>
      </c>
      <c r="H15" s="68"/>
      <c r="I15" s="68"/>
      <c r="J15" s="43">
        <f>VLOOKUP(E15,[2]Golpes!$A$1:$G$653,4,FALSE)</f>
        <v>11</v>
      </c>
      <c r="K15" s="43" t="str">
        <f>VLOOKUP(E15,[2]Golpes!$A$1:$G$653,5,FALSE)</f>
        <v>10d6</v>
      </c>
      <c r="L15" s="44">
        <f>VLOOKUP(E15,[2]Golpes!$A$1:$G$653,6,FALSE)</f>
        <v>1</v>
      </c>
      <c r="M15" s="17" t="str">
        <f>VLOOKUP(E15,[2]Golpes!$A$1:$G$653,7,FALSE)</f>
        <v>Causa dano e tem 10% de chance de diminuir a Defesa Especial do adversário em 10% do total (diminuição máxima de 60%).</v>
      </c>
      <c r="N15" s="35"/>
      <c r="T15" s="67" t="s">
        <v>94</v>
      </c>
      <c r="U15" s="68"/>
      <c r="V15" s="68" t="str">
        <f>VLOOKUP(T15,[2]Golpes!$A$1:$G$653,2,FALSE)&amp;"/"&amp;VLOOKUP(T15,[2]Golpes!$A$1:$G$653,3,FALSE)</f>
        <v>Noturno/Físico</v>
      </c>
      <c r="W15" s="68"/>
      <c r="X15" s="68"/>
      <c r="Y15" s="43">
        <f>VLOOKUP(T15,[2]Golpes!$A$1:$G$653,4,FALSE)</f>
        <v>6</v>
      </c>
      <c r="Z15" s="43" t="str">
        <f>VLOOKUP(T15,[2]Golpes!$A$1:$G$653,5,FALSE)</f>
        <v>5d6</v>
      </c>
      <c r="AA15" s="44">
        <f>VLOOKUP(T15,[2]Golpes!$A$1:$G$653,6,FALSE)</f>
        <v>1</v>
      </c>
      <c r="AB15" s="17" t="str">
        <f>VLOOKUP(T15,[2]Golpes!$A$1:$G$653,7,FALSE)</f>
        <v>Causa dano e, se atacar primeiro será dobrado, 10d6.</v>
      </c>
      <c r="AC15" s="35"/>
    </row>
    <row r="16" spans="1:31" ht="15" thickBot="1" x14ac:dyDescent="0.35">
      <c r="A16" s="59">
        <v>3</v>
      </c>
      <c r="B16" s="59"/>
      <c r="C16" s="59"/>
    </row>
    <row r="17" spans="1:31" ht="15" thickBot="1" x14ac:dyDescent="0.35">
      <c r="A17" s="64" t="s">
        <v>47</v>
      </c>
      <c r="B17" s="65"/>
      <c r="C17" s="66"/>
      <c r="E17" s="2" t="s">
        <v>1</v>
      </c>
      <c r="F17" s="3" t="s">
        <v>98</v>
      </c>
      <c r="G17" s="4" t="s">
        <v>175</v>
      </c>
      <c r="H17" s="5"/>
      <c r="I17" s="6" t="s">
        <v>2</v>
      </c>
      <c r="J17" s="6" t="s">
        <v>3</v>
      </c>
      <c r="K17" s="6" t="s">
        <v>4</v>
      </c>
      <c r="L17" s="7" t="s">
        <v>5</v>
      </c>
      <c r="M17" s="8"/>
      <c r="N17" s="9"/>
      <c r="O17" s="53" t="s">
        <v>6</v>
      </c>
      <c r="P17" s="54"/>
      <c r="T17" s="2" t="s">
        <v>1</v>
      </c>
      <c r="U17" s="3"/>
      <c r="V17" s="4"/>
      <c r="W17" s="5"/>
      <c r="X17" s="6" t="s">
        <v>2</v>
      </c>
      <c r="Y17" s="6" t="s">
        <v>3</v>
      </c>
      <c r="Z17" s="6" t="s">
        <v>4</v>
      </c>
      <c r="AA17" s="7" t="s">
        <v>5</v>
      </c>
      <c r="AB17" s="8"/>
      <c r="AC17" s="9"/>
      <c r="AD17" s="53" t="s">
        <v>6</v>
      </c>
      <c r="AE17" s="54"/>
    </row>
    <row r="18" spans="1:31" x14ac:dyDescent="0.3">
      <c r="A18" s="71"/>
      <c r="B18" s="49"/>
      <c r="C18" s="72"/>
      <c r="E18" s="11" t="s">
        <v>8</v>
      </c>
      <c r="F18" s="8" t="s">
        <v>9</v>
      </c>
      <c r="G18" s="12" t="s">
        <v>10</v>
      </c>
      <c r="H18" s="13" t="s">
        <v>11</v>
      </c>
      <c r="I18" s="14">
        <f>VLOOKUP(F17,[1]Pokemon!$A$1:$I$874,3,FALSE)+IF(F19="Sim",20,0)</f>
        <v>64</v>
      </c>
      <c r="J18" s="15">
        <v>0</v>
      </c>
      <c r="K18" s="8">
        <f>IF($B$5="Vigoroso",ROUNDUP((N18+J18)*1.2,0),N18+J18)</f>
        <v>126</v>
      </c>
      <c r="L18" s="16">
        <v>126</v>
      </c>
      <c r="M18" s="17"/>
      <c r="N18" s="9">
        <f>I18+LOOKUP(I18,[1]Dados!$C$3:$D$12,[1]Dados!$E$3:$E$12)*(ROUNDDOWN(F21/2,0))+LOOKUP(I18,[1]Dados!$C$3:$D$12,[1]Dados!$F$3:$F$12)*(ROUNDDOWN((F21-1)/2,0))</f>
        <v>126</v>
      </c>
      <c r="O18" s="18" t="s">
        <v>12</v>
      </c>
      <c r="P18" s="19"/>
      <c r="T18" s="11" t="s">
        <v>8</v>
      </c>
      <c r="U18" s="8" t="s">
        <v>9</v>
      </c>
      <c r="V18" s="12" t="s">
        <v>10</v>
      </c>
      <c r="W18" s="13" t="s">
        <v>11</v>
      </c>
      <c r="X18" s="14" t="e">
        <f>VLOOKUP(U17,[1]Pokemon!$A$1:$I$874,3,FALSE)+IF(U19="Sim",20,0)</f>
        <v>#N/A</v>
      </c>
      <c r="Y18" s="15">
        <v>0</v>
      </c>
      <c r="Z18" s="8" t="e">
        <f>IF($B$5="Vigoroso",ROUNDUP((AC18+Y18)*1.2,0),AC18+Y18)</f>
        <v>#N/A</v>
      </c>
      <c r="AA18" s="16">
        <v>0</v>
      </c>
      <c r="AB18" s="17"/>
      <c r="AC18" s="9" t="e">
        <f>X18+LOOKUP(X18,[1]Dados!$C$3:$D$12,[1]Dados!$E$3:$E$12)*(ROUNDDOWN(U21/2,0))+LOOKUP(X18,[1]Dados!$C$3:$D$12,[1]Dados!$F$3:$F$12)*(ROUNDDOWN((U21-1)/2,0))</f>
        <v>#N/A</v>
      </c>
      <c r="AD18" s="18" t="s">
        <v>12</v>
      </c>
      <c r="AE18" s="19"/>
    </row>
    <row r="19" spans="1:31" x14ac:dyDescent="0.3">
      <c r="A19" s="71"/>
      <c r="B19" s="49"/>
      <c r="C19" s="72"/>
      <c r="E19" s="11" t="s">
        <v>14</v>
      </c>
      <c r="F19" s="8" t="s">
        <v>15</v>
      </c>
      <c r="G19" s="20"/>
      <c r="H19" s="13" t="s">
        <v>16</v>
      </c>
      <c r="I19" s="21">
        <f>20+IF(F19="Sim",10,0)</f>
        <v>20</v>
      </c>
      <c r="J19" s="22">
        <v>0</v>
      </c>
      <c r="K19" s="8">
        <f>18+(F21*2)+IF(F19="Sim",10,0)+J19</f>
        <v>82</v>
      </c>
      <c r="L19" s="16">
        <v>82</v>
      </c>
      <c r="M19" s="17"/>
      <c r="N19" s="9"/>
      <c r="O19" s="18" t="s">
        <v>17</v>
      </c>
      <c r="P19" s="19"/>
      <c r="T19" s="11" t="s">
        <v>14</v>
      </c>
      <c r="U19" s="8" t="s">
        <v>59</v>
      </c>
      <c r="V19" s="20"/>
      <c r="W19" s="13" t="s">
        <v>16</v>
      </c>
      <c r="X19" s="21">
        <f>20+IF(U19="Sim",10,0)</f>
        <v>30</v>
      </c>
      <c r="Y19" s="22">
        <v>0</v>
      </c>
      <c r="Z19" s="8">
        <f>18+(U21*2)+IF(U19="Sim",10,0)+Y19</f>
        <v>30</v>
      </c>
      <c r="AA19" s="16">
        <v>0</v>
      </c>
      <c r="AB19" s="17"/>
      <c r="AC19" s="9"/>
      <c r="AD19" s="18" t="s">
        <v>17</v>
      </c>
      <c r="AE19" s="19"/>
    </row>
    <row r="20" spans="1:31" x14ac:dyDescent="0.3">
      <c r="A20" s="71"/>
      <c r="B20" s="49"/>
      <c r="C20" s="72"/>
      <c r="E20" s="11" t="s">
        <v>19</v>
      </c>
      <c r="F20" s="23" t="str">
        <f>VLOOKUP(F17,[1]Pokemon!$A$1:$I$874,2,FALSE)</f>
        <v>Fantasma\Grama</v>
      </c>
      <c r="G20" s="20"/>
      <c r="H20" s="13" t="s">
        <v>12</v>
      </c>
      <c r="I20" s="14">
        <v>12</v>
      </c>
      <c r="J20" s="22">
        <v>1</v>
      </c>
      <c r="K20" s="8">
        <f>IF(L23="Sim", ROUNDUP((N20+ROUNDDOWN(F23/10,0))*J20*P18,0), ROUNDUP((N20+ROUNDDOWN(F23/10,0))*J20,0))</f>
        <v>114</v>
      </c>
      <c r="L20" s="24" t="s">
        <v>20</v>
      </c>
      <c r="M20" s="17"/>
      <c r="N20" s="9">
        <f>I20+LOOKUP(I20,[1]Dados!$H$3:$I$12,[1]Dados!$J$3:$J$12)*(ROUNDDOWN(F21/2,0))+LOOKUP(I20,[1]Dados!$H$3:$I$12,[1]Dados!$K$3:$K$12)*(ROUNDDOWN((F21-1)/2,0))</f>
        <v>105</v>
      </c>
      <c r="O20" s="18" t="s">
        <v>21</v>
      </c>
      <c r="P20" s="19"/>
      <c r="T20" s="11" t="s">
        <v>19</v>
      </c>
      <c r="U20" s="23" t="e">
        <f>VLOOKUP(U17,[1]Pokemon!$A$1:$I$874,2,FALSE)</f>
        <v>#N/A</v>
      </c>
      <c r="V20" s="20"/>
      <c r="W20" s="13" t="s">
        <v>12</v>
      </c>
      <c r="X20" s="14" t="e">
        <f>VLOOKUP(U17,[1]Pokemon!$A$1:$I$874,4,FALSE)+IF(U19="Sim",1,0)</f>
        <v>#N/A</v>
      </c>
      <c r="Y20" s="22">
        <v>1</v>
      </c>
      <c r="Z20" s="8" t="e">
        <f>IF(AA23="Sim", ROUNDUP((AC20+ROUNDDOWN(U23/10,0))*Y20*AE18,0), ROUNDUP((AC20+ROUNDDOWN(U23/10,0))*Y20,0))</f>
        <v>#N/A</v>
      </c>
      <c r="AA20" s="24" t="s">
        <v>20</v>
      </c>
      <c r="AB20" s="17"/>
      <c r="AC20" s="9" t="e">
        <f>X20+LOOKUP(X20,[1]Dados!$H$3:$I$12,[1]Dados!$J$3:$J$12)*(ROUNDDOWN(U21/2,0))+LOOKUP(X20,[1]Dados!$H$3:$I$12,[1]Dados!$K$3:$K$12)*(ROUNDDOWN((U21-1)/2,0))</f>
        <v>#N/A</v>
      </c>
      <c r="AD20" s="18" t="s">
        <v>21</v>
      </c>
      <c r="AE20" s="19"/>
    </row>
    <row r="21" spans="1:31" x14ac:dyDescent="0.3">
      <c r="A21" s="71"/>
      <c r="B21" s="49"/>
      <c r="C21" s="72"/>
      <c r="E21" s="11" t="s">
        <v>23</v>
      </c>
      <c r="F21" s="25">
        <v>32</v>
      </c>
      <c r="G21" s="20"/>
      <c r="H21" s="13" t="s">
        <v>17</v>
      </c>
      <c r="I21" s="14">
        <f>VLOOKUP(F17,[1]Pokemon!$A$1:$I$874,5,FALSE)+IF(F19="Sim",1,0)</f>
        <v>8</v>
      </c>
      <c r="J21" s="22">
        <v>1</v>
      </c>
      <c r="K21" s="8">
        <f>IF(L23="Sim", ROUNDUP((N21+ROUNDDOWN(F23/10,0))*J21*P19,0), ROUNDUP((N21+ROUNDDOWN(F23/10,0))*J21,0))</f>
        <v>79</v>
      </c>
      <c r="L21" s="26">
        <f>ROUNDDOWN(I24/2,0)</f>
        <v>3</v>
      </c>
      <c r="M21" s="17"/>
      <c r="N21" s="9">
        <f>I21+LOOKUP(I21,[1]Dados!$H$3:$I$12,[1]Dados!$J$3:$J$12)*(ROUNDDOWN(F21/2,0))+LOOKUP(I21,[1]Dados!$H$3:$I$12,[1]Dados!$K$3:$K$12)*(ROUNDDOWN((F21-1)/2,0))</f>
        <v>70</v>
      </c>
      <c r="O21" s="18" t="s">
        <v>24</v>
      </c>
      <c r="P21" s="19"/>
      <c r="T21" s="11" t="s">
        <v>23</v>
      </c>
      <c r="U21" s="25">
        <v>1</v>
      </c>
      <c r="V21" s="20"/>
      <c r="W21" s="13" t="s">
        <v>17</v>
      </c>
      <c r="X21" s="14" t="e">
        <f>VLOOKUP(U17,[1]Pokemon!$A$1:$I$874,5,FALSE)+IF(U19="Sim",1,0)</f>
        <v>#N/A</v>
      </c>
      <c r="Y21" s="22">
        <v>1</v>
      </c>
      <c r="Z21" s="8" t="e">
        <f>IF(AA23="Sim", ROUNDUP((AC21+ROUNDDOWN(U23/10,0))*Y21*AE19,0), ROUNDUP((AC21+ROUNDDOWN(U23/10,0))*Y21,0))</f>
        <v>#N/A</v>
      </c>
      <c r="AA21" s="26" t="e">
        <f>ROUNDDOWN(X24/2,0)</f>
        <v>#N/A</v>
      </c>
      <c r="AB21" s="17"/>
      <c r="AC21" s="9" t="e">
        <f>X21+LOOKUP(X21,[1]Dados!$H$3:$I$12,[1]Dados!$J$3:$J$12)*(ROUNDDOWN(U21/2,0))+LOOKUP(X21,[1]Dados!$H$3:$I$12,[1]Dados!$K$3:$K$12)*(ROUNDDOWN((U21-1)/2,0))</f>
        <v>#N/A</v>
      </c>
      <c r="AD21" s="18" t="s">
        <v>24</v>
      </c>
      <c r="AE21" s="19"/>
    </row>
    <row r="22" spans="1:31" ht="15" thickBot="1" x14ac:dyDescent="0.35">
      <c r="A22" s="71"/>
      <c r="B22" s="49"/>
      <c r="C22" s="72"/>
      <c r="E22" s="11" t="s">
        <v>26</v>
      </c>
      <c r="F22" s="23">
        <v>0</v>
      </c>
      <c r="G22" s="20"/>
      <c r="H22" s="13" t="s">
        <v>21</v>
      </c>
      <c r="I22" s="14">
        <f>VLOOKUP(F17,[1]Pokemon!$A$1:$I$874,6,FALSE)+IF(F19="Sim",1,0)</f>
        <v>6</v>
      </c>
      <c r="J22" s="22">
        <v>1</v>
      </c>
      <c r="K22" s="8">
        <f>IF(L23="Sim", ROUNDUP((N22+ROUNDDOWN(F23/10,0))*J22*P20,0), ROUNDUP((N22+ROUNDDOWN(F23/10,0))*J22,0))</f>
        <v>62</v>
      </c>
      <c r="L22" s="24" t="s">
        <v>27</v>
      </c>
      <c r="M22" s="17"/>
      <c r="N22" s="9">
        <f>I22+LOOKUP(I22,[1]Dados!$H$3:$I$12,[1]Dados!$J$3:$J$12)*(ROUNDDOWN(F21/2,0))+LOOKUP(I22,[1]Dados!$H$3:$I$12,[1]Dados!$K$3:$K$12)*(ROUNDDOWN((F21-1)/2,0))</f>
        <v>53</v>
      </c>
      <c r="O22" s="28" t="s">
        <v>28</v>
      </c>
      <c r="P22" s="29"/>
      <c r="T22" s="11" t="s">
        <v>26</v>
      </c>
      <c r="U22" s="23">
        <v>0</v>
      </c>
      <c r="V22" s="20"/>
      <c r="W22" s="13" t="s">
        <v>21</v>
      </c>
      <c r="X22" s="14" t="e">
        <f>VLOOKUP(U17,[1]Pokemon!$A$1:$I$874,6,FALSE)+IF(U19="Sim",1,0)</f>
        <v>#N/A</v>
      </c>
      <c r="Y22" s="22">
        <v>1</v>
      </c>
      <c r="Z22" s="8" t="e">
        <f>IF(AA23="Sim", ROUNDUP((AC22+ROUNDDOWN(U23/10,0))*Y22*AE20,0), ROUNDUP((AC22+ROUNDDOWN(U23/10,0))*Y22,0))</f>
        <v>#N/A</v>
      </c>
      <c r="AA22" s="24" t="s">
        <v>27</v>
      </c>
      <c r="AB22" s="17"/>
      <c r="AC22" s="9" t="e">
        <f>X22+LOOKUP(X22,[1]Dados!$H$3:$I$12,[1]Dados!$J$3:$J$12)*(ROUNDDOWN(U21/2,0))+LOOKUP(X22,[1]Dados!$H$3:$I$12,[1]Dados!$K$3:$K$12)*(ROUNDDOWN((U21-1)/2,0))</f>
        <v>#N/A</v>
      </c>
      <c r="AD22" s="28" t="s">
        <v>28</v>
      </c>
      <c r="AE22" s="29"/>
    </row>
    <row r="23" spans="1:31" x14ac:dyDescent="0.3">
      <c r="A23" s="71"/>
      <c r="B23" s="49"/>
      <c r="C23" s="72"/>
      <c r="E23" s="11" t="s">
        <v>29</v>
      </c>
      <c r="F23" s="30">
        <v>90</v>
      </c>
      <c r="G23" s="20"/>
      <c r="H23" s="13" t="s">
        <v>24</v>
      </c>
      <c r="I23" s="14">
        <f>VLOOKUP(F17,[1]Pokemon!$A$1:$I$874,7,FALSE)+IF(F19="Sim",1,0)</f>
        <v>8</v>
      </c>
      <c r="J23" s="22">
        <v>1</v>
      </c>
      <c r="K23" s="8">
        <f>IF(L23="Sim", ROUNDUP((N23+ROUNDDOWN(F23/10,0))*J23*P21,0), ROUNDUP((N23+ROUNDDOWN(F23/10,0))*J23,0))</f>
        <v>79</v>
      </c>
      <c r="L23" s="26" t="s">
        <v>15</v>
      </c>
      <c r="M23" s="17"/>
      <c r="N23" s="9">
        <f>I23+LOOKUP(I23,[1]Dados!$H$3:$I$12,[1]Dados!$J$3:$J$12)*(ROUNDDOWN(F21/2,0))+LOOKUP(I23,[1]Dados!$H$3:$I$12,[1]Dados!$K$3:$K$12)*(ROUNDDOWN((F21-1)/2,0))</f>
        <v>70</v>
      </c>
      <c r="T23" s="11" t="s">
        <v>29</v>
      </c>
      <c r="U23" s="30">
        <v>0</v>
      </c>
      <c r="V23" s="20"/>
      <c r="W23" s="13" t="s">
        <v>24</v>
      </c>
      <c r="X23" s="14" t="e">
        <f>VLOOKUP(U17,[1]Pokemon!$A$1:$I$874,7,FALSE)+IF(U19="Sim",1,0)</f>
        <v>#N/A</v>
      </c>
      <c r="Y23" s="22">
        <v>1</v>
      </c>
      <c r="Z23" s="8" t="e">
        <f>IF(AA23="Sim", ROUNDUP((AC23+ROUNDDOWN(U23/10,0))*Y23*AE21,0), ROUNDUP((AC23+ROUNDDOWN(U23/10,0))*Y23,0))</f>
        <v>#N/A</v>
      </c>
      <c r="AA23" s="26" t="s">
        <v>15</v>
      </c>
      <c r="AB23" s="17"/>
      <c r="AC23" s="9" t="e">
        <f>X23+LOOKUP(X23,[1]Dados!$H$3:$I$12,[1]Dados!$J$3:$J$12)*(ROUNDDOWN(U21/2,0))+LOOKUP(X23,[1]Dados!$H$3:$I$12,[1]Dados!$K$3:$K$12)*(ROUNDDOWN((U21-1)/2,0))</f>
        <v>#N/A</v>
      </c>
    </row>
    <row r="24" spans="1:31" x14ac:dyDescent="0.3">
      <c r="A24" s="71"/>
      <c r="B24" s="49"/>
      <c r="C24" s="72"/>
      <c r="E24" s="11" t="s">
        <v>31</v>
      </c>
      <c r="F24" s="23" t="s">
        <v>32</v>
      </c>
      <c r="G24" s="20"/>
      <c r="H24" s="13" t="s">
        <v>28</v>
      </c>
      <c r="I24" s="14">
        <f>VLOOKUP(F17,[1]Pokemon!$A$1:$I$874,8,FALSE)+IF(F19="Sim",1,0)</f>
        <v>6</v>
      </c>
      <c r="J24" s="22">
        <f>1*IF(F25="Paralisado",0.5,1)</f>
        <v>1</v>
      </c>
      <c r="K24" s="8">
        <f>IF(L23="Sim", ROUNDUP(N24*J24*P22,0), ROUNDUP(N24*J24,0))</f>
        <v>53</v>
      </c>
      <c r="L24" s="31" t="str">
        <f>IF(L23 = "Sim", ROUNDUP((K24/(10*P22)), 0)&amp;"d6", ROUNDUP((K24/10), 0)&amp;"d6")</f>
        <v>6d6</v>
      </c>
      <c r="M24" s="17"/>
      <c r="N24" s="9">
        <f>I24+LOOKUP(I24,[1]Dados!$H$3:$I$12,[1]Dados!$J$3:$J$12)*(ROUNDDOWN(F21/2,0))+LOOKUP(I24,[1]Dados!$H$3:$I$12,[1]Dados!$K$3:$K$12)*(ROUNDDOWN((F21-1)/2,0))</f>
        <v>53</v>
      </c>
      <c r="T24" s="11" t="s">
        <v>31</v>
      </c>
      <c r="U24" s="23" t="s">
        <v>32</v>
      </c>
      <c r="V24" s="20"/>
      <c r="W24" s="13" t="s">
        <v>28</v>
      </c>
      <c r="X24" s="14" t="e">
        <f>VLOOKUP(U17,[1]Pokemon!$A$1:$I$874,8,FALSE)+IF(U19="Sim",1,0)</f>
        <v>#N/A</v>
      </c>
      <c r="Y24" s="22">
        <f>1*IF(U25="Paralisado",0.5,1)</f>
        <v>1</v>
      </c>
      <c r="Z24" s="8" t="e">
        <f>IF(AA23="Sim", ROUNDUP(AC24*Y24*AE22,0), ROUNDUP(AC24*Y24,0))</f>
        <v>#N/A</v>
      </c>
      <c r="AA24" s="31" t="e">
        <f>IF(AA23 = "Sim", ROUNDUP((Z24/(10*AE22)), 0)&amp;"d6", ROUNDUP((Z24/10), 0)&amp;"d6")</f>
        <v>#N/A</v>
      </c>
      <c r="AB24" s="17"/>
      <c r="AC24" s="9" t="e">
        <f>X24+LOOKUP(X24,[1]Dados!$H$3:$I$12,[1]Dados!$J$3:$J$12)*(ROUNDDOWN(U21/2,0))+LOOKUP(X24,[1]Dados!$H$3:$I$12,[1]Dados!$K$3:$K$12)*(ROUNDDOWN((U21-1)/2,0))</f>
        <v>#N/A</v>
      </c>
    </row>
    <row r="25" spans="1:31" x14ac:dyDescent="0.3">
      <c r="A25" s="71"/>
      <c r="B25" s="49"/>
      <c r="C25" s="72"/>
      <c r="E25" s="11" t="s">
        <v>34</v>
      </c>
      <c r="F25" s="23"/>
      <c r="G25" s="20"/>
      <c r="H25" s="13" t="s">
        <v>35</v>
      </c>
      <c r="I25" s="14">
        <f>VLOOKUP(F17,[1]Pokemon!$A$1:$I$874,9,FALSE)</f>
        <v>166</v>
      </c>
      <c r="J25" s="13" t="s">
        <v>36</v>
      </c>
      <c r="K25" s="13"/>
      <c r="L25" s="32">
        <f>((F21+1)*I25/2)-F22</f>
        <v>2739</v>
      </c>
      <c r="M25" s="17"/>
      <c r="N25" s="33"/>
      <c r="T25" s="11" t="s">
        <v>34</v>
      </c>
      <c r="U25" s="23"/>
      <c r="V25" s="20"/>
      <c r="W25" s="13" t="s">
        <v>35</v>
      </c>
      <c r="X25" s="14" t="e">
        <f>VLOOKUP(U17,[1]Pokemon!$A$1:$I$874,9,FALSE)</f>
        <v>#N/A</v>
      </c>
      <c r="Y25" s="13" t="s">
        <v>36</v>
      </c>
      <c r="Z25" s="13"/>
      <c r="AA25" s="32" t="e">
        <f>((U21+1)*X25/2)-U22</f>
        <v>#N/A</v>
      </c>
      <c r="AB25" s="17"/>
      <c r="AC25" s="33"/>
    </row>
    <row r="26" spans="1:31" x14ac:dyDescent="0.3">
      <c r="A26" s="71"/>
      <c r="B26" s="49"/>
      <c r="C26" s="72"/>
      <c r="E26" s="34"/>
      <c r="F26" s="8"/>
      <c r="G26" s="17"/>
      <c r="H26" s="8"/>
      <c r="I26" s="8"/>
      <c r="J26" s="8"/>
      <c r="K26" s="8"/>
      <c r="L26" s="26"/>
      <c r="M26" s="17"/>
      <c r="N26" s="35"/>
      <c r="T26" s="34"/>
      <c r="U26" s="8"/>
      <c r="V26" s="17"/>
      <c r="W26" s="8"/>
      <c r="X26" s="8"/>
      <c r="Y26" s="8"/>
      <c r="Z26" s="8"/>
      <c r="AA26" s="26"/>
      <c r="AB26" s="17"/>
      <c r="AC26" s="35"/>
    </row>
    <row r="27" spans="1:31" x14ac:dyDescent="0.3">
      <c r="A27" s="71"/>
      <c r="B27" s="49"/>
      <c r="C27" s="72"/>
      <c r="E27" s="60" t="s">
        <v>39</v>
      </c>
      <c r="F27" s="61"/>
      <c r="G27" s="13" t="s">
        <v>40</v>
      </c>
      <c r="H27" s="13"/>
      <c r="I27" s="13"/>
      <c r="J27" s="13" t="s">
        <v>16</v>
      </c>
      <c r="K27" s="13" t="s">
        <v>41</v>
      </c>
      <c r="L27" s="24" t="s">
        <v>42</v>
      </c>
      <c r="M27" s="17"/>
      <c r="N27" s="35"/>
      <c r="T27" s="60" t="s">
        <v>39</v>
      </c>
      <c r="U27" s="61"/>
      <c r="V27" s="13" t="s">
        <v>40</v>
      </c>
      <c r="W27" s="13"/>
      <c r="X27" s="13"/>
      <c r="Y27" s="13" t="s">
        <v>16</v>
      </c>
      <c r="Z27" s="13" t="s">
        <v>41</v>
      </c>
      <c r="AA27" s="24" t="s">
        <v>42</v>
      </c>
      <c r="AB27" s="17"/>
      <c r="AC27" s="35"/>
    </row>
    <row r="28" spans="1:31" x14ac:dyDescent="0.3">
      <c r="A28" s="71"/>
      <c r="B28" s="49"/>
      <c r="C28" s="72"/>
      <c r="E28" s="62" t="s">
        <v>99</v>
      </c>
      <c r="F28" s="63"/>
      <c r="G28" s="63" t="str">
        <f>VLOOKUP(E28,[2]Golpes!$A$1:$G$653,2,FALSE)&amp;"/"&amp;VLOOKUP(E28,[2]Golpes!$A$1:$G$653,3,FALSE)</f>
        <v>Grama/Físico</v>
      </c>
      <c r="H28" s="63"/>
      <c r="I28" s="63"/>
      <c r="J28" s="25">
        <f>VLOOKUP(E28,[2]Golpes!$A$1:$G$653,4,FALSE)</f>
        <v>8</v>
      </c>
      <c r="K28" s="25" t="str">
        <f>VLOOKUP(E28,[2]Golpes!$A$1:$G$653,5,FALSE)</f>
        <v>8d6</v>
      </c>
      <c r="L28" s="36">
        <f>VLOOKUP(E28,[2]Golpes!$A$1:$G$653,6,FALSE)</f>
        <v>1</v>
      </c>
      <c r="M28" s="17" t="str">
        <f>VLOOKUP(E28,[2]Golpes!$A$1:$G$653,7,FALSE)</f>
        <v>Causa dano e recupera 50% do HP diminuido do adversário.</v>
      </c>
      <c r="N28" s="35"/>
      <c r="T28" s="62"/>
      <c r="U28" s="63"/>
      <c r="V28" s="63" t="e">
        <f>VLOOKUP(T28,[2]Golpes!$A$1:$G$653,2,FALSE)&amp;"/"&amp;VLOOKUP(T28,[2]Golpes!$A$1:$G$653,3,FALSE)</f>
        <v>#N/A</v>
      </c>
      <c r="W28" s="63"/>
      <c r="X28" s="63"/>
      <c r="Y28" s="25" t="e">
        <f>VLOOKUP(T28,[2]Golpes!$A$1:$G$653,4,FALSE)</f>
        <v>#N/A</v>
      </c>
      <c r="Z28" s="25" t="e">
        <f>VLOOKUP(T28,[2]Golpes!$A$1:$G$653,5,FALSE)</f>
        <v>#N/A</v>
      </c>
      <c r="AA28" s="36" t="e">
        <f>VLOOKUP(T28,[2]Golpes!$A$1:$G$653,6,FALSE)</f>
        <v>#N/A</v>
      </c>
      <c r="AB28" s="17" t="e">
        <f>VLOOKUP(T28,[2]Golpes!$A$1:$G$653,7,FALSE)</f>
        <v>#N/A</v>
      </c>
      <c r="AC28" s="35"/>
    </row>
    <row r="29" spans="1:31" ht="15" thickBot="1" x14ac:dyDescent="0.35">
      <c r="A29" s="73"/>
      <c r="B29" s="74"/>
      <c r="C29" s="75"/>
      <c r="E29" s="62" t="s">
        <v>100</v>
      </c>
      <c r="F29" s="63"/>
      <c r="G29" s="63" t="str">
        <f>VLOOKUP(E29,[2]Golpes!$A$1:$G$653,2,FALSE)&amp;"/"&amp;VLOOKUP(E29,[2]Golpes!$A$1:$G$653,3,FALSE)</f>
        <v>Fantasma/Físico</v>
      </c>
      <c r="H29" s="63"/>
      <c r="I29" s="63"/>
      <c r="J29" s="25">
        <f>VLOOKUP(E29,[2]Golpes!$A$1:$G$653,4,FALSE)</f>
        <v>8</v>
      </c>
      <c r="K29" s="25" t="str">
        <f>VLOOKUP(E29,[2]Golpes!$A$1:$G$653,5,FALSE)</f>
        <v>7d6</v>
      </c>
      <c r="L29" s="36">
        <f>VLOOKUP(E29,[2]Golpes!$A$1:$G$653,6,FALSE)</f>
        <v>1</v>
      </c>
      <c r="M29" s="17" t="str">
        <f>VLOOKUP(E29,[2]Golpes!$A$1:$G$653,7,FALSE)</f>
        <v>Causa dano e aumenta a Taxa de Crítico de 10% para 30%.</v>
      </c>
      <c r="N29" s="35"/>
      <c r="T29" s="62"/>
      <c r="U29" s="63"/>
      <c r="V29" s="63" t="e">
        <f>VLOOKUP(T29,[2]Golpes!$A$1:$G$653,2,FALSE)&amp;"/"&amp;VLOOKUP(T29,[2]Golpes!$A$1:$G$653,3,FALSE)</f>
        <v>#N/A</v>
      </c>
      <c r="W29" s="63"/>
      <c r="X29" s="63"/>
      <c r="Y29" s="25" t="e">
        <f>VLOOKUP(T29,[2]Golpes!$A$1:$G$653,4,FALSE)</f>
        <v>#N/A</v>
      </c>
      <c r="Z29" s="25" t="e">
        <f>VLOOKUP(T29,[2]Golpes!$A$1:$G$653,5,FALSE)</f>
        <v>#N/A</v>
      </c>
      <c r="AA29" s="36" t="e">
        <f>VLOOKUP(T29,[2]Golpes!$A$1:$G$653,6,FALSE)</f>
        <v>#N/A</v>
      </c>
      <c r="AB29" s="17" t="e">
        <f>VLOOKUP(T29,[2]Golpes!$A$1:$G$653,7,FALSE)</f>
        <v>#N/A</v>
      </c>
      <c r="AC29" s="35"/>
    </row>
    <row r="30" spans="1:31" ht="15" thickBot="1" x14ac:dyDescent="0.35">
      <c r="A30" s="64" t="s">
        <v>48</v>
      </c>
      <c r="B30" s="65"/>
      <c r="C30" s="66"/>
      <c r="E30" s="62" t="s">
        <v>101</v>
      </c>
      <c r="F30" s="63"/>
      <c r="G30" s="63" t="str">
        <f>VLOOKUP(E30,[2]Golpes!$A$1:$G$653,2,FALSE)&amp;"/"&amp;VLOOKUP(E30,[2]Golpes!$A$1:$G$653,3,FALSE)</f>
        <v>Pedra/Físico</v>
      </c>
      <c r="H30" s="63"/>
      <c r="I30" s="63"/>
      <c r="J30" s="25">
        <f>VLOOKUP(E30,[2]Golpes!$A$1:$G$653,4,FALSE)</f>
        <v>9</v>
      </c>
      <c r="K30" s="25" t="str">
        <f>VLOOKUP(E30,[2]Golpes!$A$1:$G$653,5,FALSE)</f>
        <v>8d6</v>
      </c>
      <c r="L30" s="36">
        <f>VLOOKUP(E30,[2]Golpes!$A$1:$G$653,6,FALSE)</f>
        <v>0.9</v>
      </c>
      <c r="M30" s="17" t="str">
        <f>VLOOKUP(E30,[2]Golpes!$A$1:$G$653,7,FALSE)</f>
        <v>Causa dano e tem 30% de chance de causar condição Recuando.</v>
      </c>
      <c r="N30" s="35"/>
      <c r="T30" s="62"/>
      <c r="U30" s="63"/>
      <c r="V30" s="63" t="e">
        <f>VLOOKUP(T30,[2]Golpes!$A$1:$G$653,2,FALSE)&amp;"/"&amp;VLOOKUP(T30,[2]Golpes!$A$1:$G$653,3,FALSE)</f>
        <v>#N/A</v>
      </c>
      <c r="W30" s="63"/>
      <c r="X30" s="63"/>
      <c r="Y30" s="25" t="e">
        <f>VLOOKUP(T30,[2]Golpes!$A$1:$G$653,4,FALSE)</f>
        <v>#N/A</v>
      </c>
      <c r="Z30" s="25" t="e">
        <f>VLOOKUP(T30,[2]Golpes!$A$1:$G$653,5,FALSE)</f>
        <v>#N/A</v>
      </c>
      <c r="AA30" s="36" t="e">
        <f>VLOOKUP(T30,[2]Golpes!$A$1:$G$653,6,FALSE)</f>
        <v>#N/A</v>
      </c>
      <c r="AB30" s="17" t="e">
        <f>VLOOKUP(T30,[2]Golpes!$A$1:$G$653,7,FALSE)</f>
        <v>#N/A</v>
      </c>
      <c r="AC30" s="35"/>
    </row>
    <row r="31" spans="1:31" ht="15" thickBot="1" x14ac:dyDescent="0.35">
      <c r="A31" s="76" t="s">
        <v>167</v>
      </c>
      <c r="B31" s="77"/>
      <c r="C31" s="78"/>
      <c r="E31" s="67" t="s">
        <v>103</v>
      </c>
      <c r="F31" s="68"/>
      <c r="G31" s="68" t="str">
        <f>VLOOKUP(E31,[2]Golpes!$A$1:$G$653,2,FALSE)&amp;"/"&amp;VLOOKUP(E31,[2]Golpes!$A$1:$G$653,3,FALSE)</f>
        <v>Grama/Estado</v>
      </c>
      <c r="H31" s="68"/>
      <c r="I31" s="68"/>
      <c r="J31" s="43">
        <f>VLOOKUP(E31,[2]Golpes!$A$1:$G$653,4,FALSE)</f>
        <v>5</v>
      </c>
      <c r="K31" s="43" t="str">
        <f>VLOOKUP(E31,[2]Golpes!$A$1:$G$653,5,FALSE)</f>
        <v>-</v>
      </c>
      <c r="L31" s="44">
        <f>VLOOKUP(E31,[2]Golpes!$A$1:$G$653,6,FALSE)</f>
        <v>0.9</v>
      </c>
      <c r="M31" s="17" t="str">
        <f>VLOOKUP(E31,[2]Golpes!$A$1:$G$653,7,FALSE)</f>
        <v>Drena 10% do PV do adversário no final de cada turno, porém não funciona contra adversários do tipo Grama.</v>
      </c>
      <c r="N31" s="35"/>
      <c r="T31" s="67"/>
      <c r="U31" s="68"/>
      <c r="V31" s="68" t="e">
        <f>VLOOKUP(T31,[2]Golpes!$A$1:$G$653,2,FALSE)&amp;"/"&amp;VLOOKUP(T31,[2]Golpes!$A$1:$G$653,3,FALSE)</f>
        <v>#N/A</v>
      </c>
      <c r="W31" s="68"/>
      <c r="X31" s="68"/>
      <c r="Y31" s="43" t="e">
        <f>VLOOKUP(T31,[2]Golpes!$A$1:$G$653,4,FALSE)</f>
        <v>#N/A</v>
      </c>
      <c r="Z31" s="43" t="e">
        <f>VLOOKUP(T31,[2]Golpes!$A$1:$G$653,5,FALSE)</f>
        <v>#N/A</v>
      </c>
      <c r="AA31" s="44" t="e">
        <f>VLOOKUP(T31,[2]Golpes!$A$1:$G$653,6,FALSE)</f>
        <v>#N/A</v>
      </c>
      <c r="AB31" s="17" t="e">
        <f>VLOOKUP(T31,[2]Golpes!$A$1:$G$653,7,FALSE)</f>
        <v>#N/A</v>
      </c>
      <c r="AC31" s="35"/>
    </row>
    <row r="32" spans="1:31" ht="15" thickBot="1" x14ac:dyDescent="0.35">
      <c r="A32" s="69"/>
      <c r="B32" s="50"/>
      <c r="C32" s="70"/>
    </row>
    <row r="33" spans="1:31" x14ac:dyDescent="0.3">
      <c r="A33" s="69"/>
      <c r="B33" s="50"/>
      <c r="C33" s="70"/>
      <c r="E33" s="2" t="s">
        <v>1</v>
      </c>
      <c r="F33" s="3" t="s">
        <v>104</v>
      </c>
      <c r="G33" s="4" t="s">
        <v>175</v>
      </c>
      <c r="H33" s="5"/>
      <c r="I33" s="6" t="s">
        <v>2</v>
      </c>
      <c r="J33" s="6" t="s">
        <v>3</v>
      </c>
      <c r="K33" s="6" t="s">
        <v>4</v>
      </c>
      <c r="L33" s="7" t="s">
        <v>5</v>
      </c>
      <c r="M33" s="8"/>
      <c r="N33" s="9"/>
      <c r="O33" s="53" t="s">
        <v>6</v>
      </c>
      <c r="P33" s="54"/>
      <c r="T33" s="2" t="s">
        <v>1</v>
      </c>
      <c r="U33" s="3"/>
      <c r="V33" s="4"/>
      <c r="W33" s="5"/>
      <c r="X33" s="6" t="s">
        <v>2</v>
      </c>
      <c r="Y33" s="6" t="s">
        <v>3</v>
      </c>
      <c r="Z33" s="6" t="s">
        <v>4</v>
      </c>
      <c r="AA33" s="7" t="s">
        <v>5</v>
      </c>
      <c r="AB33" s="8"/>
      <c r="AC33" s="9"/>
      <c r="AD33" s="53" t="s">
        <v>6</v>
      </c>
      <c r="AE33" s="54"/>
    </row>
    <row r="34" spans="1:31" x14ac:dyDescent="0.3">
      <c r="A34" s="69" t="s">
        <v>168</v>
      </c>
      <c r="B34" s="50"/>
      <c r="C34" s="70"/>
      <c r="E34" s="11" t="s">
        <v>8</v>
      </c>
      <c r="F34" s="8" t="s">
        <v>9</v>
      </c>
      <c r="G34" s="12" t="s">
        <v>10</v>
      </c>
      <c r="H34" s="13" t="s">
        <v>11</v>
      </c>
      <c r="I34" s="14">
        <f>VLOOKUP(F33,[1]Pokemon!$A$1:$I$874,3,FALSE)+IF(F35="Sim",20,0)</f>
        <v>45</v>
      </c>
      <c r="J34" s="15">
        <v>0</v>
      </c>
      <c r="K34" s="8">
        <f>IF($B$5="Vigoroso",ROUNDUP((N34+J34)*1.2,0),N34+J34)</f>
        <v>89</v>
      </c>
      <c r="L34" s="16">
        <v>89</v>
      </c>
      <c r="M34" s="17"/>
      <c r="N34" s="9">
        <f>I34+LOOKUP(I34,[1]Dados!$C$3:$D$12,[1]Dados!$E$3:$E$12)*(ROUNDDOWN(F37/2,0))+LOOKUP(I34,[1]Dados!$C$3:$D$12,[1]Dados!$F$3:$F$12)*(ROUNDDOWN((F37-1)/2,0))</f>
        <v>89</v>
      </c>
      <c r="O34" s="18" t="s">
        <v>12</v>
      </c>
      <c r="P34" s="19"/>
      <c r="T34" s="11" t="s">
        <v>8</v>
      </c>
      <c r="U34" s="8" t="s">
        <v>9</v>
      </c>
      <c r="V34" s="12" t="s">
        <v>10</v>
      </c>
      <c r="W34" s="13" t="s">
        <v>11</v>
      </c>
      <c r="X34" s="14" t="e">
        <f>VLOOKUP(U33,[1]Pokemon!$A$1:$I$874,3,FALSE)+IF(U35="Sim",20,0)</f>
        <v>#N/A</v>
      </c>
      <c r="Y34" s="15">
        <v>0</v>
      </c>
      <c r="Z34" s="8" t="e">
        <f>IF($B$5="Vigoroso",ROUNDUP((AC34+Y34)*1.2,0),AC34+Y34)</f>
        <v>#N/A</v>
      </c>
      <c r="AA34" s="16">
        <v>0</v>
      </c>
      <c r="AB34" s="17"/>
      <c r="AC34" s="9" t="e">
        <f>X34+LOOKUP(X34,[1]Dados!$C$3:$D$12,[1]Dados!$E$3:$E$12)*(ROUNDDOWN(U37/2,0))+LOOKUP(X34,[1]Dados!$C$3:$D$12,[1]Dados!$F$3:$F$12)*(ROUNDDOWN((U37-1)/2,0))</f>
        <v>#N/A</v>
      </c>
      <c r="AD34" s="18" t="s">
        <v>12</v>
      </c>
      <c r="AE34" s="19"/>
    </row>
    <row r="35" spans="1:31" x14ac:dyDescent="0.3">
      <c r="A35" s="69"/>
      <c r="B35" s="50"/>
      <c r="C35" s="70"/>
      <c r="E35" s="11" t="s">
        <v>14</v>
      </c>
      <c r="F35" s="8" t="s">
        <v>15</v>
      </c>
      <c r="G35" s="47" t="s">
        <v>105</v>
      </c>
      <c r="H35" s="13" t="s">
        <v>16</v>
      </c>
      <c r="I35" s="21">
        <f>20+IF(F35="Sim",10,0)</f>
        <v>20</v>
      </c>
      <c r="J35" s="22">
        <v>0</v>
      </c>
      <c r="K35" s="8">
        <f>18+(F37*2)+IF(F35="Sim",10,0)+J35</f>
        <v>78</v>
      </c>
      <c r="L35" s="16">
        <v>78</v>
      </c>
      <c r="M35" s="17"/>
      <c r="N35" s="9"/>
      <c r="O35" s="18" t="s">
        <v>17</v>
      </c>
      <c r="P35" s="19"/>
      <c r="T35" s="11" t="s">
        <v>14</v>
      </c>
      <c r="U35" s="8" t="s">
        <v>15</v>
      </c>
      <c r="V35" s="20"/>
      <c r="W35" s="13" t="s">
        <v>16</v>
      </c>
      <c r="X35" s="21">
        <f>20+IF(U35="Sim",10,0)</f>
        <v>20</v>
      </c>
      <c r="Y35" s="22">
        <v>0</v>
      </c>
      <c r="Z35" s="8">
        <f>18+(U37*2)+IF(U35="Sim",10,0)+Y35</f>
        <v>20</v>
      </c>
      <c r="AA35" s="16">
        <v>0</v>
      </c>
      <c r="AB35" s="17"/>
      <c r="AC35" s="9"/>
      <c r="AD35" s="18" t="s">
        <v>17</v>
      </c>
      <c r="AE35" s="19"/>
    </row>
    <row r="36" spans="1:31" ht="15" thickBot="1" x14ac:dyDescent="0.35">
      <c r="A36" s="79"/>
      <c r="B36" s="80"/>
      <c r="C36" s="81"/>
      <c r="E36" s="11" t="s">
        <v>19</v>
      </c>
      <c r="F36" s="23" t="str">
        <f>VLOOKUP(F33,[1]Pokemon!$A$1:$I$874,2,FALSE)</f>
        <v>Fantasma</v>
      </c>
      <c r="G36" s="20"/>
      <c r="H36" s="13" t="s">
        <v>12</v>
      </c>
      <c r="I36" s="14">
        <f>VLOOKUP(F33,[1]Pokemon!$A$1:$I$874,4,FALSE)+IF(F35="Sim",1,0)</f>
        <v>6</v>
      </c>
      <c r="J36" s="22">
        <v>1</v>
      </c>
      <c r="K36" s="8">
        <f>IF(L39="Sim", ROUNDUP((N36+ROUNDDOWN(F39/10,0))*J36*P34,0), ROUNDUP((N36+ROUNDDOWN(F39/10,0))*J36,0))</f>
        <v>58</v>
      </c>
      <c r="L36" s="24" t="s">
        <v>20</v>
      </c>
      <c r="M36" s="17"/>
      <c r="N36" s="9">
        <f>I36+LOOKUP(I36,[1]Dados!$H$3:$I$12,[1]Dados!$J$3:$J$12)*(ROUNDDOWN(F37/2,0))+LOOKUP(I36,[1]Dados!$H$3:$I$12,[1]Dados!$K$3:$K$12)*(ROUNDDOWN((F37-1)/2,0))</f>
        <v>50</v>
      </c>
      <c r="O36" s="18" t="s">
        <v>21</v>
      </c>
      <c r="P36" s="19"/>
      <c r="T36" s="11" t="s">
        <v>19</v>
      </c>
      <c r="U36" s="23" t="e">
        <f>VLOOKUP(U33,[1]Pokemon!$A$1:$I$874,2,FALSE)</f>
        <v>#N/A</v>
      </c>
      <c r="V36" s="20"/>
      <c r="W36" s="13" t="s">
        <v>12</v>
      </c>
      <c r="X36" s="14" t="e">
        <f>VLOOKUP(U33,[1]Pokemon!$A$1:$I$874,4,FALSE)+IF(U35="Sim",1,0)</f>
        <v>#N/A</v>
      </c>
      <c r="Y36" s="22">
        <v>1</v>
      </c>
      <c r="Z36" s="8" t="e">
        <f>IF(AA39="Sim", ROUNDUP((AC36+ROUNDDOWN(U39/10,0))*Y36*AE34,0), ROUNDUP((AC36+ROUNDDOWN(U39/10,0))*Y36,0))</f>
        <v>#N/A</v>
      </c>
      <c r="AA36" s="24" t="s">
        <v>20</v>
      </c>
      <c r="AB36" s="17"/>
      <c r="AC36" s="9" t="e">
        <f>X36+LOOKUP(X36,[1]Dados!$H$3:$I$12,[1]Dados!$J$3:$J$12)*(ROUNDDOWN(U37/2,0))+LOOKUP(X36,[1]Dados!$H$3:$I$12,[1]Dados!$K$3:$K$12)*(ROUNDDOWN((U37-1)/2,0))</f>
        <v>#N/A</v>
      </c>
      <c r="AD36" s="18" t="s">
        <v>21</v>
      </c>
      <c r="AE36" s="19"/>
    </row>
    <row r="37" spans="1:31" ht="15" thickBot="1" x14ac:dyDescent="0.35">
      <c r="A37" s="64" t="s">
        <v>49</v>
      </c>
      <c r="B37" s="65"/>
      <c r="C37" s="66"/>
      <c r="E37" s="11" t="s">
        <v>23</v>
      </c>
      <c r="F37" s="25">
        <v>30</v>
      </c>
      <c r="G37" s="20"/>
      <c r="H37" s="13" t="s">
        <v>17</v>
      </c>
      <c r="I37" s="14">
        <f>VLOOKUP(F33,[1]Pokemon!$A$1:$I$874,5,FALSE)+IF(F35="Sim",1,0)</f>
        <v>6</v>
      </c>
      <c r="J37" s="22">
        <v>1</v>
      </c>
      <c r="K37" s="8">
        <f>IF(L39="Sim", ROUNDUP((N37+ROUNDDOWN(F39/10,0))*J37*P35,0), ROUNDUP((N37+ROUNDDOWN(F39/10,0))*J37,0))</f>
        <v>58</v>
      </c>
      <c r="L37" s="26">
        <f>ROUNDDOWN(I40/2,0)</f>
        <v>5</v>
      </c>
      <c r="M37" s="17"/>
      <c r="N37" s="9">
        <f>I37+LOOKUP(I37,[1]Dados!$H$3:$I$12,[1]Dados!$J$3:$J$12)*(ROUNDDOWN(F37/2,0))+LOOKUP(I37,[1]Dados!$H$3:$I$12,[1]Dados!$K$3:$K$12)*(ROUNDDOWN((F37-1)/2,0))</f>
        <v>50</v>
      </c>
      <c r="O37" s="18" t="s">
        <v>24</v>
      </c>
      <c r="P37" s="19"/>
      <c r="T37" s="11" t="s">
        <v>23</v>
      </c>
      <c r="U37" s="25">
        <v>1</v>
      </c>
      <c r="V37" s="20"/>
      <c r="W37" s="13" t="s">
        <v>17</v>
      </c>
      <c r="X37" s="14" t="e">
        <f>VLOOKUP(U33,[1]Pokemon!$A$1:$I$874,5,FALSE)+IF(U35="Sim",1,0)</f>
        <v>#N/A</v>
      </c>
      <c r="Y37" s="22">
        <v>1</v>
      </c>
      <c r="Z37" s="8" t="e">
        <f>IF(AA39="Sim", ROUNDUP((AC37+ROUNDDOWN(U39/10,0))*Y37*AE35,0), ROUNDUP((AC37+ROUNDDOWN(U39/10,0))*Y37,0))</f>
        <v>#N/A</v>
      </c>
      <c r="AA37" s="26" t="e">
        <f>ROUNDDOWN(X40/2,0)</f>
        <v>#N/A</v>
      </c>
      <c r="AB37" s="17"/>
      <c r="AC37" s="9" t="e">
        <f>X37+LOOKUP(X37,[1]Dados!$H$3:$I$12,[1]Dados!$J$3:$J$12)*(ROUNDDOWN(U37/2,0))+LOOKUP(X37,[1]Dados!$H$3:$I$12,[1]Dados!$K$3:$K$12)*(ROUNDDOWN((U37-1)/2,0))</f>
        <v>#N/A</v>
      </c>
      <c r="AD37" s="18" t="s">
        <v>24</v>
      </c>
      <c r="AE37" s="19"/>
    </row>
    <row r="38" spans="1:31" ht="15" thickBot="1" x14ac:dyDescent="0.35">
      <c r="A38" s="38"/>
      <c r="B38" s="38"/>
      <c r="C38" s="45"/>
      <c r="E38" s="11" t="s">
        <v>26</v>
      </c>
      <c r="F38" s="23">
        <v>0</v>
      </c>
      <c r="G38" s="20"/>
      <c r="H38" s="13" t="s">
        <v>21</v>
      </c>
      <c r="I38" s="14">
        <f>VLOOKUP(F33,[1]Pokemon!$A$1:$I$874,6,FALSE)+IF(F35="Sim",1,0)</f>
        <v>10</v>
      </c>
      <c r="J38" s="22">
        <v>1</v>
      </c>
      <c r="K38" s="8">
        <f>IF(L39="Sim", ROUNDUP((N38+ROUNDDOWN(F39/10,0))*J38*P36,0), ROUNDUP((N38+ROUNDDOWN(F39/10,0))*J38,0))</f>
        <v>91</v>
      </c>
      <c r="L38" s="24" t="s">
        <v>27</v>
      </c>
      <c r="M38" s="17"/>
      <c r="N38" s="9">
        <f>I38+LOOKUP(I38,[1]Dados!$H$3:$I$12,[1]Dados!$J$3:$J$12)*(ROUNDDOWN(F37/2,0))+LOOKUP(I38,[1]Dados!$H$3:$I$12,[1]Dados!$K$3:$K$12)*(ROUNDDOWN((F37-1)/2,0))</f>
        <v>83</v>
      </c>
      <c r="O38" s="28" t="s">
        <v>28</v>
      </c>
      <c r="P38" s="29"/>
      <c r="T38" s="11" t="s">
        <v>26</v>
      </c>
      <c r="U38" s="23">
        <v>0</v>
      </c>
      <c r="V38" s="20"/>
      <c r="W38" s="13" t="s">
        <v>21</v>
      </c>
      <c r="X38" s="14" t="e">
        <f>VLOOKUP(U33,[1]Pokemon!$A$1:$I$874,6,FALSE)+IF(U35="Sim",1,0)</f>
        <v>#N/A</v>
      </c>
      <c r="Y38" s="22">
        <v>1</v>
      </c>
      <c r="Z38" s="8" t="e">
        <f>IF(AA39="Sim", ROUNDUP((AC38+ROUNDDOWN(U39/10,0))*Y38*AE36,0), ROUNDUP((AC38+ROUNDDOWN(U39/10,0))*Y38,0))</f>
        <v>#N/A</v>
      </c>
      <c r="AA38" s="24" t="s">
        <v>27</v>
      </c>
      <c r="AB38" s="17"/>
      <c r="AC38" s="9" t="e">
        <f>X38+LOOKUP(X38,[1]Dados!$H$3:$I$12,[1]Dados!$J$3:$J$12)*(ROUNDDOWN(U37/2,0))+LOOKUP(X38,[1]Dados!$H$3:$I$12,[1]Dados!$K$3:$K$12)*(ROUNDDOWN((U37-1)/2,0))</f>
        <v>#N/A</v>
      </c>
      <c r="AD38" s="28" t="s">
        <v>28</v>
      </c>
      <c r="AE38" s="29"/>
    </row>
    <row r="39" spans="1:31" x14ac:dyDescent="0.3">
      <c r="C39" s="46"/>
      <c r="E39" s="11" t="s">
        <v>29</v>
      </c>
      <c r="F39" s="30">
        <v>80</v>
      </c>
      <c r="G39" s="20"/>
      <c r="H39" s="13" t="s">
        <v>24</v>
      </c>
      <c r="I39" s="14">
        <f>VLOOKUP(F33,[1]Pokemon!$A$1:$I$874,7,FALSE)+IF(F35="Sim",1,0)</f>
        <v>10</v>
      </c>
      <c r="J39" s="22">
        <v>1</v>
      </c>
      <c r="K39" s="8">
        <f>IF(L39="Sim", ROUNDUP((N39+ROUNDDOWN(F39/10,0))*J39*P37,0), ROUNDUP((N39+ROUNDDOWN(F39/10,0))*J39,0))</f>
        <v>91</v>
      </c>
      <c r="L39" s="26" t="s">
        <v>15</v>
      </c>
      <c r="M39" s="17"/>
      <c r="N39" s="9">
        <f>I39+LOOKUP(I39,[1]Dados!$H$3:$I$12,[1]Dados!$J$3:$J$12)*(ROUNDDOWN(F37/2,0))+LOOKUP(I39,[1]Dados!$H$3:$I$12,[1]Dados!$K$3:$K$12)*(ROUNDDOWN((F37-1)/2,0))</f>
        <v>83</v>
      </c>
      <c r="T39" s="11" t="s">
        <v>29</v>
      </c>
      <c r="U39" s="30">
        <v>0</v>
      </c>
      <c r="V39" s="20"/>
      <c r="W39" s="13" t="s">
        <v>24</v>
      </c>
      <c r="X39" s="14" t="e">
        <f>VLOOKUP(U33,[1]Pokemon!$A$1:$I$874,7,FALSE)+IF(U35="Sim",1,0)</f>
        <v>#N/A</v>
      </c>
      <c r="Y39" s="22">
        <v>1</v>
      </c>
      <c r="Z39" s="8" t="e">
        <f>IF(AA39="Sim", ROUNDUP((AC39+ROUNDDOWN(U39/10,0))*Y39*AE37,0), ROUNDUP((AC39+ROUNDDOWN(U39/10,0))*Y39,0))</f>
        <v>#N/A</v>
      </c>
      <c r="AA39" s="26" t="s">
        <v>15</v>
      </c>
      <c r="AB39" s="17"/>
      <c r="AC39" s="9" t="e">
        <f>X39+LOOKUP(X39,[1]Dados!$H$3:$I$12,[1]Dados!$J$3:$J$12)*(ROUNDDOWN(U37/2,0))+LOOKUP(X39,[1]Dados!$H$3:$I$12,[1]Dados!$K$3:$K$12)*(ROUNDDOWN((U37-1)/2,0))</f>
        <v>#N/A</v>
      </c>
    </row>
    <row r="40" spans="1:31" x14ac:dyDescent="0.3">
      <c r="C40" s="46"/>
      <c r="E40" s="11" t="s">
        <v>31</v>
      </c>
      <c r="F40" s="23" t="s">
        <v>32</v>
      </c>
      <c r="G40" s="20"/>
      <c r="H40" s="13" t="s">
        <v>28</v>
      </c>
      <c r="I40" s="14">
        <f>VLOOKUP(F33,[1]Pokemon!$A$1:$I$874,8,FALSE)+IF(F35="Sim",1,0)</f>
        <v>10</v>
      </c>
      <c r="J40" s="22">
        <f>1*IF(F41="Paralisado",0.5,1)</f>
        <v>1</v>
      </c>
      <c r="K40" s="8">
        <f>IF(L39="Sim", ROUNDUP(N40*J40*P38,0), ROUNDUP(N40*J40,0))</f>
        <v>83</v>
      </c>
      <c r="L40" s="31" t="str">
        <f>IF(L39 = "Sim", ROUNDUP((K40/(10*P38)), 0)&amp;"d6", ROUNDUP((K40/10), 0)&amp;"d6")</f>
        <v>9d6</v>
      </c>
      <c r="M40" s="17"/>
      <c r="N40" s="9">
        <f>I40+LOOKUP(I40,[1]Dados!$H$3:$I$12,[1]Dados!$J$3:$J$12)*(ROUNDDOWN(F37/2,0))+LOOKUP(I40,[1]Dados!$H$3:$I$12,[1]Dados!$K$3:$K$12)*(ROUNDDOWN((F37-1)/2,0))</f>
        <v>83</v>
      </c>
      <c r="T40" s="11" t="s">
        <v>31</v>
      </c>
      <c r="U40" s="23" t="s">
        <v>32</v>
      </c>
      <c r="V40" s="20"/>
      <c r="W40" s="13" t="s">
        <v>28</v>
      </c>
      <c r="X40" s="14" t="e">
        <f>VLOOKUP(U33,[1]Pokemon!$A$1:$I$874,8,FALSE)+IF(U35="Sim",1,0)</f>
        <v>#N/A</v>
      </c>
      <c r="Y40" s="22">
        <f>1*IF(U41="Paralisado",0.5,1)</f>
        <v>1</v>
      </c>
      <c r="Z40" s="8" t="e">
        <f>IF(AA39="Sim", ROUNDUP(AC40*Y40*AE38,0), ROUNDUP(AC40*Y40,0))</f>
        <v>#N/A</v>
      </c>
      <c r="AA40" s="31" t="e">
        <f>IF(AA39 = "Sim", ROUNDUP((Z40/(10*AE38)), 0)&amp;"d6", ROUNDUP((Z40/10), 0)&amp;"d6")</f>
        <v>#N/A</v>
      </c>
      <c r="AB40" s="17"/>
      <c r="AC40" s="9" t="e">
        <f>X40+LOOKUP(X40,[1]Dados!$H$3:$I$12,[1]Dados!$J$3:$J$12)*(ROUNDDOWN(U37/2,0))+LOOKUP(X40,[1]Dados!$H$3:$I$12,[1]Dados!$K$3:$K$12)*(ROUNDDOWN((U37-1)/2,0))</f>
        <v>#N/A</v>
      </c>
    </row>
    <row r="41" spans="1:31" x14ac:dyDescent="0.3">
      <c r="C41" s="46"/>
      <c r="E41" s="11" t="s">
        <v>34</v>
      </c>
      <c r="F41" s="23"/>
      <c r="G41" s="20"/>
      <c r="H41" s="13" t="s">
        <v>35</v>
      </c>
      <c r="I41" s="14">
        <f>VLOOKUP(F33,[1]Pokemon!$A$1:$I$874,9,FALSE)</f>
        <v>173</v>
      </c>
      <c r="J41" s="13" t="s">
        <v>36</v>
      </c>
      <c r="K41" s="13"/>
      <c r="L41" s="32">
        <f>((F37+1)*I41/2)-F38</f>
        <v>2681.5</v>
      </c>
      <c r="M41" s="17"/>
      <c r="N41" s="33"/>
      <c r="T41" s="11" t="s">
        <v>34</v>
      </c>
      <c r="U41" s="23"/>
      <c r="V41" s="20"/>
      <c r="W41" s="13" t="s">
        <v>35</v>
      </c>
      <c r="X41" s="14" t="e">
        <f>VLOOKUP(U33,[1]Pokemon!$A$1:$I$874,9,FALSE)</f>
        <v>#N/A</v>
      </c>
      <c r="Y41" s="13" t="s">
        <v>36</v>
      </c>
      <c r="Z41" s="13"/>
      <c r="AA41" s="32" t="e">
        <f>((U37+1)*X41/2)-U38</f>
        <v>#N/A</v>
      </c>
      <c r="AB41" s="17"/>
      <c r="AC41" s="33"/>
    </row>
    <row r="42" spans="1:31" x14ac:dyDescent="0.3">
      <c r="C42" s="46"/>
      <c r="E42" s="34"/>
      <c r="F42" s="8"/>
      <c r="G42" s="17"/>
      <c r="H42" s="8"/>
      <c r="I42" s="8"/>
      <c r="J42" s="8"/>
      <c r="K42" s="8"/>
      <c r="L42" s="26"/>
      <c r="M42" s="17"/>
      <c r="N42" s="35"/>
      <c r="T42" s="34"/>
      <c r="U42" s="8"/>
      <c r="V42" s="17"/>
      <c r="W42" s="8"/>
      <c r="X42" s="8"/>
      <c r="Y42" s="8"/>
      <c r="Z42" s="8"/>
      <c r="AA42" s="26"/>
      <c r="AB42" s="17"/>
      <c r="AC42" s="35"/>
    </row>
    <row r="43" spans="1:31" x14ac:dyDescent="0.3">
      <c r="C43" s="46"/>
      <c r="E43" s="60" t="s">
        <v>39</v>
      </c>
      <c r="F43" s="61"/>
      <c r="G43" s="13" t="s">
        <v>40</v>
      </c>
      <c r="H43" s="13"/>
      <c r="I43" s="13"/>
      <c r="J43" s="13" t="s">
        <v>16</v>
      </c>
      <c r="K43" s="13" t="s">
        <v>41</v>
      </c>
      <c r="L43" s="24" t="s">
        <v>42</v>
      </c>
      <c r="M43" s="17"/>
      <c r="N43" s="35"/>
      <c r="T43" s="60" t="s">
        <v>39</v>
      </c>
      <c r="U43" s="61"/>
      <c r="V43" s="13" t="s">
        <v>40</v>
      </c>
      <c r="W43" s="13"/>
      <c r="X43" s="13"/>
      <c r="Y43" s="13" t="s">
        <v>16</v>
      </c>
      <c r="Z43" s="13" t="s">
        <v>41</v>
      </c>
      <c r="AA43" s="24" t="s">
        <v>42</v>
      </c>
      <c r="AB43" s="17"/>
      <c r="AC43" s="35"/>
    </row>
    <row r="44" spans="1:31" x14ac:dyDescent="0.3">
      <c r="C44" s="46"/>
      <c r="E44" s="62" t="s">
        <v>106</v>
      </c>
      <c r="F44" s="63"/>
      <c r="G44" s="63" t="str">
        <f>VLOOKUP(E44,[2]Golpes!$A$1:$G$653,2,FALSE)&amp;"/"&amp;VLOOKUP(E44,[2]Golpes!$A$1:$G$653,3,FALSE)</f>
        <v>Fantasma/Estado</v>
      </c>
      <c r="H44" s="63"/>
      <c r="I44" s="63"/>
      <c r="J44" s="25">
        <f>VLOOKUP(E44,[2]Golpes!$A$1:$G$653,4,FALSE)</f>
        <v>6</v>
      </c>
      <c r="K44" s="25" t="str">
        <f>VLOOKUP(E44,[2]Golpes!$A$1:$G$653,5,FALSE)</f>
        <v>-</v>
      </c>
      <c r="L44" s="36">
        <f>VLOOKUP(E44,[2]Golpes!$A$1:$G$653,6,FALSE)</f>
        <v>1</v>
      </c>
      <c r="M44" s="17" t="str">
        <f>VLOOKUP(E44,[2]Golpes!$A$1:$G$653,7,FALSE)</f>
        <v>Causa a condição Confuso.</v>
      </c>
      <c r="N44" s="35"/>
      <c r="T44" s="62"/>
      <c r="U44" s="63"/>
      <c r="V44" s="63" t="e">
        <f>VLOOKUP(T44,[2]Golpes!$A$1:$G$653,2,FALSE)&amp;"/"&amp;VLOOKUP(T44,[2]Golpes!$A$1:$G$653,3,FALSE)</f>
        <v>#N/A</v>
      </c>
      <c r="W44" s="63"/>
      <c r="X44" s="63"/>
      <c r="Y44" s="25" t="e">
        <f>VLOOKUP(T44,[2]Golpes!$A$1:$G$653,4,FALSE)</f>
        <v>#N/A</v>
      </c>
      <c r="Z44" s="25" t="e">
        <f>VLOOKUP(T44,[2]Golpes!$A$1:$G$653,5,FALSE)</f>
        <v>#N/A</v>
      </c>
      <c r="AA44" s="36" t="e">
        <f>VLOOKUP(T44,[2]Golpes!$A$1:$G$653,6,FALSE)</f>
        <v>#N/A</v>
      </c>
      <c r="AB44" s="17" t="e">
        <f>VLOOKUP(T44,[2]Golpes!$A$1:$G$653,7,FALSE)</f>
        <v>#N/A</v>
      </c>
      <c r="AC44" s="35"/>
    </row>
    <row r="45" spans="1:31" x14ac:dyDescent="0.3">
      <c r="C45" s="46"/>
      <c r="E45" s="62" t="s">
        <v>107</v>
      </c>
      <c r="F45" s="63"/>
      <c r="G45" s="63" t="str">
        <f>VLOOKUP(E45,[2]Golpes!$A$1:$G$653,2,FALSE)&amp;"/"&amp;VLOOKUP(E45,[2]Golpes!$A$1:$G$653,3,FALSE)</f>
        <v>Pedra/Especial</v>
      </c>
      <c r="H45" s="63"/>
      <c r="I45" s="63"/>
      <c r="J45" s="25">
        <f>VLOOKUP(E45,[2]Golpes!$A$1:$G$653,4,FALSE)</f>
        <v>8</v>
      </c>
      <c r="K45" s="25" t="str">
        <f>VLOOKUP(E45,[2]Golpes!$A$1:$G$653,5,FALSE)</f>
        <v>8d6</v>
      </c>
      <c r="L45" s="36">
        <f>VLOOKUP(E45,[2]Golpes!$A$1:$G$653,6,FALSE)</f>
        <v>1</v>
      </c>
      <c r="M45" s="17" t="str">
        <f>VLOOKUP(E45,[2]Golpes!$A$1:$G$653,7,FALSE)</f>
        <v>Causa dano.</v>
      </c>
      <c r="N45" s="35"/>
      <c r="T45" s="62"/>
      <c r="U45" s="63"/>
      <c r="V45" s="63" t="e">
        <f>VLOOKUP(T45,[2]Golpes!$A$1:$G$653,2,FALSE)&amp;"/"&amp;VLOOKUP(T45,[2]Golpes!$A$1:$G$653,3,FALSE)</f>
        <v>#N/A</v>
      </c>
      <c r="W45" s="63"/>
      <c r="X45" s="63"/>
      <c r="Y45" s="25" t="e">
        <f>VLOOKUP(T45,[2]Golpes!$A$1:$G$653,4,FALSE)</f>
        <v>#N/A</v>
      </c>
      <c r="Z45" s="25" t="e">
        <f>VLOOKUP(T45,[2]Golpes!$A$1:$G$653,5,FALSE)</f>
        <v>#N/A</v>
      </c>
      <c r="AA45" s="36" t="e">
        <f>VLOOKUP(T45,[2]Golpes!$A$1:$G$653,6,FALSE)</f>
        <v>#N/A</v>
      </c>
      <c r="AB45" s="17" t="e">
        <f>VLOOKUP(T45,[2]Golpes!$A$1:$G$653,7,FALSE)</f>
        <v>#N/A</v>
      </c>
      <c r="AC45" s="35"/>
    </row>
    <row r="46" spans="1:31" x14ac:dyDescent="0.3">
      <c r="C46" s="46"/>
      <c r="E46" s="62" t="s">
        <v>97</v>
      </c>
      <c r="F46" s="63"/>
      <c r="G46" s="63" t="str">
        <f>VLOOKUP(E46,[2]Golpes!$A$1:$G$653,2,FALSE)&amp;"/"&amp;VLOOKUP(E46,[2]Golpes!$A$1:$G$653,3,FALSE)</f>
        <v>Fantasma/Especial</v>
      </c>
      <c r="H46" s="63"/>
      <c r="I46" s="63"/>
      <c r="J46" s="25">
        <f>VLOOKUP(E46,[2]Golpes!$A$1:$G$653,4,FALSE)</f>
        <v>9</v>
      </c>
      <c r="K46" s="25" t="str">
        <f>VLOOKUP(E46,[2]Golpes!$A$1:$G$653,5,FALSE)</f>
        <v>8d6</v>
      </c>
      <c r="L46" s="36">
        <f>VLOOKUP(E46,[2]Golpes!$A$1:$G$653,6,FALSE)</f>
        <v>1</v>
      </c>
      <c r="M46" s="17" t="str">
        <f>VLOOKUP(E46,[2]Golpes!$A$1:$G$653,7,FALSE)</f>
        <v>Causa dano e tem 20% de chance de diminuir a Defesa Especial do adversário em 10% do total (diminuição máxima de 60%).</v>
      </c>
      <c r="N46" s="35"/>
      <c r="T46" s="62"/>
      <c r="U46" s="63"/>
      <c r="V46" s="63" t="e">
        <f>VLOOKUP(T46,[2]Golpes!$A$1:$G$653,2,FALSE)&amp;"/"&amp;VLOOKUP(T46,[2]Golpes!$A$1:$G$653,3,FALSE)</f>
        <v>#N/A</v>
      </c>
      <c r="W46" s="63"/>
      <c r="X46" s="63"/>
      <c r="Y46" s="25" t="e">
        <f>VLOOKUP(T46,[2]Golpes!$A$1:$G$653,4,FALSE)</f>
        <v>#N/A</v>
      </c>
      <c r="Z46" s="25" t="e">
        <f>VLOOKUP(T46,[2]Golpes!$A$1:$G$653,5,FALSE)</f>
        <v>#N/A</v>
      </c>
      <c r="AA46" s="36" t="e">
        <f>VLOOKUP(T46,[2]Golpes!$A$1:$G$653,6,FALSE)</f>
        <v>#N/A</v>
      </c>
      <c r="AB46" s="17" t="e">
        <f>VLOOKUP(T46,[2]Golpes!$A$1:$G$653,7,FALSE)</f>
        <v>#N/A</v>
      </c>
      <c r="AC46" s="35"/>
    </row>
    <row r="47" spans="1:31" ht="15" thickBot="1" x14ac:dyDescent="0.35">
      <c r="C47" s="46"/>
      <c r="E47" s="67" t="s">
        <v>108</v>
      </c>
      <c r="F47" s="68"/>
      <c r="G47" s="68" t="str">
        <f>VLOOKUP(E47,[2]Golpes!$A$1:$G$653,2,FALSE)&amp;"/"&amp;VLOOKUP(E47,[2]Golpes!$A$1:$G$653,3,FALSE)</f>
        <v>Fantasma/Físico</v>
      </c>
      <c r="H47" s="68"/>
      <c r="I47" s="68"/>
      <c r="J47" s="43">
        <f>VLOOKUP(E47,[2]Golpes!$A$1:$G$653,4,FALSE)</f>
        <v>4</v>
      </c>
      <c r="K47" s="43" t="str">
        <f>VLOOKUP(E47,[2]Golpes!$A$1:$G$653,5,FALSE)</f>
        <v>4d6</v>
      </c>
      <c r="L47" s="44">
        <f>VLOOKUP(E47,[2]Golpes!$A$1:$G$653,6,FALSE)</f>
        <v>1</v>
      </c>
      <c r="M47" s="17" t="str">
        <f>VLOOKUP(E47,[2]Golpes!$A$1:$G$653,7,FALSE)</f>
        <v>Causa dano, atacando primeiro que o adversário ao ignorar a Velocidade dele.</v>
      </c>
      <c r="N47" s="35"/>
      <c r="T47" s="67"/>
      <c r="U47" s="68"/>
      <c r="V47" s="68" t="e">
        <f>VLOOKUP(T47,[2]Golpes!$A$1:$G$653,2,FALSE)&amp;"/"&amp;VLOOKUP(T47,[2]Golpes!$A$1:$G$653,3,FALSE)</f>
        <v>#N/A</v>
      </c>
      <c r="W47" s="68"/>
      <c r="X47" s="68"/>
      <c r="Y47" s="43" t="e">
        <f>VLOOKUP(T47,[2]Golpes!$A$1:$G$653,4,FALSE)</f>
        <v>#N/A</v>
      </c>
      <c r="Z47" s="43" t="e">
        <f>VLOOKUP(T47,[2]Golpes!$A$1:$G$653,5,FALSE)</f>
        <v>#N/A</v>
      </c>
      <c r="AA47" s="44" t="e">
        <f>VLOOKUP(T47,[2]Golpes!$A$1:$G$653,6,FALSE)</f>
        <v>#N/A</v>
      </c>
      <c r="AB47" s="17" t="e">
        <f>VLOOKUP(T47,[2]Golpes!$A$1:$G$653,7,FALSE)</f>
        <v>#N/A</v>
      </c>
      <c r="AC47" s="35"/>
    </row>
    <row r="48" spans="1:31" x14ac:dyDescent="0.3">
      <c r="C48" s="46"/>
    </row>
    <row r="49" spans="3:3" x14ac:dyDescent="0.3">
      <c r="C49" s="46"/>
    </row>
    <row r="50" spans="3:3" x14ac:dyDescent="0.3">
      <c r="C50" s="46"/>
    </row>
    <row r="51" spans="3:3" x14ac:dyDescent="0.3">
      <c r="C51" s="46"/>
    </row>
    <row r="52" spans="3:3" x14ac:dyDescent="0.3">
      <c r="C52" s="46"/>
    </row>
    <row r="53" spans="3:3" x14ac:dyDescent="0.3">
      <c r="C53" s="46"/>
    </row>
    <row r="54" spans="3:3" x14ac:dyDescent="0.3">
      <c r="C54" s="46"/>
    </row>
    <row r="55" spans="3:3" x14ac:dyDescent="0.3">
      <c r="C55" s="46"/>
    </row>
    <row r="56" spans="3:3" x14ac:dyDescent="0.3">
      <c r="C56" s="46"/>
    </row>
    <row r="57" spans="3:3" x14ac:dyDescent="0.3">
      <c r="C57" s="46"/>
    </row>
    <row r="58" spans="3:3" x14ac:dyDescent="0.3">
      <c r="C58" s="46"/>
    </row>
  </sheetData>
  <mergeCells count="83">
    <mergeCell ref="E47:F47"/>
    <mergeCell ref="G47:I47"/>
    <mergeCell ref="T47:U47"/>
    <mergeCell ref="V47:X47"/>
    <mergeCell ref="B1:C1"/>
    <mergeCell ref="E45:F45"/>
    <mergeCell ref="G45:I45"/>
    <mergeCell ref="T45:U45"/>
    <mergeCell ref="V45:X45"/>
    <mergeCell ref="E46:F46"/>
    <mergeCell ref="G46:I46"/>
    <mergeCell ref="T46:U46"/>
    <mergeCell ref="V46:X46"/>
    <mergeCell ref="E44:F44"/>
    <mergeCell ref="G44:I44"/>
    <mergeCell ref="T44:U44"/>
    <mergeCell ref="AD33:AE33"/>
    <mergeCell ref="A34:C36"/>
    <mergeCell ref="A37:C37"/>
    <mergeCell ref="E43:F43"/>
    <mergeCell ref="T43:U43"/>
    <mergeCell ref="V44:X44"/>
    <mergeCell ref="A31:C33"/>
    <mergeCell ref="E31:F31"/>
    <mergeCell ref="G31:I31"/>
    <mergeCell ref="T31:U31"/>
    <mergeCell ref="V31:X31"/>
    <mergeCell ref="O33:P33"/>
    <mergeCell ref="A30:C30"/>
    <mergeCell ref="E30:F30"/>
    <mergeCell ref="G30:I30"/>
    <mergeCell ref="T30:U30"/>
    <mergeCell ref="V30:X30"/>
    <mergeCell ref="V15:X15"/>
    <mergeCell ref="AD17:AE17"/>
    <mergeCell ref="A18:C20"/>
    <mergeCell ref="A24:C26"/>
    <mergeCell ref="A27:C29"/>
    <mergeCell ref="E27:F27"/>
    <mergeCell ref="T27:U27"/>
    <mergeCell ref="E28:F28"/>
    <mergeCell ref="G28:I28"/>
    <mergeCell ref="T28:U28"/>
    <mergeCell ref="V28:X28"/>
    <mergeCell ref="E29:F29"/>
    <mergeCell ref="G29:I29"/>
    <mergeCell ref="T29:U29"/>
    <mergeCell ref="V29:X29"/>
    <mergeCell ref="A21:C23"/>
    <mergeCell ref="A16:C16"/>
    <mergeCell ref="A17:C17"/>
    <mergeCell ref="O17:P17"/>
    <mergeCell ref="V12:X12"/>
    <mergeCell ref="B13:C13"/>
    <mergeCell ref="E13:F13"/>
    <mergeCell ref="G13:I13"/>
    <mergeCell ref="T13:U13"/>
    <mergeCell ref="V13:X13"/>
    <mergeCell ref="E14:F14"/>
    <mergeCell ref="G14:I14"/>
    <mergeCell ref="T14:U14"/>
    <mergeCell ref="V14:X14"/>
    <mergeCell ref="E15:F15"/>
    <mergeCell ref="G15:I15"/>
    <mergeCell ref="T15:U15"/>
    <mergeCell ref="E11:F11"/>
    <mergeCell ref="T11:U11"/>
    <mergeCell ref="B12:C12"/>
    <mergeCell ref="E12:F12"/>
    <mergeCell ref="G12:I12"/>
    <mergeCell ref="T12:U12"/>
    <mergeCell ref="B11:C11"/>
    <mergeCell ref="B6:C6"/>
    <mergeCell ref="A7:C7"/>
    <mergeCell ref="B8:C8"/>
    <mergeCell ref="B9:C9"/>
    <mergeCell ref="B10:C10"/>
    <mergeCell ref="B5:C5"/>
    <mergeCell ref="O1:P1"/>
    <mergeCell ref="AD1:AE1"/>
    <mergeCell ref="B2:C2"/>
    <mergeCell ref="B3:C3"/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8"/>
  <sheetViews>
    <sheetView workbookViewId="0">
      <selection activeCell="B10" sqref="B10:C10"/>
    </sheetView>
  </sheetViews>
  <sheetFormatPr defaultRowHeight="14.4" x14ac:dyDescent="0.3"/>
  <sheetData>
    <row r="1" spans="1:31" x14ac:dyDescent="0.3">
      <c r="A1" s="1" t="s">
        <v>0</v>
      </c>
      <c r="B1" s="55" t="s">
        <v>109</v>
      </c>
      <c r="C1" s="56"/>
      <c r="E1" s="2" t="s">
        <v>1</v>
      </c>
      <c r="F1" s="3" t="s">
        <v>122</v>
      </c>
      <c r="G1" s="4"/>
      <c r="H1" s="5"/>
      <c r="I1" s="6" t="s">
        <v>2</v>
      </c>
      <c r="J1" s="6" t="s">
        <v>3</v>
      </c>
      <c r="K1" s="6" t="s">
        <v>4</v>
      </c>
      <c r="L1" s="7" t="s">
        <v>5</v>
      </c>
      <c r="M1" s="8"/>
      <c r="N1" s="9"/>
      <c r="O1" s="53" t="s">
        <v>6</v>
      </c>
      <c r="P1" s="54"/>
      <c r="T1" s="2" t="s">
        <v>1</v>
      </c>
      <c r="U1" s="3" t="s">
        <v>113</v>
      </c>
      <c r="V1" s="4"/>
      <c r="W1" s="5"/>
      <c r="X1" s="6" t="s">
        <v>2</v>
      </c>
      <c r="Y1" s="6" t="s">
        <v>3</v>
      </c>
      <c r="Z1" s="6" t="s">
        <v>4</v>
      </c>
      <c r="AA1" s="7" t="s">
        <v>5</v>
      </c>
      <c r="AB1" s="8"/>
      <c r="AC1" s="9"/>
      <c r="AD1" s="53" t="s">
        <v>6</v>
      </c>
      <c r="AE1" s="54"/>
    </row>
    <row r="2" spans="1:31" x14ac:dyDescent="0.3">
      <c r="A2" s="10" t="s">
        <v>7</v>
      </c>
      <c r="B2" s="51">
        <v>28</v>
      </c>
      <c r="C2" s="52"/>
      <c r="E2" s="11" t="s">
        <v>8</v>
      </c>
      <c r="F2" s="8" t="s">
        <v>9</v>
      </c>
      <c r="G2" s="12" t="s">
        <v>10</v>
      </c>
      <c r="H2" s="13" t="s">
        <v>11</v>
      </c>
      <c r="I2" s="14">
        <f>VLOOKUP(F1,[1]Pokemon!$A$1:$I$874,3,FALSE)+IF(F3="Sim",20,0)</f>
        <v>85</v>
      </c>
      <c r="J2" s="15">
        <v>0</v>
      </c>
      <c r="K2" s="8">
        <f>IF($B$5="Vigoroso",ROUNDUP((N2+J2)*1.2,0),N2+J2)</f>
        <v>165</v>
      </c>
      <c r="L2" s="16">
        <v>165</v>
      </c>
      <c r="M2" s="17"/>
      <c r="N2" s="9">
        <f>I2+LOOKUP(I2,[1]Dados!$C$3:$D$12,[1]Dados!$E$3:$E$12)*(ROUNDDOWN(F5/2,0))+LOOKUP(I2,[1]Dados!$C$3:$D$12,[1]Dados!$F$3:$F$12)*(ROUNDDOWN((F5-1)/2,0))</f>
        <v>165</v>
      </c>
      <c r="O2" s="18" t="s">
        <v>12</v>
      </c>
      <c r="P2" s="19"/>
      <c r="T2" s="11" t="s">
        <v>8</v>
      </c>
      <c r="U2" s="8" t="s">
        <v>9</v>
      </c>
      <c r="V2" s="12" t="s">
        <v>10</v>
      </c>
      <c r="W2" s="13" t="s">
        <v>11</v>
      </c>
      <c r="X2" s="14">
        <f>VLOOKUP(U1,[1]Pokemon!$A$1:$I$874,3,FALSE)+IF(U3="Sim",20,0)</f>
        <v>80</v>
      </c>
      <c r="Y2" s="15">
        <v>0</v>
      </c>
      <c r="Z2" s="8">
        <f>IF($B$5="Vigoroso",ROUNDUP((AC2+Y2)*1.2,0),AC2+Y2)</f>
        <v>235</v>
      </c>
      <c r="AA2" s="16">
        <v>235</v>
      </c>
      <c r="AB2" s="17"/>
      <c r="AC2" s="9">
        <f>X2+LOOKUP(X2,[1]Dados!$C$3:$D$12,[1]Dados!$E$3:$E$12)*(ROUNDDOWN(U5/2,0))+LOOKUP(X2,[1]Dados!$C$3:$D$12,[1]Dados!$F$3:$F$12)*(ROUNDDOWN((U5-1)/2,0))</f>
        <v>235</v>
      </c>
      <c r="AD2" s="18" t="s">
        <v>12</v>
      </c>
      <c r="AE2" s="19">
        <f>140/110</f>
        <v>1.2727272727272727</v>
      </c>
    </row>
    <row r="3" spans="1:31" x14ac:dyDescent="0.3">
      <c r="A3" s="10" t="s">
        <v>13</v>
      </c>
      <c r="B3" s="51" t="s">
        <v>51</v>
      </c>
      <c r="C3" s="52"/>
      <c r="E3" s="11" t="s">
        <v>14</v>
      </c>
      <c r="F3" s="8" t="s">
        <v>59</v>
      </c>
      <c r="G3" s="47" t="s">
        <v>126</v>
      </c>
      <c r="H3" s="13" t="s">
        <v>16</v>
      </c>
      <c r="I3" s="21">
        <f>20+IF(F3="Sim",10,0)</f>
        <v>30</v>
      </c>
      <c r="J3" s="22">
        <v>0</v>
      </c>
      <c r="K3" s="8">
        <f>18+(F5*2)+IF(F3="Sim",10,0)+J3</f>
        <v>94</v>
      </c>
      <c r="L3" s="16">
        <v>94</v>
      </c>
      <c r="M3" s="17"/>
      <c r="N3" s="9"/>
      <c r="O3" s="18" t="s">
        <v>17</v>
      </c>
      <c r="P3" s="19"/>
      <c r="T3" s="11" t="s">
        <v>14</v>
      </c>
      <c r="U3" s="8" t="s">
        <v>59</v>
      </c>
      <c r="V3" s="47" t="s">
        <v>121</v>
      </c>
      <c r="W3" s="13" t="s">
        <v>16</v>
      </c>
      <c r="X3" s="21">
        <f>20+IF(U3="Sim",10,0)</f>
        <v>30</v>
      </c>
      <c r="Y3" s="22">
        <v>0</v>
      </c>
      <c r="Z3" s="8">
        <f>18+(U5*2)+IF(U3="Sim",10,0)+Y3</f>
        <v>154</v>
      </c>
      <c r="AA3" s="16">
        <v>154</v>
      </c>
      <c r="AB3" s="17"/>
      <c r="AC3" s="9"/>
      <c r="AD3" s="18" t="s">
        <v>17</v>
      </c>
      <c r="AE3" s="19">
        <f>100/80</f>
        <v>1.25</v>
      </c>
    </row>
    <row r="4" spans="1:31" x14ac:dyDescent="0.3">
      <c r="A4" s="10" t="s">
        <v>18</v>
      </c>
      <c r="B4" s="51" t="s">
        <v>52</v>
      </c>
      <c r="C4" s="52"/>
      <c r="E4" s="11" t="s">
        <v>19</v>
      </c>
      <c r="F4" s="23" t="str">
        <f>VLOOKUP(F1,[1]Pokemon!$A$1:$I$874,2,FALSE)</f>
        <v>Inseto/Voador</v>
      </c>
      <c r="G4" s="20"/>
      <c r="H4" s="13" t="s">
        <v>12</v>
      </c>
      <c r="I4" s="14">
        <f>VLOOKUP(F1,[1]Pokemon!$A$1:$I$874,4,FALSE)+IF(F3="Sim",1,0)</f>
        <v>9</v>
      </c>
      <c r="J4" s="22">
        <v>1</v>
      </c>
      <c r="K4" s="8">
        <f>IF(L7="Sim", ROUNDUP((N4+ROUNDDOWN(F7/10,0))*J4*P2,0), ROUNDUP((N4+ROUNDDOWN(F7/10,0))*J4,0))</f>
        <v>83</v>
      </c>
      <c r="L4" s="24" t="s">
        <v>20</v>
      </c>
      <c r="M4" s="17"/>
      <c r="N4" s="9">
        <f>I4+LOOKUP(I4,[1]Dados!$H$3:$I$12,[1]Dados!$J$3:$J$12)*(ROUNDDOWN(F5/2,0))+LOOKUP(I4,[1]Dados!$H$3:$I$12,[1]Dados!$K$3:$K$12)*(ROUNDDOWN((F5-1)/2,0))</f>
        <v>73</v>
      </c>
      <c r="O4" s="18" t="s">
        <v>21</v>
      </c>
      <c r="P4" s="19"/>
      <c r="T4" s="11" t="s">
        <v>19</v>
      </c>
      <c r="U4" s="23" t="s">
        <v>114</v>
      </c>
      <c r="V4" s="20"/>
      <c r="W4" s="13" t="s">
        <v>12</v>
      </c>
      <c r="X4" s="14">
        <v>12</v>
      </c>
      <c r="Y4" s="22">
        <v>1</v>
      </c>
      <c r="Z4" s="8">
        <f>IF(AA7="Sim", ROUNDUP((AC4+ROUNDDOWN(U7/10,0))*Y4*AE2,0), ROUNDUP((AC4+ROUNDDOWN(U7/10,0))*Y4,0))</f>
        <v>228</v>
      </c>
      <c r="AA4" s="24" t="s">
        <v>20</v>
      </c>
      <c r="AB4" s="17"/>
      <c r="AC4" s="9">
        <f>X4+LOOKUP(X4,[1]Dados!$H$3:$I$12,[1]Dados!$J$3:$J$12)*(ROUNDDOWN(U5/2,0))+LOOKUP(X4,[1]Dados!$H$3:$I$12,[1]Dados!$K$3:$K$12)*(ROUNDDOWN((U5-1)/2,0))</f>
        <v>198</v>
      </c>
      <c r="AD4" s="18" t="s">
        <v>21</v>
      </c>
      <c r="AE4" s="19">
        <f>90/70</f>
        <v>1.2857142857142858</v>
      </c>
    </row>
    <row r="5" spans="1:31" x14ac:dyDescent="0.3">
      <c r="A5" s="10" t="s">
        <v>22</v>
      </c>
      <c r="B5" s="51" t="s">
        <v>53</v>
      </c>
      <c r="C5" s="52"/>
      <c r="E5" s="11" t="s">
        <v>23</v>
      </c>
      <c r="F5" s="25">
        <v>33</v>
      </c>
      <c r="G5" s="20"/>
      <c r="H5" s="13" t="s">
        <v>17</v>
      </c>
      <c r="I5" s="14">
        <f>VLOOKUP(F1,[1]Pokemon!$A$1:$I$874,5,FALSE)+IF(F3="Sim",1,0)</f>
        <v>10</v>
      </c>
      <c r="J5" s="22">
        <v>1</v>
      </c>
      <c r="K5" s="8">
        <f>IF(L7="Sim", ROUNDUP((N5+ROUNDDOWN(F7/10,0))*J5*P3,0), ROUNDUP((N5+ROUNDDOWN(F7/10,0))*J5,0))</f>
        <v>100</v>
      </c>
      <c r="L5" s="26">
        <f>ROUNDDOWN(I8/2,0)</f>
        <v>5</v>
      </c>
      <c r="M5" s="17"/>
      <c r="N5" s="9">
        <f>I5+LOOKUP(I5,[1]Dados!$H$3:$I$12,[1]Dados!$J$3:$J$12)*(ROUNDDOWN(F5/2,0))+LOOKUP(I5,[1]Dados!$H$3:$I$12,[1]Dados!$K$3:$K$12)*(ROUNDDOWN((F5-1)/2,0))</f>
        <v>90</v>
      </c>
      <c r="O5" s="18" t="s">
        <v>24</v>
      </c>
      <c r="P5" s="19"/>
      <c r="T5" s="11" t="s">
        <v>23</v>
      </c>
      <c r="U5" s="25">
        <v>63</v>
      </c>
      <c r="V5" s="20"/>
      <c r="W5" s="13" t="s">
        <v>17</v>
      </c>
      <c r="X5" s="14">
        <f>VLOOKUP(U1,[1]Pokemon!$A$1:$I$874,5,FALSE)+IF(U3="Sim",1,0)</f>
        <v>9</v>
      </c>
      <c r="Y5" s="22">
        <v>1</v>
      </c>
      <c r="Z5" s="8">
        <f>IF(AA7="Sim", ROUNDUP((AC5+ROUNDDOWN(U7/10,0))*Y5*AE3,0), ROUNDUP((AC5+ROUNDDOWN(U7/10,0))*Y5,0))</f>
        <v>163</v>
      </c>
      <c r="AA5" s="26">
        <f>ROUNDDOWN(X8/2,0)</f>
        <v>5</v>
      </c>
      <c r="AB5" s="17"/>
      <c r="AC5" s="9">
        <f>X5+LOOKUP(X5,[1]Dados!$H$3:$I$12,[1]Dados!$J$3:$J$12)*(ROUNDDOWN(U5/2,0))+LOOKUP(X5,[1]Dados!$H$3:$I$12,[1]Dados!$K$3:$K$12)*(ROUNDDOWN((U5-1)/2,0))</f>
        <v>133</v>
      </c>
      <c r="AD5" s="18" t="s">
        <v>24</v>
      </c>
      <c r="AE5" s="19">
        <f>100/80</f>
        <v>1.25</v>
      </c>
    </row>
    <row r="6" spans="1:31" ht="15" thickBot="1" x14ac:dyDescent="0.35">
      <c r="A6" s="27" t="s">
        <v>25</v>
      </c>
      <c r="B6" s="57" t="s">
        <v>32</v>
      </c>
      <c r="C6" s="58"/>
      <c r="E6" s="11" t="s">
        <v>26</v>
      </c>
      <c r="F6" s="23">
        <v>0</v>
      </c>
      <c r="G6" s="20"/>
      <c r="H6" s="13" t="s">
        <v>21</v>
      </c>
      <c r="I6" s="14">
        <f>VLOOKUP(F1,[1]Pokemon!$A$1:$I$874,6,FALSE)+IF(F3="Sim",1,0)</f>
        <v>13</v>
      </c>
      <c r="J6" s="22">
        <v>1</v>
      </c>
      <c r="K6" s="8">
        <f>IF(L7="Sim", ROUNDUP((N6+ROUNDDOWN(F7/10,0))*J6*P4,0), ROUNDUP((N6+ROUNDDOWN(F7/10,0))*J6,0))</f>
        <v>119</v>
      </c>
      <c r="L6" s="24" t="s">
        <v>27</v>
      </c>
      <c r="M6" s="17"/>
      <c r="N6" s="9">
        <f>I6+LOOKUP(I6,[1]Dados!$H$3:$I$12,[1]Dados!$J$3:$J$12)*(ROUNDDOWN(F5/2,0))+LOOKUP(I6,[1]Dados!$H$3:$I$12,[1]Dados!$K$3:$K$12)*(ROUNDDOWN((F5-1)/2,0))</f>
        <v>109</v>
      </c>
      <c r="O6" s="28" t="s">
        <v>28</v>
      </c>
      <c r="P6" s="29"/>
      <c r="T6" s="11" t="s">
        <v>26</v>
      </c>
      <c r="U6" s="23">
        <v>0</v>
      </c>
      <c r="V6" s="20"/>
      <c r="W6" s="13" t="s">
        <v>21</v>
      </c>
      <c r="X6" s="14">
        <v>8</v>
      </c>
      <c r="Y6" s="22">
        <v>1</v>
      </c>
      <c r="Z6" s="8">
        <f>IF(AA7="Sim", ROUNDUP((AC6+ROUNDDOWN(U7/10,0))*Y6*AE4,0), ROUNDUP((AC6+ROUNDDOWN(U7/10,0))*Y6,0))</f>
        <v>162</v>
      </c>
      <c r="AA6" s="24" t="s">
        <v>27</v>
      </c>
      <c r="AB6" s="17"/>
      <c r="AC6" s="9">
        <f>X6+LOOKUP(X6,[1]Dados!$H$3:$I$12,[1]Dados!$J$3:$J$12)*(ROUNDDOWN(U5/2,0))+LOOKUP(X6,[1]Dados!$H$3:$I$12,[1]Dados!$K$3:$K$12)*(ROUNDDOWN((U5-1)/2,0))</f>
        <v>132</v>
      </c>
      <c r="AD6" s="28" t="s">
        <v>28</v>
      </c>
      <c r="AE6" s="29">
        <f>110/100</f>
        <v>1.1000000000000001</v>
      </c>
    </row>
    <row r="7" spans="1:31" ht="15" thickBot="1" x14ac:dyDescent="0.35">
      <c r="A7" s="59"/>
      <c r="B7" s="59"/>
      <c r="C7" s="59"/>
      <c r="E7" s="11" t="s">
        <v>29</v>
      </c>
      <c r="F7" s="30">
        <v>100</v>
      </c>
      <c r="G7" s="20"/>
      <c r="H7" s="13" t="s">
        <v>24</v>
      </c>
      <c r="I7" s="14">
        <f>VLOOKUP(F1,[1]Pokemon!$A$1:$I$874,7,FALSE)+IF(F3="Sim",1,0)</f>
        <v>7</v>
      </c>
      <c r="J7" s="22">
        <v>1</v>
      </c>
      <c r="K7" s="8">
        <f>IF(L7="Sim", ROUNDUP((N7+ROUNDDOWN(F7/10,0))*J7*P5,0), ROUNDUP((N7+ROUNDDOWN(F7/10,0))*J7,0))</f>
        <v>65</v>
      </c>
      <c r="L7" s="26" t="s">
        <v>15</v>
      </c>
      <c r="M7" s="17"/>
      <c r="N7" s="9">
        <f>I7+LOOKUP(I7,[1]Dados!$H$3:$I$12,[1]Dados!$J$3:$J$12)*(ROUNDDOWN(F5/2,0))+LOOKUP(I7,[1]Dados!$H$3:$I$12,[1]Dados!$K$3:$K$12)*(ROUNDDOWN((F5-1)/2,0))</f>
        <v>55</v>
      </c>
      <c r="T7" s="11" t="s">
        <v>29</v>
      </c>
      <c r="U7" s="30">
        <v>300</v>
      </c>
      <c r="V7" s="20"/>
      <c r="W7" s="13" t="s">
        <v>24</v>
      </c>
      <c r="X7" s="14">
        <f>VLOOKUP(U1,[1]Pokemon!$A$1:$I$874,7,FALSE)+IF(U3="Sim",1,0)</f>
        <v>9</v>
      </c>
      <c r="Y7" s="22">
        <v>1</v>
      </c>
      <c r="Z7" s="8">
        <f>IF(AA7="Sim", ROUNDUP((AC7+ROUNDDOWN(U7/10,0))*Y7*AE5,0), ROUNDUP((AC7+ROUNDDOWN(U7/10,0))*Y7,0))</f>
        <v>163</v>
      </c>
      <c r="AA7" s="26" t="s">
        <v>15</v>
      </c>
      <c r="AB7" s="17"/>
      <c r="AC7" s="9">
        <f>X7+LOOKUP(X7,[1]Dados!$H$3:$I$12,[1]Dados!$J$3:$J$12)*(ROUNDDOWN(U5/2,0))+LOOKUP(X7,[1]Dados!$H$3:$I$12,[1]Dados!$K$3:$K$12)*(ROUNDDOWN((U5-1)/2,0))</f>
        <v>133</v>
      </c>
    </row>
    <row r="8" spans="1:31" x14ac:dyDescent="0.3">
      <c r="A8" s="1" t="s">
        <v>30</v>
      </c>
      <c r="B8" s="55">
        <v>3</v>
      </c>
      <c r="C8" s="56"/>
      <c r="E8" s="11" t="s">
        <v>31</v>
      </c>
      <c r="F8" s="23" t="s">
        <v>32</v>
      </c>
      <c r="G8" s="20"/>
      <c r="H8" s="13" t="s">
        <v>28</v>
      </c>
      <c r="I8" s="14">
        <f>VLOOKUP(F1,[1]Pokemon!$A$1:$I$874,8,FALSE)+IF(F3="Sim",1,0)</f>
        <v>10</v>
      </c>
      <c r="J8" s="22">
        <f>1*IF(F9="Paralisado",0.5,1)</f>
        <v>1</v>
      </c>
      <c r="K8" s="8">
        <f>IF(L7="Sim", ROUNDUP(N8*J8*P6,0), ROUNDUP(N8*J8,0))</f>
        <v>90</v>
      </c>
      <c r="L8" s="31" t="str">
        <f>IF(L7 = "Sim", ROUNDUP((K8/(10*P6)), 0)&amp;"d6", ROUNDUP((K8/10), 0)&amp;"d6")</f>
        <v>9d6</v>
      </c>
      <c r="M8" s="17"/>
      <c r="N8" s="9">
        <f>I8+LOOKUP(I8,[1]Dados!$H$3:$I$12,[1]Dados!$J$3:$J$12)*(ROUNDDOWN(F5/2,0))+LOOKUP(I8,[1]Dados!$H$3:$I$12,[1]Dados!$K$3:$K$12)*(ROUNDDOWN((F5-1)/2,0))</f>
        <v>90</v>
      </c>
      <c r="T8" s="11" t="s">
        <v>31</v>
      </c>
      <c r="U8" s="23" t="s">
        <v>32</v>
      </c>
      <c r="V8" s="20"/>
      <c r="W8" s="13" t="s">
        <v>28</v>
      </c>
      <c r="X8" s="14">
        <f>VLOOKUP(U1,[1]Pokemon!$A$1:$I$874,8,FALSE)+IF(U3="Sim",1,0)</f>
        <v>11</v>
      </c>
      <c r="Y8" s="22">
        <f>1*IF(U9="Paralisado",0.5,1)</f>
        <v>1</v>
      </c>
      <c r="Z8" s="8">
        <f>IF(AA7="Sim", ROUNDUP(AC8*Y8*AE6,0), ROUNDUP(AC8*Y8,0))</f>
        <v>166</v>
      </c>
      <c r="AA8" s="31" t="str">
        <f>IF(AA7 = "Sim", ROUNDUP((Z8/(10*AE6)), 0)&amp;"d6", ROUNDUP((Z8/10), 0)&amp;"d6")</f>
        <v>17d6</v>
      </c>
      <c r="AB8" s="17"/>
      <c r="AC8" s="9">
        <f>X8+LOOKUP(X8,[1]Dados!$H$3:$I$12,[1]Dados!$J$3:$J$12)*(ROUNDDOWN(U5/2,0))+LOOKUP(X8,[1]Dados!$H$3:$I$12,[1]Dados!$K$3:$K$12)*(ROUNDDOWN((U5-1)/2,0))</f>
        <v>166</v>
      </c>
    </row>
    <row r="9" spans="1:31" x14ac:dyDescent="0.3">
      <c r="A9" s="10" t="s">
        <v>33</v>
      </c>
      <c r="B9" s="51">
        <v>4</v>
      </c>
      <c r="C9" s="52"/>
      <c r="E9" s="11" t="s">
        <v>34</v>
      </c>
      <c r="F9" s="23" t="s">
        <v>177</v>
      </c>
      <c r="G9" s="20"/>
      <c r="H9" s="13" t="s">
        <v>35</v>
      </c>
      <c r="I9" s="14">
        <f>VLOOKUP(F1,[1]Pokemon!$A$1:$I$874,9,FALSE)</f>
        <v>180</v>
      </c>
      <c r="J9" s="13" t="s">
        <v>36</v>
      </c>
      <c r="K9" s="13"/>
      <c r="L9" s="32">
        <f>((F5+1)*I9/2)-F6</f>
        <v>3060</v>
      </c>
      <c r="M9" s="17"/>
      <c r="N9" s="33"/>
      <c r="T9" s="11" t="s">
        <v>34</v>
      </c>
      <c r="U9" s="23" t="s">
        <v>115</v>
      </c>
      <c r="V9" s="20"/>
      <c r="W9" s="13" t="s">
        <v>35</v>
      </c>
      <c r="X9" s="14">
        <f>VLOOKUP(U1,[1]Pokemon!$A$1:$I$874,9,FALSE)</f>
        <v>234</v>
      </c>
      <c r="Y9" s="13" t="s">
        <v>36</v>
      </c>
      <c r="Z9" s="13"/>
      <c r="AA9" s="32">
        <f>((U5+1)*X9/2)-U6</f>
        <v>7488</v>
      </c>
      <c r="AB9" s="17"/>
      <c r="AC9" s="33"/>
    </row>
    <row r="10" spans="1:31" x14ac:dyDescent="0.3">
      <c r="A10" s="10" t="s">
        <v>37</v>
      </c>
      <c r="B10" s="51">
        <v>3</v>
      </c>
      <c r="C10" s="52"/>
      <c r="E10" s="34"/>
      <c r="F10" s="8"/>
      <c r="G10" s="17"/>
      <c r="H10" s="8"/>
      <c r="I10" s="8"/>
      <c r="J10" s="8"/>
      <c r="K10" s="8"/>
      <c r="L10" s="26"/>
      <c r="M10" s="17"/>
      <c r="N10" s="35"/>
      <c r="T10" s="34"/>
      <c r="U10" s="8"/>
      <c r="V10" s="17"/>
      <c r="W10" s="8"/>
      <c r="X10" s="8"/>
      <c r="Y10" s="8"/>
      <c r="Z10" s="8"/>
      <c r="AA10" s="26"/>
      <c r="AB10" s="17"/>
      <c r="AC10" s="35"/>
    </row>
    <row r="11" spans="1:31" x14ac:dyDescent="0.3">
      <c r="A11" s="10" t="s">
        <v>38</v>
      </c>
      <c r="B11" s="51">
        <v>5</v>
      </c>
      <c r="C11" s="52"/>
      <c r="E11" s="60" t="s">
        <v>39</v>
      </c>
      <c r="F11" s="61"/>
      <c r="G11" s="13" t="s">
        <v>40</v>
      </c>
      <c r="H11" s="13"/>
      <c r="I11" s="13"/>
      <c r="J11" s="13" t="s">
        <v>16</v>
      </c>
      <c r="K11" s="13" t="s">
        <v>41</v>
      </c>
      <c r="L11" s="24" t="s">
        <v>42</v>
      </c>
      <c r="M11" s="17"/>
      <c r="N11" s="35"/>
      <c r="T11" s="60" t="s">
        <v>39</v>
      </c>
      <c r="U11" s="61"/>
      <c r="V11" s="13" t="s">
        <v>40</v>
      </c>
      <c r="W11" s="13"/>
      <c r="X11" s="13"/>
      <c r="Y11" s="13" t="s">
        <v>16</v>
      </c>
      <c r="Z11" s="13" t="s">
        <v>41</v>
      </c>
      <c r="AA11" s="24" t="s">
        <v>42</v>
      </c>
      <c r="AB11" s="17"/>
      <c r="AC11" s="35"/>
    </row>
    <row r="12" spans="1:31" x14ac:dyDescent="0.3">
      <c r="A12" s="10" t="s">
        <v>43</v>
      </c>
      <c r="B12" s="51">
        <v>3</v>
      </c>
      <c r="C12" s="52"/>
      <c r="E12" s="62" t="s">
        <v>123</v>
      </c>
      <c r="F12" s="63"/>
      <c r="G12" s="63" t="str">
        <f>VLOOKUP(E12,[2]Golpes!$A$1:$G$653,2,FALSE)&amp;"/"&amp;VLOOKUP(E12,[2]Golpes!$A$1:$G$653,3,FALSE)</f>
        <v>Inseto/Especial</v>
      </c>
      <c r="H12" s="63"/>
      <c r="I12" s="63"/>
      <c r="J12" s="25">
        <f>VLOOKUP(E12,[2]Golpes!$A$1:$G$653,4,FALSE)</f>
        <v>11</v>
      </c>
      <c r="K12" s="25" t="str">
        <f>VLOOKUP(E12,[2]Golpes!$A$1:$G$653,5,FALSE)</f>
        <v>10d6</v>
      </c>
      <c r="L12" s="36">
        <f>VLOOKUP(E12,[2]Golpes!$A$1:$G$653,6,FALSE)</f>
        <v>1</v>
      </c>
      <c r="M12" s="17" t="str">
        <f>VLOOKUP(E12,[2]Golpes!$A$1:$G$653,7,FALSE)</f>
        <v>Causa dano e tem 10% de chance de diminuir a Defesa Especial do adversário em 10% do total (diminuição máxima de 60%).</v>
      </c>
      <c r="N12" s="35"/>
      <c r="T12" s="62" t="s">
        <v>116</v>
      </c>
      <c r="U12" s="63"/>
      <c r="V12" s="63" t="str">
        <f>VLOOKUP(T12,[2]Golpes!$A$1:$G$653,2,FALSE)&amp;"/"&amp;VLOOKUP(T12,[2]Golpes!$A$1:$G$653,3,FALSE)</f>
        <v>Dragão/Estado</v>
      </c>
      <c r="W12" s="63"/>
      <c r="X12" s="63"/>
      <c r="Y12" s="25">
        <f>VLOOKUP(T12,[2]Golpes!$A$1:$G$653,4,FALSE)</f>
        <v>2</v>
      </c>
      <c r="Z12" s="25" t="str">
        <f>VLOOKUP(T12,[2]Golpes!$A$1:$G$653,5,FALSE)</f>
        <v>-</v>
      </c>
      <c r="AA12" s="36">
        <f>VLOOKUP(T12,[2]Golpes!$A$1:$G$653,6,FALSE)</f>
        <v>1</v>
      </c>
      <c r="AB12" s="17" t="str">
        <f>VLOOKUP(T12,[2]Golpes!$A$1:$G$653,7,FALSE)</f>
        <v>Aumenta o Ataque e a Velocidade em 10% do total (aumento máximo de 60% em cada).</v>
      </c>
      <c r="AC12" s="35"/>
    </row>
    <row r="13" spans="1:31" ht="15" thickBot="1" x14ac:dyDescent="0.35">
      <c r="A13" s="27" t="s">
        <v>44</v>
      </c>
      <c r="B13" s="57">
        <v>3</v>
      </c>
      <c r="C13" s="58"/>
      <c r="E13" s="62" t="s">
        <v>66</v>
      </c>
      <c r="F13" s="63"/>
      <c r="G13" s="63" t="str">
        <f>VLOOKUP(E13,[2]Golpes!$A$1:$G$653,2,FALSE)&amp;"/"&amp;VLOOKUP(E13,[2]Golpes!$A$1:$G$653,3,FALSE)</f>
        <v>Voador/Especial</v>
      </c>
      <c r="H13" s="63"/>
      <c r="I13" s="63"/>
      <c r="J13" s="25">
        <f>VLOOKUP(E13,[2]Golpes!$A$1:$G$653,4,FALSE)</f>
        <v>9</v>
      </c>
      <c r="K13" s="25" t="str">
        <f>VLOOKUP(E13,[2]Golpes!$A$1:$G$653,5,FALSE)</f>
        <v>8d6</v>
      </c>
      <c r="L13" s="36">
        <f>VLOOKUP(E13,[2]Golpes!$A$1:$G$653,6,FALSE)</f>
        <v>0.95</v>
      </c>
      <c r="M13" s="17" t="str">
        <f>VLOOKUP(E13,[2]Golpes!$A$1:$G$653,7,FALSE)</f>
        <v>Causa dano e tem 30% de chance de causar condição Recuando.</v>
      </c>
      <c r="N13" s="35"/>
      <c r="T13" s="62" t="s">
        <v>117</v>
      </c>
      <c r="U13" s="63"/>
      <c r="V13" s="63" t="str">
        <f>VLOOKUP(T13,[2]Golpes!$A$1:$G$653,2,FALSE)&amp;"/"&amp;VLOOKUP(T13,[2]Golpes!$A$1:$G$653,3,FALSE)</f>
        <v>Dragão/Físico</v>
      </c>
      <c r="W13" s="63"/>
      <c r="X13" s="63"/>
      <c r="Y13" s="25">
        <f>VLOOKUP(T13,[2]Golpes!$A$1:$G$653,4,FALSE)</f>
        <v>8</v>
      </c>
      <c r="Z13" s="25" t="str">
        <f>VLOOKUP(T13,[2]Golpes!$A$1:$G$653,5,FALSE)</f>
        <v>8d6</v>
      </c>
      <c r="AA13" s="36">
        <f>VLOOKUP(T13,[2]Golpes!$A$1:$G$653,6,FALSE)</f>
        <v>1</v>
      </c>
      <c r="AB13" s="17" t="str">
        <f>VLOOKUP(T13,[2]Golpes!$A$1:$G$653,7,FALSE)</f>
        <v>Causa dano.</v>
      </c>
      <c r="AC13" s="35"/>
    </row>
    <row r="14" spans="1:31" x14ac:dyDescent="0.3">
      <c r="A14" s="37" t="s">
        <v>45</v>
      </c>
      <c r="B14" s="38">
        <v>30</v>
      </c>
      <c r="C14" s="39">
        <f>B10*10</f>
        <v>30</v>
      </c>
      <c r="E14" s="62" t="s">
        <v>124</v>
      </c>
      <c r="F14" s="63"/>
      <c r="G14" s="63" t="str">
        <f>VLOOKUP(E14,[2]Golpes!$A$1:$G$653,2,FALSE)&amp;"/"&amp;VLOOKUP(E14,[2]Golpes!$A$1:$G$653,3,FALSE)</f>
        <v>Metal/Físico</v>
      </c>
      <c r="H14" s="63"/>
      <c r="I14" s="63"/>
      <c r="J14" s="25">
        <f>VLOOKUP(E14,[2]Golpes!$A$1:$G$653,4,FALSE)</f>
        <v>6</v>
      </c>
      <c r="K14" s="25" t="str">
        <f>VLOOKUP(E14,[2]Golpes!$A$1:$G$653,5,FALSE)</f>
        <v>7d6</v>
      </c>
      <c r="L14" s="36">
        <f>VLOOKUP(E14,[2]Golpes!$A$1:$G$653,6,FALSE)</f>
        <v>0.9</v>
      </c>
      <c r="M14" s="17" t="str">
        <f>VLOOKUP(E14,[2]Golpes!$A$1:$G$653,7,FALSE)</f>
        <v>Causa dano e tem 10% de chance de aumentar a Defesa em 10% do total (aumento máximo de 60%).</v>
      </c>
      <c r="N14" s="35"/>
      <c r="T14" s="62" t="s">
        <v>118</v>
      </c>
      <c r="U14" s="63"/>
      <c r="V14" s="63" t="str">
        <f>VLOOKUP(T14,[2]Golpes!$A$1:$G$653,2,FALSE)&amp;"/"&amp;VLOOKUP(T14,[2]Golpes!$A$1:$G$653,3,FALSE)</f>
        <v>Inseto/Físico</v>
      </c>
      <c r="W14" s="63"/>
      <c r="X14" s="63"/>
      <c r="Y14" s="25">
        <f>VLOOKUP(T14,[2]Golpes!$A$1:$G$653,4,FALSE)</f>
        <v>8</v>
      </c>
      <c r="Z14" s="25" t="str">
        <f>VLOOKUP(T14,[2]Golpes!$A$1:$G$653,5,FALSE)</f>
        <v>8d6</v>
      </c>
      <c r="AA14" s="36">
        <f>VLOOKUP(T14,[2]Golpes!$A$1:$G$653,6,FALSE)</f>
        <v>1</v>
      </c>
      <c r="AB14" s="17" t="str">
        <f>VLOOKUP(T14,[2]Golpes!$A$1:$G$653,7,FALSE)</f>
        <v>Causa dano.</v>
      </c>
      <c r="AC14" s="35"/>
    </row>
    <row r="15" spans="1:31" ht="15" thickBot="1" x14ac:dyDescent="0.35">
      <c r="A15" s="40" t="s">
        <v>46</v>
      </c>
      <c r="B15" s="41">
        <v>30</v>
      </c>
      <c r="C15" s="42">
        <f>B14</f>
        <v>30</v>
      </c>
      <c r="E15" s="67" t="s">
        <v>125</v>
      </c>
      <c r="F15" s="68"/>
      <c r="G15" s="68" t="str">
        <f>VLOOKUP(E15,[2]Golpes!$A$1:$G$653,2,FALSE)&amp;"/"&amp;VLOOKUP(E15,[2]Golpes!$A$1:$G$653,3,FALSE)</f>
        <v>Inseto/Estado</v>
      </c>
      <c r="H15" s="68"/>
      <c r="I15" s="68"/>
      <c r="J15" s="43">
        <f>VLOOKUP(E15,[2]Golpes!$A$1:$G$653,4,FALSE)</f>
        <v>1</v>
      </c>
      <c r="K15" s="43" t="str">
        <f>VLOOKUP(E15,[2]Golpes!$A$1:$G$653,5,FALSE)</f>
        <v>-</v>
      </c>
      <c r="L15" s="44">
        <f>VLOOKUP(E15,[2]Golpes!$A$1:$G$653,6,FALSE)</f>
        <v>0.95</v>
      </c>
      <c r="M15" s="17" t="s">
        <v>166</v>
      </c>
      <c r="N15" s="35"/>
      <c r="T15" s="67" t="s">
        <v>119</v>
      </c>
      <c r="U15" s="68"/>
      <c r="V15" s="68" t="str">
        <f>VLOOKUP(T15,[2]Golpes!$A$1:$G$653,2,FALSE)&amp;"/"&amp;VLOOKUP(T15,[2]Golpes!$A$1:$G$653,3,FALSE)</f>
        <v>Lutador/Físico</v>
      </c>
      <c r="W15" s="68"/>
      <c r="X15" s="68"/>
      <c r="Y15" s="43">
        <f>VLOOKUP(T15,[2]Golpes!$A$1:$G$653,4,FALSE)</f>
        <v>12</v>
      </c>
      <c r="Z15" s="43" t="str">
        <f>VLOOKUP(T15,[2]Golpes!$A$1:$G$653,5,FALSE)</f>
        <v>16d6</v>
      </c>
      <c r="AA15" s="44">
        <f>VLOOKUP(T15,[2]Golpes!$A$1:$G$653,6,FALSE)</f>
        <v>1</v>
      </c>
      <c r="AB15" s="17" t="str">
        <f>VLOOKUP(T15,[2]Golpes!$A$1:$G$653,7,FALSE)</f>
        <v>Causa dano mas diminui o próprio Ataque e Defesa em 10% do total (diminuição máxima de 60%).</v>
      </c>
      <c r="AC15" s="35"/>
    </row>
    <row r="16" spans="1:31" ht="15" thickBot="1" x14ac:dyDescent="0.35">
      <c r="A16" s="59">
        <v>4</v>
      </c>
      <c r="B16" s="59"/>
      <c r="C16" s="59"/>
    </row>
    <row r="17" spans="1:31" ht="15" thickBot="1" x14ac:dyDescent="0.35">
      <c r="A17" s="64" t="s">
        <v>47</v>
      </c>
      <c r="B17" s="65"/>
      <c r="C17" s="66"/>
      <c r="E17" s="2" t="s">
        <v>1</v>
      </c>
      <c r="F17" s="3" t="s">
        <v>127</v>
      </c>
      <c r="G17" s="4" t="s">
        <v>175</v>
      </c>
      <c r="H17" s="5"/>
      <c r="I17" s="6" t="s">
        <v>2</v>
      </c>
      <c r="J17" s="6" t="s">
        <v>3</v>
      </c>
      <c r="K17" s="6" t="s">
        <v>4</v>
      </c>
      <c r="L17" s="7" t="s">
        <v>5</v>
      </c>
      <c r="M17" s="8"/>
      <c r="N17" s="9"/>
      <c r="O17" s="53" t="s">
        <v>6</v>
      </c>
      <c r="P17" s="54"/>
      <c r="T17" s="2" t="s">
        <v>120</v>
      </c>
      <c r="U17" s="3"/>
      <c r="V17" s="4"/>
      <c r="W17" s="5"/>
      <c r="X17" s="6" t="s">
        <v>2</v>
      </c>
      <c r="Y17" s="6" t="s">
        <v>3</v>
      </c>
      <c r="Z17" s="6" t="s">
        <v>4</v>
      </c>
      <c r="AA17" s="7" t="s">
        <v>5</v>
      </c>
      <c r="AB17" s="8"/>
      <c r="AC17" s="9"/>
      <c r="AD17" s="53" t="s">
        <v>6</v>
      </c>
      <c r="AE17" s="54"/>
    </row>
    <row r="18" spans="1:31" x14ac:dyDescent="0.3">
      <c r="A18" s="69" t="s">
        <v>110</v>
      </c>
      <c r="B18" s="50"/>
      <c r="C18" s="70"/>
      <c r="E18" s="11" t="s">
        <v>8</v>
      </c>
      <c r="F18" s="8" t="s">
        <v>9</v>
      </c>
      <c r="G18" s="12" t="s">
        <v>10</v>
      </c>
      <c r="H18" s="13" t="s">
        <v>11</v>
      </c>
      <c r="I18" s="14">
        <f>VLOOKUP(F17,[1]Pokemon!$A$1:$I$874,3,FALSE)+IF(F19="Sim",20,0)</f>
        <v>60</v>
      </c>
      <c r="J18" s="15">
        <v>0</v>
      </c>
      <c r="K18" s="8">
        <f>IF($B$5="Vigoroso",ROUNDUP((N18+J18)*1.2,0),N18+J18)</f>
        <v>118</v>
      </c>
      <c r="L18" s="16">
        <v>118</v>
      </c>
      <c r="M18" s="17"/>
      <c r="N18" s="9">
        <f>I18+LOOKUP(I18,[1]Dados!$C$3:$D$12,[1]Dados!$E$3:$E$12)*(ROUNDDOWN(F21/2,0))+LOOKUP(I18,[1]Dados!$C$3:$D$12,[1]Dados!$F$3:$F$12)*(ROUNDDOWN((F21-1)/2,0))</f>
        <v>118</v>
      </c>
      <c r="O18" s="18" t="s">
        <v>12</v>
      </c>
      <c r="P18" s="19"/>
      <c r="T18" s="11" t="s">
        <v>8</v>
      </c>
      <c r="U18" s="8" t="s">
        <v>9</v>
      </c>
      <c r="V18" s="12" t="s">
        <v>10</v>
      </c>
      <c r="W18" s="13" t="s">
        <v>11</v>
      </c>
      <c r="X18" s="14" t="e">
        <f>VLOOKUP(U17,[1]Pokemon!$A$1:$I$874,3,FALSE)+IF(U19="Sim",20,0)</f>
        <v>#N/A</v>
      </c>
      <c r="Y18" s="15">
        <v>0</v>
      </c>
      <c r="Z18" s="8" t="e">
        <f>IF($B$5="Vigoroso",ROUNDUP((AC18+Y18)*1.2,0),AC18+Y18)</f>
        <v>#N/A</v>
      </c>
      <c r="AA18" s="16">
        <v>0</v>
      </c>
      <c r="AB18" s="17"/>
      <c r="AC18" s="9" t="e">
        <f>X18+LOOKUP(X18,[1]Dados!$C$3:$D$12,[1]Dados!$E$3:$E$12)*(ROUNDDOWN(U21/2,0))+LOOKUP(X18,[1]Dados!$C$3:$D$12,[1]Dados!$F$3:$F$12)*(ROUNDDOWN((U21-1)/2,0))</f>
        <v>#N/A</v>
      </c>
      <c r="AD18" s="18" t="s">
        <v>12</v>
      </c>
      <c r="AE18" s="19"/>
    </row>
    <row r="19" spans="1:31" x14ac:dyDescent="0.3">
      <c r="A19" s="69"/>
      <c r="B19" s="50"/>
      <c r="C19" s="70"/>
      <c r="E19" s="11" t="s">
        <v>14</v>
      </c>
      <c r="F19" s="8" t="s">
        <v>15</v>
      </c>
      <c r="G19" s="47"/>
      <c r="H19" s="13" t="s">
        <v>16</v>
      </c>
      <c r="I19" s="21">
        <f>20+IF(F19="Sim",10,0)</f>
        <v>20</v>
      </c>
      <c r="J19" s="22">
        <v>0</v>
      </c>
      <c r="K19" s="8">
        <f>18+(F21*2)+IF(F19="Sim",10,0)+J19</f>
        <v>78</v>
      </c>
      <c r="L19" s="16">
        <v>78</v>
      </c>
      <c r="M19" s="17"/>
      <c r="N19" s="9"/>
      <c r="O19" s="18" t="s">
        <v>17</v>
      </c>
      <c r="P19" s="19"/>
      <c r="T19" s="11" t="s">
        <v>14</v>
      </c>
      <c r="U19" s="8" t="s">
        <v>15</v>
      </c>
      <c r="V19" s="20"/>
      <c r="W19" s="13" t="s">
        <v>16</v>
      </c>
      <c r="X19" s="21">
        <f>20+IF(U19="Sim",10,0)</f>
        <v>20</v>
      </c>
      <c r="Y19" s="22">
        <v>0</v>
      </c>
      <c r="Z19" s="8">
        <f>18+(U21*2)+IF(U19="Sim",10,0)+Y19</f>
        <v>20</v>
      </c>
      <c r="AA19" s="16">
        <v>0</v>
      </c>
      <c r="AB19" s="17"/>
      <c r="AC19" s="9"/>
      <c r="AD19" s="18" t="s">
        <v>17</v>
      </c>
      <c r="AE19" s="19"/>
    </row>
    <row r="20" spans="1:31" x14ac:dyDescent="0.3">
      <c r="A20" s="69"/>
      <c r="B20" s="50"/>
      <c r="C20" s="70"/>
      <c r="E20" s="11" t="s">
        <v>19</v>
      </c>
      <c r="F20" s="23" t="str">
        <f>VLOOKUP(F17,[1]Pokemon!$A$1:$I$874,2,FALSE)</f>
        <v>Inseto</v>
      </c>
      <c r="G20" s="20"/>
      <c r="H20" s="13" t="s">
        <v>12</v>
      </c>
      <c r="I20" s="14">
        <f>VLOOKUP(F17,[1]Pokemon!$A$1:$I$874,4,FALSE)+IF(F19="Sim",1,0)</f>
        <v>7</v>
      </c>
      <c r="J20" s="22">
        <v>1</v>
      </c>
      <c r="K20" s="8">
        <f>IF(L23="Sim", ROUNDUP((N20+ROUNDDOWN(F23/10,0))*J20*P18,0), ROUNDUP((N20+ROUNDDOWN(F23/10,0))*J20,0))</f>
        <v>59</v>
      </c>
      <c r="L20" s="24" t="s">
        <v>20</v>
      </c>
      <c r="M20" s="17"/>
      <c r="N20" s="9">
        <f>I20+LOOKUP(I20,[1]Dados!$H$3:$I$12,[1]Dados!$J$3:$J$12)*(ROUNDDOWN(F21/2,0))+LOOKUP(I20,[1]Dados!$H$3:$I$12,[1]Dados!$K$3:$K$12)*(ROUNDDOWN((F21-1)/2,0))</f>
        <v>51</v>
      </c>
      <c r="O20" s="18" t="s">
        <v>21</v>
      </c>
      <c r="P20" s="19"/>
      <c r="T20" s="11" t="s">
        <v>19</v>
      </c>
      <c r="U20" s="23" t="e">
        <f>VLOOKUP(U17,[1]Pokemon!$A$1:$I$874,2,FALSE)</f>
        <v>#N/A</v>
      </c>
      <c r="V20" s="20"/>
      <c r="W20" s="13" t="s">
        <v>12</v>
      </c>
      <c r="X20" s="14" t="e">
        <f>VLOOKUP(U17,[1]Pokemon!$A$1:$I$874,4,FALSE)+IF(U19="Sim",1,0)</f>
        <v>#N/A</v>
      </c>
      <c r="Y20" s="22">
        <v>1</v>
      </c>
      <c r="Z20" s="8" t="e">
        <f>IF(AA23="Sim", ROUNDUP((AC20+ROUNDDOWN(U23/10,0))*Y20*AE18,0), ROUNDUP((AC20+ROUNDDOWN(U23/10,0))*Y20,0))</f>
        <v>#N/A</v>
      </c>
      <c r="AA20" s="24" t="s">
        <v>20</v>
      </c>
      <c r="AB20" s="17"/>
      <c r="AC20" s="9" t="e">
        <f>X20+LOOKUP(X20,[1]Dados!$H$3:$I$12,[1]Dados!$J$3:$J$12)*(ROUNDDOWN(U21/2,0))+LOOKUP(X20,[1]Dados!$H$3:$I$12,[1]Dados!$K$3:$K$12)*(ROUNDDOWN((U21-1)/2,0))</f>
        <v>#N/A</v>
      </c>
      <c r="AD20" s="18" t="s">
        <v>21</v>
      </c>
      <c r="AE20" s="19"/>
    </row>
    <row r="21" spans="1:31" x14ac:dyDescent="0.3">
      <c r="A21" s="71"/>
      <c r="B21" s="49"/>
      <c r="C21" s="72"/>
      <c r="E21" s="11" t="s">
        <v>23</v>
      </c>
      <c r="F21" s="25">
        <v>30</v>
      </c>
      <c r="G21" s="20"/>
      <c r="H21" s="13" t="s">
        <v>17</v>
      </c>
      <c r="I21" s="14">
        <f>VLOOKUP(F17,[1]Pokemon!$A$1:$I$874,5,FALSE)+IF(F19="Sim",1,0)</f>
        <v>4</v>
      </c>
      <c r="J21" s="22">
        <v>1</v>
      </c>
      <c r="K21" s="8">
        <f>IF(L23="Sim", ROUNDUP((N21+ROUNDDOWN(F23/10,0))*J21*P19,0), ROUNDUP((N21+ROUNDDOWN(F23/10,0))*J21,0))</f>
        <v>41</v>
      </c>
      <c r="L21" s="26">
        <f>ROUNDDOWN(I24/2,0)</f>
        <v>7</v>
      </c>
      <c r="M21" s="17"/>
      <c r="N21" s="9">
        <f>I21+LOOKUP(I21,[1]Dados!$H$3:$I$12,[1]Dados!$J$3:$J$12)*(ROUNDDOWN(F21/2,0))+LOOKUP(I21,[1]Dados!$H$3:$I$12,[1]Dados!$K$3:$K$12)*(ROUNDDOWN((F21-1)/2,0))</f>
        <v>33</v>
      </c>
      <c r="O21" s="18" t="s">
        <v>24</v>
      </c>
      <c r="P21" s="19"/>
      <c r="T21" s="11" t="s">
        <v>23</v>
      </c>
      <c r="U21" s="25">
        <v>1</v>
      </c>
      <c r="V21" s="20"/>
      <c r="W21" s="13" t="s">
        <v>17</v>
      </c>
      <c r="X21" s="14" t="e">
        <f>VLOOKUP(U17,[1]Pokemon!$A$1:$I$874,5,FALSE)+IF(U19="Sim",1,0)</f>
        <v>#N/A</v>
      </c>
      <c r="Y21" s="22">
        <v>1</v>
      </c>
      <c r="Z21" s="8" t="e">
        <f>IF(AA23="Sim", ROUNDUP((AC21+ROUNDDOWN(U23/10,0))*Y21*AE19,0), ROUNDUP((AC21+ROUNDDOWN(U23/10,0))*Y21,0))</f>
        <v>#N/A</v>
      </c>
      <c r="AA21" s="26" t="e">
        <f>ROUNDDOWN(X24/2,0)</f>
        <v>#N/A</v>
      </c>
      <c r="AB21" s="17"/>
      <c r="AC21" s="9" t="e">
        <f>X21+LOOKUP(X21,[1]Dados!$H$3:$I$12,[1]Dados!$J$3:$J$12)*(ROUNDDOWN(U21/2,0))+LOOKUP(X21,[1]Dados!$H$3:$I$12,[1]Dados!$K$3:$K$12)*(ROUNDDOWN((U21-1)/2,0))</f>
        <v>#N/A</v>
      </c>
      <c r="AD21" s="18" t="s">
        <v>24</v>
      </c>
      <c r="AE21" s="19"/>
    </row>
    <row r="22" spans="1:31" ht="15" thickBot="1" x14ac:dyDescent="0.35">
      <c r="A22" s="71"/>
      <c r="B22" s="49"/>
      <c r="C22" s="72"/>
      <c r="E22" s="11" t="s">
        <v>26</v>
      </c>
      <c r="F22" s="23">
        <v>0</v>
      </c>
      <c r="G22" s="20"/>
      <c r="H22" s="13" t="s">
        <v>21</v>
      </c>
      <c r="I22" s="14">
        <f>VLOOKUP(F17,[1]Pokemon!$A$1:$I$874,6,FALSE)+IF(F19="Sim",1,0)</f>
        <v>10</v>
      </c>
      <c r="J22" s="22">
        <v>1</v>
      </c>
      <c r="K22" s="8">
        <f>IF(L23="Sim", ROUNDUP((N22+ROUNDDOWN(F23/10,0))*J22*P20,0), ROUNDUP((N22+ROUNDDOWN(F23/10,0))*J22,0))</f>
        <v>91</v>
      </c>
      <c r="L22" s="24" t="s">
        <v>27</v>
      </c>
      <c r="M22" s="17"/>
      <c r="N22" s="9">
        <f>I22+LOOKUP(I22,[1]Dados!$H$3:$I$12,[1]Dados!$J$3:$J$12)*(ROUNDDOWN(F21/2,0))+LOOKUP(I22,[1]Dados!$H$3:$I$12,[1]Dados!$K$3:$K$12)*(ROUNDDOWN((F21-1)/2,0))</f>
        <v>83</v>
      </c>
      <c r="O22" s="28" t="s">
        <v>28</v>
      </c>
      <c r="P22" s="29"/>
      <c r="T22" s="11" t="s">
        <v>26</v>
      </c>
      <c r="U22" s="23">
        <v>0</v>
      </c>
      <c r="V22" s="20"/>
      <c r="W22" s="13" t="s">
        <v>21</v>
      </c>
      <c r="X22" s="14" t="e">
        <f>VLOOKUP(U17,[1]Pokemon!$A$1:$I$874,6,FALSE)+IF(U19="Sim",1,0)</f>
        <v>#N/A</v>
      </c>
      <c r="Y22" s="22">
        <v>1</v>
      </c>
      <c r="Z22" s="8" t="e">
        <f>IF(AA23="Sim", ROUNDUP((AC22+ROUNDDOWN(U23/10,0))*Y22*AE20,0), ROUNDUP((AC22+ROUNDDOWN(U23/10,0))*Y22,0))</f>
        <v>#N/A</v>
      </c>
      <c r="AA22" s="24" t="s">
        <v>27</v>
      </c>
      <c r="AB22" s="17"/>
      <c r="AC22" s="9" t="e">
        <f>X22+LOOKUP(X22,[1]Dados!$H$3:$I$12,[1]Dados!$J$3:$J$12)*(ROUNDDOWN(U21/2,0))+LOOKUP(X22,[1]Dados!$H$3:$I$12,[1]Dados!$K$3:$K$12)*(ROUNDDOWN((U21-1)/2,0))</f>
        <v>#N/A</v>
      </c>
      <c r="AD22" s="28" t="s">
        <v>28</v>
      </c>
      <c r="AE22" s="29"/>
    </row>
    <row r="23" spans="1:31" x14ac:dyDescent="0.3">
      <c r="A23" s="71"/>
      <c r="B23" s="49"/>
      <c r="C23" s="72"/>
      <c r="E23" s="11" t="s">
        <v>29</v>
      </c>
      <c r="F23" s="30">
        <v>80</v>
      </c>
      <c r="G23" s="20"/>
      <c r="H23" s="13" t="s">
        <v>24</v>
      </c>
      <c r="I23" s="14">
        <f>VLOOKUP(F17,[1]Pokemon!$A$1:$I$874,7,FALSE)+IF(F19="Sim",1,0)</f>
        <v>6</v>
      </c>
      <c r="J23" s="22">
        <v>1</v>
      </c>
      <c r="K23" s="8">
        <f>IF(L23="Sim", ROUNDUP((N23+ROUNDDOWN(F23/10,0))*J23*P21,0), ROUNDUP((N23+ROUNDDOWN(F23/10,0))*J23,0))</f>
        <v>58</v>
      </c>
      <c r="L23" s="26" t="s">
        <v>15</v>
      </c>
      <c r="M23" s="17"/>
      <c r="N23" s="9">
        <f>I23+LOOKUP(I23,[1]Dados!$H$3:$I$12,[1]Dados!$J$3:$J$12)*(ROUNDDOWN(F21/2,0))+LOOKUP(I23,[1]Dados!$H$3:$I$12,[1]Dados!$K$3:$K$12)*(ROUNDDOWN((F21-1)/2,0))</f>
        <v>50</v>
      </c>
      <c r="T23" s="11" t="s">
        <v>29</v>
      </c>
      <c r="U23" s="30">
        <v>0</v>
      </c>
      <c r="V23" s="20"/>
      <c r="W23" s="13" t="s">
        <v>24</v>
      </c>
      <c r="X23" s="14" t="e">
        <f>VLOOKUP(U17,[1]Pokemon!$A$1:$I$874,7,FALSE)+IF(U19="Sim",1,0)</f>
        <v>#N/A</v>
      </c>
      <c r="Y23" s="22">
        <v>1</v>
      </c>
      <c r="Z23" s="8" t="e">
        <f>IF(AA23="Sim", ROUNDUP((AC23+ROUNDDOWN(U23/10,0))*Y23*AE21,0), ROUNDUP((AC23+ROUNDDOWN(U23/10,0))*Y23,0))</f>
        <v>#N/A</v>
      </c>
      <c r="AA23" s="26" t="s">
        <v>15</v>
      </c>
      <c r="AB23" s="17"/>
      <c r="AC23" s="9" t="e">
        <f>X23+LOOKUP(X23,[1]Dados!$H$3:$I$12,[1]Dados!$J$3:$J$12)*(ROUNDDOWN(U21/2,0))+LOOKUP(X23,[1]Dados!$H$3:$I$12,[1]Dados!$K$3:$K$12)*(ROUNDDOWN((U21-1)/2,0))</f>
        <v>#N/A</v>
      </c>
    </row>
    <row r="24" spans="1:31" x14ac:dyDescent="0.3">
      <c r="A24" s="71"/>
      <c r="B24" s="49"/>
      <c r="C24" s="72"/>
      <c r="E24" s="11" t="s">
        <v>31</v>
      </c>
      <c r="F24" s="23" t="s">
        <v>32</v>
      </c>
      <c r="G24" s="20"/>
      <c r="H24" s="13" t="s">
        <v>28</v>
      </c>
      <c r="I24" s="14">
        <f>VLOOKUP(F17,[1]Pokemon!$A$1:$I$874,8,FALSE)+IF(F19="Sim",1,0)</f>
        <v>14</v>
      </c>
      <c r="J24" s="22">
        <f>1*IF(F25="Paralisado",0.5,1)</f>
        <v>1</v>
      </c>
      <c r="K24" s="8">
        <f>IF(L23="Sim", ROUNDUP(N24*J24*P22,0), ROUNDUP(N24*J24,0))</f>
        <v>116</v>
      </c>
      <c r="L24" s="31" t="str">
        <f>IF(L23 = "Sim", ROUNDUP((K24/(10*P22)), 0)&amp;"d6", ROUNDUP((K24/10), 0)&amp;"d6")</f>
        <v>12d6</v>
      </c>
      <c r="M24" s="17"/>
      <c r="N24" s="9">
        <f>I24+LOOKUP(I24,[1]Dados!$H$3:$I$12,[1]Dados!$J$3:$J$12)*(ROUNDDOWN(F21/2,0))+LOOKUP(I24,[1]Dados!$H$3:$I$12,[1]Dados!$K$3:$K$12)*(ROUNDDOWN((F21-1)/2,0))</f>
        <v>116</v>
      </c>
      <c r="T24" s="11" t="s">
        <v>31</v>
      </c>
      <c r="U24" s="23" t="s">
        <v>32</v>
      </c>
      <c r="V24" s="20"/>
      <c r="W24" s="13" t="s">
        <v>28</v>
      </c>
      <c r="X24" s="14" t="e">
        <f>VLOOKUP(U17,[1]Pokemon!$A$1:$I$874,8,FALSE)+IF(U19="Sim",1,0)</f>
        <v>#N/A</v>
      </c>
      <c r="Y24" s="22">
        <f>1*IF(U25="Paralisado",0.5,1)</f>
        <v>1</v>
      </c>
      <c r="Z24" s="8" t="e">
        <f>IF(AA23="Sim", ROUNDUP(AC24*Y24*AE22,0), ROUNDUP(AC24*Y24,0))</f>
        <v>#N/A</v>
      </c>
      <c r="AA24" s="31" t="e">
        <f>IF(AA23 = "Sim", ROUNDUP((Z24/(10*AE22)), 0)&amp;"d6", ROUNDUP((Z24/10), 0)&amp;"d6")</f>
        <v>#N/A</v>
      </c>
      <c r="AB24" s="17"/>
      <c r="AC24" s="9" t="e">
        <f>X24+LOOKUP(X24,[1]Dados!$H$3:$I$12,[1]Dados!$J$3:$J$12)*(ROUNDDOWN(U21/2,0))+LOOKUP(X24,[1]Dados!$H$3:$I$12,[1]Dados!$K$3:$K$12)*(ROUNDDOWN((U21-1)/2,0))</f>
        <v>#N/A</v>
      </c>
    </row>
    <row r="25" spans="1:31" x14ac:dyDescent="0.3">
      <c r="A25" s="71"/>
      <c r="B25" s="49"/>
      <c r="C25" s="72"/>
      <c r="E25" s="11" t="s">
        <v>34</v>
      </c>
      <c r="F25" s="23"/>
      <c r="G25" s="20"/>
      <c r="H25" s="13" t="s">
        <v>35</v>
      </c>
      <c r="I25" s="14">
        <f>VLOOKUP(F17,[1]Pokemon!$A$1:$I$874,9,FALSE)</f>
        <v>173</v>
      </c>
      <c r="J25" s="13" t="s">
        <v>36</v>
      </c>
      <c r="K25" s="13"/>
      <c r="L25" s="32">
        <f>((F21+1)*I25/2)-F22</f>
        <v>2681.5</v>
      </c>
      <c r="M25" s="17"/>
      <c r="N25" s="33"/>
      <c r="T25" s="11" t="s">
        <v>34</v>
      </c>
      <c r="U25" s="23"/>
      <c r="V25" s="20"/>
      <c r="W25" s="13" t="s">
        <v>35</v>
      </c>
      <c r="X25" s="14" t="e">
        <f>VLOOKUP(U17,[1]Pokemon!$A$1:$I$874,9,FALSE)</f>
        <v>#N/A</v>
      </c>
      <c r="Y25" s="13" t="s">
        <v>36</v>
      </c>
      <c r="Z25" s="13"/>
      <c r="AA25" s="32" t="e">
        <f>((U21+1)*X25/2)-U22</f>
        <v>#N/A</v>
      </c>
      <c r="AB25" s="17"/>
      <c r="AC25" s="33"/>
    </row>
    <row r="26" spans="1:31" x14ac:dyDescent="0.3">
      <c r="A26" s="71"/>
      <c r="B26" s="49"/>
      <c r="C26" s="72"/>
      <c r="E26" s="34"/>
      <c r="F26" s="8"/>
      <c r="G26" s="17"/>
      <c r="H26" s="8"/>
      <c r="I26" s="8"/>
      <c r="J26" s="8"/>
      <c r="K26" s="8"/>
      <c r="L26" s="26"/>
      <c r="M26" s="17"/>
      <c r="N26" s="35"/>
      <c r="T26" s="34"/>
      <c r="U26" s="8"/>
      <c r="V26" s="17"/>
      <c r="W26" s="8"/>
      <c r="X26" s="8"/>
      <c r="Y26" s="8"/>
      <c r="Z26" s="8"/>
      <c r="AA26" s="26"/>
      <c r="AB26" s="17"/>
      <c r="AC26" s="35"/>
    </row>
    <row r="27" spans="1:31" x14ac:dyDescent="0.3">
      <c r="A27" s="71"/>
      <c r="B27" s="49"/>
      <c r="C27" s="72"/>
      <c r="E27" s="60" t="s">
        <v>39</v>
      </c>
      <c r="F27" s="61"/>
      <c r="G27" s="13" t="s">
        <v>40</v>
      </c>
      <c r="H27" s="13"/>
      <c r="I27" s="13"/>
      <c r="J27" s="13" t="s">
        <v>16</v>
      </c>
      <c r="K27" s="13" t="s">
        <v>41</v>
      </c>
      <c r="L27" s="24" t="s">
        <v>42</v>
      </c>
      <c r="M27" s="17"/>
      <c r="N27" s="35"/>
      <c r="T27" s="60" t="s">
        <v>39</v>
      </c>
      <c r="U27" s="61"/>
      <c r="V27" s="13" t="s">
        <v>40</v>
      </c>
      <c r="W27" s="13"/>
      <c r="X27" s="13"/>
      <c r="Y27" s="13" t="s">
        <v>16</v>
      </c>
      <c r="Z27" s="13" t="s">
        <v>41</v>
      </c>
      <c r="AA27" s="24" t="s">
        <v>42</v>
      </c>
      <c r="AB27" s="17"/>
      <c r="AC27" s="35"/>
    </row>
    <row r="28" spans="1:31" x14ac:dyDescent="0.3">
      <c r="A28" s="71"/>
      <c r="B28" s="49"/>
      <c r="C28" s="72"/>
      <c r="E28" s="62" t="s">
        <v>77</v>
      </c>
      <c r="F28" s="63"/>
      <c r="G28" s="63" t="str">
        <f>VLOOKUP(E28,[2]Golpes!$A$1:$G$653,2,FALSE)&amp;"/"&amp;VLOOKUP(E28,[2]Golpes!$A$1:$G$653,3,FALSE)</f>
        <v>Normal/Especial</v>
      </c>
      <c r="H28" s="63"/>
      <c r="I28" s="63"/>
      <c r="J28" s="25">
        <f>VLOOKUP(E28,[2]Golpes!$A$1:$G$653,4,FALSE)</f>
        <v>6</v>
      </c>
      <c r="K28" s="25" t="str">
        <f>VLOOKUP(E28,[2]Golpes!$A$1:$G$653,5,FALSE)</f>
        <v>6d6</v>
      </c>
      <c r="L28" s="36">
        <f>VLOOKUP(E28,[2]Golpes!$A$1:$G$653,6,FALSE)</f>
        <v>1</v>
      </c>
      <c r="M28" s="17" t="str">
        <f>VLOOKUP(E28,[2]Golpes!$A$1:$G$653,7,FALSE)</f>
        <v>Causa dano ignorando qualquer mudança em sua Precisão.</v>
      </c>
      <c r="N28" s="35"/>
      <c r="T28" s="62"/>
      <c r="U28" s="63"/>
      <c r="V28" s="63" t="e">
        <f>VLOOKUP(T28,[2]Golpes!$A$1:$G$653,2,FALSE)&amp;"/"&amp;VLOOKUP(T28,[2]Golpes!$A$1:$G$653,3,FALSE)</f>
        <v>#N/A</v>
      </c>
      <c r="W28" s="63"/>
      <c r="X28" s="63"/>
      <c r="Y28" s="25" t="e">
        <f>VLOOKUP(T28,[2]Golpes!$A$1:$G$653,4,FALSE)</f>
        <v>#N/A</v>
      </c>
      <c r="Z28" s="25" t="e">
        <f>VLOOKUP(T28,[2]Golpes!$A$1:$G$653,5,FALSE)</f>
        <v>#N/A</v>
      </c>
      <c r="AA28" s="36" t="e">
        <f>VLOOKUP(T28,[2]Golpes!$A$1:$G$653,6,FALSE)</f>
        <v>#N/A</v>
      </c>
      <c r="AB28" s="17" t="e">
        <f>VLOOKUP(T28,[2]Golpes!$A$1:$G$653,7,FALSE)</f>
        <v>#N/A</v>
      </c>
      <c r="AC28" s="35"/>
    </row>
    <row r="29" spans="1:31" ht="15" thickBot="1" x14ac:dyDescent="0.35">
      <c r="A29" s="73"/>
      <c r="B29" s="74"/>
      <c r="C29" s="75"/>
      <c r="E29" s="62" t="s">
        <v>130</v>
      </c>
      <c r="F29" s="63"/>
      <c r="G29" s="63" t="str">
        <f>VLOOKUP(E29,[2]Golpes!$A$1:$G$653,2,FALSE)&amp;"/"&amp;VLOOKUP(E29,[2]Golpes!$A$1:$G$653,3,FALSE)</f>
        <v>Veneno/Especial</v>
      </c>
      <c r="H29" s="63"/>
      <c r="I29" s="63"/>
      <c r="J29" s="25">
        <f>VLOOKUP(E29,[2]Golpes!$A$1:$G$653,4,FALSE)</f>
        <v>10</v>
      </c>
      <c r="K29" s="25" t="str">
        <f>VLOOKUP(E29,[2]Golpes!$A$1:$G$653,5,FALSE)</f>
        <v>7d6</v>
      </c>
      <c r="L29" s="36">
        <f>VLOOKUP(E29,[2]Golpes!$A$1:$G$653,6,FALSE)</f>
        <v>1</v>
      </c>
      <c r="M29" s="17" t="str">
        <f>VLOOKUP(E29,[2]Golpes!$A$1:$G$653,7,FALSE)</f>
        <v>Causa dano e é dobrado se o adversário estiver com a condição Envenenado.</v>
      </c>
      <c r="N29" s="35"/>
      <c r="T29" s="62"/>
      <c r="U29" s="63"/>
      <c r="V29" s="63" t="e">
        <f>VLOOKUP(T29,[2]Golpes!$A$1:$G$653,2,FALSE)&amp;"/"&amp;VLOOKUP(T29,[2]Golpes!$A$1:$G$653,3,FALSE)</f>
        <v>#N/A</v>
      </c>
      <c r="W29" s="63"/>
      <c r="X29" s="63"/>
      <c r="Y29" s="25" t="e">
        <f>VLOOKUP(T29,[2]Golpes!$A$1:$G$653,4,FALSE)</f>
        <v>#N/A</v>
      </c>
      <c r="Z29" s="25" t="e">
        <f>VLOOKUP(T29,[2]Golpes!$A$1:$G$653,5,FALSE)</f>
        <v>#N/A</v>
      </c>
      <c r="AA29" s="36" t="e">
        <f>VLOOKUP(T29,[2]Golpes!$A$1:$G$653,6,FALSE)</f>
        <v>#N/A</v>
      </c>
      <c r="AB29" s="17" t="e">
        <f>VLOOKUP(T29,[2]Golpes!$A$1:$G$653,7,FALSE)</f>
        <v>#N/A</v>
      </c>
      <c r="AC29" s="35"/>
    </row>
    <row r="30" spans="1:31" ht="15" thickBot="1" x14ac:dyDescent="0.35">
      <c r="A30" s="64" t="s">
        <v>48</v>
      </c>
      <c r="B30" s="65"/>
      <c r="C30" s="66"/>
      <c r="E30" s="62" t="s">
        <v>129</v>
      </c>
      <c r="F30" s="63"/>
      <c r="G30" s="63" t="str">
        <f>VLOOKUP(E30,[2]Golpes!$A$1:$G$653,2,FALSE)&amp;"/"&amp;VLOOKUP(E30,[2]Golpes!$A$1:$G$653,3,FALSE)</f>
        <v>Inseto/Especial</v>
      </c>
      <c r="H30" s="63"/>
      <c r="I30" s="63"/>
      <c r="J30" s="25">
        <f>VLOOKUP(E30,[2]Golpes!$A$1:$G$653,4,FALSE)</f>
        <v>5</v>
      </c>
      <c r="K30" s="25" t="str">
        <f>VLOOKUP(E30,[2]Golpes!$A$1:$G$653,5,FALSE)</f>
        <v>5d6</v>
      </c>
      <c r="L30" s="36">
        <f>VLOOKUP(E30,[2]Golpes!$A$1:$G$653,6,FALSE)</f>
        <v>1</v>
      </c>
      <c r="M30" s="17" t="str">
        <f>VLOOKUP(E30,[2]Golpes!$A$1:$G$653,7,FALSE)</f>
        <v>Causa dano e diminui o Ataque Especial do adversário em 10% do total (diminuição máxima de 60%).</v>
      </c>
      <c r="N30" s="35"/>
      <c r="T30" s="62"/>
      <c r="U30" s="63"/>
      <c r="V30" s="63" t="e">
        <f>VLOOKUP(T30,[2]Golpes!$A$1:$G$653,2,FALSE)&amp;"/"&amp;VLOOKUP(T30,[2]Golpes!$A$1:$G$653,3,FALSE)</f>
        <v>#N/A</v>
      </c>
      <c r="W30" s="63"/>
      <c r="X30" s="63"/>
      <c r="Y30" s="25" t="e">
        <f>VLOOKUP(T30,[2]Golpes!$A$1:$G$653,4,FALSE)</f>
        <v>#N/A</v>
      </c>
      <c r="Z30" s="25" t="e">
        <f>VLOOKUP(T30,[2]Golpes!$A$1:$G$653,5,FALSE)</f>
        <v>#N/A</v>
      </c>
      <c r="AA30" s="36" t="e">
        <f>VLOOKUP(T30,[2]Golpes!$A$1:$G$653,6,FALSE)</f>
        <v>#N/A</v>
      </c>
      <c r="AB30" s="17" t="e">
        <f>VLOOKUP(T30,[2]Golpes!$A$1:$G$653,7,FALSE)</f>
        <v>#N/A</v>
      </c>
      <c r="AC30" s="35"/>
    </row>
    <row r="31" spans="1:31" ht="15" thickBot="1" x14ac:dyDescent="0.35">
      <c r="A31" s="76" t="s">
        <v>111</v>
      </c>
      <c r="B31" s="77"/>
      <c r="C31" s="78"/>
      <c r="E31" s="67" t="s">
        <v>128</v>
      </c>
      <c r="F31" s="68"/>
      <c r="G31" s="68" t="str">
        <f>VLOOKUP(E31,[2]Golpes!$A$1:$G$653,2,FALSE)&amp;"/"&amp;VLOOKUP(E31,[2]Golpes!$A$1:$G$653,3,FALSE)</f>
        <v>Grama/Especial</v>
      </c>
      <c r="H31" s="68"/>
      <c r="I31" s="68"/>
      <c r="J31" s="43">
        <f>VLOOKUP(E31,[2]Golpes!$A$1:$G$653,4,FALSE)</f>
        <v>12</v>
      </c>
      <c r="K31" s="43" t="str">
        <f>VLOOKUP(E31,[2]Golpes!$A$1:$G$653,5,FALSE)</f>
        <v>8d6</v>
      </c>
      <c r="L31" s="44">
        <f>VLOOKUP(E31,[2]Golpes!$A$1:$G$653,6,FALSE)</f>
        <v>1</v>
      </c>
      <c r="M31" s="17" t="str">
        <f>VLOOKUP(E31,[2]Golpes!$A$1:$G$653,7,FALSE)</f>
        <v>Causa dano e recupera 50% do PV diminuido do adversário.</v>
      </c>
      <c r="N31" s="35"/>
      <c r="T31" s="67"/>
      <c r="U31" s="68"/>
      <c r="V31" s="68" t="e">
        <f>VLOOKUP(T31,[2]Golpes!$A$1:$G$653,2,FALSE)&amp;"/"&amp;VLOOKUP(T31,[2]Golpes!$A$1:$G$653,3,FALSE)</f>
        <v>#N/A</v>
      </c>
      <c r="W31" s="68"/>
      <c r="X31" s="68"/>
      <c r="Y31" s="43" t="e">
        <f>VLOOKUP(T31,[2]Golpes!$A$1:$G$653,4,FALSE)</f>
        <v>#N/A</v>
      </c>
      <c r="Z31" s="43" t="e">
        <f>VLOOKUP(T31,[2]Golpes!$A$1:$G$653,5,FALSE)</f>
        <v>#N/A</v>
      </c>
      <c r="AA31" s="44" t="e">
        <f>VLOOKUP(T31,[2]Golpes!$A$1:$G$653,6,FALSE)</f>
        <v>#N/A</v>
      </c>
      <c r="AB31" s="17" t="e">
        <f>VLOOKUP(T31,[2]Golpes!$A$1:$G$653,7,FALSE)</f>
        <v>#N/A</v>
      </c>
      <c r="AC31" s="35"/>
    </row>
    <row r="32" spans="1:31" ht="15" thickBot="1" x14ac:dyDescent="0.35">
      <c r="A32" s="69"/>
      <c r="B32" s="50"/>
      <c r="C32" s="70"/>
    </row>
    <row r="33" spans="1:31" x14ac:dyDescent="0.3">
      <c r="A33" s="69"/>
      <c r="B33" s="50"/>
      <c r="C33" s="70"/>
      <c r="E33" s="2" t="s">
        <v>1</v>
      </c>
      <c r="F33" s="3" t="s">
        <v>132</v>
      </c>
      <c r="G33" s="4"/>
      <c r="H33" s="5"/>
      <c r="I33" s="6" t="s">
        <v>2</v>
      </c>
      <c r="J33" s="6" t="s">
        <v>3</v>
      </c>
      <c r="K33" s="6" t="s">
        <v>4</v>
      </c>
      <c r="L33" s="7" t="s">
        <v>5</v>
      </c>
      <c r="M33" s="8"/>
      <c r="N33" s="9"/>
      <c r="O33" s="53" t="s">
        <v>6</v>
      </c>
      <c r="P33" s="54"/>
      <c r="T33" s="2" t="s">
        <v>1</v>
      </c>
      <c r="U33" s="3"/>
      <c r="V33" s="4"/>
      <c r="W33" s="5"/>
      <c r="X33" s="6" t="s">
        <v>2</v>
      </c>
      <c r="Y33" s="6" t="s">
        <v>3</v>
      </c>
      <c r="Z33" s="6" t="s">
        <v>4</v>
      </c>
      <c r="AA33" s="7" t="s">
        <v>5</v>
      </c>
      <c r="AB33" s="8"/>
      <c r="AC33" s="9"/>
      <c r="AD33" s="53" t="s">
        <v>6</v>
      </c>
      <c r="AE33" s="54"/>
    </row>
    <row r="34" spans="1:31" x14ac:dyDescent="0.3">
      <c r="A34" s="69" t="s">
        <v>112</v>
      </c>
      <c r="B34" s="49"/>
      <c r="C34" s="72"/>
      <c r="E34" s="11" t="s">
        <v>8</v>
      </c>
      <c r="F34" s="8" t="s">
        <v>9</v>
      </c>
      <c r="G34" s="12" t="s">
        <v>10</v>
      </c>
      <c r="H34" s="13" t="s">
        <v>11</v>
      </c>
      <c r="I34" s="14">
        <f>VLOOKUP(F33,[1]Pokemon!$A$1:$I$874,3,FALSE)+IF(F35="Sim",20,0)</f>
        <v>44</v>
      </c>
      <c r="J34" s="15">
        <v>0</v>
      </c>
      <c r="K34" s="8">
        <f>IF($B$5="Vigoroso",ROUNDUP((N34+J34)*1.2,0),N34+J34)</f>
        <v>85</v>
      </c>
      <c r="L34" s="16">
        <v>85</v>
      </c>
      <c r="M34" s="17"/>
      <c r="N34" s="9">
        <f>I34+LOOKUP(I34,[1]Dados!$C$3:$D$12,[1]Dados!$E$3:$E$12)*(ROUNDDOWN(F37/2,0))+LOOKUP(I34,[1]Dados!$C$3:$D$12,[1]Dados!$F$3:$F$12)*(ROUNDDOWN((F37-1)/2,0))</f>
        <v>85</v>
      </c>
      <c r="O34" s="18" t="s">
        <v>12</v>
      </c>
      <c r="P34" s="19"/>
      <c r="T34" s="11" t="s">
        <v>8</v>
      </c>
      <c r="U34" s="8" t="s">
        <v>9</v>
      </c>
      <c r="V34" s="12" t="s">
        <v>10</v>
      </c>
      <c r="W34" s="13" t="s">
        <v>11</v>
      </c>
      <c r="X34" s="14" t="e">
        <f>VLOOKUP(U33,[1]Pokemon!$A$1:$I$874,3,FALSE)+IF(U35="Sim",20,0)</f>
        <v>#N/A</v>
      </c>
      <c r="Y34" s="15">
        <v>0</v>
      </c>
      <c r="Z34" s="8" t="e">
        <f>IF($B$5="Vigoroso",ROUNDUP((AC34+Y34)*1.2,0),AC34+Y34)</f>
        <v>#N/A</v>
      </c>
      <c r="AA34" s="16">
        <v>0</v>
      </c>
      <c r="AB34" s="17"/>
      <c r="AC34" s="9" t="e">
        <f>X34+LOOKUP(X34,[1]Dados!$C$3:$D$12,[1]Dados!$E$3:$E$12)*(ROUNDDOWN(U37/2,0))+LOOKUP(X34,[1]Dados!$C$3:$D$12,[1]Dados!$F$3:$F$12)*(ROUNDDOWN((U37-1)/2,0))</f>
        <v>#N/A</v>
      </c>
      <c r="AD34" s="18" t="s">
        <v>12</v>
      </c>
      <c r="AE34" s="19"/>
    </row>
    <row r="35" spans="1:31" x14ac:dyDescent="0.3">
      <c r="A35" s="71"/>
      <c r="B35" s="49"/>
      <c r="C35" s="72"/>
      <c r="E35" s="11" t="s">
        <v>14</v>
      </c>
      <c r="F35" s="8" t="s">
        <v>15</v>
      </c>
      <c r="G35" s="20"/>
      <c r="H35" s="13" t="s">
        <v>16</v>
      </c>
      <c r="I35" s="21">
        <f>20+IF(F35="Sim",10,0)</f>
        <v>20</v>
      </c>
      <c r="J35" s="22">
        <v>0</v>
      </c>
      <c r="K35" s="8">
        <f>18+(F37*2)+IF(F35="Sim",10,0)+J35</f>
        <v>74</v>
      </c>
      <c r="L35" s="16">
        <v>74</v>
      </c>
      <c r="M35" s="17"/>
      <c r="N35" s="9"/>
      <c r="O35" s="18" t="s">
        <v>17</v>
      </c>
      <c r="P35" s="19"/>
      <c r="T35" s="11" t="s">
        <v>14</v>
      </c>
      <c r="U35" s="8" t="s">
        <v>15</v>
      </c>
      <c r="V35" s="20"/>
      <c r="W35" s="13" t="s">
        <v>16</v>
      </c>
      <c r="X35" s="21">
        <f>20+IF(U35="Sim",10,0)</f>
        <v>20</v>
      </c>
      <c r="Y35" s="22">
        <v>0</v>
      </c>
      <c r="Z35" s="8">
        <f>18+(U37*2)+IF(U35="Sim",10,0)+Y35</f>
        <v>20</v>
      </c>
      <c r="AA35" s="16">
        <v>0</v>
      </c>
      <c r="AB35" s="17"/>
      <c r="AC35" s="9"/>
      <c r="AD35" s="18" t="s">
        <v>17</v>
      </c>
      <c r="AE35" s="19"/>
    </row>
    <row r="36" spans="1:31" ht="15" thickBot="1" x14ac:dyDescent="0.35">
      <c r="A36" s="73"/>
      <c r="B36" s="74"/>
      <c r="C36" s="75"/>
      <c r="E36" s="11" t="s">
        <v>19</v>
      </c>
      <c r="F36" s="23" t="str">
        <f>VLOOKUP(F33,[1]Pokemon!$A$1:$I$874,2,FALSE)</f>
        <v>Inseto\Metal</v>
      </c>
      <c r="G36" s="20"/>
      <c r="H36" s="13" t="s">
        <v>12</v>
      </c>
      <c r="I36" s="14">
        <f>VLOOKUP(F33,[1]Pokemon!$A$1:$I$874,4,FALSE)+IF(F35="Sim",1,0)</f>
        <v>11</v>
      </c>
      <c r="J36" s="22">
        <v>1</v>
      </c>
      <c r="K36" s="8">
        <f>IF(L39="Sim", ROUNDUP((N36+ROUNDDOWN(F39/10,0))*J36*P34,0), ROUNDUP((N36+ROUNDDOWN(F39/10,0))*J36,0))</f>
        <v>86</v>
      </c>
      <c r="L36" s="24" t="s">
        <v>20</v>
      </c>
      <c r="M36" s="17"/>
      <c r="N36" s="9">
        <f>I36+LOOKUP(I36,[1]Dados!$H$3:$I$12,[1]Dados!$J$3:$J$12)*(ROUNDDOWN(F37/2,0))+LOOKUP(I36,[1]Dados!$H$3:$I$12,[1]Dados!$K$3:$K$12)*(ROUNDDOWN((F37-1)/2,0))</f>
        <v>79</v>
      </c>
      <c r="O36" s="18" t="s">
        <v>21</v>
      </c>
      <c r="P36" s="19"/>
      <c r="T36" s="11" t="s">
        <v>19</v>
      </c>
      <c r="U36" s="23" t="e">
        <f>VLOOKUP(U33,[1]Pokemon!$A$1:$I$874,2,FALSE)</f>
        <v>#N/A</v>
      </c>
      <c r="V36" s="20"/>
      <c r="W36" s="13" t="s">
        <v>12</v>
      </c>
      <c r="X36" s="14" t="e">
        <f>VLOOKUP(U33,[1]Pokemon!$A$1:$I$874,4,FALSE)+IF(U35="Sim",1,0)</f>
        <v>#N/A</v>
      </c>
      <c r="Y36" s="22">
        <v>1</v>
      </c>
      <c r="Z36" s="8" t="e">
        <f>IF(AA39="Sim", ROUNDUP((AC36+ROUNDDOWN(U39/10,0))*Y36*AE34,0), ROUNDUP((AC36+ROUNDDOWN(U39/10,0))*Y36,0))</f>
        <v>#N/A</v>
      </c>
      <c r="AA36" s="24" t="s">
        <v>20</v>
      </c>
      <c r="AB36" s="17"/>
      <c r="AC36" s="9" t="e">
        <f>X36+LOOKUP(X36,[1]Dados!$H$3:$I$12,[1]Dados!$J$3:$J$12)*(ROUNDDOWN(U37/2,0))+LOOKUP(X36,[1]Dados!$H$3:$I$12,[1]Dados!$K$3:$K$12)*(ROUNDDOWN((U37-1)/2,0))</f>
        <v>#N/A</v>
      </c>
      <c r="AD36" s="18" t="s">
        <v>21</v>
      </c>
      <c r="AE36" s="19"/>
    </row>
    <row r="37" spans="1:31" x14ac:dyDescent="0.3">
      <c r="A37" s="82" t="s">
        <v>131</v>
      </c>
      <c r="B37" s="82"/>
      <c r="C37" s="82"/>
      <c r="E37" s="11" t="s">
        <v>23</v>
      </c>
      <c r="F37" s="25">
        <v>28</v>
      </c>
      <c r="G37" s="20"/>
      <c r="H37" s="13" t="s">
        <v>17</v>
      </c>
      <c r="I37" s="14">
        <f>VLOOKUP(F33,[1]Pokemon!$A$1:$I$874,5,FALSE)+IF(F35="Sim",1,0)</f>
        <v>11</v>
      </c>
      <c r="J37" s="22">
        <v>1</v>
      </c>
      <c r="K37" s="8">
        <f>IF(L39="Sim", ROUNDUP((N37+ROUNDDOWN(F39/10,0))*J37*P35,0), ROUNDUP((N37+ROUNDDOWN(F39/10,0))*J37,0))</f>
        <v>86</v>
      </c>
      <c r="L37" s="26">
        <f>ROUNDDOWN(I40/2,0)</f>
        <v>5</v>
      </c>
      <c r="M37" s="17"/>
      <c r="N37" s="9">
        <f>I37+LOOKUP(I37,[1]Dados!$H$3:$I$12,[1]Dados!$J$3:$J$12)*(ROUNDDOWN(F37/2,0))+LOOKUP(I37,[1]Dados!$H$3:$I$12,[1]Dados!$K$3:$K$12)*(ROUNDDOWN((F37-1)/2,0))</f>
        <v>79</v>
      </c>
      <c r="O37" s="18" t="s">
        <v>24</v>
      </c>
      <c r="P37" s="19"/>
      <c r="T37" s="11" t="s">
        <v>23</v>
      </c>
      <c r="U37" s="25">
        <v>1</v>
      </c>
      <c r="V37" s="20"/>
      <c r="W37" s="13" t="s">
        <v>17</v>
      </c>
      <c r="X37" s="14" t="e">
        <f>VLOOKUP(U33,[1]Pokemon!$A$1:$I$874,5,FALSE)+IF(U35="Sim",1,0)</f>
        <v>#N/A</v>
      </c>
      <c r="Y37" s="22">
        <v>1</v>
      </c>
      <c r="Z37" s="8" t="e">
        <f>IF(AA39="Sim", ROUNDUP((AC37+ROUNDDOWN(U39/10,0))*Y37*AE35,0), ROUNDUP((AC37+ROUNDDOWN(U39/10,0))*Y37,0))</f>
        <v>#N/A</v>
      </c>
      <c r="AA37" s="26" t="e">
        <f>ROUNDDOWN(X40/2,0)</f>
        <v>#N/A</v>
      </c>
      <c r="AB37" s="17"/>
      <c r="AC37" s="9" t="e">
        <f>X37+LOOKUP(X37,[1]Dados!$H$3:$I$12,[1]Dados!$J$3:$J$12)*(ROUNDDOWN(U37/2,0))+LOOKUP(X37,[1]Dados!$H$3:$I$12,[1]Dados!$K$3:$K$12)*(ROUNDDOWN((U37-1)/2,0))</f>
        <v>#N/A</v>
      </c>
      <c r="AD37" s="18" t="s">
        <v>24</v>
      </c>
      <c r="AE37" s="19"/>
    </row>
    <row r="38" spans="1:31" ht="15" thickBot="1" x14ac:dyDescent="0.35">
      <c r="A38" s="83"/>
      <c r="B38" s="83"/>
      <c r="C38" s="83"/>
      <c r="E38" s="11" t="s">
        <v>26</v>
      </c>
      <c r="F38" s="23">
        <v>0</v>
      </c>
      <c r="G38" s="20"/>
      <c r="H38" s="13" t="s">
        <v>21</v>
      </c>
      <c r="I38" s="14">
        <f>VLOOKUP(F33,[1]Pokemon!$A$1:$I$874,6,FALSE)+IF(F35="Sim",1,0)</f>
        <v>5</v>
      </c>
      <c r="J38" s="22">
        <v>1</v>
      </c>
      <c r="K38" s="8">
        <f>IF(L39="Sim", ROUNDUP((N38+ROUNDDOWN(F39/10,0))*J38*P36,0), ROUNDUP((N38+ROUNDDOWN(F39/10,0))*J38,0))</f>
        <v>39</v>
      </c>
      <c r="L38" s="24" t="s">
        <v>27</v>
      </c>
      <c r="M38" s="17"/>
      <c r="N38" s="9">
        <f>I38+LOOKUP(I38,[1]Dados!$H$3:$I$12,[1]Dados!$J$3:$J$12)*(ROUNDDOWN(F37/2,0))+LOOKUP(I38,[1]Dados!$H$3:$I$12,[1]Dados!$K$3:$K$12)*(ROUNDDOWN((F37-1)/2,0))</f>
        <v>32</v>
      </c>
      <c r="O38" s="28" t="s">
        <v>28</v>
      </c>
      <c r="P38" s="29"/>
      <c r="T38" s="11" t="s">
        <v>26</v>
      </c>
      <c r="U38" s="23">
        <v>0</v>
      </c>
      <c r="V38" s="20"/>
      <c r="W38" s="13" t="s">
        <v>21</v>
      </c>
      <c r="X38" s="14" t="e">
        <f>VLOOKUP(U33,[1]Pokemon!$A$1:$I$874,6,FALSE)+IF(U35="Sim",1,0)</f>
        <v>#N/A</v>
      </c>
      <c r="Y38" s="22">
        <v>1</v>
      </c>
      <c r="Z38" s="8" t="e">
        <f>IF(AA39="Sim", ROUNDUP((AC38+ROUNDDOWN(U39/10,0))*Y38*AE36,0), ROUNDUP((AC38+ROUNDDOWN(U39/10,0))*Y38,0))</f>
        <v>#N/A</v>
      </c>
      <c r="AA38" s="24" t="s">
        <v>27</v>
      </c>
      <c r="AB38" s="17"/>
      <c r="AC38" s="9" t="e">
        <f>X38+LOOKUP(X38,[1]Dados!$H$3:$I$12,[1]Dados!$J$3:$J$12)*(ROUNDDOWN(U37/2,0))+LOOKUP(X38,[1]Dados!$H$3:$I$12,[1]Dados!$K$3:$K$12)*(ROUNDDOWN((U37-1)/2,0))</f>
        <v>#N/A</v>
      </c>
      <c r="AD38" s="28" t="s">
        <v>28</v>
      </c>
      <c r="AE38" s="29"/>
    </row>
    <row r="39" spans="1:31" x14ac:dyDescent="0.3">
      <c r="A39" s="83"/>
      <c r="B39" s="83"/>
      <c r="C39" s="83"/>
      <c r="E39" s="11" t="s">
        <v>29</v>
      </c>
      <c r="F39" s="30">
        <v>70</v>
      </c>
      <c r="G39" s="20"/>
      <c r="H39" s="13" t="s">
        <v>24</v>
      </c>
      <c r="I39" s="14">
        <f>VLOOKUP(F33,[1]Pokemon!$A$1:$I$874,7,FALSE)+IF(F35="Sim",1,0)</f>
        <v>5</v>
      </c>
      <c r="J39" s="22">
        <v>1</v>
      </c>
      <c r="K39" s="8">
        <f>IF(L39="Sim", ROUNDUP((N39+ROUNDDOWN(F39/10,0))*J39*P37,0), ROUNDUP((N39+ROUNDDOWN(F39/10,0))*J39,0))</f>
        <v>39</v>
      </c>
      <c r="L39" s="26" t="s">
        <v>15</v>
      </c>
      <c r="M39" s="17"/>
      <c r="N39" s="9">
        <f>I39+LOOKUP(I39,[1]Dados!$H$3:$I$12,[1]Dados!$J$3:$J$12)*(ROUNDDOWN(F37/2,0))+LOOKUP(I39,[1]Dados!$H$3:$I$12,[1]Dados!$K$3:$K$12)*(ROUNDDOWN((F37-1)/2,0))</f>
        <v>32</v>
      </c>
      <c r="T39" s="11" t="s">
        <v>29</v>
      </c>
      <c r="U39" s="30">
        <v>0</v>
      </c>
      <c r="V39" s="20"/>
      <c r="W39" s="13" t="s">
        <v>24</v>
      </c>
      <c r="X39" s="14" t="e">
        <f>VLOOKUP(U33,[1]Pokemon!$A$1:$I$874,7,FALSE)+IF(U35="Sim",1,0)</f>
        <v>#N/A</v>
      </c>
      <c r="Y39" s="22">
        <v>1</v>
      </c>
      <c r="Z39" s="8" t="e">
        <f>IF(AA39="Sim", ROUNDUP((AC39+ROUNDDOWN(U39/10,0))*Y39*AE37,0), ROUNDUP((AC39+ROUNDDOWN(U39/10,0))*Y39,0))</f>
        <v>#N/A</v>
      </c>
      <c r="AA39" s="26" t="s">
        <v>15</v>
      </c>
      <c r="AB39" s="17"/>
      <c r="AC39" s="9" t="e">
        <f>X39+LOOKUP(X39,[1]Dados!$H$3:$I$12,[1]Dados!$J$3:$J$12)*(ROUNDDOWN(U37/2,0))+LOOKUP(X39,[1]Dados!$H$3:$I$12,[1]Dados!$K$3:$K$12)*(ROUNDDOWN((U37-1)/2,0))</f>
        <v>#N/A</v>
      </c>
    </row>
    <row r="40" spans="1:31" x14ac:dyDescent="0.3">
      <c r="C40" s="46"/>
      <c r="E40" s="11" t="s">
        <v>31</v>
      </c>
      <c r="F40" s="23" t="s">
        <v>32</v>
      </c>
      <c r="G40" s="20"/>
      <c r="H40" s="13" t="s">
        <v>28</v>
      </c>
      <c r="I40" s="14">
        <f>VLOOKUP(F33,[1]Pokemon!$A$1:$I$874,8,FALSE)+IF(F35="Sim",1,0)</f>
        <v>11</v>
      </c>
      <c r="J40" s="22">
        <f>1*IF(F41="Paralisado",0.5,1)</f>
        <v>1</v>
      </c>
      <c r="K40" s="8">
        <f>IF(L39="Sim", ROUNDUP(N40*J40*P38,0), ROUNDUP(N40*J40,0))</f>
        <v>79</v>
      </c>
      <c r="L40" s="31" t="str">
        <f>IF(L39 = "Sim", ROUNDUP((K40/(10*P38)), 0)&amp;"d6", ROUNDUP((K40/10), 0)&amp;"d6")</f>
        <v>8d6</v>
      </c>
      <c r="M40" s="17"/>
      <c r="N40" s="9">
        <f>I40+LOOKUP(I40,[1]Dados!$H$3:$I$12,[1]Dados!$J$3:$J$12)*(ROUNDDOWN(F37/2,0))+LOOKUP(I40,[1]Dados!$H$3:$I$12,[1]Dados!$K$3:$K$12)*(ROUNDDOWN((F37-1)/2,0))</f>
        <v>79</v>
      </c>
      <c r="T40" s="11" t="s">
        <v>31</v>
      </c>
      <c r="U40" s="23" t="s">
        <v>32</v>
      </c>
      <c r="V40" s="20"/>
      <c r="W40" s="13" t="s">
        <v>28</v>
      </c>
      <c r="X40" s="14" t="e">
        <f>VLOOKUP(U33,[1]Pokemon!$A$1:$I$874,8,FALSE)+IF(U35="Sim",1,0)</f>
        <v>#N/A</v>
      </c>
      <c r="Y40" s="22">
        <f>1*IF(U41="Paralisado",0.5,1)</f>
        <v>1</v>
      </c>
      <c r="Z40" s="8" t="e">
        <f>IF(AA39="Sim", ROUNDUP(AC40*Y40*AE38,0), ROUNDUP(AC40*Y40,0))</f>
        <v>#N/A</v>
      </c>
      <c r="AA40" s="31" t="e">
        <f>IF(AA39 = "Sim", ROUNDUP((Z40/(10*AE38)), 0)&amp;"d6", ROUNDUP((Z40/10), 0)&amp;"d6")</f>
        <v>#N/A</v>
      </c>
      <c r="AB40" s="17"/>
      <c r="AC40" s="9" t="e">
        <f>X40+LOOKUP(X40,[1]Dados!$H$3:$I$12,[1]Dados!$J$3:$J$12)*(ROUNDDOWN(U37/2,0))+LOOKUP(X40,[1]Dados!$H$3:$I$12,[1]Dados!$K$3:$K$12)*(ROUNDDOWN((U37-1)/2,0))</f>
        <v>#N/A</v>
      </c>
    </row>
    <row r="41" spans="1:31" x14ac:dyDescent="0.3">
      <c r="C41" s="46"/>
      <c r="E41" s="11" t="s">
        <v>34</v>
      </c>
      <c r="F41" s="23"/>
      <c r="G41" s="20"/>
      <c r="H41" s="13" t="s">
        <v>35</v>
      </c>
      <c r="I41" s="14">
        <f>VLOOKUP(F33,[1]Pokemon!$A$1:$I$874,9,FALSE)</f>
        <v>169</v>
      </c>
      <c r="J41" s="13" t="s">
        <v>36</v>
      </c>
      <c r="K41" s="13"/>
      <c r="L41" s="32">
        <f>((F37+1)*I41/2)-F38</f>
        <v>2450.5</v>
      </c>
      <c r="M41" s="17"/>
      <c r="N41" s="33"/>
      <c r="T41" s="11" t="s">
        <v>34</v>
      </c>
      <c r="U41" s="23"/>
      <c r="V41" s="20"/>
      <c r="W41" s="13" t="s">
        <v>35</v>
      </c>
      <c r="X41" s="14" t="e">
        <f>VLOOKUP(U33,[1]Pokemon!$A$1:$I$874,9,FALSE)</f>
        <v>#N/A</v>
      </c>
      <c r="Y41" s="13" t="s">
        <v>36</v>
      </c>
      <c r="Z41" s="13"/>
      <c r="AA41" s="32" t="e">
        <f>((U37+1)*X41/2)-U38</f>
        <v>#N/A</v>
      </c>
      <c r="AB41" s="17"/>
      <c r="AC41" s="33"/>
    </row>
    <row r="42" spans="1:31" x14ac:dyDescent="0.3">
      <c r="C42" s="46"/>
      <c r="E42" s="34"/>
      <c r="F42" s="8"/>
      <c r="G42" s="17"/>
      <c r="H42" s="8"/>
      <c r="I42" s="8"/>
      <c r="J42" s="8"/>
      <c r="K42" s="8"/>
      <c r="L42" s="26"/>
      <c r="M42" s="17"/>
      <c r="N42" s="35"/>
      <c r="T42" s="34"/>
      <c r="U42" s="8"/>
      <c r="V42" s="17"/>
      <c r="W42" s="8"/>
      <c r="X42" s="8"/>
      <c r="Y42" s="8"/>
      <c r="Z42" s="8"/>
      <c r="AA42" s="26"/>
      <c r="AB42" s="17"/>
      <c r="AC42" s="35"/>
    </row>
    <row r="43" spans="1:31" x14ac:dyDescent="0.3">
      <c r="C43" s="46"/>
      <c r="E43" s="60" t="s">
        <v>39</v>
      </c>
      <c r="F43" s="61"/>
      <c r="G43" s="13" t="s">
        <v>40</v>
      </c>
      <c r="H43" s="13"/>
      <c r="I43" s="13"/>
      <c r="J43" s="13" t="s">
        <v>16</v>
      </c>
      <c r="K43" s="13" t="s">
        <v>41</v>
      </c>
      <c r="L43" s="24" t="s">
        <v>42</v>
      </c>
      <c r="M43" s="17"/>
      <c r="N43" s="35"/>
      <c r="T43" s="60" t="s">
        <v>39</v>
      </c>
      <c r="U43" s="61"/>
      <c r="V43" s="13" t="s">
        <v>40</v>
      </c>
      <c r="W43" s="13"/>
      <c r="X43" s="13"/>
      <c r="Y43" s="13" t="s">
        <v>16</v>
      </c>
      <c r="Z43" s="13" t="s">
        <v>41</v>
      </c>
      <c r="AA43" s="24" t="s">
        <v>42</v>
      </c>
      <c r="AB43" s="17"/>
      <c r="AC43" s="35"/>
    </row>
    <row r="44" spans="1:31" x14ac:dyDescent="0.3">
      <c r="C44" s="46"/>
      <c r="E44" s="62" t="s">
        <v>133</v>
      </c>
      <c r="F44" s="63"/>
      <c r="G44" s="63" t="str">
        <f>VLOOKUP(E44,[2]Golpes!$A$1:$G$653,2,FALSE)&amp;"/"&amp;VLOOKUP(E44,[2]Golpes!$A$1:$G$653,3,FALSE)</f>
        <v>Terra/Físico</v>
      </c>
      <c r="H44" s="63"/>
      <c r="I44" s="63"/>
      <c r="J44" s="25">
        <f>VLOOKUP(E44,[2]Golpes!$A$1:$G$653,4,FALSE)</f>
        <v>12</v>
      </c>
      <c r="K44" s="25" t="str">
        <f>VLOOKUP(E44,[2]Golpes!$A$1:$G$653,5,FALSE)</f>
        <v>8d6</v>
      </c>
      <c r="L44" s="36">
        <f>VLOOKUP(E44,[2]Golpes!$A$1:$G$653,6,FALSE)</f>
        <v>1</v>
      </c>
      <c r="M44" s="17" t="str">
        <f>VLOOKUP(E44,[2]Golpes!$A$1:$G$653,7,FALSE)</f>
        <v>Fica invulnerável no primeiro turno, causando dano no seguinte.</v>
      </c>
      <c r="N44" s="35"/>
      <c r="T44" s="62"/>
      <c r="U44" s="63"/>
      <c r="V44" s="63" t="e">
        <f>VLOOKUP(T44,[2]Golpes!$A$1:$G$653,2,FALSE)&amp;"/"&amp;VLOOKUP(T44,[2]Golpes!$A$1:$G$653,3,FALSE)</f>
        <v>#N/A</v>
      </c>
      <c r="W44" s="63"/>
      <c r="X44" s="63"/>
      <c r="Y44" s="25" t="e">
        <f>VLOOKUP(T44,[2]Golpes!$A$1:$G$653,4,FALSE)</f>
        <v>#N/A</v>
      </c>
      <c r="Z44" s="25" t="e">
        <f>VLOOKUP(T44,[2]Golpes!$A$1:$G$653,5,FALSE)</f>
        <v>#N/A</v>
      </c>
      <c r="AA44" s="36" t="e">
        <f>VLOOKUP(T44,[2]Golpes!$A$1:$G$653,6,FALSE)</f>
        <v>#N/A</v>
      </c>
      <c r="AB44" s="17" t="e">
        <f>VLOOKUP(T44,[2]Golpes!$A$1:$G$653,7,FALSE)</f>
        <v>#N/A</v>
      </c>
      <c r="AC44" s="35"/>
    </row>
    <row r="45" spans="1:31" x14ac:dyDescent="0.3">
      <c r="C45" s="46"/>
      <c r="E45" s="62" t="s">
        <v>134</v>
      </c>
      <c r="F45" s="63"/>
      <c r="G45" s="63" t="str">
        <f>VLOOKUP(E45,[2]Golpes!$A$1:$G$653,2,FALSE)&amp;"/"&amp;VLOOKUP(E45,[2]Golpes!$A$1:$G$653,3,FALSE)</f>
        <v>Elétrico/Físico</v>
      </c>
      <c r="H45" s="63"/>
      <c r="I45" s="63"/>
      <c r="J45" s="25">
        <f>VLOOKUP(E45,[2]Golpes!$A$1:$G$653,4,FALSE)</f>
        <v>6</v>
      </c>
      <c r="K45" s="25" t="str">
        <f>VLOOKUP(E45,[2]Golpes!$A$1:$G$653,5,FALSE)</f>
        <v>7d6</v>
      </c>
      <c r="L45" s="36">
        <f>VLOOKUP(E45,[2]Golpes!$A$1:$G$653,6,FALSE)</f>
        <v>0.95</v>
      </c>
      <c r="M45" s="17" t="str">
        <f>VLOOKUP(E45,[2]Golpes!$A$1:$G$653,7,FALSE)</f>
        <v>Causa dano, tem 10% de chance de causar condição Paralisado e 10% de chance de causar condição Recuando.</v>
      </c>
      <c r="N45" s="35"/>
      <c r="T45" s="62"/>
      <c r="U45" s="63"/>
      <c r="V45" s="63" t="e">
        <f>VLOOKUP(T45,[2]Golpes!$A$1:$G$653,2,FALSE)&amp;"/"&amp;VLOOKUP(T45,[2]Golpes!$A$1:$G$653,3,FALSE)</f>
        <v>#N/A</v>
      </c>
      <c r="W45" s="63"/>
      <c r="X45" s="63"/>
      <c r="Y45" s="25" t="e">
        <f>VLOOKUP(T45,[2]Golpes!$A$1:$G$653,4,FALSE)</f>
        <v>#N/A</v>
      </c>
      <c r="Z45" s="25" t="e">
        <f>VLOOKUP(T45,[2]Golpes!$A$1:$G$653,5,FALSE)</f>
        <v>#N/A</v>
      </c>
      <c r="AA45" s="36" t="e">
        <f>VLOOKUP(T45,[2]Golpes!$A$1:$G$653,6,FALSE)</f>
        <v>#N/A</v>
      </c>
      <c r="AB45" s="17" t="e">
        <f>VLOOKUP(T45,[2]Golpes!$A$1:$G$653,7,FALSE)</f>
        <v>#N/A</v>
      </c>
      <c r="AC45" s="35"/>
    </row>
    <row r="46" spans="1:31" x14ac:dyDescent="0.3">
      <c r="C46" s="46"/>
      <c r="E46" s="62" t="s">
        <v>135</v>
      </c>
      <c r="F46" s="63"/>
      <c r="G46" s="63" t="str">
        <f>VLOOKUP(E46,[2]Golpes!$A$1:$G$653,2,FALSE)&amp;"/"&amp;VLOOKUP(E46,[2]Golpes!$A$1:$G$653,3,FALSE)</f>
        <v>Inseto/Físico</v>
      </c>
      <c r="H46" s="63"/>
      <c r="I46" s="63"/>
      <c r="J46" s="25">
        <f>VLOOKUP(E46,[2]Golpes!$A$1:$G$653,4,FALSE)</f>
        <v>4</v>
      </c>
      <c r="K46" s="25" t="str">
        <f>VLOOKUP(E46,[2]Golpes!$A$1:$G$653,5,FALSE)</f>
        <v>3d6</v>
      </c>
      <c r="L46" s="36">
        <f>VLOOKUP(E46,[2]Golpes!$A$1:$G$653,6,FALSE)</f>
        <v>0.95</v>
      </c>
      <c r="M46" s="17" t="s">
        <v>136</v>
      </c>
      <c r="N46" s="35"/>
      <c r="T46" s="62"/>
      <c r="U46" s="63"/>
      <c r="V46" s="63" t="e">
        <f>VLOOKUP(T46,[2]Golpes!$A$1:$G$653,2,FALSE)&amp;"/"&amp;VLOOKUP(T46,[2]Golpes!$A$1:$G$653,3,FALSE)</f>
        <v>#N/A</v>
      </c>
      <c r="W46" s="63"/>
      <c r="X46" s="63"/>
      <c r="Y46" s="25" t="e">
        <f>VLOOKUP(T46,[2]Golpes!$A$1:$G$653,4,FALSE)</f>
        <v>#N/A</v>
      </c>
      <c r="Z46" s="25" t="e">
        <f>VLOOKUP(T46,[2]Golpes!$A$1:$G$653,5,FALSE)</f>
        <v>#N/A</v>
      </c>
      <c r="AA46" s="36" t="e">
        <f>VLOOKUP(T46,[2]Golpes!$A$1:$G$653,6,FALSE)</f>
        <v>#N/A</v>
      </c>
      <c r="AB46" s="17" t="e">
        <f>VLOOKUP(T46,[2]Golpes!$A$1:$G$653,7,FALSE)</f>
        <v>#N/A</v>
      </c>
      <c r="AC46" s="35"/>
    </row>
    <row r="47" spans="1:31" ht="15" thickBot="1" x14ac:dyDescent="0.35">
      <c r="C47" s="46"/>
      <c r="E47" s="67" t="s">
        <v>137</v>
      </c>
      <c r="F47" s="68"/>
      <c r="G47" s="68" t="str">
        <f>VLOOKUP(E47,[2]Golpes!$A$1:$G$653,2,FALSE)&amp;"/"&amp;VLOOKUP(E47,[2]Golpes!$A$1:$G$653,3,FALSE)</f>
        <v>Noturno/Físico</v>
      </c>
      <c r="H47" s="68"/>
      <c r="I47" s="68"/>
      <c r="J47" s="43">
        <f>VLOOKUP(E47,[2]Golpes!$A$1:$G$653,4,FALSE)</f>
        <v>6</v>
      </c>
      <c r="K47" s="43" t="str">
        <f>VLOOKUP(E47,[2]Golpes!$A$1:$G$653,5,FALSE)</f>
        <v>6d6</v>
      </c>
      <c r="L47" s="44">
        <f>VLOOKUP(E47,[2]Golpes!$A$1:$G$653,6,FALSE)</f>
        <v>1</v>
      </c>
      <c r="M47" s="17" t="str">
        <f>VLOOKUP(E47,[2]Golpes!$A$1:$G$653,7,FALSE)</f>
        <v>Causa dano e tem 30% de chance de causar condição Recuando.</v>
      </c>
      <c r="N47" s="35"/>
      <c r="T47" s="67"/>
      <c r="U47" s="68"/>
      <c r="V47" s="68" t="e">
        <f>VLOOKUP(T47,[2]Golpes!$A$1:$G$653,2,FALSE)&amp;"/"&amp;VLOOKUP(T47,[2]Golpes!$A$1:$G$653,3,FALSE)</f>
        <v>#N/A</v>
      </c>
      <c r="W47" s="68"/>
      <c r="X47" s="68"/>
      <c r="Y47" s="43" t="e">
        <f>VLOOKUP(T47,[2]Golpes!$A$1:$G$653,4,FALSE)</f>
        <v>#N/A</v>
      </c>
      <c r="Z47" s="43" t="e">
        <f>VLOOKUP(T47,[2]Golpes!$A$1:$G$653,5,FALSE)</f>
        <v>#N/A</v>
      </c>
      <c r="AA47" s="44" t="e">
        <f>VLOOKUP(T47,[2]Golpes!$A$1:$G$653,6,FALSE)</f>
        <v>#N/A</v>
      </c>
      <c r="AB47" s="17" t="e">
        <f>VLOOKUP(T47,[2]Golpes!$A$1:$G$653,7,FALSE)</f>
        <v>#N/A</v>
      </c>
      <c r="AC47" s="35"/>
    </row>
    <row r="48" spans="1:31" x14ac:dyDescent="0.3">
      <c r="C48" s="46"/>
    </row>
    <row r="49" spans="3:3" x14ac:dyDescent="0.3">
      <c r="C49" s="46"/>
    </row>
    <row r="50" spans="3:3" x14ac:dyDescent="0.3">
      <c r="C50" s="46"/>
    </row>
    <row r="51" spans="3:3" x14ac:dyDescent="0.3">
      <c r="C51" s="46"/>
    </row>
    <row r="52" spans="3:3" x14ac:dyDescent="0.3">
      <c r="C52" s="46"/>
    </row>
    <row r="53" spans="3:3" x14ac:dyDescent="0.3">
      <c r="C53" s="46"/>
    </row>
    <row r="54" spans="3:3" x14ac:dyDescent="0.3">
      <c r="C54" s="46"/>
    </row>
    <row r="55" spans="3:3" x14ac:dyDescent="0.3">
      <c r="C55" s="46"/>
    </row>
    <row r="56" spans="3:3" x14ac:dyDescent="0.3">
      <c r="C56" s="46"/>
    </row>
    <row r="57" spans="3:3" x14ac:dyDescent="0.3">
      <c r="C57" s="46"/>
    </row>
    <row r="58" spans="3:3" x14ac:dyDescent="0.3">
      <c r="C58" s="46"/>
    </row>
  </sheetData>
  <mergeCells count="83">
    <mergeCell ref="B1:C1"/>
    <mergeCell ref="E45:F45"/>
    <mergeCell ref="G45:I45"/>
    <mergeCell ref="T45:U45"/>
    <mergeCell ref="V45:X45"/>
    <mergeCell ref="E44:F44"/>
    <mergeCell ref="G44:I44"/>
    <mergeCell ref="T44:U44"/>
    <mergeCell ref="T31:U31"/>
    <mergeCell ref="V31:X31"/>
    <mergeCell ref="O33:P33"/>
    <mergeCell ref="A30:C30"/>
    <mergeCell ref="E30:F30"/>
    <mergeCell ref="G30:I30"/>
    <mergeCell ref="T30:U30"/>
    <mergeCell ref="V30:X30"/>
    <mergeCell ref="AD33:AE33"/>
    <mergeCell ref="A34:C36"/>
    <mergeCell ref="E43:F43"/>
    <mergeCell ref="T43:U43"/>
    <mergeCell ref="E47:F47"/>
    <mergeCell ref="G47:I47"/>
    <mergeCell ref="T47:U47"/>
    <mergeCell ref="V47:X47"/>
    <mergeCell ref="E46:F46"/>
    <mergeCell ref="G46:I46"/>
    <mergeCell ref="T46:U46"/>
    <mergeCell ref="V46:X46"/>
    <mergeCell ref="V44:X44"/>
    <mergeCell ref="A31:C33"/>
    <mergeCell ref="E31:F31"/>
    <mergeCell ref="G31:I31"/>
    <mergeCell ref="AD17:AE17"/>
    <mergeCell ref="A18:C20"/>
    <mergeCell ref="A24:C26"/>
    <mergeCell ref="A27:C29"/>
    <mergeCell ref="E27:F27"/>
    <mergeCell ref="T27:U27"/>
    <mergeCell ref="E28:F28"/>
    <mergeCell ref="G28:I28"/>
    <mergeCell ref="T28:U28"/>
    <mergeCell ref="V28:X28"/>
    <mergeCell ref="E29:F29"/>
    <mergeCell ref="G29:I29"/>
    <mergeCell ref="T29:U29"/>
    <mergeCell ref="V29:X29"/>
    <mergeCell ref="A21:C23"/>
    <mergeCell ref="V14:X14"/>
    <mergeCell ref="E15:F15"/>
    <mergeCell ref="G15:I15"/>
    <mergeCell ref="T15:U15"/>
    <mergeCell ref="V15:X15"/>
    <mergeCell ref="A16:C16"/>
    <mergeCell ref="A17:C17"/>
    <mergeCell ref="O17:P17"/>
    <mergeCell ref="G12:I12"/>
    <mergeCell ref="T12:U12"/>
    <mergeCell ref="E14:F14"/>
    <mergeCell ref="G14:I14"/>
    <mergeCell ref="T14:U14"/>
    <mergeCell ref="B11:C11"/>
    <mergeCell ref="V12:X12"/>
    <mergeCell ref="B13:C13"/>
    <mergeCell ref="E13:F13"/>
    <mergeCell ref="G13:I13"/>
    <mergeCell ref="T13:U13"/>
    <mergeCell ref="V13:X13"/>
    <mergeCell ref="B5:C5"/>
    <mergeCell ref="A37:C39"/>
    <mergeCell ref="O1:P1"/>
    <mergeCell ref="AD1:AE1"/>
    <mergeCell ref="B2:C2"/>
    <mergeCell ref="B3:C3"/>
    <mergeCell ref="B4:C4"/>
    <mergeCell ref="B6:C6"/>
    <mergeCell ref="A7:C7"/>
    <mergeCell ref="B8:C8"/>
    <mergeCell ref="B9:C9"/>
    <mergeCell ref="B10:C10"/>
    <mergeCell ref="E11:F11"/>
    <mergeCell ref="T11:U11"/>
    <mergeCell ref="B12:C12"/>
    <mergeCell ref="E12:F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58"/>
  <sheetViews>
    <sheetView workbookViewId="0">
      <selection activeCell="AF39" sqref="AF39:AF41"/>
    </sheetView>
  </sheetViews>
  <sheetFormatPr defaultRowHeight="14.4" x14ac:dyDescent="0.3"/>
  <sheetData>
    <row r="1" spans="1:46" x14ac:dyDescent="0.3">
      <c r="A1" s="1" t="s">
        <v>0</v>
      </c>
      <c r="B1" s="55" t="s">
        <v>138</v>
      </c>
      <c r="C1" s="56"/>
      <c r="E1" s="2" t="s">
        <v>1</v>
      </c>
      <c r="F1" s="3"/>
      <c r="G1" s="4"/>
      <c r="H1" s="5"/>
      <c r="I1" s="6" t="s">
        <v>2</v>
      </c>
      <c r="J1" s="6" t="s">
        <v>3</v>
      </c>
      <c r="K1" s="6" t="s">
        <v>4</v>
      </c>
      <c r="L1" s="7" t="s">
        <v>5</v>
      </c>
      <c r="M1" s="8"/>
      <c r="N1" s="9"/>
      <c r="O1" s="53" t="s">
        <v>6</v>
      </c>
      <c r="P1" s="54"/>
      <c r="T1" s="2" t="s">
        <v>1</v>
      </c>
      <c r="U1" s="3" t="s">
        <v>142</v>
      </c>
      <c r="V1" s="4"/>
      <c r="W1" s="5"/>
      <c r="X1" s="6" t="s">
        <v>2</v>
      </c>
      <c r="Y1" s="6" t="s">
        <v>3</v>
      </c>
      <c r="Z1" s="6" t="s">
        <v>4</v>
      </c>
      <c r="AA1" s="7" t="s">
        <v>5</v>
      </c>
      <c r="AB1" s="8"/>
      <c r="AC1" s="9"/>
      <c r="AD1" s="53" t="s">
        <v>6</v>
      </c>
      <c r="AE1" s="54"/>
      <c r="AI1" s="2" t="s">
        <v>1</v>
      </c>
      <c r="AJ1" s="3" t="s">
        <v>151</v>
      </c>
      <c r="AK1" s="4"/>
      <c r="AL1" s="5"/>
      <c r="AM1" s="6" t="s">
        <v>2</v>
      </c>
      <c r="AN1" s="6" t="s">
        <v>3</v>
      </c>
      <c r="AO1" s="6" t="s">
        <v>4</v>
      </c>
      <c r="AP1" s="7" t="s">
        <v>5</v>
      </c>
      <c r="AQ1" s="8"/>
      <c r="AR1" s="9"/>
      <c r="AS1" s="53" t="s">
        <v>6</v>
      </c>
      <c r="AT1" s="54"/>
    </row>
    <row r="2" spans="1:46" x14ac:dyDescent="0.3">
      <c r="A2" s="10" t="s">
        <v>7</v>
      </c>
      <c r="B2" s="51">
        <v>28</v>
      </c>
      <c r="C2" s="52"/>
      <c r="E2" s="11" t="s">
        <v>8</v>
      </c>
      <c r="F2" s="8" t="s">
        <v>9</v>
      </c>
      <c r="G2" s="12" t="s">
        <v>10</v>
      </c>
      <c r="H2" s="13" t="s">
        <v>11</v>
      </c>
      <c r="I2" s="14" t="e">
        <f>VLOOKUP(F1,[1]Pokemon!$A$1:$I$874,3,FALSE)+IF(F3="Sim",20,0)</f>
        <v>#N/A</v>
      </c>
      <c r="J2" s="15">
        <v>0</v>
      </c>
      <c r="K2" s="8" t="e">
        <f>IF($B$5="Vigoroso",ROUNDUP((N2+J2)*1.2,0),N2+J2)</f>
        <v>#N/A</v>
      </c>
      <c r="L2" s="16">
        <v>0</v>
      </c>
      <c r="M2" s="17"/>
      <c r="N2" s="9" t="e">
        <f>I2+LOOKUP(I2,[1]Dados!$C$3:$D$12,[1]Dados!$E$3:$E$12)*(ROUNDDOWN(F5/2,0))+LOOKUP(I2,[1]Dados!$C$3:$D$12,[1]Dados!$F$3:$F$12)*(ROUNDDOWN((F5-1)/2,0))</f>
        <v>#N/A</v>
      </c>
      <c r="O2" s="18" t="s">
        <v>12</v>
      </c>
      <c r="P2" s="19"/>
      <c r="T2" s="11" t="s">
        <v>8</v>
      </c>
      <c r="U2" s="8" t="s">
        <v>9</v>
      </c>
      <c r="V2" s="12" t="s">
        <v>10</v>
      </c>
      <c r="W2" s="13" t="s">
        <v>11</v>
      </c>
      <c r="X2" s="14">
        <f>VLOOKUP(U1,[1]Pokemon!$A$1:$I$874,3,FALSE)+IF(U3="Sim",20,0)</f>
        <v>77</v>
      </c>
      <c r="Y2" s="15">
        <v>0</v>
      </c>
      <c r="Z2" s="8">
        <f>IF($B$5="Vigoroso",ROUNDUP((AC2+Y2)*1.2,0),AC2+Y2)</f>
        <v>232</v>
      </c>
      <c r="AA2" s="16">
        <v>232</v>
      </c>
      <c r="AB2" s="17"/>
      <c r="AC2" s="9">
        <f>X2+LOOKUP(X2,[1]Dados!$C$3:$D$12,[1]Dados!$E$3:$E$12)*(ROUNDDOWN(U5/2,0))+LOOKUP(X2,[1]Dados!$C$3:$D$12,[1]Dados!$F$3:$F$12)*(ROUNDDOWN((U5-1)/2,0))</f>
        <v>232</v>
      </c>
      <c r="AD2" s="18" t="s">
        <v>12</v>
      </c>
      <c r="AE2" s="19">
        <f>110/75</f>
        <v>1.4666666666666666</v>
      </c>
      <c r="AI2" s="11" t="s">
        <v>8</v>
      </c>
      <c r="AJ2" s="8" t="s">
        <v>9</v>
      </c>
      <c r="AK2" s="12" t="s">
        <v>10</v>
      </c>
      <c r="AL2" s="13" t="s">
        <v>11</v>
      </c>
      <c r="AM2" s="14">
        <f>VLOOKUP(AJ1,[1]Pokemon!$A$1:$I$874,3,FALSE)+IF(AJ3="Sim",20,0)</f>
        <v>73</v>
      </c>
      <c r="AN2" s="15">
        <v>0</v>
      </c>
      <c r="AO2" s="8">
        <f>IF($B$5="Vigoroso",ROUNDUP((AR2+AN2)*1.2,0),AR2+AN2)</f>
        <v>156</v>
      </c>
      <c r="AP2" s="16">
        <v>156</v>
      </c>
      <c r="AQ2" s="17"/>
      <c r="AR2" s="9">
        <f>AM2+LOOKUP(AM2,[1]Dados!$C$3:$D$12,[1]Dados!$E$3:$E$12)*(ROUNDDOWN(AJ5/2,0))+LOOKUP(AM2,[1]Dados!$C$3:$D$12,[1]Dados!$F$3:$F$12)*(ROUNDDOWN((AJ5-1)/2,0))</f>
        <v>156</v>
      </c>
      <c r="AS2" s="18" t="s">
        <v>12</v>
      </c>
      <c r="AT2" s="19"/>
    </row>
    <row r="3" spans="1:46" x14ac:dyDescent="0.3">
      <c r="A3" s="10" t="s">
        <v>13</v>
      </c>
      <c r="B3" s="51" t="s">
        <v>51</v>
      </c>
      <c r="C3" s="52"/>
      <c r="E3" s="11" t="s">
        <v>14</v>
      </c>
      <c r="F3" s="8" t="s">
        <v>15</v>
      </c>
      <c r="G3" s="20"/>
      <c r="H3" s="13" t="s">
        <v>16</v>
      </c>
      <c r="I3" s="21">
        <f>20+IF(F3="Sim",10,0)</f>
        <v>20</v>
      </c>
      <c r="J3" s="22">
        <v>0</v>
      </c>
      <c r="K3" s="8">
        <f>18+(F5*2)+IF(F3="Sim",10,0)+J3</f>
        <v>20</v>
      </c>
      <c r="L3" s="16">
        <v>0</v>
      </c>
      <c r="M3" s="17"/>
      <c r="N3" s="9"/>
      <c r="O3" s="18" t="s">
        <v>17</v>
      </c>
      <c r="P3" s="19"/>
      <c r="T3" s="11" t="s">
        <v>14</v>
      </c>
      <c r="U3" s="8" t="s">
        <v>59</v>
      </c>
      <c r="V3" s="47" t="s">
        <v>144</v>
      </c>
      <c r="W3" s="13" t="s">
        <v>16</v>
      </c>
      <c r="X3" s="21">
        <f>20+IF(U3="Sim",10,0)</f>
        <v>30</v>
      </c>
      <c r="Y3" s="22">
        <v>0</v>
      </c>
      <c r="Z3" s="8">
        <f>18+(U5*2)+IF(U3="Sim",10,0)+Y3</f>
        <v>154</v>
      </c>
      <c r="AA3" s="16">
        <v>154</v>
      </c>
      <c r="AB3" s="17"/>
      <c r="AC3" s="9"/>
      <c r="AD3" s="18" t="s">
        <v>17</v>
      </c>
      <c r="AE3" s="19">
        <f>95/95</f>
        <v>1</v>
      </c>
      <c r="AI3" s="11" t="s">
        <v>14</v>
      </c>
      <c r="AJ3" s="8" t="s">
        <v>59</v>
      </c>
      <c r="AK3" s="20"/>
      <c r="AL3" s="13" t="s">
        <v>16</v>
      </c>
      <c r="AM3" s="21">
        <f>20+IF(AJ3="Sim",10,0)</f>
        <v>30</v>
      </c>
      <c r="AN3" s="22">
        <v>0</v>
      </c>
      <c r="AO3" s="8">
        <f>18+(AJ5*2)+IF(AJ3="Sim",10,0)+AN3</f>
        <v>96</v>
      </c>
      <c r="AP3" s="16">
        <v>96</v>
      </c>
      <c r="AQ3" s="17"/>
      <c r="AR3" s="9"/>
      <c r="AS3" s="18" t="s">
        <v>17</v>
      </c>
      <c r="AT3" s="19"/>
    </row>
    <row r="4" spans="1:46" x14ac:dyDescent="0.3">
      <c r="A4" s="10" t="s">
        <v>18</v>
      </c>
      <c r="B4" s="51" t="s">
        <v>52</v>
      </c>
      <c r="C4" s="52"/>
      <c r="E4" s="11" t="s">
        <v>19</v>
      </c>
      <c r="F4" s="23" t="e">
        <f>VLOOKUP(F1,[1]Pokemon!$A$1:$I$874,2,FALSE)</f>
        <v>#N/A</v>
      </c>
      <c r="G4" s="20"/>
      <c r="H4" s="13" t="s">
        <v>12</v>
      </c>
      <c r="I4" s="14" t="e">
        <f>VLOOKUP(F1,[1]Pokemon!$A$1:$I$874,4,FALSE)+IF(F3="Sim",1,0)</f>
        <v>#N/A</v>
      </c>
      <c r="J4" s="22">
        <v>1</v>
      </c>
      <c r="K4" s="8" t="e">
        <f>IF(L7="Sim", ROUNDUP((N4+ROUNDDOWN(F7/10,0))*J4*P2,0), ROUNDUP((N4+ROUNDDOWN(F7/10,0))*J4,0))</f>
        <v>#N/A</v>
      </c>
      <c r="L4" s="24" t="s">
        <v>20</v>
      </c>
      <c r="M4" s="17"/>
      <c r="N4" s="9" t="e">
        <f>I4+LOOKUP(I4,[1]Dados!$H$3:$I$12,[1]Dados!$J$3:$J$12)*(ROUNDDOWN(F5/2,0))+LOOKUP(I4,[1]Dados!$H$3:$I$12,[1]Dados!$K$3:$K$12)*(ROUNDDOWN((F5-1)/2,0))</f>
        <v>#N/A</v>
      </c>
      <c r="O4" s="18" t="s">
        <v>21</v>
      </c>
      <c r="P4" s="19"/>
      <c r="T4" s="11" t="s">
        <v>19</v>
      </c>
      <c r="U4" s="23" t="str">
        <f>VLOOKUP(U1,[1]Pokemon!$A$1:$I$874,2,FALSE)</f>
        <v>Grama</v>
      </c>
      <c r="V4" s="20"/>
      <c r="W4" s="13" t="s">
        <v>12</v>
      </c>
      <c r="X4" s="14">
        <f>VLOOKUP(U1,[1]Pokemon!$A$1:$I$874,4,FALSE)+IF(U3="Sim",1,0)</f>
        <v>8</v>
      </c>
      <c r="Y4" s="22">
        <v>1</v>
      </c>
      <c r="Z4" s="8">
        <f>IF(AA7="Sim", ROUNDUP((AC4+ROUNDDOWN(U7/10,0))*Y4*AE2,0), ROUNDUP((AC4+ROUNDDOWN(U7/10,0))*Y4,0))</f>
        <v>162</v>
      </c>
      <c r="AA4" s="24" t="s">
        <v>20</v>
      </c>
      <c r="AB4" s="17"/>
      <c r="AC4" s="9">
        <f>X4+LOOKUP(X4,[1]Dados!$H$3:$I$12,[1]Dados!$J$3:$J$12)*(ROUNDDOWN(U5/2,0))+LOOKUP(X4,[1]Dados!$H$3:$I$12,[1]Dados!$K$3:$K$12)*(ROUNDDOWN((U5-1)/2,0))</f>
        <v>132</v>
      </c>
      <c r="AD4" s="18" t="s">
        <v>21</v>
      </c>
      <c r="AE4" s="19">
        <f>110/75</f>
        <v>1.4666666666666666</v>
      </c>
      <c r="AI4" s="11" t="s">
        <v>19</v>
      </c>
      <c r="AJ4" s="23" t="str">
        <f>VLOOKUP(AJ1,[1]Pokemon!$A$1:$I$874,2,FALSE)</f>
        <v>Grama</v>
      </c>
      <c r="AK4" s="20"/>
      <c r="AL4" s="13" t="s">
        <v>12</v>
      </c>
      <c r="AM4" s="14">
        <f>VLOOKUP(AJ1,[1]Pokemon!$A$1:$I$874,4,FALSE)+IF(AJ3="Sim",1,0)</f>
        <v>11</v>
      </c>
      <c r="AN4" s="22">
        <v>1</v>
      </c>
      <c r="AO4" s="8">
        <f>IF(AP7="Sim", ROUNDUP((AR4+ROUNDDOWN(AJ7/10,0))*AN4*AT2,0), ROUNDUP((AR4+ROUNDDOWN(AJ7/10,0))*AN4,0))</f>
        <v>103</v>
      </c>
      <c r="AP4" s="24" t="s">
        <v>20</v>
      </c>
      <c r="AQ4" s="17"/>
      <c r="AR4" s="9">
        <f>AM4+LOOKUP(AM4,[1]Dados!$H$3:$I$12,[1]Dados!$J$3:$J$12)*(ROUNDDOWN(AJ5/2,0))+LOOKUP(AM4,[1]Dados!$H$3:$I$12,[1]Dados!$K$3:$K$12)*(ROUNDDOWN((AJ5-1)/2,0))</f>
        <v>94</v>
      </c>
      <c r="AS4" s="18" t="s">
        <v>21</v>
      </c>
      <c r="AT4" s="19"/>
    </row>
    <row r="5" spans="1:46" x14ac:dyDescent="0.3">
      <c r="A5" s="10" t="s">
        <v>22</v>
      </c>
      <c r="B5" s="51" t="s">
        <v>53</v>
      </c>
      <c r="C5" s="52"/>
      <c r="E5" s="11" t="s">
        <v>23</v>
      </c>
      <c r="F5" s="25">
        <v>1</v>
      </c>
      <c r="G5" s="20"/>
      <c r="H5" s="13" t="s">
        <v>17</v>
      </c>
      <c r="I5" s="14" t="e">
        <f>VLOOKUP(F1,[1]Pokemon!$A$1:$I$874,5,FALSE)+IF(F3="Sim",1,0)</f>
        <v>#N/A</v>
      </c>
      <c r="J5" s="22">
        <v>1</v>
      </c>
      <c r="K5" s="8" t="e">
        <f>IF(L7="Sim", ROUNDUP((N5+ROUNDDOWN(F7/10,0))*J5*P3,0), ROUNDUP((N5+ROUNDDOWN(F7/10,0))*J5,0))</f>
        <v>#N/A</v>
      </c>
      <c r="L5" s="26" t="e">
        <f>ROUNDDOWN(I8/2,0)</f>
        <v>#N/A</v>
      </c>
      <c r="M5" s="17"/>
      <c r="N5" s="9" t="e">
        <f>I5+LOOKUP(I5,[1]Dados!$H$3:$I$12,[1]Dados!$J$3:$J$12)*(ROUNDDOWN(F5/2,0))+LOOKUP(I5,[1]Dados!$H$3:$I$12,[1]Dados!$K$3:$K$12)*(ROUNDDOWN((F5-1)/2,0))</f>
        <v>#N/A</v>
      </c>
      <c r="O5" s="18" t="s">
        <v>24</v>
      </c>
      <c r="P5" s="19"/>
      <c r="T5" s="11" t="s">
        <v>23</v>
      </c>
      <c r="U5" s="25">
        <v>63</v>
      </c>
      <c r="V5" s="20"/>
      <c r="W5" s="13" t="s">
        <v>17</v>
      </c>
      <c r="X5" s="14">
        <f>VLOOKUP(U1,[1]Pokemon!$A$1:$I$874,5,FALSE)+IF(U3="Sim",1,0)</f>
        <v>10</v>
      </c>
      <c r="Y5" s="22">
        <v>1</v>
      </c>
      <c r="Z5" s="8">
        <f>IF(AA7="Sim", ROUNDUP((AC5+ROUNDDOWN(U7/10,0))*Y5*AE3,0), ROUNDUP((AC5+ROUNDDOWN(U7/10,0))*Y5,0))</f>
        <v>195</v>
      </c>
      <c r="AA5" s="26">
        <f>ROUNDDOWN(X8/2,0)</f>
        <v>6</v>
      </c>
      <c r="AB5" s="17"/>
      <c r="AC5" s="9">
        <f>X5+LOOKUP(X5,[1]Dados!$H$3:$I$12,[1]Dados!$J$3:$J$12)*(ROUNDDOWN(U5/2,0))+LOOKUP(X5,[1]Dados!$H$3:$I$12,[1]Dados!$K$3:$K$12)*(ROUNDDOWN((U5-1)/2,0))</f>
        <v>165</v>
      </c>
      <c r="AD5" s="18" t="s">
        <v>24</v>
      </c>
      <c r="AE5" s="19">
        <f>95/95</f>
        <v>1</v>
      </c>
      <c r="AI5" s="11" t="s">
        <v>23</v>
      </c>
      <c r="AJ5" s="25">
        <v>34</v>
      </c>
      <c r="AK5" s="20"/>
      <c r="AL5" s="13" t="s">
        <v>17</v>
      </c>
      <c r="AM5" s="14">
        <f>VLOOKUP(AJ1,[1]Pokemon!$A$1:$I$874,5,FALSE)+IF(AJ3="Sim",1,0)</f>
        <v>10</v>
      </c>
      <c r="AN5" s="22">
        <v>1</v>
      </c>
      <c r="AO5" s="8">
        <f>IF(AP7="Sim", ROUNDUP((AR5+ROUNDDOWN(AJ7/10,0))*AN5*AT3,0), ROUNDUP((AR5+ROUNDDOWN(AJ7/10,0))*AN5,0))</f>
        <v>102</v>
      </c>
      <c r="AP5" s="26">
        <f>ROUNDDOWN(AM8/2,0)</f>
        <v>2</v>
      </c>
      <c r="AQ5" s="17"/>
      <c r="AR5" s="9">
        <f>AM5+LOOKUP(AM5,[1]Dados!$H$3:$I$12,[1]Dados!$J$3:$J$12)*(ROUNDDOWN(AJ5/2,0))+LOOKUP(AM5,[1]Dados!$H$3:$I$12,[1]Dados!$K$3:$K$12)*(ROUNDDOWN((AJ5-1)/2,0))</f>
        <v>93</v>
      </c>
      <c r="AS5" s="18" t="s">
        <v>24</v>
      </c>
      <c r="AT5" s="19"/>
    </row>
    <row r="6" spans="1:46" ht="15" thickBot="1" x14ac:dyDescent="0.35">
      <c r="A6" s="27" t="s">
        <v>25</v>
      </c>
      <c r="B6" s="57" t="s">
        <v>32</v>
      </c>
      <c r="C6" s="58"/>
      <c r="E6" s="11" t="s">
        <v>26</v>
      </c>
      <c r="F6" s="23">
        <v>0</v>
      </c>
      <c r="G6" s="20"/>
      <c r="H6" s="13" t="s">
        <v>21</v>
      </c>
      <c r="I6" s="14" t="e">
        <f>VLOOKUP(F1,[1]Pokemon!$A$1:$I$874,6,FALSE)+IF(F3="Sim",1,0)</f>
        <v>#N/A</v>
      </c>
      <c r="J6" s="22">
        <v>1</v>
      </c>
      <c r="K6" s="8" t="e">
        <f>IF(L7="Sim", ROUNDUP((N6+ROUNDDOWN(F7/10,0))*J6*P4,0), ROUNDUP((N6+ROUNDDOWN(F7/10,0))*J6,0))</f>
        <v>#N/A</v>
      </c>
      <c r="L6" s="24" t="s">
        <v>27</v>
      </c>
      <c r="M6" s="17"/>
      <c r="N6" s="9" t="e">
        <f>I6+LOOKUP(I6,[1]Dados!$H$3:$I$12,[1]Dados!$J$3:$J$12)*(ROUNDDOWN(F5/2,0))+LOOKUP(I6,[1]Dados!$H$3:$I$12,[1]Dados!$K$3:$K$12)*(ROUNDDOWN((F5-1)/2,0))</f>
        <v>#N/A</v>
      </c>
      <c r="O6" s="28" t="s">
        <v>28</v>
      </c>
      <c r="P6" s="29"/>
      <c r="T6" s="11" t="s">
        <v>26</v>
      </c>
      <c r="U6" s="23">
        <v>0</v>
      </c>
      <c r="V6" s="20"/>
      <c r="W6" s="13" t="s">
        <v>21</v>
      </c>
      <c r="X6" s="14">
        <f>VLOOKUP(U1,[1]Pokemon!$A$1:$I$874,6,FALSE)+IF(U3="Sim",1,0)</f>
        <v>8</v>
      </c>
      <c r="Y6" s="22">
        <v>1</v>
      </c>
      <c r="Z6" s="8">
        <f>IF(AA7="Sim", ROUNDUP((AC6+ROUNDDOWN(U7/10,0))*Y6*AE4,0), ROUNDUP((AC6+ROUNDDOWN(U7/10,0))*Y6,0))</f>
        <v>162</v>
      </c>
      <c r="AA6" s="24" t="s">
        <v>27</v>
      </c>
      <c r="AB6" s="17"/>
      <c r="AC6" s="9">
        <f>X6+LOOKUP(X6,[1]Dados!$H$3:$I$12,[1]Dados!$J$3:$J$12)*(ROUNDDOWN(U5/2,0))+LOOKUP(X6,[1]Dados!$H$3:$I$12,[1]Dados!$K$3:$K$12)*(ROUNDDOWN((U5-1)/2,0))</f>
        <v>132</v>
      </c>
      <c r="AD6" s="28" t="s">
        <v>28</v>
      </c>
      <c r="AE6" s="29">
        <f>131/113</f>
        <v>1.1592920353982301</v>
      </c>
      <c r="AI6" s="11" t="s">
        <v>26</v>
      </c>
      <c r="AJ6" s="23">
        <v>0</v>
      </c>
      <c r="AK6" s="20"/>
      <c r="AL6" s="13" t="s">
        <v>21</v>
      </c>
      <c r="AM6" s="14">
        <f>VLOOKUP(AJ1,[1]Pokemon!$A$1:$I$874,6,FALSE)+IF(AJ3="Sim",1,0)</f>
        <v>9</v>
      </c>
      <c r="AN6" s="22">
        <v>1</v>
      </c>
      <c r="AO6" s="8">
        <f>IF(AP7="Sim", ROUNDUP((AR6+ROUNDDOWN(AJ7/10,0))*AN6*AT4,0), ROUNDUP((AR6+ROUNDDOWN(AJ7/10,0))*AN6,0))</f>
        <v>84</v>
      </c>
      <c r="AP6" s="24" t="s">
        <v>27</v>
      </c>
      <c r="AQ6" s="17"/>
      <c r="AR6" s="9">
        <f>AM6+LOOKUP(AM6,[1]Dados!$H$3:$I$12,[1]Dados!$J$3:$J$12)*(ROUNDDOWN(AJ5/2,0))+LOOKUP(AM6,[1]Dados!$H$3:$I$12,[1]Dados!$K$3:$K$12)*(ROUNDDOWN((AJ5-1)/2,0))</f>
        <v>75</v>
      </c>
      <c r="AS6" s="28" t="s">
        <v>28</v>
      </c>
      <c r="AT6" s="29"/>
    </row>
    <row r="7" spans="1:46" ht="15" thickBot="1" x14ac:dyDescent="0.35">
      <c r="A7" s="59"/>
      <c r="B7" s="59"/>
      <c r="C7" s="59"/>
      <c r="E7" s="11" t="s">
        <v>29</v>
      </c>
      <c r="F7" s="30">
        <v>0</v>
      </c>
      <c r="G7" s="20"/>
      <c r="H7" s="13" t="s">
        <v>24</v>
      </c>
      <c r="I7" s="14" t="e">
        <f>VLOOKUP(F1,[1]Pokemon!$A$1:$I$874,7,FALSE)+IF(F3="Sim",1,0)</f>
        <v>#N/A</v>
      </c>
      <c r="J7" s="22">
        <v>1</v>
      </c>
      <c r="K7" s="8" t="e">
        <f>IF(L7="Sim", ROUNDUP((N7+ROUNDDOWN(F7/10,0))*J7*P5,0), ROUNDUP((N7+ROUNDDOWN(F7/10,0))*J7,0))</f>
        <v>#N/A</v>
      </c>
      <c r="L7" s="26" t="s">
        <v>15</v>
      </c>
      <c r="M7" s="17"/>
      <c r="N7" s="9" t="e">
        <f>I7+LOOKUP(I7,[1]Dados!$H$3:$I$12,[1]Dados!$J$3:$J$12)*(ROUNDDOWN(F5/2,0))+LOOKUP(I7,[1]Dados!$H$3:$I$12,[1]Dados!$K$3:$K$12)*(ROUNDDOWN((F5-1)/2,0))</f>
        <v>#N/A</v>
      </c>
      <c r="T7" s="11" t="s">
        <v>29</v>
      </c>
      <c r="U7" s="30">
        <v>300</v>
      </c>
      <c r="V7" s="20"/>
      <c r="W7" s="13" t="s">
        <v>24</v>
      </c>
      <c r="X7" s="14">
        <f>VLOOKUP(U1,[1]Pokemon!$A$1:$I$874,7,FALSE)+IF(U3="Sim",1,0)</f>
        <v>10</v>
      </c>
      <c r="Y7" s="22">
        <v>1</v>
      </c>
      <c r="Z7" s="8">
        <f>IF(AA7="Sim", ROUNDUP((AC7+ROUNDDOWN(U7/10,0))*Y7*AE5,0), ROUNDUP((AC7+ROUNDDOWN(U7/10,0))*Y7,0))</f>
        <v>195</v>
      </c>
      <c r="AA7" s="26" t="s">
        <v>15</v>
      </c>
      <c r="AB7" s="17"/>
      <c r="AC7" s="9">
        <f>X7+LOOKUP(X7,[1]Dados!$H$3:$I$12,[1]Dados!$J$3:$J$12)*(ROUNDDOWN(U5/2,0))+LOOKUP(X7,[1]Dados!$H$3:$I$12,[1]Dados!$K$3:$K$12)*(ROUNDDOWN((U5-1)/2,0))</f>
        <v>165</v>
      </c>
      <c r="AI7" s="11" t="s">
        <v>29</v>
      </c>
      <c r="AJ7" s="30">
        <v>90</v>
      </c>
      <c r="AK7" s="20"/>
      <c r="AL7" s="13" t="s">
        <v>24</v>
      </c>
      <c r="AM7" s="14">
        <f>VLOOKUP(AJ1,[1]Pokemon!$A$1:$I$874,7,FALSE)+IF(AJ3="Sim",1,0)</f>
        <v>10</v>
      </c>
      <c r="AN7" s="22">
        <v>1</v>
      </c>
      <c r="AO7" s="8">
        <f>IF(AP7="Sim", ROUNDUP((AR7+ROUNDDOWN(AJ7/10,0))*AN7*AT5,0), ROUNDUP((AR7+ROUNDDOWN(AJ7/10,0))*AN7,0))</f>
        <v>102</v>
      </c>
      <c r="AP7" s="26" t="s">
        <v>15</v>
      </c>
      <c r="AQ7" s="17"/>
      <c r="AR7" s="9">
        <f>AM7+LOOKUP(AM7,[1]Dados!$H$3:$I$12,[1]Dados!$J$3:$J$12)*(ROUNDDOWN(AJ5/2,0))+LOOKUP(AM7,[1]Dados!$H$3:$I$12,[1]Dados!$K$3:$K$12)*(ROUNDDOWN((AJ5-1)/2,0))</f>
        <v>93</v>
      </c>
    </row>
    <row r="8" spans="1:46" x14ac:dyDescent="0.3">
      <c r="A8" s="1" t="s">
        <v>30</v>
      </c>
      <c r="B8" s="55">
        <v>4</v>
      </c>
      <c r="C8" s="56"/>
      <c r="E8" s="11" t="s">
        <v>31</v>
      </c>
      <c r="F8" s="23" t="s">
        <v>32</v>
      </c>
      <c r="G8" s="20"/>
      <c r="H8" s="13" t="s">
        <v>28</v>
      </c>
      <c r="I8" s="14" t="e">
        <f>VLOOKUP(F1,[1]Pokemon!$A$1:$I$874,8,FALSE)+IF(F3="Sim",1,0)</f>
        <v>#N/A</v>
      </c>
      <c r="J8" s="22">
        <f>1*IF(F9="Paralisado",0.5,1)</f>
        <v>1</v>
      </c>
      <c r="K8" s="8" t="e">
        <f>IF(L7="Sim", ROUNDUP(N8*J8*P6,0), ROUNDUP(N8*J8,0))</f>
        <v>#N/A</v>
      </c>
      <c r="L8" s="31" t="e">
        <f>IF(L7 = "Sim", ROUNDUP((K8/(10*P6)), 0)&amp;"d6", ROUNDUP((K8/10), 0)&amp;"d6")</f>
        <v>#N/A</v>
      </c>
      <c r="M8" s="17"/>
      <c r="N8" s="9" t="e">
        <f>I8+LOOKUP(I8,[1]Dados!$H$3:$I$12,[1]Dados!$J$3:$J$12)*(ROUNDDOWN(F5/2,0))+LOOKUP(I8,[1]Dados!$H$3:$I$12,[1]Dados!$K$3:$K$12)*(ROUNDDOWN((F5-1)/2,0))</f>
        <v>#N/A</v>
      </c>
      <c r="T8" s="11" t="s">
        <v>31</v>
      </c>
      <c r="U8" s="23" t="s">
        <v>143</v>
      </c>
      <c r="V8" s="20"/>
      <c r="W8" s="13" t="s">
        <v>28</v>
      </c>
      <c r="X8" s="14">
        <f>VLOOKUP(U1,[1]Pokemon!$A$1:$I$874,8,FALSE)+IF(U3="Sim",1,0)</f>
        <v>12</v>
      </c>
      <c r="Y8" s="22">
        <f>1*IF(U9="Paralisado",0.5,1)</f>
        <v>1</v>
      </c>
      <c r="Z8" s="8">
        <f>IF(AA7="Sim", ROUNDUP(AC8*Y8*AE6,0), ROUNDUP(AC8*Y8,0))</f>
        <v>198</v>
      </c>
      <c r="AA8" s="31" t="str">
        <f>IF(AA7 = "Sim", ROUNDUP((Z8/(10*AE6)), 0)&amp;"d6", ROUNDUP((Z8/10), 0)&amp;"d6")</f>
        <v>20d6</v>
      </c>
      <c r="AB8" s="17"/>
      <c r="AC8" s="9">
        <f>X8+LOOKUP(X8,[1]Dados!$H$3:$I$12,[1]Dados!$J$3:$J$12)*(ROUNDDOWN(U5/2,0))+LOOKUP(X8,[1]Dados!$H$3:$I$12,[1]Dados!$K$3:$K$12)*(ROUNDDOWN((U5-1)/2,0))</f>
        <v>198</v>
      </c>
      <c r="AI8" s="11" t="s">
        <v>31</v>
      </c>
      <c r="AJ8" s="23" t="s">
        <v>32</v>
      </c>
      <c r="AK8" s="20"/>
      <c r="AL8" s="13" t="s">
        <v>28</v>
      </c>
      <c r="AM8" s="14">
        <f>VLOOKUP(AJ1,[1]Pokemon!$A$1:$I$874,8,FALSE)+IF(AJ3="Sim",1,0)</f>
        <v>5</v>
      </c>
      <c r="AN8" s="22">
        <f>1*IF(AJ9="Paralisado",0.5,1)</f>
        <v>1</v>
      </c>
      <c r="AO8" s="8">
        <f>IF(AP7="Sim", ROUNDUP(AR8*AN8*AT6,0), ROUNDUP(AR8*AN8,0))</f>
        <v>38</v>
      </c>
      <c r="AP8" s="31" t="str">
        <f>IF(AP7 = "Sim", ROUNDUP((AO8/(10*AT6)), 0)&amp;"d6", ROUNDUP((AO8/10), 0)&amp;"d6")</f>
        <v>4d6</v>
      </c>
      <c r="AQ8" s="17"/>
      <c r="AR8" s="9">
        <f>AM8+LOOKUP(AM8,[1]Dados!$H$3:$I$12,[1]Dados!$J$3:$J$12)*(ROUNDDOWN(AJ5/2,0))+LOOKUP(AM8,[1]Dados!$H$3:$I$12,[1]Dados!$K$3:$K$12)*(ROUNDDOWN((AJ5-1)/2,0))</f>
        <v>38</v>
      </c>
    </row>
    <row r="9" spans="1:46" x14ac:dyDescent="0.3">
      <c r="A9" s="10" t="s">
        <v>33</v>
      </c>
      <c r="B9" s="51">
        <v>5</v>
      </c>
      <c r="C9" s="52"/>
      <c r="E9" s="11" t="s">
        <v>34</v>
      </c>
      <c r="F9" s="23"/>
      <c r="G9" s="20"/>
      <c r="H9" s="13" t="s">
        <v>35</v>
      </c>
      <c r="I9" s="14" t="e">
        <f>VLOOKUP(F1,[1]Pokemon!$A$1:$I$874,9,FALSE)</f>
        <v>#N/A</v>
      </c>
      <c r="J9" s="13" t="s">
        <v>36</v>
      </c>
      <c r="K9" s="13"/>
      <c r="L9" s="32" t="e">
        <f>((F5+1)*I9/2)-F6</f>
        <v>#N/A</v>
      </c>
      <c r="M9" s="17"/>
      <c r="N9" s="33"/>
      <c r="T9" s="11" t="s">
        <v>34</v>
      </c>
      <c r="U9" s="23"/>
      <c r="V9" s="20"/>
      <c r="W9" s="13" t="s">
        <v>35</v>
      </c>
      <c r="X9" s="14">
        <f>VLOOKUP(U1,[1]Pokemon!$A$1:$I$874,9,FALSE)</f>
        <v>238</v>
      </c>
      <c r="Y9" s="13" t="s">
        <v>36</v>
      </c>
      <c r="Z9" s="13"/>
      <c r="AA9" s="32">
        <f>((U5+1)*X9/2)-U6</f>
        <v>7616</v>
      </c>
      <c r="AB9" s="17"/>
      <c r="AC9" s="33"/>
      <c r="AI9" s="11" t="s">
        <v>34</v>
      </c>
      <c r="AJ9" s="23"/>
      <c r="AK9" s="20"/>
      <c r="AL9" s="13" t="s">
        <v>35</v>
      </c>
      <c r="AM9" s="14">
        <f>VLOOKUP(AJ1,[1]Pokemon!$A$1:$I$874,9,FALSE)</f>
        <v>168</v>
      </c>
      <c r="AN9" s="13" t="s">
        <v>36</v>
      </c>
      <c r="AO9" s="13"/>
      <c r="AP9" s="32">
        <f>((AJ5+1)*AM9/2)-AJ6</f>
        <v>2940</v>
      </c>
      <c r="AQ9" s="17"/>
      <c r="AR9" s="33"/>
    </row>
    <row r="10" spans="1:46" x14ac:dyDescent="0.3">
      <c r="A10" s="10" t="s">
        <v>37</v>
      </c>
      <c r="B10" s="51">
        <v>3</v>
      </c>
      <c r="C10" s="52"/>
      <c r="E10" s="34"/>
      <c r="F10" s="8"/>
      <c r="G10" s="17"/>
      <c r="H10" s="8"/>
      <c r="I10" s="8"/>
      <c r="J10" s="8"/>
      <c r="K10" s="8"/>
      <c r="L10" s="26"/>
      <c r="M10" s="17"/>
      <c r="N10" s="35"/>
      <c r="T10" s="34"/>
      <c r="U10" s="8"/>
      <c r="V10" s="17"/>
      <c r="W10" s="8"/>
      <c r="X10" s="8"/>
      <c r="Y10" s="8"/>
      <c r="Z10" s="8"/>
      <c r="AA10" s="26"/>
      <c r="AB10" s="17"/>
      <c r="AC10" s="35"/>
      <c r="AI10" s="34"/>
      <c r="AJ10" s="8"/>
      <c r="AK10" s="17"/>
      <c r="AL10" s="8"/>
      <c r="AM10" s="8"/>
      <c r="AN10" s="8"/>
      <c r="AO10" s="8"/>
      <c r="AP10" s="26"/>
      <c r="AQ10" s="17"/>
      <c r="AR10" s="35"/>
    </row>
    <row r="11" spans="1:46" x14ac:dyDescent="0.3">
      <c r="A11" s="10" t="s">
        <v>38</v>
      </c>
      <c r="B11" s="51">
        <v>3</v>
      </c>
      <c r="C11" s="52"/>
      <c r="E11" s="60" t="s">
        <v>39</v>
      </c>
      <c r="F11" s="61"/>
      <c r="G11" s="13" t="s">
        <v>40</v>
      </c>
      <c r="H11" s="13"/>
      <c r="I11" s="13"/>
      <c r="J11" s="13" t="s">
        <v>16</v>
      </c>
      <c r="K11" s="13" t="s">
        <v>41</v>
      </c>
      <c r="L11" s="24" t="s">
        <v>42</v>
      </c>
      <c r="M11" s="17"/>
      <c r="N11" s="35"/>
      <c r="T11" s="60" t="s">
        <v>39</v>
      </c>
      <c r="U11" s="61"/>
      <c r="V11" s="13" t="s">
        <v>40</v>
      </c>
      <c r="W11" s="13"/>
      <c r="X11" s="13"/>
      <c r="Y11" s="13" t="s">
        <v>16</v>
      </c>
      <c r="Z11" s="13" t="s">
        <v>41</v>
      </c>
      <c r="AA11" s="24" t="s">
        <v>42</v>
      </c>
      <c r="AB11" s="17"/>
      <c r="AC11" s="35"/>
      <c r="AI11" s="60" t="s">
        <v>39</v>
      </c>
      <c r="AJ11" s="61"/>
      <c r="AK11" s="13" t="s">
        <v>40</v>
      </c>
      <c r="AL11" s="13"/>
      <c r="AM11" s="13"/>
      <c r="AN11" s="13" t="s">
        <v>16</v>
      </c>
      <c r="AO11" s="13" t="s">
        <v>41</v>
      </c>
      <c r="AP11" s="24" t="s">
        <v>42</v>
      </c>
      <c r="AQ11" s="17"/>
      <c r="AR11" s="35"/>
    </row>
    <row r="12" spans="1:46" x14ac:dyDescent="0.3">
      <c r="A12" s="10" t="s">
        <v>43</v>
      </c>
      <c r="B12" s="51">
        <v>3</v>
      </c>
      <c r="C12" s="52"/>
      <c r="E12" s="62"/>
      <c r="F12" s="63"/>
      <c r="G12" s="63" t="e">
        <f>VLOOKUP(E12,[2]Golpes!$A$1:$G$653,2,FALSE)&amp;"/"&amp;VLOOKUP(E12,[2]Golpes!$A$1:$G$653,3,FALSE)</f>
        <v>#N/A</v>
      </c>
      <c r="H12" s="63"/>
      <c r="I12" s="63"/>
      <c r="J12" s="25" t="e">
        <f>VLOOKUP(E12,[2]Golpes!$A$1:$G$653,4,FALSE)</f>
        <v>#N/A</v>
      </c>
      <c r="K12" s="25" t="e">
        <f>VLOOKUP(E12,[2]Golpes!$A$1:$G$653,5,FALSE)</f>
        <v>#N/A</v>
      </c>
      <c r="L12" s="36" t="e">
        <f>VLOOKUP(E12,[2]Golpes!$A$1:$G$653,6,FALSE)</f>
        <v>#N/A</v>
      </c>
      <c r="M12" s="17" t="e">
        <f>VLOOKUP(E12,[2]Golpes!$A$1:$G$653,7,FALSE)</f>
        <v>#N/A</v>
      </c>
      <c r="N12" s="35"/>
      <c r="T12" s="62" t="s">
        <v>145</v>
      </c>
      <c r="U12" s="63"/>
      <c r="V12" s="63" t="str">
        <f>VLOOKUP(T12,[2]Golpes!$A$1:$G$653,2,FALSE)&amp;"/"&amp;VLOOKUP(T12,[2]Golpes!$A$1:$G$653,3,FALSE)</f>
        <v>Grama/Especial</v>
      </c>
      <c r="W12" s="63"/>
      <c r="X12" s="63"/>
      <c r="Y12" s="25">
        <f>VLOOKUP(T12,[2]Golpes!$A$1:$G$653,4,FALSE)</f>
        <v>13</v>
      </c>
      <c r="Z12" s="25" t="str">
        <f>VLOOKUP(T12,[2]Golpes!$A$1:$G$653,5,FALSE)</f>
        <v>18d6</v>
      </c>
      <c r="AA12" s="36">
        <f>VLOOKUP(T12,[2]Golpes!$A$1:$G$653,6,FALSE)</f>
        <v>0.9</v>
      </c>
      <c r="AB12" s="17" t="str">
        <f>VLOOKUP(T12,[2]Golpes!$A$1:$G$653,7,FALSE)</f>
        <v>Causa dano mas diminui o próprio Ataque Especial em 20% do total (diminuição máxima de 60%).</v>
      </c>
      <c r="AC12" s="35"/>
      <c r="AI12" s="62" t="s">
        <v>152</v>
      </c>
      <c r="AJ12" s="63"/>
      <c r="AK12" s="63" t="str">
        <f>VLOOKUP(AI12,[2]Golpes!$A$1:$G$653,2,FALSE)&amp;"/"&amp;VLOOKUP(AI12,[2]Golpes!$A$1:$G$653,3,FALSE)</f>
        <v>Grama/Físico</v>
      </c>
      <c r="AL12" s="63"/>
      <c r="AM12" s="63"/>
      <c r="AN12" s="25">
        <f>VLOOKUP(AI12,[2]Golpes!$A$1:$G$653,4,FALSE)</f>
        <v>10</v>
      </c>
      <c r="AO12" s="25" t="str">
        <f>VLOOKUP(AI12,[2]Golpes!$A$1:$G$653,5,FALSE)</f>
        <v>10d6</v>
      </c>
      <c r="AP12" s="36">
        <f>VLOOKUP(AI12,[2]Golpes!$A$1:$G$653,6,FALSE)</f>
        <v>1</v>
      </c>
      <c r="AQ12" s="17" t="str">
        <f>VLOOKUP(AI12,[2]Golpes!$A$1:$G$653,7,FALSE)</f>
        <v>Causa dano.</v>
      </c>
      <c r="AR12" s="35"/>
    </row>
    <row r="13" spans="1:46" ht="15" thickBot="1" x14ac:dyDescent="0.35">
      <c r="A13" s="27" t="s">
        <v>44</v>
      </c>
      <c r="B13" s="57">
        <v>4</v>
      </c>
      <c r="C13" s="58"/>
      <c r="E13" s="62"/>
      <c r="F13" s="63"/>
      <c r="G13" s="63" t="e">
        <f>VLOOKUP(E13,[2]Golpes!$A$1:$G$653,2,FALSE)&amp;"/"&amp;VLOOKUP(E13,[2]Golpes!$A$1:$G$653,3,FALSE)</f>
        <v>#N/A</v>
      </c>
      <c r="H13" s="63"/>
      <c r="I13" s="63"/>
      <c r="J13" s="25" t="e">
        <f>VLOOKUP(E13,[2]Golpes!$A$1:$G$653,4,FALSE)</f>
        <v>#N/A</v>
      </c>
      <c r="K13" s="25" t="e">
        <f>VLOOKUP(E13,[2]Golpes!$A$1:$G$653,5,FALSE)</f>
        <v>#N/A</v>
      </c>
      <c r="L13" s="36" t="e">
        <f>VLOOKUP(E13,[2]Golpes!$A$1:$G$653,6,FALSE)</f>
        <v>#N/A</v>
      </c>
      <c r="M13" s="17" t="e">
        <f>VLOOKUP(E13,[2]Golpes!$A$1:$G$653,7,FALSE)</f>
        <v>#N/A</v>
      </c>
      <c r="N13" s="35"/>
      <c r="T13" s="62" t="s">
        <v>146</v>
      </c>
      <c r="U13" s="63"/>
      <c r="V13" s="63" t="str">
        <f>VLOOKUP(T13,[2]Golpes!$A$1:$G$653,2,FALSE)&amp;"/"&amp;VLOOKUP(T13,[2]Golpes!$A$1:$G$653,3,FALSE)</f>
        <v>Grama/Físico</v>
      </c>
      <c r="W13" s="63"/>
      <c r="X13" s="63"/>
      <c r="Y13" s="25">
        <f>VLOOKUP(T13,[2]Golpes!$A$1:$G$653,4,FALSE)</f>
        <v>12</v>
      </c>
      <c r="Z13" s="25" t="str">
        <f>VLOOKUP(T13,[2]Golpes!$A$1:$G$653,5,FALSE)</f>
        <v>10d6</v>
      </c>
      <c r="AA13" s="36">
        <f>VLOOKUP(T13,[2]Golpes!$A$1:$G$653,6,FALSE)</f>
        <v>1</v>
      </c>
      <c r="AB13" s="17" t="str">
        <f>VLOOKUP(T13,[2]Golpes!$A$1:$G$653,7,FALSE)</f>
        <v>Causa dano e aumenta a Taxa de Crítico de 10% para 30%.</v>
      </c>
      <c r="AC13" s="35"/>
      <c r="AI13" s="62" t="s">
        <v>135</v>
      </c>
      <c r="AJ13" s="63"/>
      <c r="AK13" s="63" t="str">
        <f>VLOOKUP(AI13,[2]Golpes!$A$1:$G$653,2,FALSE)&amp;"/"&amp;VLOOKUP(AI13,[2]Golpes!$A$1:$G$653,3,FALSE)</f>
        <v>Inseto/Físico</v>
      </c>
      <c r="AL13" s="63"/>
      <c r="AM13" s="63"/>
      <c r="AN13" s="25">
        <f>VLOOKUP(AI13,[2]Golpes!$A$1:$G$653,4,FALSE)</f>
        <v>4</v>
      </c>
      <c r="AO13" s="25" t="str">
        <f>VLOOKUP(AI13,[2]Golpes!$A$1:$G$653,5,FALSE)</f>
        <v>3d6</v>
      </c>
      <c r="AP13" s="36">
        <f>VLOOKUP(AI13,[2]Golpes!$A$1:$G$653,6,FALSE)</f>
        <v>0.95</v>
      </c>
      <c r="AQ13" s="17" t="s">
        <v>153</v>
      </c>
      <c r="AR13" s="35"/>
    </row>
    <row r="14" spans="1:46" x14ac:dyDescent="0.3">
      <c r="A14" s="37" t="s">
        <v>45</v>
      </c>
      <c r="B14" s="38">
        <v>30</v>
      </c>
      <c r="C14" s="39">
        <f>B10*10</f>
        <v>30</v>
      </c>
      <c r="E14" s="62"/>
      <c r="F14" s="63"/>
      <c r="G14" s="63" t="e">
        <f>VLOOKUP(E14,[2]Golpes!$A$1:$G$653,2,FALSE)&amp;"/"&amp;VLOOKUP(E14,[2]Golpes!$A$1:$G$653,3,FALSE)</f>
        <v>#N/A</v>
      </c>
      <c r="H14" s="63"/>
      <c r="I14" s="63"/>
      <c r="J14" s="25" t="e">
        <f>VLOOKUP(E14,[2]Golpes!$A$1:$G$653,4,FALSE)</f>
        <v>#N/A</v>
      </c>
      <c r="K14" s="25" t="e">
        <f>VLOOKUP(E14,[2]Golpes!$A$1:$G$653,5,FALSE)</f>
        <v>#N/A</v>
      </c>
      <c r="L14" s="36" t="e">
        <f>VLOOKUP(E14,[2]Golpes!$A$1:$G$653,6,FALSE)</f>
        <v>#N/A</v>
      </c>
      <c r="M14" s="17" t="e">
        <f>VLOOKUP(E14,[2]Golpes!$A$1:$G$653,7,FALSE)</f>
        <v>#N/A</v>
      </c>
      <c r="N14" s="35"/>
      <c r="T14" s="62" t="s">
        <v>147</v>
      </c>
      <c r="U14" s="63"/>
      <c r="V14" s="63" t="str">
        <f>VLOOKUP(T14,[2]Golpes!$A$1:$G$653,2,FALSE)&amp;"/"&amp;VLOOKUP(T14,[2]Golpes!$A$1:$G$653,3,FALSE)</f>
        <v>Água/Físico</v>
      </c>
      <c r="W14" s="63"/>
      <c r="X14" s="63"/>
      <c r="Y14" s="25">
        <f>VLOOKUP(T14,[2]Golpes!$A$1:$G$653,4,FALSE)</f>
        <v>9</v>
      </c>
      <c r="Z14" s="25" t="str">
        <f>VLOOKUP(T14,[2]Golpes!$A$1:$G$653,5,FALSE)</f>
        <v>10d6</v>
      </c>
      <c r="AA14" s="36">
        <f>VLOOKUP(T14,[2]Golpes!$A$1:$G$653,6,FALSE)</f>
        <v>0.9</v>
      </c>
      <c r="AB14" s="17" t="str">
        <f>VLOOKUP(T14,[2]Golpes!$A$1:$G$653,7,FALSE)</f>
        <v>Causa dano.</v>
      </c>
      <c r="AC14" s="35"/>
      <c r="AI14" s="62" t="s">
        <v>63</v>
      </c>
      <c r="AJ14" s="63"/>
      <c r="AK14" s="63" t="str">
        <f>VLOOKUP(AI14,[2]Golpes!$A$1:$G$653,2,FALSE)&amp;"/"&amp;VLOOKUP(AI14,[2]Golpes!$A$1:$G$653,3,FALSE)</f>
        <v>Normal/Estado</v>
      </c>
      <c r="AL14" s="63"/>
      <c r="AM14" s="63"/>
      <c r="AN14" s="25">
        <f>VLOOKUP(AI14,[2]Golpes!$A$1:$G$653,4,FALSE)</f>
        <v>2</v>
      </c>
      <c r="AO14" s="25" t="str">
        <f>VLOOKUP(AI14,[2]Golpes!$A$1:$G$653,5,FALSE)</f>
        <v>-</v>
      </c>
      <c r="AP14" s="36">
        <f>VLOOKUP(AI14,[2]Golpes!$A$1:$G$653,6,FALSE)</f>
        <v>1</v>
      </c>
      <c r="AQ14" s="17" t="str">
        <f>VLOOKUP(AI14,[2]Golpes!$A$1:$G$653,7,FALSE)</f>
        <v>Aumenta o Ataque em 20% do total (aumento máximo de 60%).</v>
      </c>
      <c r="AR14" s="35"/>
    </row>
    <row r="15" spans="1:46" ht="15" thickBot="1" x14ac:dyDescent="0.35">
      <c r="A15" s="40" t="s">
        <v>46</v>
      </c>
      <c r="B15" s="41">
        <v>30</v>
      </c>
      <c r="C15" s="42">
        <f>B14</f>
        <v>30</v>
      </c>
      <c r="E15" s="67"/>
      <c r="F15" s="68"/>
      <c r="G15" s="68" t="e">
        <f>VLOOKUP(E15,[2]Golpes!$A$1:$G$653,2,FALSE)&amp;"/"&amp;VLOOKUP(E15,[2]Golpes!$A$1:$G$653,3,FALSE)</f>
        <v>#N/A</v>
      </c>
      <c r="H15" s="68"/>
      <c r="I15" s="68"/>
      <c r="J15" s="43" t="e">
        <f>VLOOKUP(E15,[2]Golpes!$A$1:$G$653,4,FALSE)</f>
        <v>#N/A</v>
      </c>
      <c r="K15" s="43" t="e">
        <f>VLOOKUP(E15,[2]Golpes!$A$1:$G$653,5,FALSE)</f>
        <v>#N/A</v>
      </c>
      <c r="L15" s="44" t="e">
        <f>VLOOKUP(E15,[2]Golpes!$A$1:$G$653,6,FALSE)</f>
        <v>#N/A</v>
      </c>
      <c r="M15" s="17" t="e">
        <f>VLOOKUP(E15,[2]Golpes!$A$1:$G$653,7,FALSE)</f>
        <v>#N/A</v>
      </c>
      <c r="N15" s="35"/>
      <c r="T15" s="67" t="s">
        <v>148</v>
      </c>
      <c r="U15" s="68"/>
      <c r="V15" s="68" t="str">
        <f>VLOOKUP(T15,[2]Golpes!$A$1:$G$653,2,FALSE)&amp;"/"&amp;VLOOKUP(T15,[2]Golpes!$A$1:$G$653,3,FALSE)</f>
        <v>Normal/Especial</v>
      </c>
      <c r="W15" s="68"/>
      <c r="X15" s="68"/>
      <c r="Y15" s="43">
        <f>VLOOKUP(T15,[2]Golpes!$A$1:$G$653,4,FALSE)</f>
        <v>13</v>
      </c>
      <c r="Z15" s="43" t="str">
        <f>VLOOKUP(T15,[2]Golpes!$A$1:$G$653,5,FALSE)</f>
        <v>22d6</v>
      </c>
      <c r="AA15" s="44">
        <f>VLOOKUP(T15,[2]Golpes!$A$1:$G$653,6,FALSE)</f>
        <v>0.9</v>
      </c>
      <c r="AB15" s="17" t="str">
        <f>VLOOKUP(T15,[2]Golpes!$A$1:$G$653,7,FALSE)</f>
        <v>Causa dano, porém no próximo turno não poderá utilizar nenhum golpe.</v>
      </c>
      <c r="AC15" s="35"/>
      <c r="AI15" s="67" t="s">
        <v>154</v>
      </c>
      <c r="AJ15" s="68"/>
      <c r="AK15" s="68" t="str">
        <f>VLOOKUP(AI15,[2]Golpes!$A$1:$G$653,2,FALSE)&amp;"/"&amp;VLOOKUP(AI15,[2]Golpes!$A$1:$G$653,3,FALSE)</f>
        <v>Dragão/Físico</v>
      </c>
      <c r="AL15" s="68"/>
      <c r="AM15" s="68"/>
      <c r="AN15" s="43">
        <f>VLOOKUP(AI15,[2]Golpes!$A$1:$G$653,4,FALSE)</f>
        <v>3</v>
      </c>
      <c r="AO15" s="43" t="str">
        <f>VLOOKUP(AI15,[2]Golpes!$A$1:$G$653,5,FALSE)</f>
        <v>4d6</v>
      </c>
      <c r="AP15" s="44">
        <f>VLOOKUP(AI15,[2]Golpes!$A$1:$G$653,6,FALSE)</f>
        <v>0.9</v>
      </c>
      <c r="AQ15" s="17" t="str">
        <f>VLOOKUP(AI15,[2]Golpes!$A$1:$G$653,7,FALSE)</f>
        <v>Causa dano duas vezes.</v>
      </c>
      <c r="AR15" s="35"/>
    </row>
    <row r="16" spans="1:46" ht="15" thickBot="1" x14ac:dyDescent="0.35">
      <c r="A16" s="59">
        <v>3</v>
      </c>
      <c r="B16" s="59"/>
      <c r="C16" s="59"/>
    </row>
    <row r="17" spans="1:46" ht="15" thickBot="1" x14ac:dyDescent="0.35">
      <c r="A17" s="64" t="s">
        <v>47</v>
      </c>
      <c r="B17" s="65"/>
      <c r="C17" s="66"/>
      <c r="E17" s="2" t="s">
        <v>1</v>
      </c>
      <c r="F17" s="3"/>
      <c r="G17" s="4"/>
      <c r="H17" s="5"/>
      <c r="I17" s="6" t="s">
        <v>2</v>
      </c>
      <c r="J17" s="6" t="s">
        <v>3</v>
      </c>
      <c r="K17" s="6" t="s">
        <v>4</v>
      </c>
      <c r="L17" s="7" t="s">
        <v>5</v>
      </c>
      <c r="M17" s="8"/>
      <c r="N17" s="9"/>
      <c r="O17" s="53" t="s">
        <v>6</v>
      </c>
      <c r="P17" s="54"/>
      <c r="T17" s="2" t="s">
        <v>1</v>
      </c>
      <c r="U17" s="3"/>
      <c r="V17" s="4"/>
      <c r="W17" s="5"/>
      <c r="X17" s="6" t="s">
        <v>2</v>
      </c>
      <c r="Y17" s="6" t="s">
        <v>3</v>
      </c>
      <c r="Z17" s="6" t="s">
        <v>4</v>
      </c>
      <c r="AA17" s="7" t="s">
        <v>5</v>
      </c>
      <c r="AB17" s="8"/>
      <c r="AC17" s="9"/>
      <c r="AD17" s="53" t="s">
        <v>6</v>
      </c>
      <c r="AE17" s="54"/>
      <c r="AI17" s="2" t="s">
        <v>1</v>
      </c>
      <c r="AJ17" s="3" t="s">
        <v>149</v>
      </c>
      <c r="AK17" s="4"/>
      <c r="AL17" s="5"/>
      <c r="AM17" s="6" t="s">
        <v>2</v>
      </c>
      <c r="AN17" s="6" t="s">
        <v>3</v>
      </c>
      <c r="AO17" s="6" t="s">
        <v>4</v>
      </c>
      <c r="AP17" s="7" t="s">
        <v>5</v>
      </c>
      <c r="AQ17" s="8"/>
      <c r="AR17" s="9"/>
      <c r="AS17" s="53" t="s">
        <v>6</v>
      </c>
      <c r="AT17" s="54"/>
    </row>
    <row r="18" spans="1:46" x14ac:dyDescent="0.3">
      <c r="A18" s="71" t="s">
        <v>139</v>
      </c>
      <c r="B18" s="49"/>
      <c r="C18" s="72"/>
      <c r="E18" s="11" t="s">
        <v>8</v>
      </c>
      <c r="F18" s="8" t="s">
        <v>9</v>
      </c>
      <c r="G18" s="12" t="s">
        <v>10</v>
      </c>
      <c r="H18" s="13" t="s">
        <v>11</v>
      </c>
      <c r="I18" s="14" t="e">
        <f>VLOOKUP(F17,[1]Pokemon!$A$1:$I$874,3,FALSE)+IF(F19="Sim",20,0)</f>
        <v>#N/A</v>
      </c>
      <c r="J18" s="15">
        <v>0</v>
      </c>
      <c r="K18" s="8" t="e">
        <f>IF($B$5="Vigoroso",ROUNDUP((N18+J18)*1.2,0),N18+J18)</f>
        <v>#N/A</v>
      </c>
      <c r="L18" s="16">
        <v>0</v>
      </c>
      <c r="M18" s="17"/>
      <c r="N18" s="9" t="e">
        <f>I18+LOOKUP(I18,[1]Dados!$C$3:$D$12,[1]Dados!$E$3:$E$12)*(ROUNDDOWN(F21/2,0))+LOOKUP(I18,[1]Dados!$C$3:$D$12,[1]Dados!$F$3:$F$12)*(ROUNDDOWN((F21-1)/2,0))</f>
        <v>#N/A</v>
      </c>
      <c r="O18" s="18" t="s">
        <v>12</v>
      </c>
      <c r="P18" s="19"/>
      <c r="T18" s="11" t="s">
        <v>8</v>
      </c>
      <c r="U18" s="8" t="s">
        <v>9</v>
      </c>
      <c r="V18" s="12" t="s">
        <v>10</v>
      </c>
      <c r="W18" s="13" t="s">
        <v>11</v>
      </c>
      <c r="X18" s="14" t="e">
        <f>VLOOKUP(U17,[1]Pokemon!$A$1:$I$874,3,FALSE)+IF(U19="Sim",20,0)</f>
        <v>#N/A</v>
      </c>
      <c r="Y18" s="15">
        <v>0</v>
      </c>
      <c r="Z18" s="8" t="e">
        <f>IF($B$5="Vigoroso",ROUNDUP((AC18+Y18)*1.2,0),AC18+Y18)</f>
        <v>#N/A</v>
      </c>
      <c r="AA18" s="16">
        <v>0</v>
      </c>
      <c r="AB18" s="17"/>
      <c r="AC18" s="9" t="e">
        <f>X18+LOOKUP(X18,[1]Dados!$C$3:$D$12,[1]Dados!$E$3:$E$12)*(ROUNDDOWN(U21/2,0))+LOOKUP(X18,[1]Dados!$C$3:$D$12,[1]Dados!$F$3:$F$12)*(ROUNDDOWN((U21-1)/2,0))</f>
        <v>#N/A</v>
      </c>
      <c r="AD18" s="18" t="s">
        <v>12</v>
      </c>
      <c r="AE18" s="19"/>
      <c r="AI18" s="11" t="s">
        <v>8</v>
      </c>
      <c r="AJ18" s="8" t="s">
        <v>9</v>
      </c>
      <c r="AK18" s="12" t="s">
        <v>10</v>
      </c>
      <c r="AL18" s="13" t="s">
        <v>11</v>
      </c>
      <c r="AM18" s="14">
        <f>VLOOKUP(AJ17,[1]Pokemon!$A$1:$I$874,3,FALSE)+IF(AJ19="Sim",20,0)</f>
        <v>56</v>
      </c>
      <c r="AN18" s="15">
        <v>0</v>
      </c>
      <c r="AO18" s="8">
        <f>IF($B$5="Vigoroso",ROUNDUP((AR18+AN18)*1.2,0),AR18+AN18)</f>
        <v>114</v>
      </c>
      <c r="AP18" s="16">
        <v>114</v>
      </c>
      <c r="AQ18" s="17"/>
      <c r="AR18" s="9">
        <f>AM18+LOOKUP(AM18,[1]Dados!$C$3:$D$12,[1]Dados!$E$3:$E$12)*(ROUNDDOWN(AJ21/2,0))+LOOKUP(AM18,[1]Dados!$C$3:$D$12,[1]Dados!$F$3:$F$12)*(ROUNDDOWN((AJ21-1)/2,0))</f>
        <v>114</v>
      </c>
      <c r="AS18" s="18" t="s">
        <v>12</v>
      </c>
      <c r="AT18" s="19"/>
    </row>
    <row r="19" spans="1:46" x14ac:dyDescent="0.3">
      <c r="A19" s="71"/>
      <c r="B19" s="49"/>
      <c r="C19" s="72"/>
      <c r="E19" s="11" t="s">
        <v>14</v>
      </c>
      <c r="F19" s="8" t="s">
        <v>15</v>
      </c>
      <c r="G19" s="20"/>
      <c r="H19" s="13" t="s">
        <v>16</v>
      </c>
      <c r="I19" s="21">
        <f>20+IF(F19="Sim",10,0)</f>
        <v>20</v>
      </c>
      <c r="J19" s="22">
        <v>0</v>
      </c>
      <c r="K19" s="8">
        <f>18+(F21*2)+IF(F19="Sim",10,0)+J19</f>
        <v>20</v>
      </c>
      <c r="L19" s="16">
        <v>0</v>
      </c>
      <c r="M19" s="17"/>
      <c r="N19" s="9"/>
      <c r="O19" s="18" t="s">
        <v>17</v>
      </c>
      <c r="P19" s="19"/>
      <c r="T19" s="11" t="s">
        <v>14</v>
      </c>
      <c r="U19" s="8" t="s">
        <v>15</v>
      </c>
      <c r="V19" s="20"/>
      <c r="W19" s="13" t="s">
        <v>16</v>
      </c>
      <c r="X19" s="21">
        <f>20+IF(U19="Sim",10,0)</f>
        <v>20</v>
      </c>
      <c r="Y19" s="22">
        <v>0</v>
      </c>
      <c r="Z19" s="8">
        <f>18+(U21*2)+IF(U19="Sim",10,0)+Y19</f>
        <v>20</v>
      </c>
      <c r="AA19" s="16">
        <v>0</v>
      </c>
      <c r="AB19" s="17"/>
      <c r="AC19" s="9"/>
      <c r="AD19" s="18" t="s">
        <v>17</v>
      </c>
      <c r="AE19" s="19"/>
      <c r="AI19" s="11" t="s">
        <v>14</v>
      </c>
      <c r="AJ19" s="8" t="s">
        <v>15</v>
      </c>
      <c r="AK19" s="47" t="s">
        <v>105</v>
      </c>
      <c r="AL19" s="13" t="s">
        <v>16</v>
      </c>
      <c r="AM19" s="21">
        <f>20+IF(AJ19="Sim",10,0)</f>
        <v>20</v>
      </c>
      <c r="AN19" s="22">
        <v>0</v>
      </c>
      <c r="AO19" s="8">
        <f>18+(AJ21*2)+IF(AJ19="Sim",10,0)+AN19</f>
        <v>78</v>
      </c>
      <c r="AP19" s="16">
        <v>78</v>
      </c>
      <c r="AQ19" s="17"/>
      <c r="AR19" s="9"/>
      <c r="AS19" s="18" t="s">
        <v>17</v>
      </c>
      <c r="AT19" s="19"/>
    </row>
    <row r="20" spans="1:46" x14ac:dyDescent="0.3">
      <c r="A20" s="71"/>
      <c r="B20" s="49"/>
      <c r="C20" s="72"/>
      <c r="E20" s="11" t="s">
        <v>19</v>
      </c>
      <c r="F20" s="23" t="e">
        <f>VLOOKUP(F17,[1]Pokemon!$A$1:$I$874,2,FALSE)</f>
        <v>#N/A</v>
      </c>
      <c r="G20" s="20"/>
      <c r="H20" s="13" t="s">
        <v>12</v>
      </c>
      <c r="I20" s="14" t="e">
        <f>VLOOKUP(F17,[1]Pokemon!$A$1:$I$874,4,FALSE)+IF(F19="Sim",1,0)</f>
        <v>#N/A</v>
      </c>
      <c r="J20" s="22">
        <v>1</v>
      </c>
      <c r="K20" s="8" t="e">
        <f>IF(L23="Sim", ROUNDUP((N20+ROUNDDOWN(F23/10,0))*J20*P18,0), ROUNDUP((N20+ROUNDDOWN(F23/10,0))*J20,0))</f>
        <v>#N/A</v>
      </c>
      <c r="L20" s="24" t="s">
        <v>20</v>
      </c>
      <c r="M20" s="17"/>
      <c r="N20" s="9" t="e">
        <f>I20+LOOKUP(I20,[1]Dados!$H$3:$I$12,[1]Dados!$J$3:$J$12)*(ROUNDDOWN(F21/2,0))+LOOKUP(I20,[1]Dados!$H$3:$I$12,[1]Dados!$K$3:$K$12)*(ROUNDDOWN((F21-1)/2,0))</f>
        <v>#N/A</v>
      </c>
      <c r="O20" s="18" t="s">
        <v>21</v>
      </c>
      <c r="P20" s="19"/>
      <c r="T20" s="11" t="s">
        <v>19</v>
      </c>
      <c r="U20" s="23" t="e">
        <f>VLOOKUP(U17,[1]Pokemon!$A$1:$I$874,2,FALSE)</f>
        <v>#N/A</v>
      </c>
      <c r="V20" s="20"/>
      <c r="W20" s="13" t="s">
        <v>12</v>
      </c>
      <c r="X20" s="14" t="e">
        <f>VLOOKUP(U17,[1]Pokemon!$A$1:$I$874,4,FALSE)+IF(U19="Sim",1,0)</f>
        <v>#N/A</v>
      </c>
      <c r="Y20" s="22">
        <v>1</v>
      </c>
      <c r="Z20" s="8" t="e">
        <f>IF(AA23="Sim", ROUNDUP((AC20+ROUNDDOWN(U23/10,0))*Y20*AE18,0), ROUNDUP((AC20+ROUNDDOWN(U23/10,0))*Y20,0))</f>
        <v>#N/A</v>
      </c>
      <c r="AA20" s="24" t="s">
        <v>20</v>
      </c>
      <c r="AB20" s="17"/>
      <c r="AC20" s="9" t="e">
        <f>X20+LOOKUP(X20,[1]Dados!$H$3:$I$12,[1]Dados!$J$3:$J$12)*(ROUNDDOWN(U21/2,0))+LOOKUP(X20,[1]Dados!$H$3:$I$12,[1]Dados!$K$3:$K$12)*(ROUNDDOWN((U21-1)/2,0))</f>
        <v>#N/A</v>
      </c>
      <c r="AD20" s="18" t="s">
        <v>21</v>
      </c>
      <c r="AE20" s="19"/>
      <c r="AI20" s="11" t="s">
        <v>19</v>
      </c>
      <c r="AJ20" s="23" t="str">
        <f>VLOOKUP(AJ17,[1]Pokemon!$A$1:$I$874,2,FALSE)</f>
        <v>Grama</v>
      </c>
      <c r="AK20" s="20"/>
      <c r="AL20" s="13" t="s">
        <v>12</v>
      </c>
      <c r="AM20" s="14">
        <v>11</v>
      </c>
      <c r="AN20" s="22">
        <v>1</v>
      </c>
      <c r="AO20" s="8">
        <f>IF(AP23="Sim", ROUNDUP((AR20+ROUNDDOWN(AJ23/10,0))*AN20*AT18,0), ROUNDUP((AR20+ROUNDDOWN(AJ23/10,0))*AN20,0))</f>
        <v>92</v>
      </c>
      <c r="AP20" s="24" t="s">
        <v>20</v>
      </c>
      <c r="AQ20" s="17"/>
      <c r="AR20" s="9">
        <f>AM20+LOOKUP(AM20,[1]Dados!$H$3:$I$12,[1]Dados!$J$3:$J$12)*(ROUNDDOWN(AJ21/2,0))+LOOKUP(AM20,[1]Dados!$H$3:$I$12,[1]Dados!$K$3:$K$12)*(ROUNDDOWN((AJ21-1)/2,0))</f>
        <v>84</v>
      </c>
      <c r="AS20" s="18" t="s">
        <v>21</v>
      </c>
      <c r="AT20" s="19"/>
    </row>
    <row r="21" spans="1:46" x14ac:dyDescent="0.3">
      <c r="A21" s="71"/>
      <c r="B21" s="49"/>
      <c r="C21" s="72"/>
      <c r="E21" s="11" t="s">
        <v>23</v>
      </c>
      <c r="F21" s="25">
        <v>1</v>
      </c>
      <c r="G21" s="20"/>
      <c r="H21" s="13" t="s">
        <v>17</v>
      </c>
      <c r="I21" s="14" t="e">
        <f>VLOOKUP(F17,[1]Pokemon!$A$1:$I$874,5,FALSE)+IF(F19="Sim",1,0)</f>
        <v>#N/A</v>
      </c>
      <c r="J21" s="22">
        <v>1</v>
      </c>
      <c r="K21" s="8" t="e">
        <f>IF(L23="Sim", ROUNDUP((N21+ROUNDDOWN(F23/10,0))*J21*P19,0), ROUNDUP((N21+ROUNDDOWN(F23/10,0))*J21,0))</f>
        <v>#N/A</v>
      </c>
      <c r="L21" s="26" t="e">
        <f>ROUNDDOWN(I24/2,0)</f>
        <v>#N/A</v>
      </c>
      <c r="M21" s="17"/>
      <c r="N21" s="9" t="e">
        <f>I21+LOOKUP(I21,[1]Dados!$H$3:$I$12,[1]Dados!$J$3:$J$12)*(ROUNDDOWN(F21/2,0))+LOOKUP(I21,[1]Dados!$H$3:$I$12,[1]Dados!$K$3:$K$12)*(ROUNDDOWN((F21-1)/2,0))</f>
        <v>#N/A</v>
      </c>
      <c r="O21" s="18" t="s">
        <v>24</v>
      </c>
      <c r="P21" s="19"/>
      <c r="T21" s="11" t="s">
        <v>23</v>
      </c>
      <c r="U21" s="25">
        <v>1</v>
      </c>
      <c r="V21" s="20"/>
      <c r="W21" s="13" t="s">
        <v>17</v>
      </c>
      <c r="X21" s="14" t="e">
        <f>VLOOKUP(U17,[1]Pokemon!$A$1:$I$874,5,FALSE)+IF(U19="Sim",1,0)</f>
        <v>#N/A</v>
      </c>
      <c r="Y21" s="22">
        <v>1</v>
      </c>
      <c r="Z21" s="8" t="e">
        <f>IF(AA23="Sim", ROUNDUP((AC21+ROUNDDOWN(U23/10,0))*Y21*AE19,0), ROUNDUP((AC21+ROUNDDOWN(U23/10,0))*Y21,0))</f>
        <v>#N/A</v>
      </c>
      <c r="AA21" s="26" t="e">
        <f>ROUNDDOWN(X24/2,0)</f>
        <v>#N/A</v>
      </c>
      <c r="AB21" s="17"/>
      <c r="AC21" s="9" t="e">
        <f>X21+LOOKUP(X21,[1]Dados!$H$3:$I$12,[1]Dados!$J$3:$J$12)*(ROUNDDOWN(U21/2,0))+LOOKUP(X21,[1]Dados!$H$3:$I$12,[1]Dados!$K$3:$K$12)*(ROUNDDOWN((U21-1)/2,0))</f>
        <v>#N/A</v>
      </c>
      <c r="AD21" s="18" t="s">
        <v>24</v>
      </c>
      <c r="AE21" s="19"/>
      <c r="AI21" s="11" t="s">
        <v>23</v>
      </c>
      <c r="AJ21" s="25">
        <v>30</v>
      </c>
      <c r="AK21" s="20"/>
      <c r="AL21" s="13" t="s">
        <v>17</v>
      </c>
      <c r="AM21" s="14">
        <f>VLOOKUP(AJ17,[1]Pokemon!$A$1:$I$874,5,FALSE)+IF(AJ19="Sim",1,0)</f>
        <v>7</v>
      </c>
      <c r="AN21" s="22">
        <v>1</v>
      </c>
      <c r="AO21" s="8">
        <f>IF(AP23="Sim", ROUNDUP((AR21+ROUNDDOWN(AJ23/10,0))*AN21*AT19,0), ROUNDUP((AR21+ROUNDDOWN(AJ23/10,0))*AN21,0))</f>
        <v>59</v>
      </c>
      <c r="AP21" s="26">
        <f>ROUNDDOWN(AM24/2,0)</f>
        <v>2</v>
      </c>
      <c r="AQ21" s="17"/>
      <c r="AR21" s="9">
        <f>AM21+LOOKUP(AM21,[1]Dados!$H$3:$I$12,[1]Dados!$J$3:$J$12)*(ROUNDDOWN(AJ21/2,0))+LOOKUP(AM21,[1]Dados!$H$3:$I$12,[1]Dados!$K$3:$K$12)*(ROUNDDOWN((AJ21-1)/2,0))</f>
        <v>51</v>
      </c>
      <c r="AS21" s="18" t="s">
        <v>24</v>
      </c>
      <c r="AT21" s="19"/>
    </row>
    <row r="22" spans="1:46" ht="15" thickBot="1" x14ac:dyDescent="0.35">
      <c r="A22" s="71"/>
      <c r="B22" s="49"/>
      <c r="C22" s="72"/>
      <c r="E22" s="11" t="s">
        <v>26</v>
      </c>
      <c r="F22" s="23">
        <v>0</v>
      </c>
      <c r="G22" s="20"/>
      <c r="H22" s="13" t="s">
        <v>21</v>
      </c>
      <c r="I22" s="14" t="e">
        <f>VLOOKUP(F17,[1]Pokemon!$A$1:$I$874,6,FALSE)+IF(F19="Sim",1,0)</f>
        <v>#N/A</v>
      </c>
      <c r="J22" s="22">
        <v>1</v>
      </c>
      <c r="K22" s="8" t="e">
        <f>IF(L23="Sim", ROUNDUP((N22+ROUNDDOWN(F23/10,0))*J22*P20,0), ROUNDUP((N22+ROUNDDOWN(F23/10,0))*J22,0))</f>
        <v>#N/A</v>
      </c>
      <c r="L22" s="24" t="s">
        <v>27</v>
      </c>
      <c r="M22" s="17"/>
      <c r="N22" s="9" t="e">
        <f>I22+LOOKUP(I22,[1]Dados!$H$3:$I$12,[1]Dados!$J$3:$J$12)*(ROUNDDOWN(F21/2,0))+LOOKUP(I22,[1]Dados!$H$3:$I$12,[1]Dados!$K$3:$K$12)*(ROUNDDOWN((F21-1)/2,0))</f>
        <v>#N/A</v>
      </c>
      <c r="O22" s="28" t="s">
        <v>28</v>
      </c>
      <c r="P22" s="29"/>
      <c r="T22" s="11" t="s">
        <v>26</v>
      </c>
      <c r="U22" s="23">
        <v>0</v>
      </c>
      <c r="V22" s="20"/>
      <c r="W22" s="13" t="s">
        <v>21</v>
      </c>
      <c r="X22" s="14" t="e">
        <f>VLOOKUP(U17,[1]Pokemon!$A$1:$I$874,6,FALSE)+IF(U19="Sim",1,0)</f>
        <v>#N/A</v>
      </c>
      <c r="Y22" s="22">
        <v>1</v>
      </c>
      <c r="Z22" s="8" t="e">
        <f>IF(AA23="Sim", ROUNDUP((AC22+ROUNDDOWN(U23/10,0))*Y22*AE20,0), ROUNDUP((AC22+ROUNDDOWN(U23/10,0))*Y22,0))</f>
        <v>#N/A</v>
      </c>
      <c r="AA22" s="24" t="s">
        <v>27</v>
      </c>
      <c r="AB22" s="17"/>
      <c r="AC22" s="9" t="e">
        <f>X22+LOOKUP(X22,[1]Dados!$H$3:$I$12,[1]Dados!$J$3:$J$12)*(ROUNDDOWN(U21/2,0))+LOOKUP(X22,[1]Dados!$H$3:$I$12,[1]Dados!$K$3:$K$12)*(ROUNDDOWN((U21-1)/2,0))</f>
        <v>#N/A</v>
      </c>
      <c r="AD22" s="28" t="s">
        <v>28</v>
      </c>
      <c r="AE22" s="29"/>
      <c r="AI22" s="11" t="s">
        <v>26</v>
      </c>
      <c r="AJ22" s="23">
        <v>0</v>
      </c>
      <c r="AK22" s="20"/>
      <c r="AL22" s="13" t="s">
        <v>21</v>
      </c>
      <c r="AM22" s="14">
        <f>VLOOKUP(AJ17,[1]Pokemon!$A$1:$I$874,6,FALSE)+IF(AJ19="Sim",1,0)</f>
        <v>9</v>
      </c>
      <c r="AN22" s="22">
        <v>1</v>
      </c>
      <c r="AO22" s="8">
        <f>IF(AP23="Sim", ROUNDUP((AR22+ROUNDDOWN(AJ23/10,0))*AN22*AT20,0), ROUNDUP((AR22+ROUNDDOWN(AJ23/10,0))*AN22,0))</f>
        <v>75</v>
      </c>
      <c r="AP22" s="24" t="s">
        <v>27</v>
      </c>
      <c r="AQ22" s="17"/>
      <c r="AR22" s="9">
        <f>AM22+LOOKUP(AM22,[1]Dados!$H$3:$I$12,[1]Dados!$J$3:$J$12)*(ROUNDDOWN(AJ21/2,0))+LOOKUP(AM22,[1]Dados!$H$3:$I$12,[1]Dados!$K$3:$K$12)*(ROUNDDOWN((AJ21-1)/2,0))</f>
        <v>67</v>
      </c>
      <c r="AS22" s="28" t="s">
        <v>28</v>
      </c>
      <c r="AT22" s="29"/>
    </row>
    <row r="23" spans="1:46" x14ac:dyDescent="0.3">
      <c r="A23" s="71"/>
      <c r="B23" s="49"/>
      <c r="C23" s="72"/>
      <c r="E23" s="11" t="s">
        <v>29</v>
      </c>
      <c r="F23" s="30">
        <v>0</v>
      </c>
      <c r="G23" s="20"/>
      <c r="H23" s="13" t="s">
        <v>24</v>
      </c>
      <c r="I23" s="14" t="e">
        <f>VLOOKUP(F17,[1]Pokemon!$A$1:$I$874,7,FALSE)+IF(F19="Sim",1,0)</f>
        <v>#N/A</v>
      </c>
      <c r="J23" s="22">
        <v>1</v>
      </c>
      <c r="K23" s="8" t="e">
        <f>IF(L23="Sim", ROUNDUP((N23+ROUNDDOWN(F23/10,0))*J23*P21,0), ROUNDUP((N23+ROUNDDOWN(F23/10,0))*J23,0))</f>
        <v>#N/A</v>
      </c>
      <c r="L23" s="26" t="s">
        <v>15</v>
      </c>
      <c r="M23" s="17"/>
      <c r="N23" s="9" t="e">
        <f>I23+LOOKUP(I23,[1]Dados!$H$3:$I$12,[1]Dados!$J$3:$J$12)*(ROUNDDOWN(F21/2,0))+LOOKUP(I23,[1]Dados!$H$3:$I$12,[1]Dados!$K$3:$K$12)*(ROUNDDOWN((F21-1)/2,0))</f>
        <v>#N/A</v>
      </c>
      <c r="T23" s="11" t="s">
        <v>29</v>
      </c>
      <c r="U23" s="30">
        <v>0</v>
      </c>
      <c r="V23" s="20"/>
      <c r="W23" s="13" t="s">
        <v>24</v>
      </c>
      <c r="X23" s="14" t="e">
        <f>VLOOKUP(U17,[1]Pokemon!$A$1:$I$874,7,FALSE)+IF(U19="Sim",1,0)</f>
        <v>#N/A</v>
      </c>
      <c r="Y23" s="22">
        <v>1</v>
      </c>
      <c r="Z23" s="8" t="e">
        <f>IF(AA23="Sim", ROUNDUP((AC23+ROUNDDOWN(U23/10,0))*Y23*AE21,0), ROUNDUP((AC23+ROUNDDOWN(U23/10,0))*Y23,0))</f>
        <v>#N/A</v>
      </c>
      <c r="AA23" s="26" t="s">
        <v>15</v>
      </c>
      <c r="AB23" s="17"/>
      <c r="AC23" s="9" t="e">
        <f>X23+LOOKUP(X23,[1]Dados!$H$3:$I$12,[1]Dados!$J$3:$J$12)*(ROUNDDOWN(U21/2,0))+LOOKUP(X23,[1]Dados!$H$3:$I$12,[1]Dados!$K$3:$K$12)*(ROUNDDOWN((U21-1)/2,0))</f>
        <v>#N/A</v>
      </c>
      <c r="AI23" s="11" t="s">
        <v>29</v>
      </c>
      <c r="AJ23" s="30">
        <v>80</v>
      </c>
      <c r="AK23" s="20"/>
      <c r="AL23" s="13" t="s">
        <v>24</v>
      </c>
      <c r="AM23" s="14">
        <f>VLOOKUP(AJ17,[1]Pokemon!$A$1:$I$874,7,FALSE)+IF(AJ19="Sim",1,0)</f>
        <v>7</v>
      </c>
      <c r="AN23" s="22">
        <v>1</v>
      </c>
      <c r="AO23" s="8">
        <f>IF(AP23="Sim", ROUNDUP((AR23+ROUNDDOWN(AJ23/10,0))*AN23*AT21,0), ROUNDUP((AR23+ROUNDDOWN(AJ23/10,0))*AN23,0))</f>
        <v>59</v>
      </c>
      <c r="AP23" s="26" t="s">
        <v>15</v>
      </c>
      <c r="AQ23" s="17"/>
      <c r="AR23" s="9">
        <f>AM23+LOOKUP(AM23,[1]Dados!$H$3:$I$12,[1]Dados!$J$3:$J$12)*(ROUNDDOWN(AJ21/2,0))+LOOKUP(AM23,[1]Dados!$H$3:$I$12,[1]Dados!$K$3:$K$12)*(ROUNDDOWN((AJ21-1)/2,0))</f>
        <v>51</v>
      </c>
    </row>
    <row r="24" spans="1:46" x14ac:dyDescent="0.3">
      <c r="A24" s="71"/>
      <c r="B24" s="49"/>
      <c r="C24" s="72"/>
      <c r="E24" s="11" t="s">
        <v>31</v>
      </c>
      <c r="F24" s="23" t="s">
        <v>32</v>
      </c>
      <c r="G24" s="20"/>
      <c r="H24" s="13" t="s">
        <v>28</v>
      </c>
      <c r="I24" s="14" t="e">
        <f>VLOOKUP(F17,[1]Pokemon!$A$1:$I$874,8,FALSE)+IF(F19="Sim",1,0)</f>
        <v>#N/A</v>
      </c>
      <c r="J24" s="22">
        <f>1*IF(F25="Paralisado",0.5,1)</f>
        <v>1</v>
      </c>
      <c r="K24" s="8" t="e">
        <f>IF(L23="Sim", ROUNDUP(N24*J24*P22,0), ROUNDUP(N24*J24,0))</f>
        <v>#N/A</v>
      </c>
      <c r="L24" s="31" t="e">
        <f>IF(L23 = "Sim", ROUNDUP((K24/(10*P22)), 0)&amp;"d6", ROUNDUP((K24/10), 0)&amp;"d6")</f>
        <v>#N/A</v>
      </c>
      <c r="M24" s="17"/>
      <c r="N24" s="9" t="e">
        <f>I24+LOOKUP(I24,[1]Dados!$H$3:$I$12,[1]Dados!$J$3:$J$12)*(ROUNDDOWN(F21/2,0))+LOOKUP(I24,[1]Dados!$H$3:$I$12,[1]Dados!$K$3:$K$12)*(ROUNDDOWN((F21-1)/2,0))</f>
        <v>#N/A</v>
      </c>
      <c r="T24" s="11" t="s">
        <v>31</v>
      </c>
      <c r="U24" s="23" t="s">
        <v>32</v>
      </c>
      <c r="V24" s="20"/>
      <c r="W24" s="13" t="s">
        <v>28</v>
      </c>
      <c r="X24" s="14" t="e">
        <f>VLOOKUP(U17,[1]Pokemon!$A$1:$I$874,8,FALSE)+IF(U19="Sim",1,0)</f>
        <v>#N/A</v>
      </c>
      <c r="Y24" s="22">
        <f>1*IF(U25="Paralisado",0.5,1)</f>
        <v>1</v>
      </c>
      <c r="Z24" s="8" t="e">
        <f>IF(AA23="Sim", ROUNDUP(AC24*Y24*AE22,0), ROUNDUP(AC24*Y24,0))</f>
        <v>#N/A</v>
      </c>
      <c r="AA24" s="31" t="e">
        <f>IF(AA23 = "Sim", ROUNDUP((Z24/(10*AE22)), 0)&amp;"d6", ROUNDUP((Z24/10), 0)&amp;"d6")</f>
        <v>#N/A</v>
      </c>
      <c r="AB24" s="17"/>
      <c r="AC24" s="9" t="e">
        <f>X24+LOOKUP(X24,[1]Dados!$H$3:$I$12,[1]Dados!$J$3:$J$12)*(ROUNDDOWN(U21/2,0))+LOOKUP(X24,[1]Dados!$H$3:$I$12,[1]Dados!$K$3:$K$12)*(ROUNDDOWN((U21-1)/2,0))</f>
        <v>#N/A</v>
      </c>
      <c r="AI24" s="11" t="s">
        <v>31</v>
      </c>
      <c r="AJ24" s="23" t="s">
        <v>32</v>
      </c>
      <c r="AK24" s="20"/>
      <c r="AL24" s="13" t="s">
        <v>28</v>
      </c>
      <c r="AM24" s="14">
        <f>VLOOKUP(AJ17,[1]Pokemon!$A$1:$I$874,8,FALSE)+IF(AJ19="Sim",1,0)</f>
        <v>5</v>
      </c>
      <c r="AN24" s="22">
        <f>1*IF(AJ25="Paralisado",0.5,1)</f>
        <v>1</v>
      </c>
      <c r="AO24" s="8">
        <f>IF(AP23="Sim", ROUNDUP(AR24*AN24*AT22,0), ROUNDUP(AR24*AN24,0))</f>
        <v>34</v>
      </c>
      <c r="AP24" s="31" t="str">
        <f>IF(AP23 = "Sim", ROUNDUP((AO24/(10*AT22)), 0)&amp;"d6", ROUNDUP((AO24/10), 0)&amp;"d6")</f>
        <v>4d6</v>
      </c>
      <c r="AQ24" s="17"/>
      <c r="AR24" s="9">
        <f>AM24+LOOKUP(AM24,[1]Dados!$H$3:$I$12,[1]Dados!$J$3:$J$12)*(ROUNDDOWN(AJ21/2,0))+LOOKUP(AM24,[1]Dados!$H$3:$I$12,[1]Dados!$K$3:$K$12)*(ROUNDDOWN((AJ21-1)/2,0))</f>
        <v>34</v>
      </c>
    </row>
    <row r="25" spans="1:46" x14ac:dyDescent="0.3">
      <c r="A25" s="71"/>
      <c r="B25" s="49"/>
      <c r="C25" s="72"/>
      <c r="E25" s="11" t="s">
        <v>34</v>
      </c>
      <c r="F25" s="23"/>
      <c r="G25" s="20"/>
      <c r="H25" s="13" t="s">
        <v>35</v>
      </c>
      <c r="I25" s="14" t="e">
        <f>VLOOKUP(F17,[1]Pokemon!$A$1:$I$874,9,FALSE)</f>
        <v>#N/A</v>
      </c>
      <c r="J25" s="13" t="s">
        <v>36</v>
      </c>
      <c r="K25" s="13"/>
      <c r="L25" s="32" t="e">
        <f>((F21+1)*I25/2)-F22</f>
        <v>#N/A</v>
      </c>
      <c r="M25" s="17"/>
      <c r="N25" s="33"/>
      <c r="T25" s="11" t="s">
        <v>34</v>
      </c>
      <c r="U25" s="23"/>
      <c r="V25" s="20"/>
      <c r="W25" s="13" t="s">
        <v>35</v>
      </c>
      <c r="X25" s="14" t="e">
        <f>VLOOKUP(U17,[1]Pokemon!$A$1:$I$874,9,FALSE)</f>
        <v>#N/A</v>
      </c>
      <c r="Y25" s="13" t="s">
        <v>36</v>
      </c>
      <c r="Z25" s="13"/>
      <c r="AA25" s="32" t="e">
        <f>((U21+1)*X25/2)-U22</f>
        <v>#N/A</v>
      </c>
      <c r="AB25" s="17"/>
      <c r="AC25" s="33"/>
      <c r="AI25" s="11" t="s">
        <v>34</v>
      </c>
      <c r="AJ25" s="23"/>
      <c r="AK25" s="20"/>
      <c r="AL25" s="13" t="s">
        <v>35</v>
      </c>
      <c r="AM25" s="14">
        <f>VLOOKUP(AJ17,[1]Pokemon!$A$1:$I$874,9,FALSE)</f>
        <v>159</v>
      </c>
      <c r="AN25" s="13" t="s">
        <v>36</v>
      </c>
      <c r="AO25" s="13"/>
      <c r="AP25" s="32">
        <f>((AJ21+1)*AM25/2)-AJ22</f>
        <v>2464.5</v>
      </c>
      <c r="AQ25" s="17"/>
      <c r="AR25" s="33"/>
    </row>
    <row r="26" spans="1:46" x14ac:dyDescent="0.3">
      <c r="A26" s="71"/>
      <c r="B26" s="49"/>
      <c r="C26" s="72"/>
      <c r="E26" s="34"/>
      <c r="F26" s="8"/>
      <c r="G26" s="17"/>
      <c r="H26" s="8"/>
      <c r="I26" s="8"/>
      <c r="J26" s="8"/>
      <c r="K26" s="8"/>
      <c r="L26" s="26"/>
      <c r="M26" s="17"/>
      <c r="N26" s="35"/>
      <c r="T26" s="34"/>
      <c r="U26" s="8"/>
      <c r="V26" s="17"/>
      <c r="W26" s="8"/>
      <c r="X26" s="8"/>
      <c r="Y26" s="8"/>
      <c r="Z26" s="8"/>
      <c r="AA26" s="26"/>
      <c r="AB26" s="17"/>
      <c r="AC26" s="35"/>
      <c r="AI26" s="34"/>
      <c r="AJ26" s="8"/>
      <c r="AK26" s="17"/>
      <c r="AL26" s="8"/>
      <c r="AM26" s="8"/>
      <c r="AN26" s="8"/>
      <c r="AO26" s="8"/>
      <c r="AP26" s="26"/>
      <c r="AQ26" s="17"/>
      <c r="AR26" s="35"/>
    </row>
    <row r="27" spans="1:46" x14ac:dyDescent="0.3">
      <c r="A27" s="71"/>
      <c r="B27" s="49"/>
      <c r="C27" s="72"/>
      <c r="E27" s="60" t="s">
        <v>39</v>
      </c>
      <c r="F27" s="61"/>
      <c r="G27" s="13" t="s">
        <v>40</v>
      </c>
      <c r="H27" s="13"/>
      <c r="I27" s="13"/>
      <c r="J27" s="13" t="s">
        <v>16</v>
      </c>
      <c r="K27" s="13" t="s">
        <v>41</v>
      </c>
      <c r="L27" s="24" t="s">
        <v>42</v>
      </c>
      <c r="M27" s="17"/>
      <c r="N27" s="35"/>
      <c r="T27" s="60" t="s">
        <v>39</v>
      </c>
      <c r="U27" s="61"/>
      <c r="V27" s="13" t="s">
        <v>40</v>
      </c>
      <c r="W27" s="13"/>
      <c r="X27" s="13"/>
      <c r="Y27" s="13" t="s">
        <v>16</v>
      </c>
      <c r="Z27" s="13" t="s">
        <v>41</v>
      </c>
      <c r="AA27" s="24" t="s">
        <v>42</v>
      </c>
      <c r="AB27" s="17"/>
      <c r="AC27" s="35"/>
      <c r="AI27" s="60" t="s">
        <v>39</v>
      </c>
      <c r="AJ27" s="61"/>
      <c r="AK27" s="13" t="s">
        <v>40</v>
      </c>
      <c r="AL27" s="13"/>
      <c r="AM27" s="13"/>
      <c r="AN27" s="13" t="s">
        <v>16</v>
      </c>
      <c r="AO27" s="13" t="s">
        <v>41</v>
      </c>
      <c r="AP27" s="24" t="s">
        <v>42</v>
      </c>
      <c r="AQ27" s="17"/>
      <c r="AR27" s="35"/>
    </row>
    <row r="28" spans="1:46" x14ac:dyDescent="0.3">
      <c r="A28" s="71"/>
      <c r="B28" s="49"/>
      <c r="C28" s="72"/>
      <c r="E28" s="62"/>
      <c r="F28" s="63"/>
      <c r="G28" s="63" t="e">
        <f>VLOOKUP(E28,[2]Golpes!$A$1:$G$653,2,FALSE)&amp;"/"&amp;VLOOKUP(E28,[2]Golpes!$A$1:$G$653,3,FALSE)</f>
        <v>#N/A</v>
      </c>
      <c r="H28" s="63"/>
      <c r="I28" s="63"/>
      <c r="J28" s="25" t="e">
        <f>VLOOKUP(E28,[2]Golpes!$A$1:$G$653,4,FALSE)</f>
        <v>#N/A</v>
      </c>
      <c r="K28" s="25" t="e">
        <f>VLOOKUP(E28,[2]Golpes!$A$1:$G$653,5,FALSE)</f>
        <v>#N/A</v>
      </c>
      <c r="L28" s="36" t="e">
        <f>VLOOKUP(E28,[2]Golpes!$A$1:$G$653,6,FALSE)</f>
        <v>#N/A</v>
      </c>
      <c r="M28" s="17" t="e">
        <f>VLOOKUP(E28,[2]Golpes!$A$1:$G$653,7,FALSE)</f>
        <v>#N/A</v>
      </c>
      <c r="N28" s="35"/>
      <c r="T28" s="62"/>
      <c r="U28" s="63"/>
      <c r="V28" s="63" t="e">
        <f>VLOOKUP(T28,[2]Golpes!$A$1:$G$653,2,FALSE)&amp;"/"&amp;VLOOKUP(T28,[2]Golpes!$A$1:$G$653,3,FALSE)</f>
        <v>#N/A</v>
      </c>
      <c r="W28" s="63"/>
      <c r="X28" s="63"/>
      <c r="Y28" s="25" t="e">
        <f>VLOOKUP(T28,[2]Golpes!$A$1:$G$653,4,FALSE)</f>
        <v>#N/A</v>
      </c>
      <c r="Z28" s="25" t="e">
        <f>VLOOKUP(T28,[2]Golpes!$A$1:$G$653,5,FALSE)</f>
        <v>#N/A</v>
      </c>
      <c r="AA28" s="36" t="e">
        <f>VLOOKUP(T28,[2]Golpes!$A$1:$G$653,6,FALSE)</f>
        <v>#N/A</v>
      </c>
      <c r="AB28" s="17" t="e">
        <f>VLOOKUP(T28,[2]Golpes!$A$1:$G$653,7,FALSE)</f>
        <v>#N/A</v>
      </c>
      <c r="AC28" s="35"/>
      <c r="AI28" s="62" t="s">
        <v>150</v>
      </c>
      <c r="AJ28" s="63"/>
      <c r="AK28" s="63" t="str">
        <f>VLOOKUP(AI28,[2]Golpes!$A$1:$G$653,2,FALSE)&amp;"/"&amp;VLOOKUP(AI28,[2]Golpes!$A$1:$G$653,3,FALSE)</f>
        <v>Grama/Físico</v>
      </c>
      <c r="AL28" s="63"/>
      <c r="AM28" s="63"/>
      <c r="AN28" s="25">
        <f>VLOOKUP(AI28,[2]Golpes!$A$1:$G$653,4,FALSE)</f>
        <v>5</v>
      </c>
      <c r="AO28" s="25" t="str">
        <f>VLOOKUP(AI28,[2]Golpes!$A$1:$G$653,5,FALSE)</f>
        <v>6d6</v>
      </c>
      <c r="AP28" s="36">
        <f>VLOOKUP(AI28,[2]Golpes!$A$1:$G$653,6,FALSE)</f>
        <v>0.95</v>
      </c>
      <c r="AQ28" s="17" t="str">
        <f>VLOOKUP(AI28,[2]Golpes!$A$1:$G$653,7,FALSE)</f>
        <v>Causa dano e aumenta a Taxa de Crítico de 10% para 30%.</v>
      </c>
      <c r="AR28" s="35"/>
    </row>
    <row r="29" spans="1:46" ht="15" thickBot="1" x14ac:dyDescent="0.35">
      <c r="A29" s="73"/>
      <c r="B29" s="74"/>
      <c r="C29" s="75"/>
      <c r="E29" s="62"/>
      <c r="F29" s="63"/>
      <c r="G29" s="63" t="e">
        <f>VLOOKUP(E29,[2]Golpes!$A$1:$G$653,2,FALSE)&amp;"/"&amp;VLOOKUP(E29,[2]Golpes!$A$1:$G$653,3,FALSE)</f>
        <v>#N/A</v>
      </c>
      <c r="H29" s="63"/>
      <c r="I29" s="63"/>
      <c r="J29" s="25" t="e">
        <f>VLOOKUP(E29,[2]Golpes!$A$1:$G$653,4,FALSE)</f>
        <v>#N/A</v>
      </c>
      <c r="K29" s="25" t="e">
        <f>VLOOKUP(E29,[2]Golpes!$A$1:$G$653,5,FALSE)</f>
        <v>#N/A</v>
      </c>
      <c r="L29" s="36" t="e">
        <f>VLOOKUP(E29,[2]Golpes!$A$1:$G$653,6,FALSE)</f>
        <v>#N/A</v>
      </c>
      <c r="M29" s="17" t="e">
        <f>VLOOKUP(E29,[2]Golpes!$A$1:$G$653,7,FALSE)</f>
        <v>#N/A</v>
      </c>
      <c r="N29" s="35"/>
      <c r="T29" s="62"/>
      <c r="U29" s="63"/>
      <c r="V29" s="63" t="e">
        <f>VLOOKUP(T29,[2]Golpes!$A$1:$G$653,2,FALSE)&amp;"/"&amp;VLOOKUP(T29,[2]Golpes!$A$1:$G$653,3,FALSE)</f>
        <v>#N/A</v>
      </c>
      <c r="W29" s="63"/>
      <c r="X29" s="63"/>
      <c r="Y29" s="25" t="e">
        <f>VLOOKUP(T29,[2]Golpes!$A$1:$G$653,4,FALSE)</f>
        <v>#N/A</v>
      </c>
      <c r="Z29" s="25" t="e">
        <f>VLOOKUP(T29,[2]Golpes!$A$1:$G$653,5,FALSE)</f>
        <v>#N/A</v>
      </c>
      <c r="AA29" s="36" t="e">
        <f>VLOOKUP(T29,[2]Golpes!$A$1:$G$653,6,FALSE)</f>
        <v>#N/A</v>
      </c>
      <c r="AB29" s="17" t="e">
        <f>VLOOKUP(T29,[2]Golpes!$A$1:$G$653,7,FALSE)</f>
        <v>#N/A</v>
      </c>
      <c r="AC29" s="35"/>
      <c r="AI29" s="62" t="s">
        <v>155</v>
      </c>
      <c r="AJ29" s="63"/>
      <c r="AK29" s="63" t="str">
        <f>VLOOKUP(AI29,[2]Golpes!$A$1:$G$653,2,FALSE)&amp;"/"&amp;VLOOKUP(AI29,[2]Golpes!$A$1:$G$653,3,FALSE)</f>
        <v>Veneno/Especial</v>
      </c>
      <c r="AL29" s="63"/>
      <c r="AM29" s="63"/>
      <c r="AN29" s="25">
        <f>VLOOKUP(AI29,[2]Golpes!$A$1:$G$653,4,FALSE)</f>
        <v>6</v>
      </c>
      <c r="AO29" s="25" t="str">
        <f>VLOOKUP(AI29,[2]Golpes!$A$1:$G$653,5,FALSE)</f>
        <v>4d6</v>
      </c>
      <c r="AP29" s="36">
        <f>VLOOKUP(AI29,[2]Golpes!$A$1:$G$653,6,FALSE)</f>
        <v>1</v>
      </c>
      <c r="AQ29" s="17" t="str">
        <f>VLOOKUP(AI29,[2]Golpes!$A$1:$G$653,7,FALSE)</f>
        <v>Causa dano e diminui a Defesa Especial do adversário em 20% do total (diminuição máxima de 60%).</v>
      </c>
      <c r="AR29" s="35"/>
    </row>
    <row r="30" spans="1:46" ht="15" thickBot="1" x14ac:dyDescent="0.35">
      <c r="A30" s="64" t="s">
        <v>48</v>
      </c>
      <c r="B30" s="65"/>
      <c r="C30" s="66"/>
      <c r="E30" s="62"/>
      <c r="F30" s="63"/>
      <c r="G30" s="63" t="e">
        <f>VLOOKUP(E30,[2]Golpes!$A$1:$G$653,2,FALSE)&amp;"/"&amp;VLOOKUP(E30,[2]Golpes!$A$1:$G$653,3,FALSE)</f>
        <v>#N/A</v>
      </c>
      <c r="H30" s="63"/>
      <c r="I30" s="63"/>
      <c r="J30" s="25" t="e">
        <f>VLOOKUP(E30,[2]Golpes!$A$1:$G$653,4,FALSE)</f>
        <v>#N/A</v>
      </c>
      <c r="K30" s="25" t="e">
        <f>VLOOKUP(E30,[2]Golpes!$A$1:$G$653,5,FALSE)</f>
        <v>#N/A</v>
      </c>
      <c r="L30" s="36" t="e">
        <f>VLOOKUP(E30,[2]Golpes!$A$1:$G$653,6,FALSE)</f>
        <v>#N/A</v>
      </c>
      <c r="M30" s="17" t="e">
        <f>VLOOKUP(E30,[2]Golpes!$A$1:$G$653,7,FALSE)</f>
        <v>#N/A</v>
      </c>
      <c r="N30" s="35"/>
      <c r="T30" s="62"/>
      <c r="U30" s="63"/>
      <c r="V30" s="63" t="e">
        <f>VLOOKUP(T30,[2]Golpes!$A$1:$G$653,2,FALSE)&amp;"/"&amp;VLOOKUP(T30,[2]Golpes!$A$1:$G$653,3,FALSE)</f>
        <v>#N/A</v>
      </c>
      <c r="W30" s="63"/>
      <c r="X30" s="63"/>
      <c r="Y30" s="25" t="e">
        <f>VLOOKUP(T30,[2]Golpes!$A$1:$G$653,4,FALSE)</f>
        <v>#N/A</v>
      </c>
      <c r="Z30" s="25" t="e">
        <f>VLOOKUP(T30,[2]Golpes!$A$1:$G$653,5,FALSE)</f>
        <v>#N/A</v>
      </c>
      <c r="AA30" s="36" t="e">
        <f>VLOOKUP(T30,[2]Golpes!$A$1:$G$653,6,FALSE)</f>
        <v>#N/A</v>
      </c>
      <c r="AB30" s="17" t="e">
        <f>VLOOKUP(T30,[2]Golpes!$A$1:$G$653,7,FALSE)</f>
        <v>#N/A</v>
      </c>
      <c r="AC30" s="35"/>
      <c r="AI30" s="62" t="s">
        <v>156</v>
      </c>
      <c r="AJ30" s="63"/>
      <c r="AK30" s="63" t="str">
        <f>VLOOKUP(AI30,[2]Golpes!$A$1:$G$653,2,FALSE)&amp;"/"&amp;VLOOKUP(AI30,[2]Golpes!$A$1:$G$653,3,FALSE)</f>
        <v>Grama/Físico</v>
      </c>
      <c r="AL30" s="63"/>
      <c r="AM30" s="63"/>
      <c r="AN30" s="25">
        <f>VLOOKUP(AI30,[2]Golpes!$A$1:$G$653,4,FALSE)</f>
        <v>3</v>
      </c>
      <c r="AO30" s="25" t="str">
        <f>VLOOKUP(AI30,[2]Golpes!$A$1:$G$653,5,FALSE)</f>
        <v>5d6</v>
      </c>
      <c r="AP30" s="36">
        <f>VLOOKUP(AI30,[2]Golpes!$A$1:$G$653,6,FALSE)</f>
        <v>1</v>
      </c>
      <c r="AQ30" s="17" t="str">
        <f>VLOOKUP(AI30,[2]Golpes!$A$1:$G$653,7,FALSE)</f>
        <v>Causa dano.</v>
      </c>
      <c r="AR30" s="35"/>
    </row>
    <row r="31" spans="1:46" ht="15" thickBot="1" x14ac:dyDescent="0.35">
      <c r="A31" s="76" t="s">
        <v>140</v>
      </c>
      <c r="B31" s="77"/>
      <c r="C31" s="78"/>
      <c r="E31" s="67"/>
      <c r="F31" s="68"/>
      <c r="G31" s="68" t="e">
        <f>VLOOKUP(E31,[2]Golpes!$A$1:$G$653,2,FALSE)&amp;"/"&amp;VLOOKUP(E31,[2]Golpes!$A$1:$G$653,3,FALSE)</f>
        <v>#N/A</v>
      </c>
      <c r="H31" s="68"/>
      <c r="I31" s="68"/>
      <c r="J31" s="43" t="e">
        <f>VLOOKUP(E31,[2]Golpes!$A$1:$G$653,4,FALSE)</f>
        <v>#N/A</v>
      </c>
      <c r="K31" s="43" t="e">
        <f>VLOOKUP(E31,[2]Golpes!$A$1:$G$653,5,FALSE)</f>
        <v>#N/A</v>
      </c>
      <c r="L31" s="44" t="e">
        <f>VLOOKUP(E31,[2]Golpes!$A$1:$G$653,6,FALSE)</f>
        <v>#N/A</v>
      </c>
      <c r="M31" s="17" t="e">
        <f>VLOOKUP(E31,[2]Golpes!$A$1:$G$653,7,FALSE)</f>
        <v>#N/A</v>
      </c>
      <c r="N31" s="35"/>
      <c r="T31" s="67"/>
      <c r="U31" s="68"/>
      <c r="V31" s="68" t="e">
        <f>VLOOKUP(T31,[2]Golpes!$A$1:$G$653,2,FALSE)&amp;"/"&amp;VLOOKUP(T31,[2]Golpes!$A$1:$G$653,3,FALSE)</f>
        <v>#N/A</v>
      </c>
      <c r="W31" s="68"/>
      <c r="X31" s="68"/>
      <c r="Y31" s="43" t="e">
        <f>VLOOKUP(T31,[2]Golpes!$A$1:$G$653,4,FALSE)</f>
        <v>#N/A</v>
      </c>
      <c r="Z31" s="43" t="e">
        <f>VLOOKUP(T31,[2]Golpes!$A$1:$G$653,5,FALSE)</f>
        <v>#N/A</v>
      </c>
      <c r="AA31" s="44" t="e">
        <f>VLOOKUP(T31,[2]Golpes!$A$1:$G$653,6,FALSE)</f>
        <v>#N/A</v>
      </c>
      <c r="AB31" s="17" t="e">
        <f>VLOOKUP(T31,[2]Golpes!$A$1:$G$653,7,FALSE)</f>
        <v>#N/A</v>
      </c>
      <c r="AC31" s="35"/>
      <c r="AI31" s="67" t="s">
        <v>157</v>
      </c>
      <c r="AJ31" s="68"/>
      <c r="AK31" s="68" t="str">
        <f>VLOOKUP(AI31,[2]Golpes!$A$1:$G$653,2,FALSE)&amp;"/"&amp;VLOOKUP(AI31,[2]Golpes!$A$1:$G$653,3,FALSE)</f>
        <v>Grama/Físico</v>
      </c>
      <c r="AL31" s="68"/>
      <c r="AM31" s="68"/>
      <c r="AN31" s="43">
        <f>VLOOKUP(AI31,[2]Golpes!$A$1:$G$653,4,FALSE)</f>
        <v>1</v>
      </c>
      <c r="AO31" s="43" t="s">
        <v>158</v>
      </c>
      <c r="AP31" s="44">
        <f>VLOOKUP(AI31,[2]Golpes!$A$1:$G$653,6,FALSE)</f>
        <v>1</v>
      </c>
      <c r="AQ31" s="17" t="str">
        <f>VLOOKUP(AI31,[2]Golpes!$A$1:$G$653,7,FALSE)</f>
        <v>Causa dano 1d6 vezes.</v>
      </c>
      <c r="AR31" s="35"/>
    </row>
    <row r="32" spans="1:46" ht="15" thickBot="1" x14ac:dyDescent="0.35">
      <c r="A32" s="69"/>
      <c r="B32" s="50"/>
      <c r="C32" s="70"/>
    </row>
    <row r="33" spans="1:46" x14ac:dyDescent="0.3">
      <c r="A33" s="69"/>
      <c r="B33" s="50"/>
      <c r="C33" s="70"/>
      <c r="E33" s="2" t="s">
        <v>1</v>
      </c>
      <c r="F33" s="3"/>
      <c r="G33" s="4"/>
      <c r="H33" s="5"/>
      <c r="I33" s="6" t="s">
        <v>2</v>
      </c>
      <c r="J33" s="6" t="s">
        <v>3</v>
      </c>
      <c r="K33" s="6" t="s">
        <v>4</v>
      </c>
      <c r="L33" s="7" t="s">
        <v>5</v>
      </c>
      <c r="M33" s="8"/>
      <c r="N33" s="9"/>
      <c r="O33" s="53" t="s">
        <v>6</v>
      </c>
      <c r="P33" s="54"/>
      <c r="T33" s="2" t="s">
        <v>1</v>
      </c>
      <c r="U33" s="3"/>
      <c r="V33" s="4"/>
      <c r="W33" s="5"/>
      <c r="X33" s="6" t="s">
        <v>2</v>
      </c>
      <c r="Y33" s="6" t="s">
        <v>3</v>
      </c>
      <c r="Z33" s="6" t="s">
        <v>4</v>
      </c>
      <c r="AA33" s="7" t="s">
        <v>5</v>
      </c>
      <c r="AB33" s="8"/>
      <c r="AC33" s="9"/>
      <c r="AD33" s="53" t="s">
        <v>6</v>
      </c>
      <c r="AE33" s="54"/>
      <c r="AI33" s="2" t="s">
        <v>1</v>
      </c>
      <c r="AJ33" s="3" t="s">
        <v>159</v>
      </c>
      <c r="AK33" s="4"/>
      <c r="AL33" s="5"/>
      <c r="AM33" s="6" t="s">
        <v>2</v>
      </c>
      <c r="AN33" s="6" t="s">
        <v>3</v>
      </c>
      <c r="AO33" s="6" t="s">
        <v>4</v>
      </c>
      <c r="AP33" s="7" t="s">
        <v>5</v>
      </c>
      <c r="AQ33" s="8"/>
      <c r="AR33" s="9"/>
      <c r="AS33" s="53" t="s">
        <v>6</v>
      </c>
      <c r="AT33" s="54"/>
    </row>
    <row r="34" spans="1:46" x14ac:dyDescent="0.3">
      <c r="A34" s="69" t="s">
        <v>141</v>
      </c>
      <c r="B34" s="50"/>
      <c r="C34" s="70"/>
      <c r="E34" s="11" t="s">
        <v>8</v>
      </c>
      <c r="F34" s="8" t="s">
        <v>9</v>
      </c>
      <c r="G34" s="12" t="s">
        <v>10</v>
      </c>
      <c r="H34" s="13" t="s">
        <v>11</v>
      </c>
      <c r="I34" s="14" t="e">
        <f>VLOOKUP(F33,[1]Pokemon!$A$1:$I$874,3,FALSE)+IF(F35="Sim",20,0)</f>
        <v>#N/A</v>
      </c>
      <c r="J34" s="15">
        <v>0</v>
      </c>
      <c r="K34" s="8" t="e">
        <f>IF($B$5="Vigoroso",ROUNDUP((N34+J34)*1.2,0),N34+J34)</f>
        <v>#N/A</v>
      </c>
      <c r="L34" s="16">
        <v>0</v>
      </c>
      <c r="M34" s="17"/>
      <c r="N34" s="9" t="e">
        <f>I34+LOOKUP(I34,[1]Dados!$C$3:$D$12,[1]Dados!$E$3:$E$12)*(ROUNDDOWN(F37/2,0))+LOOKUP(I34,[1]Dados!$C$3:$D$12,[1]Dados!$F$3:$F$12)*(ROUNDDOWN((F37-1)/2,0))</f>
        <v>#N/A</v>
      </c>
      <c r="O34" s="18" t="s">
        <v>12</v>
      </c>
      <c r="P34" s="19"/>
      <c r="T34" s="11" t="s">
        <v>8</v>
      </c>
      <c r="U34" s="8" t="s">
        <v>9</v>
      </c>
      <c r="V34" s="12" t="s">
        <v>10</v>
      </c>
      <c r="W34" s="13" t="s">
        <v>11</v>
      </c>
      <c r="X34" s="14" t="e">
        <f>VLOOKUP(U33,[1]Pokemon!$A$1:$I$874,3,FALSE)+IF(U35="Sim",20,0)</f>
        <v>#N/A</v>
      </c>
      <c r="Y34" s="15">
        <v>0</v>
      </c>
      <c r="Z34" s="8" t="e">
        <f>IF($B$5="Vigoroso",ROUNDUP((AC34+Y34)*1.2,0),AC34+Y34)</f>
        <v>#N/A</v>
      </c>
      <c r="AA34" s="16">
        <v>0</v>
      </c>
      <c r="AB34" s="17"/>
      <c r="AC34" s="9" t="e">
        <f>X34+LOOKUP(X34,[1]Dados!$C$3:$D$12,[1]Dados!$E$3:$E$12)*(ROUNDDOWN(U37/2,0))+LOOKUP(X34,[1]Dados!$C$3:$D$12,[1]Dados!$F$3:$F$12)*(ROUNDDOWN((U37-1)/2,0))</f>
        <v>#N/A</v>
      </c>
      <c r="AD34" s="18" t="s">
        <v>12</v>
      </c>
      <c r="AE34" s="19"/>
      <c r="AI34" s="11" t="s">
        <v>8</v>
      </c>
      <c r="AJ34" s="8" t="s">
        <v>9</v>
      </c>
      <c r="AK34" s="12" t="s">
        <v>10</v>
      </c>
      <c r="AL34" s="13" t="s">
        <v>11</v>
      </c>
      <c r="AM34" s="14">
        <f>VLOOKUP(AJ33,[1]Pokemon!$A$1:$I$874,3,FALSE)+IF(AJ35="Sim",20,0)</f>
        <v>53</v>
      </c>
      <c r="AN34" s="15">
        <v>0</v>
      </c>
      <c r="AO34" s="8">
        <f>IF($B$5="Vigoroso",ROUNDUP((AR34+AN34)*1.2,0),AR34+AN34)</f>
        <v>89</v>
      </c>
      <c r="AP34" s="16">
        <v>89</v>
      </c>
      <c r="AQ34" s="17"/>
      <c r="AR34" s="9">
        <f>AM34+LOOKUP(AM34,[1]Dados!$C$3:$D$12,[1]Dados!$E$3:$E$12)*(ROUNDDOWN(AJ37/2,0))+LOOKUP(AM34,[1]Dados!$C$3:$D$12,[1]Dados!$F$3:$F$12)*(ROUNDDOWN((AJ37-1)/2,0))</f>
        <v>89</v>
      </c>
      <c r="AS34" s="18" t="s">
        <v>12</v>
      </c>
      <c r="AT34" s="19"/>
    </row>
    <row r="35" spans="1:46" x14ac:dyDescent="0.3">
      <c r="A35" s="69"/>
      <c r="B35" s="50"/>
      <c r="C35" s="70"/>
      <c r="E35" s="11" t="s">
        <v>14</v>
      </c>
      <c r="F35" s="8" t="s">
        <v>15</v>
      </c>
      <c r="G35" s="20"/>
      <c r="H35" s="13" t="s">
        <v>16</v>
      </c>
      <c r="I35" s="21">
        <f>20+IF(F35="Sim",10,0)</f>
        <v>20</v>
      </c>
      <c r="J35" s="22">
        <v>0</v>
      </c>
      <c r="K35" s="8">
        <f>18+(F37*2)+IF(F35="Sim",10,0)+J35</f>
        <v>20</v>
      </c>
      <c r="L35" s="16">
        <v>0</v>
      </c>
      <c r="M35" s="17"/>
      <c r="N35" s="9"/>
      <c r="O35" s="18" t="s">
        <v>17</v>
      </c>
      <c r="P35" s="19"/>
      <c r="T35" s="11" t="s">
        <v>14</v>
      </c>
      <c r="U35" s="8" t="s">
        <v>15</v>
      </c>
      <c r="V35" s="20"/>
      <c r="W35" s="13" t="s">
        <v>16</v>
      </c>
      <c r="X35" s="21">
        <f>20+IF(U35="Sim",10,0)</f>
        <v>20</v>
      </c>
      <c r="Y35" s="22">
        <v>0</v>
      </c>
      <c r="Z35" s="8">
        <f>18+(U37*2)+IF(U35="Sim",10,0)+Y35</f>
        <v>20</v>
      </c>
      <c r="AA35" s="16">
        <v>0</v>
      </c>
      <c r="AB35" s="17"/>
      <c r="AC35" s="9"/>
      <c r="AD35" s="18" t="s">
        <v>17</v>
      </c>
      <c r="AE35" s="19"/>
      <c r="AI35" s="11" t="s">
        <v>14</v>
      </c>
      <c r="AJ35" s="8" t="s">
        <v>15</v>
      </c>
      <c r="AK35" s="47" t="s">
        <v>161</v>
      </c>
      <c r="AL35" s="13" t="s">
        <v>16</v>
      </c>
      <c r="AM35" s="21">
        <f>20+IF(AJ35="Sim",10,0)</f>
        <v>20</v>
      </c>
      <c r="AN35" s="22">
        <v>0</v>
      </c>
      <c r="AO35" s="8">
        <f>18+(AJ37*2)+IF(AJ35="Sim",10,0)+AN35</f>
        <v>68</v>
      </c>
      <c r="AP35" s="16">
        <v>68</v>
      </c>
      <c r="AQ35" s="17"/>
      <c r="AR35" s="9"/>
      <c r="AS35" s="18" t="s">
        <v>17</v>
      </c>
      <c r="AT35" s="19"/>
    </row>
    <row r="36" spans="1:46" ht="15" thickBot="1" x14ac:dyDescent="0.35">
      <c r="A36" s="79"/>
      <c r="B36" s="80"/>
      <c r="C36" s="81"/>
      <c r="E36" s="11" t="s">
        <v>19</v>
      </c>
      <c r="F36" s="23" t="e">
        <f>VLOOKUP(F33,[1]Pokemon!$A$1:$I$874,2,FALSE)</f>
        <v>#N/A</v>
      </c>
      <c r="G36" s="20"/>
      <c r="H36" s="13" t="s">
        <v>12</v>
      </c>
      <c r="I36" s="14" t="e">
        <f>VLOOKUP(F33,[1]Pokemon!$A$1:$I$874,4,FALSE)+IF(F35="Sim",1,0)</f>
        <v>#N/A</v>
      </c>
      <c r="J36" s="22">
        <v>1</v>
      </c>
      <c r="K36" s="8" t="e">
        <f>IF(L39="Sim", ROUNDUP((N36+ROUNDDOWN(F39/10,0))*J36*P34,0), ROUNDUP((N36+ROUNDDOWN(F39/10,0))*J36,0))</f>
        <v>#N/A</v>
      </c>
      <c r="L36" s="24" t="s">
        <v>20</v>
      </c>
      <c r="M36" s="17"/>
      <c r="N36" s="9" t="e">
        <f>I36+LOOKUP(I36,[1]Dados!$H$3:$I$12,[1]Dados!$J$3:$J$12)*(ROUNDDOWN(F37/2,0))+LOOKUP(I36,[1]Dados!$H$3:$I$12,[1]Dados!$K$3:$K$12)*(ROUNDDOWN((F37-1)/2,0))</f>
        <v>#N/A</v>
      </c>
      <c r="O36" s="18" t="s">
        <v>21</v>
      </c>
      <c r="P36" s="19"/>
      <c r="T36" s="11" t="s">
        <v>19</v>
      </c>
      <c r="U36" s="23" t="e">
        <f>VLOOKUP(U33,[1]Pokemon!$A$1:$I$874,2,FALSE)</f>
        <v>#N/A</v>
      </c>
      <c r="V36" s="20"/>
      <c r="W36" s="13" t="s">
        <v>12</v>
      </c>
      <c r="X36" s="14" t="e">
        <f>VLOOKUP(U33,[1]Pokemon!$A$1:$I$874,4,FALSE)+IF(U35="Sim",1,0)</f>
        <v>#N/A</v>
      </c>
      <c r="Y36" s="22">
        <v>1</v>
      </c>
      <c r="Z36" s="8" t="e">
        <f>IF(AA39="Sim", ROUNDUP((AC36+ROUNDDOWN(U39/10,0))*Y36*AE34,0), ROUNDUP((AC36+ROUNDDOWN(U39/10,0))*Y36,0))</f>
        <v>#N/A</v>
      </c>
      <c r="AA36" s="24" t="s">
        <v>20</v>
      </c>
      <c r="AB36" s="17"/>
      <c r="AC36" s="9" t="e">
        <f>X36+LOOKUP(X36,[1]Dados!$H$3:$I$12,[1]Dados!$J$3:$J$12)*(ROUNDDOWN(U37/2,0))+LOOKUP(X36,[1]Dados!$H$3:$I$12,[1]Dados!$K$3:$K$12)*(ROUNDDOWN((U37-1)/2,0))</f>
        <v>#N/A</v>
      </c>
      <c r="AD36" s="18" t="s">
        <v>21</v>
      </c>
      <c r="AE36" s="19"/>
      <c r="AI36" s="11" t="s">
        <v>19</v>
      </c>
      <c r="AJ36" s="23" t="str">
        <f>VLOOKUP(AJ33,[1]Pokemon!$A$1:$I$874,2,FALSE)</f>
        <v>Grama</v>
      </c>
      <c r="AK36" s="20"/>
      <c r="AL36" s="13" t="s">
        <v>12</v>
      </c>
      <c r="AM36" s="14">
        <f>VLOOKUP(AJ33,[1]Pokemon!$A$1:$I$874,4,FALSE)+IF(AJ35="Sim",1,0)</f>
        <v>6</v>
      </c>
      <c r="AN36" s="22">
        <v>1</v>
      </c>
      <c r="AO36" s="8">
        <f>IF(AP39="Sim", ROUNDUP((AR36+ROUNDDOWN(AJ39/10,0))*AN36*AT34,0), ROUNDUP((AR36+ROUNDDOWN(AJ39/10,0))*AN36,0))</f>
        <v>48</v>
      </c>
      <c r="AP36" s="24" t="s">
        <v>20</v>
      </c>
      <c r="AQ36" s="17"/>
      <c r="AR36" s="9">
        <f>AM36+LOOKUP(AM36,[1]Dados!$H$3:$I$12,[1]Dados!$J$3:$J$12)*(ROUNDDOWN(AJ37/2,0))+LOOKUP(AM36,[1]Dados!$H$3:$I$12,[1]Dados!$K$3:$K$12)*(ROUNDDOWN((AJ37-1)/2,0))</f>
        <v>42</v>
      </c>
      <c r="AS36" s="18" t="s">
        <v>21</v>
      </c>
      <c r="AT36" s="19"/>
    </row>
    <row r="37" spans="1:46" ht="15" thickBot="1" x14ac:dyDescent="0.35">
      <c r="A37" s="64" t="s">
        <v>49</v>
      </c>
      <c r="B37" s="65"/>
      <c r="C37" s="66"/>
      <c r="E37" s="11" t="s">
        <v>23</v>
      </c>
      <c r="F37" s="25">
        <v>1</v>
      </c>
      <c r="G37" s="20"/>
      <c r="H37" s="13" t="s">
        <v>17</v>
      </c>
      <c r="I37" s="14" t="e">
        <f>VLOOKUP(F33,[1]Pokemon!$A$1:$I$874,5,FALSE)+IF(F35="Sim",1,0)</f>
        <v>#N/A</v>
      </c>
      <c r="J37" s="22">
        <v>1</v>
      </c>
      <c r="K37" s="8" t="e">
        <f>IF(L39="Sim", ROUNDUP((N37+ROUNDDOWN(F39/10,0))*J37*P35,0), ROUNDUP((N37+ROUNDDOWN(F39/10,0))*J37,0))</f>
        <v>#N/A</v>
      </c>
      <c r="L37" s="26" t="e">
        <f>ROUNDDOWN(I40/2,0)</f>
        <v>#N/A</v>
      </c>
      <c r="M37" s="17"/>
      <c r="N37" s="9" t="e">
        <f>I37+LOOKUP(I37,[1]Dados!$H$3:$I$12,[1]Dados!$J$3:$J$12)*(ROUNDDOWN(F37/2,0))+LOOKUP(I37,[1]Dados!$H$3:$I$12,[1]Dados!$K$3:$K$12)*(ROUNDDOWN((F37-1)/2,0))</f>
        <v>#N/A</v>
      </c>
      <c r="O37" s="18" t="s">
        <v>24</v>
      </c>
      <c r="P37" s="19"/>
      <c r="T37" s="11" t="s">
        <v>23</v>
      </c>
      <c r="U37" s="25">
        <v>1</v>
      </c>
      <c r="V37" s="20"/>
      <c r="W37" s="13" t="s">
        <v>17</v>
      </c>
      <c r="X37" s="14" t="e">
        <f>VLOOKUP(U33,[1]Pokemon!$A$1:$I$874,5,FALSE)+IF(U35="Sim",1,0)</f>
        <v>#N/A</v>
      </c>
      <c r="Y37" s="22">
        <v>1</v>
      </c>
      <c r="Z37" s="8" t="e">
        <f>IF(AA39="Sim", ROUNDUP((AC37+ROUNDDOWN(U39/10,0))*Y37*AE35,0), ROUNDUP((AC37+ROUNDDOWN(U39/10,0))*Y37,0))</f>
        <v>#N/A</v>
      </c>
      <c r="AA37" s="26" t="e">
        <f>ROUNDDOWN(X40/2,0)</f>
        <v>#N/A</v>
      </c>
      <c r="AB37" s="17"/>
      <c r="AC37" s="9" t="e">
        <f>X37+LOOKUP(X37,[1]Dados!$H$3:$I$12,[1]Dados!$J$3:$J$12)*(ROUNDDOWN(U37/2,0))+LOOKUP(X37,[1]Dados!$H$3:$I$12,[1]Dados!$K$3:$K$12)*(ROUNDDOWN((U37-1)/2,0))</f>
        <v>#N/A</v>
      </c>
      <c r="AD37" s="18" t="s">
        <v>24</v>
      </c>
      <c r="AE37" s="19"/>
      <c r="AI37" s="11" t="s">
        <v>23</v>
      </c>
      <c r="AJ37" s="25">
        <v>25</v>
      </c>
      <c r="AK37" s="20"/>
      <c r="AL37" s="13" t="s">
        <v>17</v>
      </c>
      <c r="AM37" s="14">
        <f>VLOOKUP(AJ33,[1]Pokemon!$A$1:$I$874,5,FALSE)+IF(AJ35="Sim",1,0)</f>
        <v>7</v>
      </c>
      <c r="AN37" s="22">
        <v>1</v>
      </c>
      <c r="AO37" s="8">
        <f>IF(AP39="Sim", ROUNDUP((AR37+ROUNDDOWN(AJ39/10,0))*AN37*AT35,0), ROUNDUP((AR37+ROUNDDOWN(AJ39/10,0))*AN37,0))</f>
        <v>49</v>
      </c>
      <c r="AP37" s="26">
        <f>ROUNDDOWN(AM40/2,0)</f>
        <v>4</v>
      </c>
      <c r="AQ37" s="17"/>
      <c r="AR37" s="9">
        <f>AM37+LOOKUP(AM37,[1]Dados!$H$3:$I$12,[1]Dados!$J$3:$J$12)*(ROUNDDOWN(AJ37/2,0))+LOOKUP(AM37,[1]Dados!$H$3:$I$12,[1]Dados!$K$3:$K$12)*(ROUNDDOWN((AJ37-1)/2,0))</f>
        <v>43</v>
      </c>
      <c r="AS37" s="18" t="s">
        <v>24</v>
      </c>
      <c r="AT37" s="19"/>
    </row>
    <row r="38" spans="1:46" ht="15" thickBot="1" x14ac:dyDescent="0.35">
      <c r="A38" s="38"/>
      <c r="B38" s="38"/>
      <c r="C38" s="45"/>
      <c r="E38" s="11" t="s">
        <v>26</v>
      </c>
      <c r="F38" s="23">
        <v>0</v>
      </c>
      <c r="G38" s="20"/>
      <c r="H38" s="13" t="s">
        <v>21</v>
      </c>
      <c r="I38" s="14" t="e">
        <f>VLOOKUP(F33,[1]Pokemon!$A$1:$I$874,6,FALSE)+IF(F35="Sim",1,0)</f>
        <v>#N/A</v>
      </c>
      <c r="J38" s="22">
        <v>1</v>
      </c>
      <c r="K38" s="8" t="e">
        <f>IF(L39="Sim", ROUNDUP((N38+ROUNDDOWN(F39/10,0))*J38*P36,0), ROUNDUP((N38+ROUNDDOWN(F39/10,0))*J38,0))</f>
        <v>#N/A</v>
      </c>
      <c r="L38" s="24" t="s">
        <v>27</v>
      </c>
      <c r="M38" s="17"/>
      <c r="N38" s="9" t="e">
        <f>I38+LOOKUP(I38,[1]Dados!$H$3:$I$12,[1]Dados!$J$3:$J$12)*(ROUNDDOWN(F37/2,0))+LOOKUP(I38,[1]Dados!$H$3:$I$12,[1]Dados!$K$3:$K$12)*(ROUNDDOWN((F37-1)/2,0))</f>
        <v>#N/A</v>
      </c>
      <c r="O38" s="28" t="s">
        <v>28</v>
      </c>
      <c r="P38" s="29"/>
      <c r="T38" s="11" t="s">
        <v>26</v>
      </c>
      <c r="U38" s="23">
        <v>0</v>
      </c>
      <c r="V38" s="20"/>
      <c r="W38" s="13" t="s">
        <v>21</v>
      </c>
      <c r="X38" s="14" t="e">
        <f>VLOOKUP(U33,[1]Pokemon!$A$1:$I$874,6,FALSE)+IF(U35="Sim",1,0)</f>
        <v>#N/A</v>
      </c>
      <c r="Y38" s="22">
        <v>1</v>
      </c>
      <c r="Z38" s="8" t="e">
        <f>IF(AA39="Sim", ROUNDUP((AC38+ROUNDDOWN(U39/10,0))*Y38*AE36,0), ROUNDUP((AC38+ROUNDDOWN(U39/10,0))*Y38,0))</f>
        <v>#N/A</v>
      </c>
      <c r="AA38" s="24" t="s">
        <v>27</v>
      </c>
      <c r="AB38" s="17"/>
      <c r="AC38" s="9" t="e">
        <f>X38+LOOKUP(X38,[1]Dados!$H$3:$I$12,[1]Dados!$J$3:$J$12)*(ROUNDDOWN(U37/2,0))+LOOKUP(X38,[1]Dados!$H$3:$I$12,[1]Dados!$K$3:$K$12)*(ROUNDDOWN((U37-1)/2,0))</f>
        <v>#N/A</v>
      </c>
      <c r="AD38" s="28" t="s">
        <v>28</v>
      </c>
      <c r="AE38" s="29"/>
      <c r="AI38" s="11" t="s">
        <v>26</v>
      </c>
      <c r="AJ38" s="23">
        <v>0</v>
      </c>
      <c r="AK38" s="20"/>
      <c r="AL38" s="13" t="s">
        <v>21</v>
      </c>
      <c r="AM38" s="14">
        <f>VLOOKUP(AJ33,[1]Pokemon!$A$1:$I$874,6,FALSE)+IF(AJ35="Sim",1,0)</f>
        <v>9</v>
      </c>
      <c r="AN38" s="22">
        <v>1</v>
      </c>
      <c r="AO38" s="8">
        <f>IF(AP39="Sim", ROUNDUP((AR38+ROUNDDOWN(AJ39/10,0))*AN38*AT36,0), ROUNDUP((AR38+ROUNDDOWN(AJ39/10,0))*AN38,0))</f>
        <v>63</v>
      </c>
      <c r="AP38" s="24" t="s">
        <v>27</v>
      </c>
      <c r="AQ38" s="17"/>
      <c r="AR38" s="9">
        <f>AM38+LOOKUP(AM38,[1]Dados!$H$3:$I$12,[1]Dados!$J$3:$J$12)*(ROUNDDOWN(AJ37/2,0))+LOOKUP(AM38,[1]Dados!$H$3:$I$12,[1]Dados!$K$3:$K$12)*(ROUNDDOWN((AJ37-1)/2,0))</f>
        <v>57</v>
      </c>
      <c r="AS38" s="28" t="s">
        <v>28</v>
      </c>
      <c r="AT38" s="29"/>
    </row>
    <row r="39" spans="1:46" x14ac:dyDescent="0.3">
      <c r="C39" s="46"/>
      <c r="E39" s="11" t="s">
        <v>29</v>
      </c>
      <c r="F39" s="30">
        <v>0</v>
      </c>
      <c r="G39" s="20"/>
      <c r="H39" s="13" t="s">
        <v>24</v>
      </c>
      <c r="I39" s="14" t="e">
        <f>VLOOKUP(F33,[1]Pokemon!$A$1:$I$874,7,FALSE)+IF(F35="Sim",1,0)</f>
        <v>#N/A</v>
      </c>
      <c r="J39" s="22">
        <v>1</v>
      </c>
      <c r="K39" s="8" t="e">
        <f>IF(L39="Sim", ROUNDUP((N39+ROUNDDOWN(F39/10,0))*J39*P37,0), ROUNDUP((N39+ROUNDDOWN(F39/10,0))*J39,0))</f>
        <v>#N/A</v>
      </c>
      <c r="L39" s="26" t="s">
        <v>15</v>
      </c>
      <c r="M39" s="17"/>
      <c r="N39" s="9" t="e">
        <f>I39+LOOKUP(I39,[1]Dados!$H$3:$I$12,[1]Dados!$J$3:$J$12)*(ROUNDDOWN(F37/2,0))+LOOKUP(I39,[1]Dados!$H$3:$I$12,[1]Dados!$K$3:$K$12)*(ROUNDDOWN((F37-1)/2,0))</f>
        <v>#N/A</v>
      </c>
      <c r="T39" s="11" t="s">
        <v>29</v>
      </c>
      <c r="U39" s="30">
        <v>0</v>
      </c>
      <c r="V39" s="20"/>
      <c r="W39" s="13" t="s">
        <v>24</v>
      </c>
      <c r="X39" s="14" t="e">
        <f>VLOOKUP(U33,[1]Pokemon!$A$1:$I$874,7,FALSE)+IF(U35="Sim",1,0)</f>
        <v>#N/A</v>
      </c>
      <c r="Y39" s="22">
        <v>1</v>
      </c>
      <c r="Z39" s="8" t="e">
        <f>IF(AA39="Sim", ROUNDUP((AC39+ROUNDDOWN(U39/10,0))*Y39*AE37,0), ROUNDUP((AC39+ROUNDDOWN(U39/10,0))*Y39,0))</f>
        <v>#N/A</v>
      </c>
      <c r="AA39" s="26" t="s">
        <v>15</v>
      </c>
      <c r="AB39" s="17"/>
      <c r="AC39" s="9" t="e">
        <f>X39+LOOKUP(X39,[1]Dados!$H$3:$I$12,[1]Dados!$J$3:$J$12)*(ROUNDDOWN(U37/2,0))+LOOKUP(X39,[1]Dados!$H$3:$I$12,[1]Dados!$K$3:$K$12)*(ROUNDDOWN((U37-1)/2,0))</f>
        <v>#N/A</v>
      </c>
      <c r="AI39" s="11" t="s">
        <v>29</v>
      </c>
      <c r="AJ39" s="30">
        <v>60</v>
      </c>
      <c r="AK39" s="20"/>
      <c r="AL39" s="13" t="s">
        <v>24</v>
      </c>
      <c r="AM39" s="14">
        <f>VLOOKUP(AJ33,[1]Pokemon!$A$1:$I$874,7,FALSE)+IF(AJ35="Sim",1,0)</f>
        <v>8</v>
      </c>
      <c r="AN39" s="22">
        <v>1</v>
      </c>
      <c r="AO39" s="8">
        <f>IF(AP39="Sim", ROUNDUP((AR39+ROUNDDOWN(AJ39/10,0))*AN39*AT37,0), ROUNDUP((AR39+ROUNDDOWN(AJ39/10,0))*AN39,0))</f>
        <v>62</v>
      </c>
      <c r="AP39" s="26" t="s">
        <v>15</v>
      </c>
      <c r="AQ39" s="17"/>
      <c r="AR39" s="9">
        <f>AM39+LOOKUP(AM39,[1]Dados!$H$3:$I$12,[1]Dados!$J$3:$J$12)*(ROUNDDOWN(AJ37/2,0))+LOOKUP(AM39,[1]Dados!$H$3:$I$12,[1]Dados!$K$3:$K$12)*(ROUNDDOWN((AJ37-1)/2,0))</f>
        <v>56</v>
      </c>
    </row>
    <row r="40" spans="1:46" x14ac:dyDescent="0.3">
      <c r="C40" s="46"/>
      <c r="E40" s="11" t="s">
        <v>31</v>
      </c>
      <c r="F40" s="23" t="s">
        <v>32</v>
      </c>
      <c r="G40" s="20"/>
      <c r="H40" s="13" t="s">
        <v>28</v>
      </c>
      <c r="I40" s="14" t="e">
        <f>VLOOKUP(F33,[1]Pokemon!$A$1:$I$874,8,FALSE)+IF(F35="Sim",1,0)</f>
        <v>#N/A</v>
      </c>
      <c r="J40" s="22">
        <f>1*IF(F41="Paralisado",0.5,1)</f>
        <v>1</v>
      </c>
      <c r="K40" s="8" t="e">
        <f>IF(L39="Sim", ROUNDUP(N40*J40*P38,0), ROUNDUP(N40*J40,0))</f>
        <v>#N/A</v>
      </c>
      <c r="L40" s="31" t="e">
        <f>IF(L39 = "Sim", ROUNDUP((K40/(10*P38)), 0)&amp;"d6", ROUNDUP((K40/10), 0)&amp;"d6")</f>
        <v>#N/A</v>
      </c>
      <c r="M40" s="17"/>
      <c r="N40" s="9" t="e">
        <f>I40+LOOKUP(I40,[1]Dados!$H$3:$I$12,[1]Dados!$J$3:$J$12)*(ROUNDDOWN(F37/2,0))+LOOKUP(I40,[1]Dados!$H$3:$I$12,[1]Dados!$K$3:$K$12)*(ROUNDDOWN((F37-1)/2,0))</f>
        <v>#N/A</v>
      </c>
      <c r="T40" s="11" t="s">
        <v>31</v>
      </c>
      <c r="U40" s="23" t="s">
        <v>32</v>
      </c>
      <c r="V40" s="20"/>
      <c r="W40" s="13" t="s">
        <v>28</v>
      </c>
      <c r="X40" s="14" t="e">
        <f>VLOOKUP(U33,[1]Pokemon!$A$1:$I$874,8,FALSE)+IF(U35="Sim",1,0)</f>
        <v>#N/A</v>
      </c>
      <c r="Y40" s="22">
        <f>1*IF(U41="Paralisado",0.5,1)</f>
        <v>1</v>
      </c>
      <c r="Z40" s="8" t="e">
        <f>IF(AA39="Sim", ROUNDUP(AC40*Y40*AE38,0), ROUNDUP(AC40*Y40,0))</f>
        <v>#N/A</v>
      </c>
      <c r="AA40" s="31" t="e">
        <f>IF(AA39 = "Sim", ROUNDUP((Z40/(10*AE38)), 0)&amp;"d6", ROUNDUP((Z40/10), 0)&amp;"d6")</f>
        <v>#N/A</v>
      </c>
      <c r="AB40" s="17"/>
      <c r="AC40" s="9" t="e">
        <f>X40+LOOKUP(X40,[1]Dados!$H$3:$I$12,[1]Dados!$J$3:$J$12)*(ROUNDDOWN(U37/2,0))+LOOKUP(X40,[1]Dados!$H$3:$I$12,[1]Dados!$K$3:$K$12)*(ROUNDDOWN((U37-1)/2,0))</f>
        <v>#N/A</v>
      </c>
      <c r="AI40" s="11" t="s">
        <v>31</v>
      </c>
      <c r="AJ40" s="23" t="s">
        <v>32</v>
      </c>
      <c r="AK40" s="20"/>
      <c r="AL40" s="13" t="s">
        <v>28</v>
      </c>
      <c r="AM40" s="14">
        <f>VLOOKUP(AJ33,[1]Pokemon!$A$1:$I$874,8,FALSE)+IF(AJ35="Sim",1,0)</f>
        <v>8</v>
      </c>
      <c r="AN40" s="22">
        <f>1*IF(AJ41="Paralisado",0.5,1)</f>
        <v>1</v>
      </c>
      <c r="AO40" s="8">
        <f>IF(AP39="Sim", ROUNDUP(AR40*AN40*AT38,0), ROUNDUP(AR40*AN40,0))</f>
        <v>56</v>
      </c>
      <c r="AP40" s="31" t="str">
        <f>IF(AP39 = "Sim", ROUNDUP((AO40/(10*AT38)), 0)&amp;"d6", ROUNDUP((AO40/10), 0)&amp;"d6")</f>
        <v>6d6</v>
      </c>
      <c r="AQ40" s="17"/>
      <c r="AR40" s="9">
        <f>AM40+LOOKUP(AM40,[1]Dados!$H$3:$I$12,[1]Dados!$J$3:$J$12)*(ROUNDDOWN(AJ37/2,0))+LOOKUP(AM40,[1]Dados!$H$3:$I$12,[1]Dados!$K$3:$K$12)*(ROUNDDOWN((AJ37-1)/2,0))</f>
        <v>56</v>
      </c>
    </row>
    <row r="41" spans="1:46" x14ac:dyDescent="0.3">
      <c r="C41" s="46"/>
      <c r="E41" s="11" t="s">
        <v>34</v>
      </c>
      <c r="F41" s="23"/>
      <c r="G41" s="20"/>
      <c r="H41" s="13" t="s">
        <v>35</v>
      </c>
      <c r="I41" s="14" t="e">
        <f>VLOOKUP(F33,[1]Pokemon!$A$1:$I$874,9,FALSE)</f>
        <v>#N/A</v>
      </c>
      <c r="J41" s="13" t="s">
        <v>36</v>
      </c>
      <c r="K41" s="13"/>
      <c r="L41" s="32" t="e">
        <f>((F37+1)*I41/2)-F38</f>
        <v>#N/A</v>
      </c>
      <c r="M41" s="17"/>
      <c r="N41" s="33"/>
      <c r="T41" s="11" t="s">
        <v>34</v>
      </c>
      <c r="U41" s="23"/>
      <c r="V41" s="20"/>
      <c r="W41" s="13" t="s">
        <v>35</v>
      </c>
      <c r="X41" s="14" t="e">
        <f>VLOOKUP(U33,[1]Pokemon!$A$1:$I$874,9,FALSE)</f>
        <v>#N/A</v>
      </c>
      <c r="Y41" s="13" t="s">
        <v>36</v>
      </c>
      <c r="Z41" s="13"/>
      <c r="AA41" s="32" t="e">
        <f>((U37+1)*X41/2)-U38</f>
        <v>#N/A</v>
      </c>
      <c r="AB41" s="17"/>
      <c r="AC41" s="33"/>
      <c r="AI41" s="11" t="s">
        <v>34</v>
      </c>
      <c r="AJ41" s="23"/>
      <c r="AK41" s="20"/>
      <c r="AL41" s="13" t="s">
        <v>35</v>
      </c>
      <c r="AM41" s="14">
        <f>VLOOKUP(AJ33,[1]Pokemon!$A$1:$I$874,9,FALSE)</f>
        <v>158</v>
      </c>
      <c r="AN41" s="13" t="s">
        <v>36</v>
      </c>
      <c r="AO41" s="13"/>
      <c r="AP41" s="32">
        <f>((AJ37+1)*AM41/2)-AJ38</f>
        <v>2054</v>
      </c>
      <c r="AQ41" s="17"/>
      <c r="AR41" s="33"/>
    </row>
    <row r="42" spans="1:46" x14ac:dyDescent="0.3">
      <c r="C42" s="46"/>
      <c r="E42" s="34"/>
      <c r="F42" s="8"/>
      <c r="G42" s="17"/>
      <c r="H42" s="8"/>
      <c r="I42" s="8"/>
      <c r="J42" s="8"/>
      <c r="K42" s="8"/>
      <c r="L42" s="26"/>
      <c r="M42" s="17"/>
      <c r="N42" s="35"/>
      <c r="T42" s="34"/>
      <c r="U42" s="8"/>
      <c r="V42" s="17"/>
      <c r="W42" s="8"/>
      <c r="X42" s="8"/>
      <c r="Y42" s="8"/>
      <c r="Z42" s="8"/>
      <c r="AA42" s="26"/>
      <c r="AB42" s="17"/>
      <c r="AC42" s="35"/>
      <c r="AI42" s="34"/>
      <c r="AJ42" s="8"/>
      <c r="AK42" s="17"/>
      <c r="AL42" s="8"/>
      <c r="AM42" s="8"/>
      <c r="AN42" s="8"/>
      <c r="AO42" s="8"/>
      <c r="AP42" s="26"/>
      <c r="AQ42" s="17"/>
      <c r="AR42" s="35"/>
    </row>
    <row r="43" spans="1:46" x14ac:dyDescent="0.3">
      <c r="C43" s="46"/>
      <c r="E43" s="60" t="s">
        <v>39</v>
      </c>
      <c r="F43" s="61"/>
      <c r="G43" s="13" t="s">
        <v>40</v>
      </c>
      <c r="H43" s="13"/>
      <c r="I43" s="13"/>
      <c r="J43" s="13" t="s">
        <v>16</v>
      </c>
      <c r="K43" s="13" t="s">
        <v>41</v>
      </c>
      <c r="L43" s="24" t="s">
        <v>42</v>
      </c>
      <c r="M43" s="17"/>
      <c r="N43" s="35"/>
      <c r="T43" s="60" t="s">
        <v>39</v>
      </c>
      <c r="U43" s="61"/>
      <c r="V43" s="13" t="s">
        <v>40</v>
      </c>
      <c r="W43" s="13"/>
      <c r="X43" s="13"/>
      <c r="Y43" s="13" t="s">
        <v>16</v>
      </c>
      <c r="Z43" s="13" t="s">
        <v>41</v>
      </c>
      <c r="AA43" s="24" t="s">
        <v>42</v>
      </c>
      <c r="AB43" s="17"/>
      <c r="AC43" s="35"/>
      <c r="AI43" s="60" t="s">
        <v>39</v>
      </c>
      <c r="AJ43" s="61"/>
      <c r="AK43" s="13" t="s">
        <v>40</v>
      </c>
      <c r="AL43" s="13"/>
      <c r="AM43" s="13"/>
      <c r="AN43" s="13" t="s">
        <v>16</v>
      </c>
      <c r="AO43" s="13" t="s">
        <v>41</v>
      </c>
      <c r="AP43" s="24" t="s">
        <v>42</v>
      </c>
      <c r="AQ43" s="17"/>
      <c r="AR43" s="35"/>
    </row>
    <row r="44" spans="1:46" x14ac:dyDescent="0.3">
      <c r="C44" s="46"/>
      <c r="E44" s="62"/>
      <c r="F44" s="63"/>
      <c r="G44" s="63" t="e">
        <f>VLOOKUP(E44,[2]Golpes!$A$1:$G$653,2,FALSE)&amp;"/"&amp;VLOOKUP(E44,[2]Golpes!$A$1:$G$653,3,FALSE)</f>
        <v>#N/A</v>
      </c>
      <c r="H44" s="63"/>
      <c r="I44" s="63"/>
      <c r="J44" s="25" t="e">
        <f>VLOOKUP(E44,[2]Golpes!$A$1:$G$653,4,FALSE)</f>
        <v>#N/A</v>
      </c>
      <c r="K44" s="25" t="e">
        <f>VLOOKUP(E44,[2]Golpes!$A$1:$G$653,5,FALSE)</f>
        <v>#N/A</v>
      </c>
      <c r="L44" s="36" t="e">
        <f>VLOOKUP(E44,[2]Golpes!$A$1:$G$653,6,FALSE)</f>
        <v>#N/A</v>
      </c>
      <c r="M44" s="17" t="e">
        <f>VLOOKUP(E44,[2]Golpes!$A$1:$G$653,7,FALSE)</f>
        <v>#N/A</v>
      </c>
      <c r="N44" s="35"/>
      <c r="T44" s="62"/>
      <c r="U44" s="63"/>
      <c r="V44" s="63" t="e">
        <f>VLOOKUP(T44,[2]Golpes!$A$1:$G$653,2,FALSE)&amp;"/"&amp;VLOOKUP(T44,[2]Golpes!$A$1:$G$653,3,FALSE)</f>
        <v>#N/A</v>
      </c>
      <c r="W44" s="63"/>
      <c r="X44" s="63"/>
      <c r="Y44" s="25" t="e">
        <f>VLOOKUP(T44,[2]Golpes!$A$1:$G$653,4,FALSE)</f>
        <v>#N/A</v>
      </c>
      <c r="Z44" s="25" t="e">
        <f>VLOOKUP(T44,[2]Golpes!$A$1:$G$653,5,FALSE)</f>
        <v>#N/A</v>
      </c>
      <c r="AA44" s="36" t="e">
        <f>VLOOKUP(T44,[2]Golpes!$A$1:$G$653,6,FALSE)</f>
        <v>#N/A</v>
      </c>
      <c r="AB44" s="17" t="e">
        <f>VLOOKUP(T44,[2]Golpes!$A$1:$G$653,7,FALSE)</f>
        <v>#N/A</v>
      </c>
      <c r="AC44" s="35"/>
      <c r="AI44" s="62" t="s">
        <v>160</v>
      </c>
      <c r="AJ44" s="63"/>
      <c r="AK44" s="63" t="str">
        <f>VLOOKUP(AI44,[2]Golpes!$A$1:$G$653,2,FALSE)&amp;"/"&amp;VLOOKUP(AI44,[2]Golpes!$A$1:$G$653,3,FALSE)</f>
        <v>Fogo/Estado</v>
      </c>
      <c r="AL44" s="63"/>
      <c r="AM44" s="63"/>
      <c r="AN44" s="25">
        <f>VLOOKUP(AI44,[2]Golpes!$A$1:$G$653,4,FALSE)</f>
        <v>1</v>
      </c>
      <c r="AO44" s="25" t="str">
        <f>VLOOKUP(AI44,[2]Golpes!$A$1:$G$653,5,FALSE)</f>
        <v>-</v>
      </c>
      <c r="AP44" s="36">
        <f>VLOOKUP(AI44,[2]Golpes!$A$1:$G$653,6,FALSE)</f>
        <v>1</v>
      </c>
      <c r="AQ44" s="17" t="str">
        <f>VLOOKUP(AI44,[2]Golpes!$A$1:$G$653,7,FALSE)</f>
        <v>Por 5 turnos, aumenta em 50% a dano de golpes do tipo Fogo e diminui em 50% os golpes do tipo Água, os golpes Trovão e Furacão terão 50% de Precisão, os golpes Raio Solar e Lâmina Solar não precisam carregar e a recuperação de Síntese, Sol da M...</v>
      </c>
      <c r="AR44" s="35"/>
    </row>
    <row r="45" spans="1:46" x14ac:dyDescent="0.3">
      <c r="C45" s="46"/>
      <c r="E45" s="62"/>
      <c r="F45" s="63"/>
      <c r="G45" s="63" t="e">
        <f>VLOOKUP(E45,[2]Golpes!$A$1:$G$653,2,FALSE)&amp;"/"&amp;VLOOKUP(E45,[2]Golpes!$A$1:$G$653,3,FALSE)</f>
        <v>#N/A</v>
      </c>
      <c r="H45" s="63"/>
      <c r="I45" s="63"/>
      <c r="J45" s="25" t="e">
        <f>VLOOKUP(E45,[2]Golpes!$A$1:$G$653,4,FALSE)</f>
        <v>#N/A</v>
      </c>
      <c r="K45" s="25" t="e">
        <f>VLOOKUP(E45,[2]Golpes!$A$1:$G$653,5,FALSE)</f>
        <v>#N/A</v>
      </c>
      <c r="L45" s="36" t="e">
        <f>VLOOKUP(E45,[2]Golpes!$A$1:$G$653,6,FALSE)</f>
        <v>#N/A</v>
      </c>
      <c r="M45" s="17" t="e">
        <f>VLOOKUP(E45,[2]Golpes!$A$1:$G$653,7,FALSE)</f>
        <v>#N/A</v>
      </c>
      <c r="N45" s="35"/>
      <c r="T45" s="62"/>
      <c r="U45" s="63"/>
      <c r="V45" s="63" t="e">
        <f>VLOOKUP(T45,[2]Golpes!$A$1:$G$653,2,FALSE)&amp;"/"&amp;VLOOKUP(T45,[2]Golpes!$A$1:$G$653,3,FALSE)</f>
        <v>#N/A</v>
      </c>
      <c r="W45" s="63"/>
      <c r="X45" s="63"/>
      <c r="Y45" s="25" t="e">
        <f>VLOOKUP(T45,[2]Golpes!$A$1:$G$653,4,FALSE)</f>
        <v>#N/A</v>
      </c>
      <c r="Z45" s="25" t="e">
        <f>VLOOKUP(T45,[2]Golpes!$A$1:$G$653,5,FALSE)</f>
        <v>#N/A</v>
      </c>
      <c r="AA45" s="36" t="e">
        <f>VLOOKUP(T45,[2]Golpes!$A$1:$G$653,6,FALSE)</f>
        <v>#N/A</v>
      </c>
      <c r="AB45" s="17" t="e">
        <f>VLOOKUP(T45,[2]Golpes!$A$1:$G$653,7,FALSE)</f>
        <v>#N/A</v>
      </c>
      <c r="AC45" s="35"/>
      <c r="AI45" s="62" t="s">
        <v>162</v>
      </c>
      <c r="AJ45" s="63"/>
      <c r="AK45" s="63" t="str">
        <f>VLOOKUP(AI45,[2]Golpes!$A$1:$G$653,2,FALSE)&amp;"/"&amp;VLOOKUP(AI45,[2]Golpes!$A$1:$G$653,3,FALSE)</f>
        <v>Grama/Especial</v>
      </c>
      <c r="AL45" s="63"/>
      <c r="AM45" s="63"/>
      <c r="AN45" s="25">
        <f>VLOOKUP(AI45,[2]Golpes!$A$1:$G$653,4,FALSE)</f>
        <v>6</v>
      </c>
      <c r="AO45" s="25" t="str">
        <f>VLOOKUP(AI45,[2]Golpes!$A$1:$G$653,5,FALSE)</f>
        <v>6d6</v>
      </c>
      <c r="AP45" s="36">
        <f>VLOOKUP(AI45,[2]Golpes!$A$1:$G$653,6,FALSE)</f>
        <v>1</v>
      </c>
      <c r="AQ45" s="17" t="str">
        <f>VLOOKUP(AI45,[2]Golpes!$A$1:$G$653,7,FALSE)</f>
        <v>Causa dano ignorando qualquer mudança em sua Precisão.</v>
      </c>
      <c r="AR45" s="35"/>
    </row>
    <row r="46" spans="1:46" x14ac:dyDescent="0.3">
      <c r="C46" s="46"/>
      <c r="E46" s="62"/>
      <c r="F46" s="63"/>
      <c r="G46" s="63" t="e">
        <f>VLOOKUP(E46,[2]Golpes!$A$1:$G$653,2,FALSE)&amp;"/"&amp;VLOOKUP(E46,[2]Golpes!$A$1:$G$653,3,FALSE)</f>
        <v>#N/A</v>
      </c>
      <c r="H46" s="63"/>
      <c r="I46" s="63"/>
      <c r="J46" s="25" t="e">
        <f>VLOOKUP(E46,[2]Golpes!$A$1:$G$653,4,FALSE)</f>
        <v>#N/A</v>
      </c>
      <c r="K46" s="25" t="e">
        <f>VLOOKUP(E46,[2]Golpes!$A$1:$G$653,5,FALSE)</f>
        <v>#N/A</v>
      </c>
      <c r="L46" s="36" t="e">
        <f>VLOOKUP(E46,[2]Golpes!$A$1:$G$653,6,FALSE)</f>
        <v>#N/A</v>
      </c>
      <c r="M46" s="17" t="e">
        <f>VLOOKUP(E46,[2]Golpes!$A$1:$G$653,7,FALSE)</f>
        <v>#N/A</v>
      </c>
      <c r="N46" s="35"/>
      <c r="T46" s="62"/>
      <c r="U46" s="63"/>
      <c r="V46" s="63" t="e">
        <f>VLOOKUP(T46,[2]Golpes!$A$1:$G$653,2,FALSE)&amp;"/"&amp;VLOOKUP(T46,[2]Golpes!$A$1:$G$653,3,FALSE)</f>
        <v>#N/A</v>
      </c>
      <c r="W46" s="63"/>
      <c r="X46" s="63"/>
      <c r="Y46" s="25" t="e">
        <f>VLOOKUP(T46,[2]Golpes!$A$1:$G$653,4,FALSE)</f>
        <v>#N/A</v>
      </c>
      <c r="Z46" s="25" t="e">
        <f>VLOOKUP(T46,[2]Golpes!$A$1:$G$653,5,FALSE)</f>
        <v>#N/A</v>
      </c>
      <c r="AA46" s="36" t="e">
        <f>VLOOKUP(T46,[2]Golpes!$A$1:$G$653,6,FALSE)</f>
        <v>#N/A</v>
      </c>
      <c r="AB46" s="17" t="e">
        <f>VLOOKUP(T46,[2]Golpes!$A$1:$G$653,7,FALSE)</f>
        <v>#N/A</v>
      </c>
      <c r="AC46" s="35"/>
      <c r="AI46" s="62" t="s">
        <v>163</v>
      </c>
      <c r="AJ46" s="63"/>
      <c r="AK46" s="63" t="str">
        <f>VLOOKUP(AI46,[2]Golpes!$A$1:$G$653,2,FALSE)&amp;"/"&amp;VLOOKUP(AI46,[2]Golpes!$A$1:$G$653,3,FALSE)</f>
        <v>Normal/Estado</v>
      </c>
      <c r="AL46" s="63"/>
      <c r="AM46" s="63"/>
      <c r="AN46" s="25">
        <f>VLOOKUP(AI46,[2]Golpes!$A$1:$G$653,4,FALSE)</f>
        <v>7</v>
      </c>
      <c r="AO46" s="25" t="str">
        <f>VLOOKUP(AI46,[2]Golpes!$A$1:$G$653,5,FALSE)</f>
        <v>-</v>
      </c>
      <c r="AP46" s="36">
        <f>VLOOKUP(AI46,[2]Golpes!$A$1:$G$653,6,FALSE)</f>
        <v>1</v>
      </c>
      <c r="AQ46" s="17" t="s">
        <v>164</v>
      </c>
      <c r="AR46" s="35"/>
    </row>
    <row r="47" spans="1:46" ht="15" thickBot="1" x14ac:dyDescent="0.35">
      <c r="C47" s="46"/>
      <c r="E47" s="67"/>
      <c r="F47" s="68"/>
      <c r="G47" s="68" t="e">
        <f>VLOOKUP(E47,[2]Golpes!$A$1:$G$653,2,FALSE)&amp;"/"&amp;VLOOKUP(E47,[2]Golpes!$A$1:$G$653,3,FALSE)</f>
        <v>#N/A</v>
      </c>
      <c r="H47" s="68"/>
      <c r="I47" s="68"/>
      <c r="J47" s="43" t="e">
        <f>VLOOKUP(E47,[2]Golpes!$A$1:$G$653,4,FALSE)</f>
        <v>#N/A</v>
      </c>
      <c r="K47" s="43" t="e">
        <f>VLOOKUP(E47,[2]Golpes!$A$1:$G$653,5,FALSE)</f>
        <v>#N/A</v>
      </c>
      <c r="L47" s="44" t="e">
        <f>VLOOKUP(E47,[2]Golpes!$A$1:$G$653,6,FALSE)</f>
        <v>#N/A</v>
      </c>
      <c r="M47" s="17" t="e">
        <f>VLOOKUP(E47,[2]Golpes!$A$1:$G$653,7,FALSE)</f>
        <v>#N/A</v>
      </c>
      <c r="N47" s="35"/>
      <c r="T47" s="67"/>
      <c r="U47" s="68"/>
      <c r="V47" s="68" t="e">
        <f>VLOOKUP(T47,[2]Golpes!$A$1:$G$653,2,FALSE)&amp;"/"&amp;VLOOKUP(T47,[2]Golpes!$A$1:$G$653,3,FALSE)</f>
        <v>#N/A</v>
      </c>
      <c r="W47" s="68"/>
      <c r="X47" s="68"/>
      <c r="Y47" s="43" t="e">
        <f>VLOOKUP(T47,[2]Golpes!$A$1:$G$653,4,FALSE)</f>
        <v>#N/A</v>
      </c>
      <c r="Z47" s="43" t="e">
        <f>VLOOKUP(T47,[2]Golpes!$A$1:$G$653,5,FALSE)</f>
        <v>#N/A</v>
      </c>
      <c r="AA47" s="44" t="e">
        <f>VLOOKUP(T47,[2]Golpes!$A$1:$G$653,6,FALSE)</f>
        <v>#N/A</v>
      </c>
      <c r="AB47" s="17" t="e">
        <f>VLOOKUP(T47,[2]Golpes!$A$1:$G$653,7,FALSE)</f>
        <v>#N/A</v>
      </c>
      <c r="AC47" s="35"/>
      <c r="AI47" s="67" t="s">
        <v>191</v>
      </c>
      <c r="AJ47" s="68"/>
      <c r="AK47" s="68" t="str">
        <f>VLOOKUP(AI47,[2]Golpes!$A$1:$G$653,2,FALSE)&amp;"/"&amp;VLOOKUP(AI47,[2]Golpes!$A$1:$G$653,3,FALSE)</f>
        <v>Grama/Especial</v>
      </c>
      <c r="AL47" s="68"/>
      <c r="AM47" s="68"/>
      <c r="AN47" s="43">
        <f>VLOOKUP(AI47,[2]Golpes!$A$1:$G$653,4,FALSE)</f>
        <v>8</v>
      </c>
      <c r="AO47" s="43" t="str">
        <f>VLOOKUP(AI47,[2]Golpes!$A$1:$G$653,5,FALSE)</f>
        <v>16d6</v>
      </c>
      <c r="AP47" s="44">
        <f>VLOOKUP(AI47,[2]Golpes!$A$1:$G$653,6,FALSE)</f>
        <v>1</v>
      </c>
      <c r="AQ47" s="17" t="s">
        <v>165</v>
      </c>
      <c r="AR47" s="35"/>
    </row>
    <row r="48" spans="1:46" x14ac:dyDescent="0.3">
      <c r="C48" s="46"/>
    </row>
    <row r="49" spans="3:3" x14ac:dyDescent="0.3">
      <c r="C49" s="46"/>
    </row>
    <row r="50" spans="3:3" x14ac:dyDescent="0.3">
      <c r="C50" s="46"/>
    </row>
    <row r="51" spans="3:3" x14ac:dyDescent="0.3">
      <c r="C51" s="46"/>
    </row>
    <row r="52" spans="3:3" x14ac:dyDescent="0.3">
      <c r="C52" s="46"/>
    </row>
    <row r="53" spans="3:3" x14ac:dyDescent="0.3">
      <c r="C53" s="46"/>
    </row>
    <row r="54" spans="3:3" x14ac:dyDescent="0.3">
      <c r="C54" s="46"/>
    </row>
    <row r="55" spans="3:3" x14ac:dyDescent="0.3">
      <c r="C55" s="46"/>
    </row>
    <row r="56" spans="3:3" x14ac:dyDescent="0.3">
      <c r="C56" s="46"/>
    </row>
    <row r="57" spans="3:3" x14ac:dyDescent="0.3">
      <c r="C57" s="46"/>
    </row>
    <row r="58" spans="3:3" x14ac:dyDescent="0.3">
      <c r="C58" s="46"/>
    </row>
  </sheetData>
  <mergeCells count="113">
    <mergeCell ref="AD33:AE33"/>
    <mergeCell ref="A34:C36"/>
    <mergeCell ref="A37:C37"/>
    <mergeCell ref="E43:F43"/>
    <mergeCell ref="T43:U43"/>
    <mergeCell ref="E47:F47"/>
    <mergeCell ref="G47:I47"/>
    <mergeCell ref="T47:U47"/>
    <mergeCell ref="V47:X47"/>
    <mergeCell ref="E45:F45"/>
    <mergeCell ref="G45:I45"/>
    <mergeCell ref="T45:U45"/>
    <mergeCell ref="V45:X45"/>
    <mergeCell ref="E46:F46"/>
    <mergeCell ref="G46:I46"/>
    <mergeCell ref="T46:U46"/>
    <mergeCell ref="V46:X46"/>
    <mergeCell ref="E44:F44"/>
    <mergeCell ref="G44:I44"/>
    <mergeCell ref="T44:U44"/>
    <mergeCell ref="A30:C30"/>
    <mergeCell ref="E30:F30"/>
    <mergeCell ref="G30:I30"/>
    <mergeCell ref="T30:U30"/>
    <mergeCell ref="V30:X30"/>
    <mergeCell ref="V44:X44"/>
    <mergeCell ref="A31:C33"/>
    <mergeCell ref="E31:F31"/>
    <mergeCell ref="G31:I31"/>
    <mergeCell ref="T31:U31"/>
    <mergeCell ref="V31:X31"/>
    <mergeCell ref="O33:P33"/>
    <mergeCell ref="AD17:AE17"/>
    <mergeCell ref="A18:C20"/>
    <mergeCell ref="A24:C26"/>
    <mergeCell ref="A27:C29"/>
    <mergeCell ref="E27:F27"/>
    <mergeCell ref="T27:U27"/>
    <mergeCell ref="E28:F28"/>
    <mergeCell ref="G28:I28"/>
    <mergeCell ref="T28:U28"/>
    <mergeCell ref="V28:X28"/>
    <mergeCell ref="E29:F29"/>
    <mergeCell ref="G29:I29"/>
    <mergeCell ref="T29:U29"/>
    <mergeCell ref="V29:X29"/>
    <mergeCell ref="A21:C23"/>
    <mergeCell ref="A16:C16"/>
    <mergeCell ref="A17:C17"/>
    <mergeCell ref="O17:P17"/>
    <mergeCell ref="V12:X12"/>
    <mergeCell ref="B13:C13"/>
    <mergeCell ref="E13:F13"/>
    <mergeCell ref="G13:I13"/>
    <mergeCell ref="T13:U13"/>
    <mergeCell ref="V13:X13"/>
    <mergeCell ref="E14:F14"/>
    <mergeCell ref="G14:I14"/>
    <mergeCell ref="T14:U14"/>
    <mergeCell ref="V14:X14"/>
    <mergeCell ref="E15:F15"/>
    <mergeCell ref="G15:I15"/>
    <mergeCell ref="T15:U15"/>
    <mergeCell ref="V15:X15"/>
    <mergeCell ref="B9:C9"/>
    <mergeCell ref="B10:C10"/>
    <mergeCell ref="E11:F11"/>
    <mergeCell ref="T11:U11"/>
    <mergeCell ref="B12:C12"/>
    <mergeCell ref="E12:F12"/>
    <mergeCell ref="G12:I12"/>
    <mergeCell ref="T12:U12"/>
    <mergeCell ref="B11:C11"/>
    <mergeCell ref="B5:C5"/>
    <mergeCell ref="O1:P1"/>
    <mergeCell ref="AD1:AE1"/>
    <mergeCell ref="B2:C2"/>
    <mergeCell ref="B3:C3"/>
    <mergeCell ref="B4:C4"/>
    <mergeCell ref="B6:C6"/>
    <mergeCell ref="A7:C7"/>
    <mergeCell ref="B8:C8"/>
    <mergeCell ref="B1:C1"/>
    <mergeCell ref="AI14:AJ14"/>
    <mergeCell ref="AK14:AM14"/>
    <mergeCell ref="AI15:AJ15"/>
    <mergeCell ref="AK15:AM15"/>
    <mergeCell ref="AS17:AT17"/>
    <mergeCell ref="AS1:AT1"/>
    <mergeCell ref="AI11:AJ11"/>
    <mergeCell ref="AI12:AJ12"/>
    <mergeCell ref="AK12:AM12"/>
    <mergeCell ref="AI13:AJ13"/>
    <mergeCell ref="AK13:AM13"/>
    <mergeCell ref="AI30:AJ30"/>
    <mergeCell ref="AK30:AM30"/>
    <mergeCell ref="AI31:AJ31"/>
    <mergeCell ref="AK31:AM31"/>
    <mergeCell ref="AS33:AT33"/>
    <mergeCell ref="AI27:AJ27"/>
    <mergeCell ref="AI28:AJ28"/>
    <mergeCell ref="AK28:AM28"/>
    <mergeCell ref="AI29:AJ29"/>
    <mergeCell ref="AK29:AM29"/>
    <mergeCell ref="AI46:AJ46"/>
    <mergeCell ref="AK46:AM46"/>
    <mergeCell ref="AI47:AJ47"/>
    <mergeCell ref="AK47:AM47"/>
    <mergeCell ref="AI43:AJ43"/>
    <mergeCell ref="AI44:AJ44"/>
    <mergeCell ref="AK44:AM44"/>
    <mergeCell ref="AI45:AJ45"/>
    <mergeCell ref="AK45:AM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58"/>
  <sheetViews>
    <sheetView workbookViewId="0">
      <selection activeCell="B2" sqref="B2:C2"/>
    </sheetView>
  </sheetViews>
  <sheetFormatPr defaultRowHeight="14.4" x14ac:dyDescent="0.3"/>
  <sheetData>
    <row r="1" spans="1:31" x14ac:dyDescent="0.3">
      <c r="A1" s="1" t="s">
        <v>0</v>
      </c>
      <c r="B1" s="55" t="s">
        <v>174</v>
      </c>
      <c r="C1" s="56"/>
      <c r="E1" s="2" t="s">
        <v>1</v>
      </c>
      <c r="F1" s="3"/>
      <c r="G1" s="4"/>
      <c r="H1" s="5"/>
      <c r="I1" s="6" t="s">
        <v>2</v>
      </c>
      <c r="J1" s="6" t="s">
        <v>3</v>
      </c>
      <c r="K1" s="6" t="s">
        <v>4</v>
      </c>
      <c r="L1" s="7" t="s">
        <v>5</v>
      </c>
      <c r="M1" s="8"/>
      <c r="N1" s="9"/>
      <c r="O1" s="53" t="s">
        <v>6</v>
      </c>
      <c r="P1" s="54"/>
      <c r="T1" s="2" t="s">
        <v>1</v>
      </c>
      <c r="U1" s="3"/>
      <c r="V1" s="4"/>
      <c r="W1" s="5"/>
      <c r="X1" s="6" t="s">
        <v>2</v>
      </c>
      <c r="Y1" s="6" t="s">
        <v>3</v>
      </c>
      <c r="Z1" s="6" t="s">
        <v>4</v>
      </c>
      <c r="AA1" s="7" t="s">
        <v>5</v>
      </c>
      <c r="AB1" s="8"/>
      <c r="AC1" s="9"/>
      <c r="AD1" s="53" t="s">
        <v>6</v>
      </c>
      <c r="AE1" s="54"/>
    </row>
    <row r="2" spans="1:31" x14ac:dyDescent="0.3">
      <c r="A2" s="10" t="s">
        <v>7</v>
      </c>
      <c r="B2" s="51">
        <v>26</v>
      </c>
      <c r="C2" s="52"/>
      <c r="E2" s="11" t="s">
        <v>8</v>
      </c>
      <c r="F2" s="8" t="s">
        <v>9</v>
      </c>
      <c r="G2" s="12" t="s">
        <v>10</v>
      </c>
      <c r="H2" s="13" t="s">
        <v>11</v>
      </c>
      <c r="I2" s="14" t="e">
        <f>VLOOKUP(F1,[1]Pokemon!$A$1:$I$874,3,FALSE)+IF(F3="Sim",20,0)</f>
        <v>#N/A</v>
      </c>
      <c r="J2" s="15">
        <v>0</v>
      </c>
      <c r="K2" s="8" t="e">
        <f>IF($B$5="Vigoroso",ROUNDUP((N2+J2)*1.2,0),N2+J2)</f>
        <v>#N/A</v>
      </c>
      <c r="L2" s="16">
        <v>0</v>
      </c>
      <c r="M2" s="17"/>
      <c r="N2" s="9" t="e">
        <f>I2+LOOKUP(I2,[1]Dados!$C$3:$D$12,[1]Dados!$E$3:$E$12)*(ROUNDDOWN(F5/2,0))+LOOKUP(I2,[1]Dados!$C$3:$D$12,[1]Dados!$F$3:$F$12)*(ROUNDDOWN((F5-1)/2,0))</f>
        <v>#N/A</v>
      </c>
      <c r="O2" s="18" t="s">
        <v>12</v>
      </c>
      <c r="P2" s="19"/>
      <c r="T2" s="11" t="s">
        <v>8</v>
      </c>
      <c r="U2" s="8" t="s">
        <v>9</v>
      </c>
      <c r="V2" s="12" t="s">
        <v>10</v>
      </c>
      <c r="W2" s="13" t="s">
        <v>11</v>
      </c>
      <c r="X2" s="14" t="e">
        <f>VLOOKUP(U1,[1]Pokemon!$A$1:$I$874,3,FALSE)+IF(U3="Sim",20,0)</f>
        <v>#N/A</v>
      </c>
      <c r="Y2" s="15">
        <v>0</v>
      </c>
      <c r="Z2" s="8" t="e">
        <f>IF($B$5="Vigoroso",ROUNDUP((AC2+Y2)*1.2,0),AC2+Y2)</f>
        <v>#N/A</v>
      </c>
      <c r="AA2" s="16">
        <v>0</v>
      </c>
      <c r="AB2" s="17"/>
      <c r="AC2" s="9" t="e">
        <f>X2+LOOKUP(X2,[1]Dados!$C$3:$D$12,[1]Dados!$E$3:$E$12)*(ROUNDDOWN(U5/2,0))+LOOKUP(X2,[1]Dados!$C$3:$D$12,[1]Dados!$F$3:$F$12)*(ROUNDDOWN((U5-1)/2,0))</f>
        <v>#N/A</v>
      </c>
      <c r="AD2" s="18" t="s">
        <v>12</v>
      </c>
      <c r="AE2" s="19"/>
    </row>
    <row r="3" spans="1:31" x14ac:dyDescent="0.3">
      <c r="A3" s="10" t="s">
        <v>13</v>
      </c>
      <c r="B3" s="51" t="s">
        <v>51</v>
      </c>
      <c r="C3" s="52"/>
      <c r="E3" s="11" t="s">
        <v>14</v>
      </c>
      <c r="F3" s="8" t="s">
        <v>15</v>
      </c>
      <c r="G3" s="20"/>
      <c r="H3" s="13" t="s">
        <v>16</v>
      </c>
      <c r="I3" s="21">
        <f>20+IF(F3="Sim",10,0)</f>
        <v>20</v>
      </c>
      <c r="J3" s="22">
        <v>0</v>
      </c>
      <c r="K3" s="8">
        <f>18+(F5*2)+IF(F3="Sim",10,0)+J3</f>
        <v>20</v>
      </c>
      <c r="L3" s="16">
        <v>0</v>
      </c>
      <c r="M3" s="17"/>
      <c r="N3" s="9"/>
      <c r="O3" s="18" t="s">
        <v>17</v>
      </c>
      <c r="P3" s="19"/>
      <c r="T3" s="11" t="s">
        <v>14</v>
      </c>
      <c r="U3" s="8" t="s">
        <v>15</v>
      </c>
      <c r="V3" s="20"/>
      <c r="W3" s="13" t="s">
        <v>16</v>
      </c>
      <c r="X3" s="21">
        <f>20+IF(U3="Sim",10,0)</f>
        <v>20</v>
      </c>
      <c r="Y3" s="22">
        <v>0</v>
      </c>
      <c r="Z3" s="8">
        <f>18+(U5*2)+IF(U3="Sim",10,0)+Y3</f>
        <v>20</v>
      </c>
      <c r="AA3" s="16">
        <v>0</v>
      </c>
      <c r="AB3" s="17"/>
      <c r="AC3" s="9"/>
      <c r="AD3" s="18" t="s">
        <v>17</v>
      </c>
      <c r="AE3" s="19"/>
    </row>
    <row r="4" spans="1:31" x14ac:dyDescent="0.3">
      <c r="A4" s="10" t="s">
        <v>18</v>
      </c>
      <c r="B4" s="51" t="s">
        <v>52</v>
      </c>
      <c r="C4" s="52"/>
      <c r="E4" s="11" t="s">
        <v>19</v>
      </c>
      <c r="F4" s="23" t="e">
        <f>VLOOKUP(F1,[1]Pokemon!$A$1:$I$874,2,FALSE)</f>
        <v>#N/A</v>
      </c>
      <c r="G4" s="20"/>
      <c r="H4" s="13" t="s">
        <v>12</v>
      </c>
      <c r="I4" s="14" t="e">
        <f>VLOOKUP(F1,[1]Pokemon!$A$1:$I$874,4,FALSE)+IF(F3="Sim",1,0)</f>
        <v>#N/A</v>
      </c>
      <c r="J4" s="22">
        <v>1</v>
      </c>
      <c r="K4" s="8" t="e">
        <f>IF(L7="Sim", ROUNDUP((N4+ROUNDDOWN(F7/10,0))*J4*P2,0), ROUNDUP((N4+ROUNDDOWN(F7/10,0))*J4,0))</f>
        <v>#N/A</v>
      </c>
      <c r="L4" s="24" t="s">
        <v>20</v>
      </c>
      <c r="M4" s="17"/>
      <c r="N4" s="9" t="e">
        <f>I4+LOOKUP(I4,[1]Dados!$H$3:$I$12,[1]Dados!$J$3:$J$12)*(ROUNDDOWN(F5/2,0))+LOOKUP(I4,[1]Dados!$H$3:$I$12,[1]Dados!$K$3:$K$12)*(ROUNDDOWN((F5-1)/2,0))</f>
        <v>#N/A</v>
      </c>
      <c r="O4" s="18" t="s">
        <v>21</v>
      </c>
      <c r="P4" s="19"/>
      <c r="T4" s="11" t="s">
        <v>19</v>
      </c>
      <c r="U4" s="23" t="e">
        <f>VLOOKUP(U1,[1]Pokemon!$A$1:$I$874,2,FALSE)</f>
        <v>#N/A</v>
      </c>
      <c r="V4" s="20"/>
      <c r="W4" s="13" t="s">
        <v>12</v>
      </c>
      <c r="X4" s="14" t="e">
        <f>VLOOKUP(U1,[1]Pokemon!$A$1:$I$874,4,FALSE)+IF(U3="Sim",1,0)</f>
        <v>#N/A</v>
      </c>
      <c r="Y4" s="22">
        <v>1</v>
      </c>
      <c r="Z4" s="8" t="e">
        <f>IF(AA7="Sim", ROUNDUP((AC4+ROUNDDOWN(U7/10,0))*Y4*AE2,0), ROUNDUP((AC4+ROUNDDOWN(U7/10,0))*Y4,0))</f>
        <v>#N/A</v>
      </c>
      <c r="AA4" s="24" t="s">
        <v>20</v>
      </c>
      <c r="AB4" s="17"/>
      <c r="AC4" s="9" t="e">
        <f>X4+LOOKUP(X4,[1]Dados!$H$3:$I$12,[1]Dados!$J$3:$J$12)*(ROUNDDOWN(U5/2,0))+LOOKUP(X4,[1]Dados!$H$3:$I$12,[1]Dados!$K$3:$K$12)*(ROUNDDOWN((U5-1)/2,0))</f>
        <v>#N/A</v>
      </c>
      <c r="AD4" s="18" t="s">
        <v>21</v>
      </c>
      <c r="AE4" s="19"/>
    </row>
    <row r="5" spans="1:31" x14ac:dyDescent="0.3">
      <c r="A5" s="10" t="s">
        <v>22</v>
      </c>
      <c r="B5" s="51" t="s">
        <v>180</v>
      </c>
      <c r="C5" s="52"/>
      <c r="E5" s="11" t="s">
        <v>23</v>
      </c>
      <c r="F5" s="25">
        <v>1</v>
      </c>
      <c r="G5" s="20"/>
      <c r="H5" s="13" t="s">
        <v>17</v>
      </c>
      <c r="I5" s="14" t="e">
        <f>VLOOKUP(F1,[1]Pokemon!$A$1:$I$874,5,FALSE)+IF(F3="Sim",1,0)</f>
        <v>#N/A</v>
      </c>
      <c r="J5" s="22">
        <v>1</v>
      </c>
      <c r="K5" s="8" t="e">
        <f>IF(L7="Sim", ROUNDUP((N5+ROUNDDOWN(F7/10,0))*J5*P3,0), ROUNDUP((N5+ROUNDDOWN(F7/10,0))*J5,0))</f>
        <v>#N/A</v>
      </c>
      <c r="L5" s="26" t="e">
        <f>ROUNDDOWN(I8/2,0)</f>
        <v>#N/A</v>
      </c>
      <c r="M5" s="17"/>
      <c r="N5" s="9" t="e">
        <f>I5+LOOKUP(I5,[1]Dados!$H$3:$I$12,[1]Dados!$J$3:$J$12)*(ROUNDDOWN(F5/2,0))+LOOKUP(I5,[1]Dados!$H$3:$I$12,[1]Dados!$K$3:$K$12)*(ROUNDDOWN((F5-1)/2,0))</f>
        <v>#N/A</v>
      </c>
      <c r="O5" s="18" t="s">
        <v>24</v>
      </c>
      <c r="P5" s="19"/>
      <c r="T5" s="11" t="s">
        <v>23</v>
      </c>
      <c r="U5" s="25">
        <v>1</v>
      </c>
      <c r="V5" s="20"/>
      <c r="W5" s="13" t="s">
        <v>17</v>
      </c>
      <c r="X5" s="14" t="e">
        <f>VLOOKUP(U1,[1]Pokemon!$A$1:$I$874,5,FALSE)+IF(U3="Sim",1,0)</f>
        <v>#N/A</v>
      </c>
      <c r="Y5" s="22">
        <v>1</v>
      </c>
      <c r="Z5" s="8" t="e">
        <f>IF(AA7="Sim", ROUNDUP((AC5+ROUNDDOWN(U7/10,0))*Y5*AE3,0), ROUNDUP((AC5+ROUNDDOWN(U7/10,0))*Y5,0))</f>
        <v>#N/A</v>
      </c>
      <c r="AA5" s="26" t="e">
        <f>ROUNDDOWN(X8/2,0)</f>
        <v>#N/A</v>
      </c>
      <c r="AB5" s="17"/>
      <c r="AC5" s="9" t="e">
        <f>X5+LOOKUP(X5,[1]Dados!$H$3:$I$12,[1]Dados!$J$3:$J$12)*(ROUNDDOWN(U5/2,0))+LOOKUP(X5,[1]Dados!$H$3:$I$12,[1]Dados!$K$3:$K$12)*(ROUNDDOWN((U5-1)/2,0))</f>
        <v>#N/A</v>
      </c>
      <c r="AD5" s="18" t="s">
        <v>24</v>
      </c>
      <c r="AE5" s="19"/>
    </row>
    <row r="6" spans="1:31" ht="15" thickBot="1" x14ac:dyDescent="0.35">
      <c r="A6" s="27" t="s">
        <v>25</v>
      </c>
      <c r="B6" s="57" t="s">
        <v>32</v>
      </c>
      <c r="C6" s="58"/>
      <c r="E6" s="11" t="s">
        <v>26</v>
      </c>
      <c r="F6" s="23">
        <v>0</v>
      </c>
      <c r="G6" s="20"/>
      <c r="H6" s="13" t="s">
        <v>21</v>
      </c>
      <c r="I6" s="14" t="e">
        <f>VLOOKUP(F1,[1]Pokemon!$A$1:$I$874,6,FALSE)+IF(F3="Sim",1,0)</f>
        <v>#N/A</v>
      </c>
      <c r="J6" s="22">
        <v>1</v>
      </c>
      <c r="K6" s="8" t="e">
        <f>IF(L7="Sim", ROUNDUP((N6+ROUNDDOWN(F7/10,0))*J6*P4,0), ROUNDUP((N6+ROUNDDOWN(F7/10,0))*J6,0))</f>
        <v>#N/A</v>
      </c>
      <c r="L6" s="24" t="s">
        <v>27</v>
      </c>
      <c r="M6" s="17"/>
      <c r="N6" s="9" t="e">
        <f>I6+LOOKUP(I6,[1]Dados!$H$3:$I$12,[1]Dados!$J$3:$J$12)*(ROUNDDOWN(F5/2,0))+LOOKUP(I6,[1]Dados!$H$3:$I$12,[1]Dados!$K$3:$K$12)*(ROUNDDOWN((F5-1)/2,0))</f>
        <v>#N/A</v>
      </c>
      <c r="O6" s="28" t="s">
        <v>28</v>
      </c>
      <c r="P6" s="29"/>
      <c r="T6" s="11" t="s">
        <v>26</v>
      </c>
      <c r="U6" s="23">
        <v>0</v>
      </c>
      <c r="V6" s="20"/>
      <c r="W6" s="13" t="s">
        <v>21</v>
      </c>
      <c r="X6" s="14" t="e">
        <f>VLOOKUP(U1,[1]Pokemon!$A$1:$I$874,6,FALSE)+IF(U3="Sim",1,0)</f>
        <v>#N/A</v>
      </c>
      <c r="Y6" s="22">
        <v>1</v>
      </c>
      <c r="Z6" s="8" t="e">
        <f>IF(AA7="Sim", ROUNDUP((AC6+ROUNDDOWN(U7/10,0))*Y6*AE4,0), ROUNDUP((AC6+ROUNDDOWN(U7/10,0))*Y6,0))</f>
        <v>#N/A</v>
      </c>
      <c r="AA6" s="24" t="s">
        <v>27</v>
      </c>
      <c r="AB6" s="17"/>
      <c r="AC6" s="9" t="e">
        <f>X6+LOOKUP(X6,[1]Dados!$H$3:$I$12,[1]Dados!$J$3:$J$12)*(ROUNDDOWN(U5/2,0))+LOOKUP(X6,[1]Dados!$H$3:$I$12,[1]Dados!$K$3:$K$12)*(ROUNDDOWN((U5-1)/2,0))</f>
        <v>#N/A</v>
      </c>
      <c r="AD6" s="28" t="s">
        <v>28</v>
      </c>
      <c r="AE6" s="29"/>
    </row>
    <row r="7" spans="1:31" ht="15" thickBot="1" x14ac:dyDescent="0.35">
      <c r="A7" s="59"/>
      <c r="B7" s="59"/>
      <c r="C7" s="59"/>
      <c r="E7" s="11" t="s">
        <v>29</v>
      </c>
      <c r="F7" s="30">
        <v>0</v>
      </c>
      <c r="G7" s="20"/>
      <c r="H7" s="13" t="s">
        <v>24</v>
      </c>
      <c r="I7" s="14" t="e">
        <f>VLOOKUP(F1,[1]Pokemon!$A$1:$I$874,7,FALSE)+IF(F3="Sim",1,0)</f>
        <v>#N/A</v>
      </c>
      <c r="J7" s="22">
        <v>1</v>
      </c>
      <c r="K7" s="8" t="e">
        <f>IF(L7="Sim", ROUNDUP((N7+ROUNDDOWN(F7/10,0))*J7*P5,0), ROUNDUP((N7+ROUNDDOWN(F7/10,0))*J7,0))</f>
        <v>#N/A</v>
      </c>
      <c r="L7" s="26" t="s">
        <v>15</v>
      </c>
      <c r="M7" s="17"/>
      <c r="N7" s="9" t="e">
        <f>I7+LOOKUP(I7,[1]Dados!$H$3:$I$12,[1]Dados!$J$3:$J$12)*(ROUNDDOWN(F5/2,0))+LOOKUP(I7,[1]Dados!$H$3:$I$12,[1]Dados!$K$3:$K$12)*(ROUNDDOWN((F5-1)/2,0))</f>
        <v>#N/A</v>
      </c>
      <c r="T7" s="11" t="s">
        <v>29</v>
      </c>
      <c r="U7" s="30">
        <v>0</v>
      </c>
      <c r="V7" s="20"/>
      <c r="W7" s="13" t="s">
        <v>24</v>
      </c>
      <c r="X7" s="14" t="e">
        <f>VLOOKUP(U1,[1]Pokemon!$A$1:$I$874,7,FALSE)+IF(U3="Sim",1,0)</f>
        <v>#N/A</v>
      </c>
      <c r="Y7" s="22">
        <v>1</v>
      </c>
      <c r="Z7" s="8" t="e">
        <f>IF(AA7="Sim", ROUNDUP((AC7+ROUNDDOWN(U7/10,0))*Y7*AE5,0), ROUNDUP((AC7+ROUNDDOWN(U7/10,0))*Y7,0))</f>
        <v>#N/A</v>
      </c>
      <c r="AA7" s="26" t="s">
        <v>15</v>
      </c>
      <c r="AB7" s="17"/>
      <c r="AC7" s="9" t="e">
        <f>X7+LOOKUP(X7,[1]Dados!$H$3:$I$12,[1]Dados!$J$3:$J$12)*(ROUNDDOWN(U5/2,0))+LOOKUP(X7,[1]Dados!$H$3:$I$12,[1]Dados!$K$3:$K$12)*(ROUNDDOWN((U5-1)/2,0))</f>
        <v>#N/A</v>
      </c>
    </row>
    <row r="8" spans="1:31" x14ac:dyDescent="0.3">
      <c r="A8" s="1" t="s">
        <v>30</v>
      </c>
      <c r="B8" s="55">
        <v>4</v>
      </c>
      <c r="C8" s="56"/>
      <c r="E8" s="11" t="s">
        <v>31</v>
      </c>
      <c r="F8" s="23" t="s">
        <v>32</v>
      </c>
      <c r="G8" s="20"/>
      <c r="H8" s="13" t="s">
        <v>28</v>
      </c>
      <c r="I8" s="14" t="e">
        <f>VLOOKUP(F1,[1]Pokemon!$A$1:$I$874,8,FALSE)+IF(F3="Sim",1,0)</f>
        <v>#N/A</v>
      </c>
      <c r="J8" s="22">
        <f>1*IF(F9="Paralisado",0.5,1)</f>
        <v>1</v>
      </c>
      <c r="K8" s="8" t="e">
        <f>IF(L7="Sim", ROUNDUP(N8*J8*P6,0), ROUNDUP(N8*J8,0))</f>
        <v>#N/A</v>
      </c>
      <c r="L8" s="31" t="e">
        <f>IF(L7 = "Sim", ROUNDUP((K8/(10*P6)), 0)&amp;"d6", ROUNDUP((K8/10), 0)&amp;"d6")</f>
        <v>#N/A</v>
      </c>
      <c r="M8" s="17"/>
      <c r="N8" s="9" t="e">
        <f>I8+LOOKUP(I8,[1]Dados!$H$3:$I$12,[1]Dados!$J$3:$J$12)*(ROUNDDOWN(F5/2,0))+LOOKUP(I8,[1]Dados!$H$3:$I$12,[1]Dados!$K$3:$K$12)*(ROUNDDOWN((F5-1)/2,0))</f>
        <v>#N/A</v>
      </c>
      <c r="T8" s="11" t="s">
        <v>31</v>
      </c>
      <c r="U8" s="23" t="s">
        <v>32</v>
      </c>
      <c r="V8" s="20"/>
      <c r="W8" s="13" t="s">
        <v>28</v>
      </c>
      <c r="X8" s="14" t="e">
        <f>VLOOKUP(U1,[1]Pokemon!$A$1:$I$874,8,FALSE)+IF(U3="Sim",1,0)</f>
        <v>#N/A</v>
      </c>
      <c r="Y8" s="22">
        <f>1*IF(U9="Paralisado",0.5,1)</f>
        <v>1</v>
      </c>
      <c r="Z8" s="8" t="e">
        <f>IF(AA7="Sim", ROUNDUP(AC8*Y8*AE6,0), ROUNDUP(AC8*Y8,0))</f>
        <v>#N/A</v>
      </c>
      <c r="AA8" s="31" t="e">
        <f>IF(AA7 = "Sim", ROUNDUP((Z8/(10*AE6)), 0)&amp;"d6", ROUNDUP((Z8/10), 0)&amp;"d6")</f>
        <v>#N/A</v>
      </c>
      <c r="AB8" s="17"/>
      <c r="AC8" s="9" t="e">
        <f>X8+LOOKUP(X8,[1]Dados!$H$3:$I$12,[1]Dados!$J$3:$J$12)*(ROUNDDOWN(U5/2,0))+LOOKUP(X8,[1]Dados!$H$3:$I$12,[1]Dados!$K$3:$K$12)*(ROUNDDOWN((U5-1)/2,0))</f>
        <v>#N/A</v>
      </c>
    </row>
    <row r="9" spans="1:31" x14ac:dyDescent="0.3">
      <c r="A9" s="10" t="s">
        <v>33</v>
      </c>
      <c r="B9" s="51">
        <v>4</v>
      </c>
      <c r="C9" s="52"/>
      <c r="E9" s="11" t="s">
        <v>34</v>
      </c>
      <c r="F9" s="23"/>
      <c r="G9" s="20"/>
      <c r="H9" s="13" t="s">
        <v>35</v>
      </c>
      <c r="I9" s="14" t="e">
        <f>VLOOKUP(F1,[1]Pokemon!$A$1:$I$874,9,FALSE)</f>
        <v>#N/A</v>
      </c>
      <c r="J9" s="13" t="s">
        <v>36</v>
      </c>
      <c r="K9" s="13"/>
      <c r="L9" s="32" t="e">
        <f>((F5+1)*I9/2)-F6</f>
        <v>#N/A</v>
      </c>
      <c r="M9" s="17"/>
      <c r="N9" s="33"/>
      <c r="T9" s="11" t="s">
        <v>34</v>
      </c>
      <c r="U9" s="23"/>
      <c r="V9" s="20"/>
      <c r="W9" s="13" t="s">
        <v>35</v>
      </c>
      <c r="X9" s="14" t="e">
        <f>VLOOKUP(U1,[1]Pokemon!$A$1:$I$874,9,FALSE)</f>
        <v>#N/A</v>
      </c>
      <c r="Y9" s="13" t="s">
        <v>36</v>
      </c>
      <c r="Z9" s="13"/>
      <c r="AA9" s="32" t="e">
        <f>((U5+1)*X9/2)-U6</f>
        <v>#N/A</v>
      </c>
      <c r="AB9" s="17"/>
      <c r="AC9" s="33"/>
    </row>
    <row r="10" spans="1:31" x14ac:dyDescent="0.3">
      <c r="A10" s="10" t="s">
        <v>37</v>
      </c>
      <c r="B10" s="51">
        <v>5</v>
      </c>
      <c r="C10" s="52"/>
      <c r="E10" s="34"/>
      <c r="F10" s="8"/>
      <c r="G10" s="17"/>
      <c r="H10" s="8"/>
      <c r="I10" s="8"/>
      <c r="J10" s="8"/>
      <c r="K10" s="8"/>
      <c r="L10" s="26"/>
      <c r="M10" s="17"/>
      <c r="N10" s="35"/>
      <c r="T10" s="34"/>
      <c r="U10" s="8"/>
      <c r="V10" s="17"/>
      <c r="W10" s="8"/>
      <c r="X10" s="8"/>
      <c r="Y10" s="8"/>
      <c r="Z10" s="8"/>
      <c r="AA10" s="26"/>
      <c r="AB10" s="17"/>
      <c r="AC10" s="35"/>
    </row>
    <row r="11" spans="1:31" x14ac:dyDescent="0.3">
      <c r="A11" s="10" t="s">
        <v>38</v>
      </c>
      <c r="B11" s="51">
        <v>3</v>
      </c>
      <c r="C11" s="52"/>
      <c r="E11" s="60" t="s">
        <v>39</v>
      </c>
      <c r="F11" s="61"/>
      <c r="G11" s="13" t="s">
        <v>40</v>
      </c>
      <c r="H11" s="13"/>
      <c r="I11" s="13"/>
      <c r="J11" s="13" t="s">
        <v>16</v>
      </c>
      <c r="K11" s="13" t="s">
        <v>41</v>
      </c>
      <c r="L11" s="24" t="s">
        <v>42</v>
      </c>
      <c r="M11" s="17"/>
      <c r="N11" s="35"/>
      <c r="T11" s="60" t="s">
        <v>39</v>
      </c>
      <c r="U11" s="61"/>
      <c r="V11" s="13" t="s">
        <v>40</v>
      </c>
      <c r="W11" s="13"/>
      <c r="X11" s="13"/>
      <c r="Y11" s="13" t="s">
        <v>16</v>
      </c>
      <c r="Z11" s="13" t="s">
        <v>41</v>
      </c>
      <c r="AA11" s="24" t="s">
        <v>42</v>
      </c>
      <c r="AB11" s="17"/>
      <c r="AC11" s="35"/>
    </row>
    <row r="12" spans="1:31" x14ac:dyDescent="0.3">
      <c r="A12" s="10" t="s">
        <v>43</v>
      </c>
      <c r="B12" s="51">
        <v>3</v>
      </c>
      <c r="C12" s="52"/>
      <c r="E12" s="62"/>
      <c r="F12" s="63"/>
      <c r="G12" s="63" t="e">
        <f>VLOOKUP(E12,[2]Golpes!$A$1:$G$653,2,FALSE)&amp;"/"&amp;VLOOKUP(E12,[2]Golpes!$A$1:$G$653,3,FALSE)</f>
        <v>#N/A</v>
      </c>
      <c r="H12" s="63"/>
      <c r="I12" s="63"/>
      <c r="J12" s="25" t="e">
        <f>VLOOKUP(E12,[2]Golpes!$A$1:$G$653,4,FALSE)</f>
        <v>#N/A</v>
      </c>
      <c r="K12" s="25" t="e">
        <f>VLOOKUP(E12,[2]Golpes!$A$1:$G$653,5,FALSE)</f>
        <v>#N/A</v>
      </c>
      <c r="L12" s="36" t="e">
        <f>VLOOKUP(E12,[2]Golpes!$A$1:$G$653,6,FALSE)</f>
        <v>#N/A</v>
      </c>
      <c r="M12" s="17" t="e">
        <f>VLOOKUP(E12,[2]Golpes!$A$1:$G$653,7,FALSE)</f>
        <v>#N/A</v>
      </c>
      <c r="N12" s="35"/>
      <c r="T12" s="62"/>
      <c r="U12" s="63"/>
      <c r="V12" s="63" t="e">
        <f>VLOOKUP(T12,[2]Golpes!$A$1:$G$653,2,FALSE)&amp;"/"&amp;VLOOKUP(T12,[2]Golpes!$A$1:$G$653,3,FALSE)</f>
        <v>#N/A</v>
      </c>
      <c r="W12" s="63"/>
      <c r="X12" s="63"/>
      <c r="Y12" s="25" t="e">
        <f>VLOOKUP(T12,[2]Golpes!$A$1:$G$653,4,FALSE)</f>
        <v>#N/A</v>
      </c>
      <c r="Z12" s="25" t="e">
        <f>VLOOKUP(T12,[2]Golpes!$A$1:$G$653,5,FALSE)</f>
        <v>#N/A</v>
      </c>
      <c r="AA12" s="36" t="e">
        <f>VLOOKUP(T12,[2]Golpes!$A$1:$G$653,6,FALSE)</f>
        <v>#N/A</v>
      </c>
      <c r="AB12" s="17" t="e">
        <f>VLOOKUP(T12,[2]Golpes!$A$1:$G$653,7,FALSE)</f>
        <v>#N/A</v>
      </c>
      <c r="AC12" s="35"/>
    </row>
    <row r="13" spans="1:31" ht="15" thickBot="1" x14ac:dyDescent="0.35">
      <c r="A13" s="27" t="s">
        <v>44</v>
      </c>
      <c r="B13" s="57">
        <v>3</v>
      </c>
      <c r="C13" s="58"/>
      <c r="E13" s="62"/>
      <c r="F13" s="63"/>
      <c r="G13" s="63" t="e">
        <f>VLOOKUP(E13,[2]Golpes!$A$1:$G$653,2,FALSE)&amp;"/"&amp;VLOOKUP(E13,[2]Golpes!$A$1:$G$653,3,FALSE)</f>
        <v>#N/A</v>
      </c>
      <c r="H13" s="63"/>
      <c r="I13" s="63"/>
      <c r="J13" s="25" t="e">
        <f>VLOOKUP(E13,[2]Golpes!$A$1:$G$653,4,FALSE)</f>
        <v>#N/A</v>
      </c>
      <c r="K13" s="25" t="e">
        <f>VLOOKUP(E13,[2]Golpes!$A$1:$G$653,5,FALSE)</f>
        <v>#N/A</v>
      </c>
      <c r="L13" s="36" t="e">
        <f>VLOOKUP(E13,[2]Golpes!$A$1:$G$653,6,FALSE)</f>
        <v>#N/A</v>
      </c>
      <c r="M13" s="17" t="e">
        <f>VLOOKUP(E13,[2]Golpes!$A$1:$G$653,7,FALSE)</f>
        <v>#N/A</v>
      </c>
      <c r="N13" s="35"/>
      <c r="T13" s="62"/>
      <c r="U13" s="63"/>
      <c r="V13" s="63" t="e">
        <f>VLOOKUP(T13,[2]Golpes!$A$1:$G$653,2,FALSE)&amp;"/"&amp;VLOOKUP(T13,[2]Golpes!$A$1:$G$653,3,FALSE)</f>
        <v>#N/A</v>
      </c>
      <c r="W13" s="63"/>
      <c r="X13" s="63"/>
      <c r="Y13" s="25" t="e">
        <f>VLOOKUP(T13,[2]Golpes!$A$1:$G$653,4,FALSE)</f>
        <v>#N/A</v>
      </c>
      <c r="Z13" s="25" t="e">
        <f>VLOOKUP(T13,[2]Golpes!$A$1:$G$653,5,FALSE)</f>
        <v>#N/A</v>
      </c>
      <c r="AA13" s="36" t="e">
        <f>VLOOKUP(T13,[2]Golpes!$A$1:$G$653,6,FALSE)</f>
        <v>#N/A</v>
      </c>
      <c r="AB13" s="17" t="e">
        <f>VLOOKUP(T13,[2]Golpes!$A$1:$G$653,7,FALSE)</f>
        <v>#N/A</v>
      </c>
      <c r="AC13" s="35"/>
    </row>
    <row r="14" spans="1:31" x14ac:dyDescent="0.3">
      <c r="A14" s="37" t="s">
        <v>45</v>
      </c>
      <c r="B14" s="38">
        <v>50</v>
      </c>
      <c r="C14" s="39">
        <f>B10*10</f>
        <v>50</v>
      </c>
      <c r="E14" s="62"/>
      <c r="F14" s="63"/>
      <c r="G14" s="63" t="e">
        <f>VLOOKUP(E14,[2]Golpes!$A$1:$G$653,2,FALSE)&amp;"/"&amp;VLOOKUP(E14,[2]Golpes!$A$1:$G$653,3,FALSE)</f>
        <v>#N/A</v>
      </c>
      <c r="H14" s="63"/>
      <c r="I14" s="63"/>
      <c r="J14" s="25" t="e">
        <f>VLOOKUP(E14,[2]Golpes!$A$1:$G$653,4,FALSE)</f>
        <v>#N/A</v>
      </c>
      <c r="K14" s="25" t="e">
        <f>VLOOKUP(E14,[2]Golpes!$A$1:$G$653,5,FALSE)</f>
        <v>#N/A</v>
      </c>
      <c r="L14" s="36" t="e">
        <f>VLOOKUP(E14,[2]Golpes!$A$1:$G$653,6,FALSE)</f>
        <v>#N/A</v>
      </c>
      <c r="M14" s="17" t="e">
        <f>VLOOKUP(E14,[2]Golpes!$A$1:$G$653,7,FALSE)</f>
        <v>#N/A</v>
      </c>
      <c r="N14" s="35"/>
      <c r="T14" s="62"/>
      <c r="U14" s="63"/>
      <c r="V14" s="63" t="e">
        <f>VLOOKUP(T14,[2]Golpes!$A$1:$G$653,2,FALSE)&amp;"/"&amp;VLOOKUP(T14,[2]Golpes!$A$1:$G$653,3,FALSE)</f>
        <v>#N/A</v>
      </c>
      <c r="W14" s="63"/>
      <c r="X14" s="63"/>
      <c r="Y14" s="25" t="e">
        <f>VLOOKUP(T14,[2]Golpes!$A$1:$G$653,4,FALSE)</f>
        <v>#N/A</v>
      </c>
      <c r="Z14" s="25" t="e">
        <f>VLOOKUP(T14,[2]Golpes!$A$1:$G$653,5,FALSE)</f>
        <v>#N/A</v>
      </c>
      <c r="AA14" s="36" t="e">
        <f>VLOOKUP(T14,[2]Golpes!$A$1:$G$653,6,FALSE)</f>
        <v>#N/A</v>
      </c>
      <c r="AB14" s="17" t="e">
        <f>VLOOKUP(T14,[2]Golpes!$A$1:$G$653,7,FALSE)</f>
        <v>#N/A</v>
      </c>
      <c r="AC14" s="35"/>
    </row>
    <row r="15" spans="1:31" ht="15" thickBot="1" x14ac:dyDescent="0.35">
      <c r="A15" s="40" t="s">
        <v>46</v>
      </c>
      <c r="B15" s="41">
        <v>50</v>
      </c>
      <c r="C15" s="42">
        <f>B14</f>
        <v>50</v>
      </c>
      <c r="E15" s="67"/>
      <c r="F15" s="68"/>
      <c r="G15" s="68" t="e">
        <f>VLOOKUP(E15,[2]Golpes!$A$1:$G$653,2,FALSE)&amp;"/"&amp;VLOOKUP(E15,[2]Golpes!$A$1:$G$653,3,FALSE)</f>
        <v>#N/A</v>
      </c>
      <c r="H15" s="68"/>
      <c r="I15" s="68"/>
      <c r="J15" s="43" t="e">
        <f>VLOOKUP(E15,[2]Golpes!$A$1:$G$653,4,FALSE)</f>
        <v>#N/A</v>
      </c>
      <c r="K15" s="43" t="e">
        <f>VLOOKUP(E15,[2]Golpes!$A$1:$G$653,5,FALSE)</f>
        <v>#N/A</v>
      </c>
      <c r="L15" s="44" t="e">
        <f>VLOOKUP(E15,[2]Golpes!$A$1:$G$653,6,FALSE)</f>
        <v>#N/A</v>
      </c>
      <c r="M15" s="17" t="e">
        <f>VLOOKUP(E15,[2]Golpes!$A$1:$G$653,7,FALSE)</f>
        <v>#N/A</v>
      </c>
      <c r="N15" s="35"/>
      <c r="T15" s="67"/>
      <c r="U15" s="68"/>
      <c r="V15" s="68" t="e">
        <f>VLOOKUP(T15,[2]Golpes!$A$1:$G$653,2,FALSE)&amp;"/"&amp;VLOOKUP(T15,[2]Golpes!$A$1:$G$653,3,FALSE)</f>
        <v>#N/A</v>
      </c>
      <c r="W15" s="68"/>
      <c r="X15" s="68"/>
      <c r="Y15" s="43" t="e">
        <f>VLOOKUP(T15,[2]Golpes!$A$1:$G$653,4,FALSE)</f>
        <v>#N/A</v>
      </c>
      <c r="Z15" s="43" t="e">
        <f>VLOOKUP(T15,[2]Golpes!$A$1:$G$653,5,FALSE)</f>
        <v>#N/A</v>
      </c>
      <c r="AA15" s="44" t="e">
        <f>VLOOKUP(T15,[2]Golpes!$A$1:$G$653,6,FALSE)</f>
        <v>#N/A</v>
      </c>
      <c r="AB15" s="17" t="e">
        <f>VLOOKUP(T15,[2]Golpes!$A$1:$G$653,7,FALSE)</f>
        <v>#N/A</v>
      </c>
      <c r="AC15" s="35"/>
    </row>
    <row r="16" spans="1:31" ht="15" thickBot="1" x14ac:dyDescent="0.35">
      <c r="A16" s="59">
        <v>3</v>
      </c>
      <c r="B16" s="59"/>
      <c r="C16" s="59"/>
    </row>
    <row r="17" spans="1:31" ht="15" thickBot="1" x14ac:dyDescent="0.35">
      <c r="A17" s="64" t="s">
        <v>47</v>
      </c>
      <c r="B17" s="65"/>
      <c r="C17" s="66"/>
      <c r="E17" s="2" t="s">
        <v>1</v>
      </c>
      <c r="F17" s="3"/>
      <c r="G17" s="4"/>
      <c r="H17" s="5"/>
      <c r="I17" s="6" t="s">
        <v>2</v>
      </c>
      <c r="J17" s="6" t="s">
        <v>3</v>
      </c>
      <c r="K17" s="6" t="s">
        <v>4</v>
      </c>
      <c r="L17" s="7" t="s">
        <v>5</v>
      </c>
      <c r="M17" s="8"/>
      <c r="N17" s="9"/>
      <c r="O17" s="53" t="s">
        <v>6</v>
      </c>
      <c r="P17" s="54"/>
      <c r="T17" s="2" t="s">
        <v>1</v>
      </c>
      <c r="U17" s="3"/>
      <c r="V17" s="4"/>
      <c r="W17" s="5"/>
      <c r="X17" s="6" t="s">
        <v>2</v>
      </c>
      <c r="Y17" s="6" t="s">
        <v>3</v>
      </c>
      <c r="Z17" s="6" t="s">
        <v>4</v>
      </c>
      <c r="AA17" s="7" t="s">
        <v>5</v>
      </c>
      <c r="AB17" s="8"/>
      <c r="AC17" s="9"/>
      <c r="AD17" s="53" t="s">
        <v>6</v>
      </c>
      <c r="AE17" s="54"/>
    </row>
    <row r="18" spans="1:31" x14ac:dyDescent="0.3">
      <c r="A18" s="71"/>
      <c r="B18" s="49"/>
      <c r="C18" s="72"/>
      <c r="E18" s="11" t="s">
        <v>8</v>
      </c>
      <c r="F18" s="8" t="s">
        <v>9</v>
      </c>
      <c r="G18" s="12" t="s">
        <v>10</v>
      </c>
      <c r="H18" s="13" t="s">
        <v>11</v>
      </c>
      <c r="I18" s="14" t="e">
        <f>VLOOKUP(F17,[1]Pokemon!$A$1:$I$874,3,FALSE)+IF(F19="Sim",20,0)</f>
        <v>#N/A</v>
      </c>
      <c r="J18" s="15">
        <v>0</v>
      </c>
      <c r="K18" s="8" t="e">
        <f>IF($B$5="Vigoroso",ROUNDUP((N18+J18)*1.2,0),N18+J18)</f>
        <v>#N/A</v>
      </c>
      <c r="L18" s="16">
        <v>0</v>
      </c>
      <c r="M18" s="17"/>
      <c r="N18" s="9" t="e">
        <f>I18+LOOKUP(I18,[1]Dados!$C$3:$D$12,[1]Dados!$E$3:$E$12)*(ROUNDDOWN(F21/2,0))+LOOKUP(I18,[1]Dados!$C$3:$D$12,[1]Dados!$F$3:$F$12)*(ROUNDDOWN((F21-1)/2,0))</f>
        <v>#N/A</v>
      </c>
      <c r="O18" s="18" t="s">
        <v>12</v>
      </c>
      <c r="P18" s="19"/>
      <c r="T18" s="11" t="s">
        <v>8</v>
      </c>
      <c r="U18" s="8" t="s">
        <v>9</v>
      </c>
      <c r="V18" s="12" t="s">
        <v>10</v>
      </c>
      <c r="W18" s="13" t="s">
        <v>11</v>
      </c>
      <c r="X18" s="14" t="e">
        <f>VLOOKUP(U17,[1]Pokemon!$A$1:$I$874,3,FALSE)+IF(U19="Sim",20,0)</f>
        <v>#N/A</v>
      </c>
      <c r="Y18" s="15">
        <v>0</v>
      </c>
      <c r="Z18" s="8" t="e">
        <f>IF($B$5="Vigoroso",ROUNDUP((AC18+Y18)*1.2,0),AC18+Y18)</f>
        <v>#N/A</v>
      </c>
      <c r="AA18" s="16">
        <v>0</v>
      </c>
      <c r="AB18" s="17"/>
      <c r="AC18" s="9" t="e">
        <f>X18+LOOKUP(X18,[1]Dados!$C$3:$D$12,[1]Dados!$E$3:$E$12)*(ROUNDDOWN(U21/2,0))+LOOKUP(X18,[1]Dados!$C$3:$D$12,[1]Dados!$F$3:$F$12)*(ROUNDDOWN((U21-1)/2,0))</f>
        <v>#N/A</v>
      </c>
      <c r="AD18" s="18" t="s">
        <v>12</v>
      </c>
      <c r="AE18" s="19"/>
    </row>
    <row r="19" spans="1:31" x14ac:dyDescent="0.3">
      <c r="A19" s="71"/>
      <c r="B19" s="49"/>
      <c r="C19" s="72"/>
      <c r="E19" s="11" t="s">
        <v>14</v>
      </c>
      <c r="F19" s="8" t="s">
        <v>15</v>
      </c>
      <c r="G19" s="20"/>
      <c r="H19" s="13" t="s">
        <v>16</v>
      </c>
      <c r="I19" s="21">
        <f>20+IF(F19="Sim",10,0)</f>
        <v>20</v>
      </c>
      <c r="J19" s="22">
        <v>0</v>
      </c>
      <c r="K19" s="8">
        <f>18+(F21*2)+IF(F19="Sim",10,0)+J19</f>
        <v>20</v>
      </c>
      <c r="L19" s="16">
        <v>0</v>
      </c>
      <c r="M19" s="17"/>
      <c r="N19" s="9"/>
      <c r="O19" s="18" t="s">
        <v>17</v>
      </c>
      <c r="P19" s="19"/>
      <c r="T19" s="11" t="s">
        <v>14</v>
      </c>
      <c r="U19" s="8" t="s">
        <v>15</v>
      </c>
      <c r="V19" s="20"/>
      <c r="W19" s="13" t="s">
        <v>16</v>
      </c>
      <c r="X19" s="21">
        <f>20+IF(U19="Sim",10,0)</f>
        <v>20</v>
      </c>
      <c r="Y19" s="22">
        <v>0</v>
      </c>
      <c r="Z19" s="8">
        <f>18+(U21*2)+IF(U19="Sim",10,0)+Y19</f>
        <v>20</v>
      </c>
      <c r="AA19" s="16">
        <v>0</v>
      </c>
      <c r="AB19" s="17"/>
      <c r="AC19" s="9"/>
      <c r="AD19" s="18" t="s">
        <v>17</v>
      </c>
      <c r="AE19" s="19"/>
    </row>
    <row r="20" spans="1:31" x14ac:dyDescent="0.3">
      <c r="A20" s="71"/>
      <c r="B20" s="49"/>
      <c r="C20" s="72"/>
      <c r="E20" s="11" t="s">
        <v>19</v>
      </c>
      <c r="F20" s="23" t="e">
        <f>VLOOKUP(F17,[1]Pokemon!$A$1:$I$874,2,FALSE)</f>
        <v>#N/A</v>
      </c>
      <c r="G20" s="20"/>
      <c r="H20" s="13" t="s">
        <v>12</v>
      </c>
      <c r="I20" s="14" t="e">
        <f>VLOOKUP(F17,[1]Pokemon!$A$1:$I$874,4,FALSE)+IF(F19="Sim",1,0)</f>
        <v>#N/A</v>
      </c>
      <c r="J20" s="22">
        <v>1</v>
      </c>
      <c r="K20" s="8" t="e">
        <f>IF(L23="Sim", ROUNDUP((N20+ROUNDDOWN(F23/10,0))*J20*P18,0), ROUNDUP((N20+ROUNDDOWN(F23/10,0))*J20,0))</f>
        <v>#N/A</v>
      </c>
      <c r="L20" s="24" t="s">
        <v>20</v>
      </c>
      <c r="M20" s="17"/>
      <c r="N20" s="9" t="e">
        <f>I20+LOOKUP(I20,[1]Dados!$H$3:$I$12,[1]Dados!$J$3:$J$12)*(ROUNDDOWN(F21/2,0))+LOOKUP(I20,[1]Dados!$H$3:$I$12,[1]Dados!$K$3:$K$12)*(ROUNDDOWN((F21-1)/2,0))</f>
        <v>#N/A</v>
      </c>
      <c r="O20" s="18" t="s">
        <v>21</v>
      </c>
      <c r="P20" s="19"/>
      <c r="T20" s="11" t="s">
        <v>19</v>
      </c>
      <c r="U20" s="23" t="e">
        <f>VLOOKUP(U17,[1]Pokemon!$A$1:$I$874,2,FALSE)</f>
        <v>#N/A</v>
      </c>
      <c r="V20" s="20"/>
      <c r="W20" s="13" t="s">
        <v>12</v>
      </c>
      <c r="X20" s="14" t="e">
        <f>VLOOKUP(U17,[1]Pokemon!$A$1:$I$874,4,FALSE)+IF(U19="Sim",1,0)</f>
        <v>#N/A</v>
      </c>
      <c r="Y20" s="22">
        <v>1</v>
      </c>
      <c r="Z20" s="8" t="e">
        <f>IF(AA23="Sim", ROUNDUP((AC20+ROUNDDOWN(U23/10,0))*Y20*AE18,0), ROUNDUP((AC20+ROUNDDOWN(U23/10,0))*Y20,0))</f>
        <v>#N/A</v>
      </c>
      <c r="AA20" s="24" t="s">
        <v>20</v>
      </c>
      <c r="AB20" s="17"/>
      <c r="AC20" s="9" t="e">
        <f>X20+LOOKUP(X20,[1]Dados!$H$3:$I$12,[1]Dados!$J$3:$J$12)*(ROUNDDOWN(U21/2,0))+LOOKUP(X20,[1]Dados!$H$3:$I$12,[1]Dados!$K$3:$K$12)*(ROUNDDOWN((U21-1)/2,0))</f>
        <v>#N/A</v>
      </c>
      <c r="AD20" s="18" t="s">
        <v>21</v>
      </c>
      <c r="AE20" s="19"/>
    </row>
    <row r="21" spans="1:31" x14ac:dyDescent="0.3">
      <c r="A21" s="71"/>
      <c r="B21" s="49"/>
      <c r="C21" s="72"/>
      <c r="E21" s="11" t="s">
        <v>23</v>
      </c>
      <c r="F21" s="25">
        <v>1</v>
      </c>
      <c r="G21" s="20"/>
      <c r="H21" s="13" t="s">
        <v>17</v>
      </c>
      <c r="I21" s="14" t="e">
        <f>VLOOKUP(F17,[1]Pokemon!$A$1:$I$874,5,FALSE)+IF(F19="Sim",1,0)</f>
        <v>#N/A</v>
      </c>
      <c r="J21" s="22">
        <v>1</v>
      </c>
      <c r="K21" s="8" t="e">
        <f>IF(L23="Sim", ROUNDUP((N21+ROUNDDOWN(F23/10,0))*J21*P19,0), ROUNDUP((N21+ROUNDDOWN(F23/10,0))*J21,0))</f>
        <v>#N/A</v>
      </c>
      <c r="L21" s="26" t="e">
        <f>ROUNDDOWN(I24/2,0)</f>
        <v>#N/A</v>
      </c>
      <c r="M21" s="17"/>
      <c r="N21" s="9" t="e">
        <f>I21+LOOKUP(I21,[1]Dados!$H$3:$I$12,[1]Dados!$J$3:$J$12)*(ROUNDDOWN(F21/2,0))+LOOKUP(I21,[1]Dados!$H$3:$I$12,[1]Dados!$K$3:$K$12)*(ROUNDDOWN((F21-1)/2,0))</f>
        <v>#N/A</v>
      </c>
      <c r="O21" s="18" t="s">
        <v>24</v>
      </c>
      <c r="P21" s="19"/>
      <c r="T21" s="11" t="s">
        <v>23</v>
      </c>
      <c r="U21" s="25">
        <v>1</v>
      </c>
      <c r="V21" s="20"/>
      <c r="W21" s="13" t="s">
        <v>17</v>
      </c>
      <c r="X21" s="14" t="e">
        <f>VLOOKUP(U17,[1]Pokemon!$A$1:$I$874,5,FALSE)+IF(U19="Sim",1,0)</f>
        <v>#N/A</v>
      </c>
      <c r="Y21" s="22">
        <v>1</v>
      </c>
      <c r="Z21" s="8" t="e">
        <f>IF(AA23="Sim", ROUNDUP((AC21+ROUNDDOWN(U23/10,0))*Y21*AE19,0), ROUNDUP((AC21+ROUNDDOWN(U23/10,0))*Y21,0))</f>
        <v>#N/A</v>
      </c>
      <c r="AA21" s="26" t="e">
        <f>ROUNDDOWN(X24/2,0)</f>
        <v>#N/A</v>
      </c>
      <c r="AB21" s="17"/>
      <c r="AC21" s="9" t="e">
        <f>X21+LOOKUP(X21,[1]Dados!$H$3:$I$12,[1]Dados!$J$3:$J$12)*(ROUNDDOWN(U21/2,0))+LOOKUP(X21,[1]Dados!$H$3:$I$12,[1]Dados!$K$3:$K$12)*(ROUNDDOWN((U21-1)/2,0))</f>
        <v>#N/A</v>
      </c>
      <c r="AD21" s="18" t="s">
        <v>24</v>
      </c>
      <c r="AE21" s="19"/>
    </row>
    <row r="22" spans="1:31" ht="15" thickBot="1" x14ac:dyDescent="0.35">
      <c r="A22" s="71"/>
      <c r="B22" s="49"/>
      <c r="C22" s="72"/>
      <c r="E22" s="11" t="s">
        <v>26</v>
      </c>
      <c r="F22" s="23">
        <v>0</v>
      </c>
      <c r="G22" s="20"/>
      <c r="H22" s="13" t="s">
        <v>21</v>
      </c>
      <c r="I22" s="14" t="e">
        <f>VLOOKUP(F17,[1]Pokemon!$A$1:$I$874,6,FALSE)+IF(F19="Sim",1,0)</f>
        <v>#N/A</v>
      </c>
      <c r="J22" s="22">
        <v>1</v>
      </c>
      <c r="K22" s="8" t="e">
        <f>IF(L23="Sim", ROUNDUP((N22+ROUNDDOWN(F23/10,0))*J22*P20,0), ROUNDUP((N22+ROUNDDOWN(F23/10,0))*J22,0))</f>
        <v>#N/A</v>
      </c>
      <c r="L22" s="24" t="s">
        <v>27</v>
      </c>
      <c r="M22" s="17"/>
      <c r="N22" s="9" t="e">
        <f>I22+LOOKUP(I22,[1]Dados!$H$3:$I$12,[1]Dados!$J$3:$J$12)*(ROUNDDOWN(F21/2,0))+LOOKUP(I22,[1]Dados!$H$3:$I$12,[1]Dados!$K$3:$K$12)*(ROUNDDOWN((F21-1)/2,0))</f>
        <v>#N/A</v>
      </c>
      <c r="O22" s="28" t="s">
        <v>28</v>
      </c>
      <c r="P22" s="29"/>
      <c r="T22" s="11" t="s">
        <v>26</v>
      </c>
      <c r="U22" s="23">
        <v>0</v>
      </c>
      <c r="V22" s="20"/>
      <c r="W22" s="13" t="s">
        <v>21</v>
      </c>
      <c r="X22" s="14" t="e">
        <f>VLOOKUP(U17,[1]Pokemon!$A$1:$I$874,6,FALSE)+IF(U19="Sim",1,0)</f>
        <v>#N/A</v>
      </c>
      <c r="Y22" s="22">
        <v>1</v>
      </c>
      <c r="Z22" s="8" t="e">
        <f>IF(AA23="Sim", ROUNDUP((AC22+ROUNDDOWN(U23/10,0))*Y22*AE20,0), ROUNDUP((AC22+ROUNDDOWN(U23/10,0))*Y22,0))</f>
        <v>#N/A</v>
      </c>
      <c r="AA22" s="24" t="s">
        <v>27</v>
      </c>
      <c r="AB22" s="17"/>
      <c r="AC22" s="9" t="e">
        <f>X22+LOOKUP(X22,[1]Dados!$H$3:$I$12,[1]Dados!$J$3:$J$12)*(ROUNDDOWN(U21/2,0))+LOOKUP(X22,[1]Dados!$H$3:$I$12,[1]Dados!$K$3:$K$12)*(ROUNDDOWN((U21-1)/2,0))</f>
        <v>#N/A</v>
      </c>
      <c r="AD22" s="28" t="s">
        <v>28</v>
      </c>
      <c r="AE22" s="29"/>
    </row>
    <row r="23" spans="1:31" x14ac:dyDescent="0.3">
      <c r="A23" s="71"/>
      <c r="B23" s="49"/>
      <c r="C23" s="72"/>
      <c r="E23" s="11" t="s">
        <v>29</v>
      </c>
      <c r="F23" s="30">
        <v>0</v>
      </c>
      <c r="G23" s="20"/>
      <c r="H23" s="13" t="s">
        <v>24</v>
      </c>
      <c r="I23" s="14" t="e">
        <f>VLOOKUP(F17,[1]Pokemon!$A$1:$I$874,7,FALSE)+IF(F19="Sim",1,0)</f>
        <v>#N/A</v>
      </c>
      <c r="J23" s="22">
        <v>1</v>
      </c>
      <c r="K23" s="8" t="e">
        <f>IF(L23="Sim", ROUNDUP((N23+ROUNDDOWN(F23/10,0))*J23*P21,0), ROUNDUP((N23+ROUNDDOWN(F23/10,0))*J23,0))</f>
        <v>#N/A</v>
      </c>
      <c r="L23" s="26" t="s">
        <v>15</v>
      </c>
      <c r="M23" s="17"/>
      <c r="N23" s="9" t="e">
        <f>I23+LOOKUP(I23,[1]Dados!$H$3:$I$12,[1]Dados!$J$3:$J$12)*(ROUNDDOWN(F21/2,0))+LOOKUP(I23,[1]Dados!$H$3:$I$12,[1]Dados!$K$3:$K$12)*(ROUNDDOWN((F21-1)/2,0))</f>
        <v>#N/A</v>
      </c>
      <c r="T23" s="11" t="s">
        <v>29</v>
      </c>
      <c r="U23" s="30">
        <v>0</v>
      </c>
      <c r="V23" s="20"/>
      <c r="W23" s="13" t="s">
        <v>24</v>
      </c>
      <c r="X23" s="14" t="e">
        <f>VLOOKUP(U17,[1]Pokemon!$A$1:$I$874,7,FALSE)+IF(U19="Sim",1,0)</f>
        <v>#N/A</v>
      </c>
      <c r="Y23" s="22">
        <v>1</v>
      </c>
      <c r="Z23" s="8" t="e">
        <f>IF(AA23="Sim", ROUNDUP((AC23+ROUNDDOWN(U23/10,0))*Y23*AE21,0), ROUNDUP((AC23+ROUNDDOWN(U23/10,0))*Y23,0))</f>
        <v>#N/A</v>
      </c>
      <c r="AA23" s="26" t="s">
        <v>15</v>
      </c>
      <c r="AB23" s="17"/>
      <c r="AC23" s="9" t="e">
        <f>X23+LOOKUP(X23,[1]Dados!$H$3:$I$12,[1]Dados!$J$3:$J$12)*(ROUNDDOWN(U21/2,0))+LOOKUP(X23,[1]Dados!$H$3:$I$12,[1]Dados!$K$3:$K$12)*(ROUNDDOWN((U21-1)/2,0))</f>
        <v>#N/A</v>
      </c>
    </row>
    <row r="24" spans="1:31" x14ac:dyDescent="0.3">
      <c r="A24" s="71"/>
      <c r="B24" s="49"/>
      <c r="C24" s="72"/>
      <c r="E24" s="11" t="s">
        <v>31</v>
      </c>
      <c r="F24" s="23" t="s">
        <v>32</v>
      </c>
      <c r="G24" s="20"/>
      <c r="H24" s="13" t="s">
        <v>28</v>
      </c>
      <c r="I24" s="14" t="e">
        <f>VLOOKUP(F17,[1]Pokemon!$A$1:$I$874,8,FALSE)+IF(F19="Sim",1,0)</f>
        <v>#N/A</v>
      </c>
      <c r="J24" s="22">
        <f>1*IF(F25="Paralisado",0.5,1)</f>
        <v>1</v>
      </c>
      <c r="K24" s="8" t="e">
        <f>IF(L23="Sim", ROUNDUP(N24*J24*P22,0), ROUNDUP(N24*J24,0))</f>
        <v>#N/A</v>
      </c>
      <c r="L24" s="31" t="e">
        <f>IF(L23 = "Sim", ROUNDUP((K24/(10*P22)), 0)&amp;"d6", ROUNDUP((K24/10), 0)&amp;"d6")</f>
        <v>#N/A</v>
      </c>
      <c r="M24" s="17"/>
      <c r="N24" s="9" t="e">
        <f>I24+LOOKUP(I24,[1]Dados!$H$3:$I$12,[1]Dados!$J$3:$J$12)*(ROUNDDOWN(F21/2,0))+LOOKUP(I24,[1]Dados!$H$3:$I$12,[1]Dados!$K$3:$K$12)*(ROUNDDOWN((F21-1)/2,0))</f>
        <v>#N/A</v>
      </c>
      <c r="T24" s="11" t="s">
        <v>31</v>
      </c>
      <c r="U24" s="23" t="s">
        <v>32</v>
      </c>
      <c r="V24" s="20"/>
      <c r="W24" s="13" t="s">
        <v>28</v>
      </c>
      <c r="X24" s="14" t="e">
        <f>VLOOKUP(U17,[1]Pokemon!$A$1:$I$874,8,FALSE)+IF(U19="Sim",1,0)</f>
        <v>#N/A</v>
      </c>
      <c r="Y24" s="22">
        <f>1*IF(U25="Paralisado",0.5,1)</f>
        <v>1</v>
      </c>
      <c r="Z24" s="8" t="e">
        <f>IF(AA23="Sim", ROUNDUP(AC24*Y24*AE22,0), ROUNDUP(AC24*Y24,0))</f>
        <v>#N/A</v>
      </c>
      <c r="AA24" s="31" t="e">
        <f>IF(AA23 = "Sim", ROUNDUP((Z24/(10*AE22)), 0)&amp;"d6", ROUNDUP((Z24/10), 0)&amp;"d6")</f>
        <v>#N/A</v>
      </c>
      <c r="AB24" s="17"/>
      <c r="AC24" s="9" t="e">
        <f>X24+LOOKUP(X24,[1]Dados!$H$3:$I$12,[1]Dados!$J$3:$J$12)*(ROUNDDOWN(U21/2,0))+LOOKUP(X24,[1]Dados!$H$3:$I$12,[1]Dados!$K$3:$K$12)*(ROUNDDOWN((U21-1)/2,0))</f>
        <v>#N/A</v>
      </c>
    </row>
    <row r="25" spans="1:31" x14ac:dyDescent="0.3">
      <c r="A25" s="71"/>
      <c r="B25" s="49"/>
      <c r="C25" s="72"/>
      <c r="E25" s="11" t="s">
        <v>34</v>
      </c>
      <c r="F25" s="23"/>
      <c r="G25" s="20"/>
      <c r="H25" s="13" t="s">
        <v>35</v>
      </c>
      <c r="I25" s="14" t="e">
        <f>VLOOKUP(F17,[1]Pokemon!$A$1:$I$874,9,FALSE)</f>
        <v>#N/A</v>
      </c>
      <c r="J25" s="13" t="s">
        <v>36</v>
      </c>
      <c r="K25" s="13"/>
      <c r="L25" s="32" t="e">
        <f>((F21+1)*I25/2)-F22</f>
        <v>#N/A</v>
      </c>
      <c r="M25" s="17"/>
      <c r="N25" s="33"/>
      <c r="T25" s="11" t="s">
        <v>34</v>
      </c>
      <c r="U25" s="23"/>
      <c r="V25" s="20"/>
      <c r="W25" s="13" t="s">
        <v>35</v>
      </c>
      <c r="X25" s="14" t="e">
        <f>VLOOKUP(U17,[1]Pokemon!$A$1:$I$874,9,FALSE)</f>
        <v>#N/A</v>
      </c>
      <c r="Y25" s="13" t="s">
        <v>36</v>
      </c>
      <c r="Z25" s="13"/>
      <c r="AA25" s="32" t="e">
        <f>((U21+1)*X25/2)-U22</f>
        <v>#N/A</v>
      </c>
      <c r="AB25" s="17"/>
      <c r="AC25" s="33"/>
    </row>
    <row r="26" spans="1:31" x14ac:dyDescent="0.3">
      <c r="A26" s="71"/>
      <c r="B26" s="49"/>
      <c r="C26" s="72"/>
      <c r="E26" s="34"/>
      <c r="F26" s="8"/>
      <c r="G26" s="17"/>
      <c r="H26" s="8"/>
      <c r="I26" s="8"/>
      <c r="J26" s="8"/>
      <c r="K26" s="8"/>
      <c r="L26" s="26"/>
      <c r="M26" s="17"/>
      <c r="N26" s="35"/>
      <c r="T26" s="34"/>
      <c r="U26" s="8"/>
      <c r="V26" s="17"/>
      <c r="W26" s="8"/>
      <c r="X26" s="8"/>
      <c r="Y26" s="8"/>
      <c r="Z26" s="8"/>
      <c r="AA26" s="26"/>
      <c r="AB26" s="17"/>
      <c r="AC26" s="35"/>
    </row>
    <row r="27" spans="1:31" x14ac:dyDescent="0.3">
      <c r="A27" s="71"/>
      <c r="B27" s="49"/>
      <c r="C27" s="72"/>
      <c r="E27" s="60" t="s">
        <v>39</v>
      </c>
      <c r="F27" s="61"/>
      <c r="G27" s="13" t="s">
        <v>40</v>
      </c>
      <c r="H27" s="13"/>
      <c r="I27" s="13"/>
      <c r="J27" s="13" t="s">
        <v>16</v>
      </c>
      <c r="K27" s="13" t="s">
        <v>41</v>
      </c>
      <c r="L27" s="24" t="s">
        <v>42</v>
      </c>
      <c r="M27" s="17"/>
      <c r="N27" s="35"/>
      <c r="T27" s="60" t="s">
        <v>39</v>
      </c>
      <c r="U27" s="61"/>
      <c r="V27" s="13" t="s">
        <v>40</v>
      </c>
      <c r="W27" s="13"/>
      <c r="X27" s="13"/>
      <c r="Y27" s="13" t="s">
        <v>16</v>
      </c>
      <c r="Z27" s="13" t="s">
        <v>41</v>
      </c>
      <c r="AA27" s="24" t="s">
        <v>42</v>
      </c>
      <c r="AB27" s="17"/>
      <c r="AC27" s="35"/>
    </row>
    <row r="28" spans="1:31" x14ac:dyDescent="0.3">
      <c r="A28" s="71"/>
      <c r="B28" s="49"/>
      <c r="C28" s="72"/>
      <c r="E28" s="62"/>
      <c r="F28" s="63"/>
      <c r="G28" s="63" t="e">
        <f>VLOOKUP(E28,[2]Golpes!$A$1:$G$653,2,FALSE)&amp;"/"&amp;VLOOKUP(E28,[2]Golpes!$A$1:$G$653,3,FALSE)</f>
        <v>#N/A</v>
      </c>
      <c r="H28" s="63"/>
      <c r="I28" s="63"/>
      <c r="J28" s="25" t="e">
        <f>VLOOKUP(E28,[2]Golpes!$A$1:$G$653,4,FALSE)</f>
        <v>#N/A</v>
      </c>
      <c r="K28" s="25" t="e">
        <f>VLOOKUP(E28,[2]Golpes!$A$1:$G$653,5,FALSE)</f>
        <v>#N/A</v>
      </c>
      <c r="L28" s="36" t="e">
        <f>VLOOKUP(E28,[2]Golpes!$A$1:$G$653,6,FALSE)</f>
        <v>#N/A</v>
      </c>
      <c r="M28" s="17" t="e">
        <f>VLOOKUP(E28,[2]Golpes!$A$1:$G$653,7,FALSE)</f>
        <v>#N/A</v>
      </c>
      <c r="N28" s="35"/>
      <c r="T28" s="62"/>
      <c r="U28" s="63"/>
      <c r="V28" s="63" t="e">
        <f>VLOOKUP(T28,[2]Golpes!$A$1:$G$653,2,FALSE)&amp;"/"&amp;VLOOKUP(T28,[2]Golpes!$A$1:$G$653,3,FALSE)</f>
        <v>#N/A</v>
      </c>
      <c r="W28" s="63"/>
      <c r="X28" s="63"/>
      <c r="Y28" s="25" t="e">
        <f>VLOOKUP(T28,[2]Golpes!$A$1:$G$653,4,FALSE)</f>
        <v>#N/A</v>
      </c>
      <c r="Z28" s="25" t="e">
        <f>VLOOKUP(T28,[2]Golpes!$A$1:$G$653,5,FALSE)</f>
        <v>#N/A</v>
      </c>
      <c r="AA28" s="36" t="e">
        <f>VLOOKUP(T28,[2]Golpes!$A$1:$G$653,6,FALSE)</f>
        <v>#N/A</v>
      </c>
      <c r="AB28" s="17" t="e">
        <f>VLOOKUP(T28,[2]Golpes!$A$1:$G$653,7,FALSE)</f>
        <v>#N/A</v>
      </c>
      <c r="AC28" s="35"/>
    </row>
    <row r="29" spans="1:31" ht="15" thickBot="1" x14ac:dyDescent="0.35">
      <c r="A29" s="73"/>
      <c r="B29" s="74"/>
      <c r="C29" s="75"/>
      <c r="E29" s="62"/>
      <c r="F29" s="63"/>
      <c r="G29" s="63" t="e">
        <f>VLOOKUP(E29,[2]Golpes!$A$1:$G$653,2,FALSE)&amp;"/"&amp;VLOOKUP(E29,[2]Golpes!$A$1:$G$653,3,FALSE)</f>
        <v>#N/A</v>
      </c>
      <c r="H29" s="63"/>
      <c r="I29" s="63"/>
      <c r="J29" s="25" t="e">
        <f>VLOOKUP(E29,[2]Golpes!$A$1:$G$653,4,FALSE)</f>
        <v>#N/A</v>
      </c>
      <c r="K29" s="25" t="e">
        <f>VLOOKUP(E29,[2]Golpes!$A$1:$G$653,5,FALSE)</f>
        <v>#N/A</v>
      </c>
      <c r="L29" s="36" t="e">
        <f>VLOOKUP(E29,[2]Golpes!$A$1:$G$653,6,FALSE)</f>
        <v>#N/A</v>
      </c>
      <c r="M29" s="17" t="e">
        <f>VLOOKUP(E29,[2]Golpes!$A$1:$G$653,7,FALSE)</f>
        <v>#N/A</v>
      </c>
      <c r="N29" s="35"/>
      <c r="T29" s="62"/>
      <c r="U29" s="63"/>
      <c r="V29" s="63" t="e">
        <f>VLOOKUP(T29,[2]Golpes!$A$1:$G$653,2,FALSE)&amp;"/"&amp;VLOOKUP(T29,[2]Golpes!$A$1:$G$653,3,FALSE)</f>
        <v>#N/A</v>
      </c>
      <c r="W29" s="63"/>
      <c r="X29" s="63"/>
      <c r="Y29" s="25" t="e">
        <f>VLOOKUP(T29,[2]Golpes!$A$1:$G$653,4,FALSE)</f>
        <v>#N/A</v>
      </c>
      <c r="Z29" s="25" t="e">
        <f>VLOOKUP(T29,[2]Golpes!$A$1:$G$653,5,FALSE)</f>
        <v>#N/A</v>
      </c>
      <c r="AA29" s="36" t="e">
        <f>VLOOKUP(T29,[2]Golpes!$A$1:$G$653,6,FALSE)</f>
        <v>#N/A</v>
      </c>
      <c r="AB29" s="17" t="e">
        <f>VLOOKUP(T29,[2]Golpes!$A$1:$G$653,7,FALSE)</f>
        <v>#N/A</v>
      </c>
      <c r="AC29" s="35"/>
    </row>
    <row r="30" spans="1:31" ht="15" thickBot="1" x14ac:dyDescent="0.35">
      <c r="A30" s="64" t="s">
        <v>48</v>
      </c>
      <c r="B30" s="65"/>
      <c r="C30" s="66"/>
      <c r="E30" s="62"/>
      <c r="F30" s="63"/>
      <c r="G30" s="63" t="e">
        <f>VLOOKUP(E30,[2]Golpes!$A$1:$G$653,2,FALSE)&amp;"/"&amp;VLOOKUP(E30,[2]Golpes!$A$1:$G$653,3,FALSE)</f>
        <v>#N/A</v>
      </c>
      <c r="H30" s="63"/>
      <c r="I30" s="63"/>
      <c r="J30" s="25" t="e">
        <f>VLOOKUP(E30,[2]Golpes!$A$1:$G$653,4,FALSE)</f>
        <v>#N/A</v>
      </c>
      <c r="K30" s="25" t="e">
        <f>VLOOKUP(E30,[2]Golpes!$A$1:$G$653,5,FALSE)</f>
        <v>#N/A</v>
      </c>
      <c r="L30" s="36" t="e">
        <f>VLOOKUP(E30,[2]Golpes!$A$1:$G$653,6,FALSE)</f>
        <v>#N/A</v>
      </c>
      <c r="M30" s="17" t="e">
        <f>VLOOKUP(E30,[2]Golpes!$A$1:$G$653,7,FALSE)</f>
        <v>#N/A</v>
      </c>
      <c r="N30" s="35"/>
      <c r="T30" s="62"/>
      <c r="U30" s="63"/>
      <c r="V30" s="63" t="e">
        <f>VLOOKUP(T30,[2]Golpes!$A$1:$G$653,2,FALSE)&amp;"/"&amp;VLOOKUP(T30,[2]Golpes!$A$1:$G$653,3,FALSE)</f>
        <v>#N/A</v>
      </c>
      <c r="W30" s="63"/>
      <c r="X30" s="63"/>
      <c r="Y30" s="25" t="e">
        <f>VLOOKUP(T30,[2]Golpes!$A$1:$G$653,4,FALSE)</f>
        <v>#N/A</v>
      </c>
      <c r="Z30" s="25" t="e">
        <f>VLOOKUP(T30,[2]Golpes!$A$1:$G$653,5,FALSE)</f>
        <v>#N/A</v>
      </c>
      <c r="AA30" s="36" t="e">
        <f>VLOOKUP(T30,[2]Golpes!$A$1:$G$653,6,FALSE)</f>
        <v>#N/A</v>
      </c>
      <c r="AB30" s="17" t="e">
        <f>VLOOKUP(T30,[2]Golpes!$A$1:$G$653,7,FALSE)</f>
        <v>#N/A</v>
      </c>
      <c r="AC30" s="35"/>
    </row>
    <row r="31" spans="1:31" ht="15" thickBot="1" x14ac:dyDescent="0.35">
      <c r="A31" s="84"/>
      <c r="B31" s="48"/>
      <c r="C31" s="85"/>
      <c r="E31" s="67"/>
      <c r="F31" s="68"/>
      <c r="G31" s="68" t="e">
        <f>VLOOKUP(E31,[2]Golpes!$A$1:$G$653,2,FALSE)&amp;"/"&amp;VLOOKUP(E31,[2]Golpes!$A$1:$G$653,3,FALSE)</f>
        <v>#N/A</v>
      </c>
      <c r="H31" s="68"/>
      <c r="I31" s="68"/>
      <c r="J31" s="43" t="e">
        <f>VLOOKUP(E31,[2]Golpes!$A$1:$G$653,4,FALSE)</f>
        <v>#N/A</v>
      </c>
      <c r="K31" s="43" t="e">
        <f>VLOOKUP(E31,[2]Golpes!$A$1:$G$653,5,FALSE)</f>
        <v>#N/A</v>
      </c>
      <c r="L31" s="44" t="e">
        <f>VLOOKUP(E31,[2]Golpes!$A$1:$G$653,6,FALSE)</f>
        <v>#N/A</v>
      </c>
      <c r="M31" s="17" t="e">
        <f>VLOOKUP(E31,[2]Golpes!$A$1:$G$653,7,FALSE)</f>
        <v>#N/A</v>
      </c>
      <c r="N31" s="35"/>
      <c r="T31" s="67"/>
      <c r="U31" s="68"/>
      <c r="V31" s="68" t="e">
        <f>VLOOKUP(T31,[2]Golpes!$A$1:$G$653,2,FALSE)&amp;"/"&amp;VLOOKUP(T31,[2]Golpes!$A$1:$G$653,3,FALSE)</f>
        <v>#N/A</v>
      </c>
      <c r="W31" s="68"/>
      <c r="X31" s="68"/>
      <c r="Y31" s="43" t="e">
        <f>VLOOKUP(T31,[2]Golpes!$A$1:$G$653,4,FALSE)</f>
        <v>#N/A</v>
      </c>
      <c r="Z31" s="43" t="e">
        <f>VLOOKUP(T31,[2]Golpes!$A$1:$G$653,5,FALSE)</f>
        <v>#N/A</v>
      </c>
      <c r="AA31" s="44" t="e">
        <f>VLOOKUP(T31,[2]Golpes!$A$1:$G$653,6,FALSE)</f>
        <v>#N/A</v>
      </c>
      <c r="AB31" s="17" t="e">
        <f>VLOOKUP(T31,[2]Golpes!$A$1:$G$653,7,FALSE)</f>
        <v>#N/A</v>
      </c>
      <c r="AC31" s="35"/>
    </row>
    <row r="32" spans="1:31" ht="15" thickBot="1" x14ac:dyDescent="0.35">
      <c r="A32" s="71"/>
      <c r="B32" s="49"/>
      <c r="C32" s="72"/>
    </row>
    <row r="33" spans="1:31" x14ac:dyDescent="0.3">
      <c r="A33" s="71"/>
      <c r="B33" s="49"/>
      <c r="C33" s="72"/>
      <c r="E33" s="2" t="s">
        <v>1</v>
      </c>
      <c r="F33" s="3"/>
      <c r="G33" s="4"/>
      <c r="H33" s="5"/>
      <c r="I33" s="6" t="s">
        <v>2</v>
      </c>
      <c r="J33" s="6" t="s">
        <v>3</v>
      </c>
      <c r="K33" s="6" t="s">
        <v>4</v>
      </c>
      <c r="L33" s="7" t="s">
        <v>5</v>
      </c>
      <c r="M33" s="8"/>
      <c r="N33" s="9"/>
      <c r="O33" s="53" t="s">
        <v>6</v>
      </c>
      <c r="P33" s="54"/>
      <c r="T33" s="2" t="s">
        <v>1</v>
      </c>
      <c r="U33" s="3"/>
      <c r="V33" s="4"/>
      <c r="W33" s="5"/>
      <c r="X33" s="6" t="s">
        <v>2</v>
      </c>
      <c r="Y33" s="6" t="s">
        <v>3</v>
      </c>
      <c r="Z33" s="6" t="s">
        <v>4</v>
      </c>
      <c r="AA33" s="7" t="s">
        <v>5</v>
      </c>
      <c r="AB33" s="8"/>
      <c r="AC33" s="9"/>
      <c r="AD33" s="53" t="s">
        <v>6</v>
      </c>
      <c r="AE33" s="54"/>
    </row>
    <row r="34" spans="1:31" x14ac:dyDescent="0.3">
      <c r="A34" s="71"/>
      <c r="B34" s="49"/>
      <c r="C34" s="72"/>
      <c r="E34" s="11" t="s">
        <v>8</v>
      </c>
      <c r="F34" s="8" t="s">
        <v>9</v>
      </c>
      <c r="G34" s="12" t="s">
        <v>10</v>
      </c>
      <c r="H34" s="13" t="s">
        <v>11</v>
      </c>
      <c r="I34" s="14" t="e">
        <f>VLOOKUP(F33,[1]Pokemon!$A$1:$I$874,3,FALSE)+IF(F35="Sim",20,0)</f>
        <v>#N/A</v>
      </c>
      <c r="J34" s="15">
        <v>0</v>
      </c>
      <c r="K34" s="8" t="e">
        <f>IF($B$5="Vigoroso",ROUNDUP((N34+J34)*1.2,0),N34+J34)</f>
        <v>#N/A</v>
      </c>
      <c r="L34" s="16">
        <v>0</v>
      </c>
      <c r="M34" s="17"/>
      <c r="N34" s="9" t="e">
        <f>I34+LOOKUP(I34,[1]Dados!$C$3:$D$12,[1]Dados!$E$3:$E$12)*(ROUNDDOWN(F37/2,0))+LOOKUP(I34,[1]Dados!$C$3:$D$12,[1]Dados!$F$3:$F$12)*(ROUNDDOWN((F37-1)/2,0))</f>
        <v>#N/A</v>
      </c>
      <c r="O34" s="18" t="s">
        <v>12</v>
      </c>
      <c r="P34" s="19"/>
      <c r="T34" s="11" t="s">
        <v>8</v>
      </c>
      <c r="U34" s="8" t="s">
        <v>9</v>
      </c>
      <c r="V34" s="12" t="s">
        <v>10</v>
      </c>
      <c r="W34" s="13" t="s">
        <v>11</v>
      </c>
      <c r="X34" s="14" t="e">
        <f>VLOOKUP(U33,[1]Pokemon!$A$1:$I$874,3,FALSE)+IF(U35="Sim",20,0)</f>
        <v>#N/A</v>
      </c>
      <c r="Y34" s="15">
        <v>0</v>
      </c>
      <c r="Z34" s="8" t="e">
        <f>IF($B$5="Vigoroso",ROUNDUP((AC34+Y34)*1.2,0),AC34+Y34)</f>
        <v>#N/A</v>
      </c>
      <c r="AA34" s="16">
        <v>0</v>
      </c>
      <c r="AB34" s="17"/>
      <c r="AC34" s="9" t="e">
        <f>X34+LOOKUP(X34,[1]Dados!$C$3:$D$12,[1]Dados!$E$3:$E$12)*(ROUNDDOWN(U37/2,0))+LOOKUP(X34,[1]Dados!$C$3:$D$12,[1]Dados!$F$3:$F$12)*(ROUNDDOWN((U37-1)/2,0))</f>
        <v>#N/A</v>
      </c>
      <c r="AD34" s="18" t="s">
        <v>12</v>
      </c>
      <c r="AE34" s="19"/>
    </row>
    <row r="35" spans="1:31" x14ac:dyDescent="0.3">
      <c r="A35" s="71"/>
      <c r="B35" s="49"/>
      <c r="C35" s="72"/>
      <c r="E35" s="11" t="s">
        <v>14</v>
      </c>
      <c r="F35" s="8" t="s">
        <v>15</v>
      </c>
      <c r="G35" s="20"/>
      <c r="H35" s="13" t="s">
        <v>16</v>
      </c>
      <c r="I35" s="21">
        <f>20+IF(F35="Sim",10,0)</f>
        <v>20</v>
      </c>
      <c r="J35" s="22">
        <v>0</v>
      </c>
      <c r="K35" s="8">
        <f>18+(F37*2)+IF(F35="Sim",10,0)+J35</f>
        <v>20</v>
      </c>
      <c r="L35" s="16">
        <v>0</v>
      </c>
      <c r="M35" s="17"/>
      <c r="N35" s="9"/>
      <c r="O35" s="18" t="s">
        <v>17</v>
      </c>
      <c r="P35" s="19"/>
      <c r="T35" s="11" t="s">
        <v>14</v>
      </c>
      <c r="U35" s="8" t="s">
        <v>15</v>
      </c>
      <c r="V35" s="20"/>
      <c r="W35" s="13" t="s">
        <v>16</v>
      </c>
      <c r="X35" s="21">
        <f>20+IF(U35="Sim",10,0)</f>
        <v>20</v>
      </c>
      <c r="Y35" s="22">
        <v>0</v>
      </c>
      <c r="Z35" s="8">
        <f>18+(U37*2)+IF(U35="Sim",10,0)+Y35</f>
        <v>20</v>
      </c>
      <c r="AA35" s="16">
        <v>0</v>
      </c>
      <c r="AB35" s="17"/>
      <c r="AC35" s="9"/>
      <c r="AD35" s="18" t="s">
        <v>17</v>
      </c>
      <c r="AE35" s="19"/>
    </row>
    <row r="36" spans="1:31" ht="15" thickBot="1" x14ac:dyDescent="0.35">
      <c r="A36" s="73"/>
      <c r="B36" s="74"/>
      <c r="C36" s="75"/>
      <c r="E36" s="11" t="s">
        <v>19</v>
      </c>
      <c r="F36" s="23" t="e">
        <f>VLOOKUP(F33,[1]Pokemon!$A$1:$I$874,2,FALSE)</f>
        <v>#N/A</v>
      </c>
      <c r="G36" s="20"/>
      <c r="H36" s="13" t="s">
        <v>12</v>
      </c>
      <c r="I36" s="14" t="e">
        <f>VLOOKUP(F33,[1]Pokemon!$A$1:$I$874,4,FALSE)+IF(F35="Sim",1,0)</f>
        <v>#N/A</v>
      </c>
      <c r="J36" s="22">
        <v>1</v>
      </c>
      <c r="K36" s="8" t="e">
        <f>IF(L39="Sim", ROUNDUP((N36+ROUNDDOWN(F39/10,0))*J36*P34,0), ROUNDUP((N36+ROUNDDOWN(F39/10,0))*J36,0))</f>
        <v>#N/A</v>
      </c>
      <c r="L36" s="24" t="s">
        <v>20</v>
      </c>
      <c r="M36" s="17"/>
      <c r="N36" s="9" t="e">
        <f>I36+LOOKUP(I36,[1]Dados!$H$3:$I$12,[1]Dados!$J$3:$J$12)*(ROUNDDOWN(F37/2,0))+LOOKUP(I36,[1]Dados!$H$3:$I$12,[1]Dados!$K$3:$K$12)*(ROUNDDOWN((F37-1)/2,0))</f>
        <v>#N/A</v>
      </c>
      <c r="O36" s="18" t="s">
        <v>21</v>
      </c>
      <c r="P36" s="19"/>
      <c r="T36" s="11" t="s">
        <v>19</v>
      </c>
      <c r="U36" s="23" t="e">
        <f>VLOOKUP(U33,[1]Pokemon!$A$1:$I$874,2,FALSE)</f>
        <v>#N/A</v>
      </c>
      <c r="V36" s="20"/>
      <c r="W36" s="13" t="s">
        <v>12</v>
      </c>
      <c r="X36" s="14" t="e">
        <f>VLOOKUP(U33,[1]Pokemon!$A$1:$I$874,4,FALSE)+IF(U35="Sim",1,0)</f>
        <v>#N/A</v>
      </c>
      <c r="Y36" s="22">
        <v>1</v>
      </c>
      <c r="Z36" s="8" t="e">
        <f>IF(AA39="Sim", ROUNDUP((AC36+ROUNDDOWN(U39/10,0))*Y36*AE34,0), ROUNDUP((AC36+ROUNDDOWN(U39/10,0))*Y36,0))</f>
        <v>#N/A</v>
      </c>
      <c r="AA36" s="24" t="s">
        <v>20</v>
      </c>
      <c r="AB36" s="17"/>
      <c r="AC36" s="9" t="e">
        <f>X36+LOOKUP(X36,[1]Dados!$H$3:$I$12,[1]Dados!$J$3:$J$12)*(ROUNDDOWN(U37/2,0))+LOOKUP(X36,[1]Dados!$H$3:$I$12,[1]Dados!$K$3:$K$12)*(ROUNDDOWN((U37-1)/2,0))</f>
        <v>#N/A</v>
      </c>
      <c r="AD36" s="18" t="s">
        <v>21</v>
      </c>
      <c r="AE36" s="19"/>
    </row>
    <row r="37" spans="1:31" ht="15" thickBot="1" x14ac:dyDescent="0.35">
      <c r="A37" s="64" t="s">
        <v>49</v>
      </c>
      <c r="B37" s="65"/>
      <c r="C37" s="66"/>
      <c r="E37" s="11" t="s">
        <v>23</v>
      </c>
      <c r="F37" s="25">
        <v>1</v>
      </c>
      <c r="G37" s="20"/>
      <c r="H37" s="13" t="s">
        <v>17</v>
      </c>
      <c r="I37" s="14" t="e">
        <f>VLOOKUP(F33,[1]Pokemon!$A$1:$I$874,5,FALSE)+IF(F35="Sim",1,0)</f>
        <v>#N/A</v>
      </c>
      <c r="J37" s="22">
        <v>1</v>
      </c>
      <c r="K37" s="8" t="e">
        <f>IF(L39="Sim", ROUNDUP((N37+ROUNDDOWN(F39/10,0))*J37*P35,0), ROUNDUP((N37+ROUNDDOWN(F39/10,0))*J37,0))</f>
        <v>#N/A</v>
      </c>
      <c r="L37" s="26" t="e">
        <f>ROUNDDOWN(I40/2,0)</f>
        <v>#N/A</v>
      </c>
      <c r="M37" s="17"/>
      <c r="N37" s="9" t="e">
        <f>I37+LOOKUP(I37,[1]Dados!$H$3:$I$12,[1]Dados!$J$3:$J$12)*(ROUNDDOWN(F37/2,0))+LOOKUP(I37,[1]Dados!$H$3:$I$12,[1]Dados!$K$3:$K$12)*(ROUNDDOWN((F37-1)/2,0))</f>
        <v>#N/A</v>
      </c>
      <c r="O37" s="18" t="s">
        <v>24</v>
      </c>
      <c r="P37" s="19"/>
      <c r="T37" s="11" t="s">
        <v>23</v>
      </c>
      <c r="U37" s="25">
        <v>1</v>
      </c>
      <c r="V37" s="20"/>
      <c r="W37" s="13" t="s">
        <v>17</v>
      </c>
      <c r="X37" s="14" t="e">
        <f>VLOOKUP(U33,[1]Pokemon!$A$1:$I$874,5,FALSE)+IF(U35="Sim",1,0)</f>
        <v>#N/A</v>
      </c>
      <c r="Y37" s="22">
        <v>1</v>
      </c>
      <c r="Z37" s="8" t="e">
        <f>IF(AA39="Sim", ROUNDUP((AC37+ROUNDDOWN(U39/10,0))*Y37*AE35,0), ROUNDUP((AC37+ROUNDDOWN(U39/10,0))*Y37,0))</f>
        <v>#N/A</v>
      </c>
      <c r="AA37" s="26" t="e">
        <f>ROUNDDOWN(X40/2,0)</f>
        <v>#N/A</v>
      </c>
      <c r="AB37" s="17"/>
      <c r="AC37" s="9" t="e">
        <f>X37+LOOKUP(X37,[1]Dados!$H$3:$I$12,[1]Dados!$J$3:$J$12)*(ROUNDDOWN(U37/2,0))+LOOKUP(X37,[1]Dados!$H$3:$I$12,[1]Dados!$K$3:$K$12)*(ROUNDDOWN((U37-1)/2,0))</f>
        <v>#N/A</v>
      </c>
      <c r="AD37" s="18" t="s">
        <v>24</v>
      </c>
      <c r="AE37" s="19"/>
    </row>
    <row r="38" spans="1:31" ht="15" thickBot="1" x14ac:dyDescent="0.35">
      <c r="A38" s="38"/>
      <c r="B38" s="38"/>
      <c r="C38" s="45"/>
      <c r="E38" s="11" t="s">
        <v>26</v>
      </c>
      <c r="F38" s="23">
        <v>0</v>
      </c>
      <c r="G38" s="20"/>
      <c r="H38" s="13" t="s">
        <v>21</v>
      </c>
      <c r="I38" s="14" t="e">
        <f>VLOOKUP(F33,[1]Pokemon!$A$1:$I$874,6,FALSE)+IF(F35="Sim",1,0)</f>
        <v>#N/A</v>
      </c>
      <c r="J38" s="22">
        <v>1</v>
      </c>
      <c r="K38" s="8" t="e">
        <f>IF(L39="Sim", ROUNDUP((N38+ROUNDDOWN(F39/10,0))*J38*P36,0), ROUNDUP((N38+ROUNDDOWN(F39/10,0))*J38,0))</f>
        <v>#N/A</v>
      </c>
      <c r="L38" s="24" t="s">
        <v>27</v>
      </c>
      <c r="M38" s="17"/>
      <c r="N38" s="9" t="e">
        <f>I38+LOOKUP(I38,[1]Dados!$H$3:$I$12,[1]Dados!$J$3:$J$12)*(ROUNDDOWN(F37/2,0))+LOOKUP(I38,[1]Dados!$H$3:$I$12,[1]Dados!$K$3:$K$12)*(ROUNDDOWN((F37-1)/2,0))</f>
        <v>#N/A</v>
      </c>
      <c r="O38" s="28" t="s">
        <v>28</v>
      </c>
      <c r="P38" s="29"/>
      <c r="T38" s="11" t="s">
        <v>26</v>
      </c>
      <c r="U38" s="23">
        <v>0</v>
      </c>
      <c r="V38" s="20"/>
      <c r="W38" s="13" t="s">
        <v>21</v>
      </c>
      <c r="X38" s="14" t="e">
        <f>VLOOKUP(U33,[1]Pokemon!$A$1:$I$874,6,FALSE)+IF(U35="Sim",1,0)</f>
        <v>#N/A</v>
      </c>
      <c r="Y38" s="22">
        <v>1</v>
      </c>
      <c r="Z38" s="8" t="e">
        <f>IF(AA39="Sim", ROUNDUP((AC38+ROUNDDOWN(U39/10,0))*Y38*AE36,0), ROUNDUP((AC38+ROUNDDOWN(U39/10,0))*Y38,0))</f>
        <v>#N/A</v>
      </c>
      <c r="AA38" s="24" t="s">
        <v>27</v>
      </c>
      <c r="AB38" s="17"/>
      <c r="AC38" s="9" t="e">
        <f>X38+LOOKUP(X38,[1]Dados!$H$3:$I$12,[1]Dados!$J$3:$J$12)*(ROUNDDOWN(U37/2,0))+LOOKUP(X38,[1]Dados!$H$3:$I$12,[1]Dados!$K$3:$K$12)*(ROUNDDOWN((U37-1)/2,0))</f>
        <v>#N/A</v>
      </c>
      <c r="AD38" s="28" t="s">
        <v>28</v>
      </c>
      <c r="AE38" s="29"/>
    </row>
    <row r="39" spans="1:31" x14ac:dyDescent="0.3">
      <c r="C39" s="46"/>
      <c r="E39" s="11" t="s">
        <v>29</v>
      </c>
      <c r="F39" s="30">
        <v>0</v>
      </c>
      <c r="G39" s="20"/>
      <c r="H39" s="13" t="s">
        <v>24</v>
      </c>
      <c r="I39" s="14" t="e">
        <f>VLOOKUP(F33,[1]Pokemon!$A$1:$I$874,7,FALSE)+IF(F35="Sim",1,0)</f>
        <v>#N/A</v>
      </c>
      <c r="J39" s="22">
        <v>1</v>
      </c>
      <c r="K39" s="8" t="e">
        <f>IF(L39="Sim", ROUNDUP((N39+ROUNDDOWN(F39/10,0))*J39*P37,0), ROUNDUP((N39+ROUNDDOWN(F39/10,0))*J39,0))</f>
        <v>#N/A</v>
      </c>
      <c r="L39" s="26" t="s">
        <v>15</v>
      </c>
      <c r="M39" s="17"/>
      <c r="N39" s="9" t="e">
        <f>I39+LOOKUP(I39,[1]Dados!$H$3:$I$12,[1]Dados!$J$3:$J$12)*(ROUNDDOWN(F37/2,0))+LOOKUP(I39,[1]Dados!$H$3:$I$12,[1]Dados!$K$3:$K$12)*(ROUNDDOWN((F37-1)/2,0))</f>
        <v>#N/A</v>
      </c>
      <c r="T39" s="11" t="s">
        <v>29</v>
      </c>
      <c r="U39" s="30">
        <v>0</v>
      </c>
      <c r="V39" s="20"/>
      <c r="W39" s="13" t="s">
        <v>24</v>
      </c>
      <c r="X39" s="14" t="e">
        <f>VLOOKUP(U33,[1]Pokemon!$A$1:$I$874,7,FALSE)+IF(U35="Sim",1,0)</f>
        <v>#N/A</v>
      </c>
      <c r="Y39" s="22">
        <v>1</v>
      </c>
      <c r="Z39" s="8" t="e">
        <f>IF(AA39="Sim", ROUNDUP((AC39+ROUNDDOWN(U39/10,0))*Y39*AE37,0), ROUNDUP((AC39+ROUNDDOWN(U39/10,0))*Y39,0))</f>
        <v>#N/A</v>
      </c>
      <c r="AA39" s="26" t="s">
        <v>15</v>
      </c>
      <c r="AB39" s="17"/>
      <c r="AC39" s="9" t="e">
        <f>X39+LOOKUP(X39,[1]Dados!$H$3:$I$12,[1]Dados!$J$3:$J$12)*(ROUNDDOWN(U37/2,0))+LOOKUP(X39,[1]Dados!$H$3:$I$12,[1]Dados!$K$3:$K$12)*(ROUNDDOWN((U37-1)/2,0))</f>
        <v>#N/A</v>
      </c>
    </row>
    <row r="40" spans="1:31" x14ac:dyDescent="0.3">
      <c r="C40" s="46"/>
      <c r="E40" s="11" t="s">
        <v>31</v>
      </c>
      <c r="F40" s="23" t="s">
        <v>32</v>
      </c>
      <c r="G40" s="20"/>
      <c r="H40" s="13" t="s">
        <v>28</v>
      </c>
      <c r="I40" s="14" t="e">
        <f>VLOOKUP(F33,[1]Pokemon!$A$1:$I$874,8,FALSE)+IF(F35="Sim",1,0)</f>
        <v>#N/A</v>
      </c>
      <c r="J40" s="22">
        <f>1*IF(F41="Paralisado",0.5,1)</f>
        <v>1</v>
      </c>
      <c r="K40" s="8" t="e">
        <f>IF(L39="Sim", ROUNDUP(N40*J40*P38,0), ROUNDUP(N40*J40,0))</f>
        <v>#N/A</v>
      </c>
      <c r="L40" s="31" t="e">
        <f>IF(L39 = "Sim", ROUNDUP((K40/(10*P38)), 0)&amp;"d6", ROUNDUP((K40/10), 0)&amp;"d6")</f>
        <v>#N/A</v>
      </c>
      <c r="M40" s="17"/>
      <c r="N40" s="9" t="e">
        <f>I40+LOOKUP(I40,[1]Dados!$H$3:$I$12,[1]Dados!$J$3:$J$12)*(ROUNDDOWN(F37/2,0))+LOOKUP(I40,[1]Dados!$H$3:$I$12,[1]Dados!$K$3:$K$12)*(ROUNDDOWN((F37-1)/2,0))</f>
        <v>#N/A</v>
      </c>
      <c r="T40" s="11" t="s">
        <v>31</v>
      </c>
      <c r="U40" s="23" t="s">
        <v>32</v>
      </c>
      <c r="V40" s="20"/>
      <c r="W40" s="13" t="s">
        <v>28</v>
      </c>
      <c r="X40" s="14" t="e">
        <f>VLOOKUP(U33,[1]Pokemon!$A$1:$I$874,8,FALSE)+IF(U35="Sim",1,0)</f>
        <v>#N/A</v>
      </c>
      <c r="Y40" s="22">
        <f>1*IF(U41="Paralisado",0.5,1)</f>
        <v>1</v>
      </c>
      <c r="Z40" s="8" t="e">
        <f>IF(AA39="Sim", ROUNDUP(AC40*Y40*AE38,0), ROUNDUP(AC40*Y40,0))</f>
        <v>#N/A</v>
      </c>
      <c r="AA40" s="31" t="e">
        <f>IF(AA39 = "Sim", ROUNDUP((Z40/(10*AE38)), 0)&amp;"d6", ROUNDUP((Z40/10), 0)&amp;"d6")</f>
        <v>#N/A</v>
      </c>
      <c r="AB40" s="17"/>
      <c r="AC40" s="9" t="e">
        <f>X40+LOOKUP(X40,[1]Dados!$H$3:$I$12,[1]Dados!$J$3:$J$12)*(ROUNDDOWN(U37/2,0))+LOOKUP(X40,[1]Dados!$H$3:$I$12,[1]Dados!$K$3:$K$12)*(ROUNDDOWN((U37-1)/2,0))</f>
        <v>#N/A</v>
      </c>
    </row>
    <row r="41" spans="1:31" x14ac:dyDescent="0.3">
      <c r="C41" s="46"/>
      <c r="E41" s="11" t="s">
        <v>34</v>
      </c>
      <c r="F41" s="23"/>
      <c r="G41" s="20"/>
      <c r="H41" s="13" t="s">
        <v>35</v>
      </c>
      <c r="I41" s="14" t="e">
        <f>VLOOKUP(F33,[1]Pokemon!$A$1:$I$874,9,FALSE)</f>
        <v>#N/A</v>
      </c>
      <c r="J41" s="13" t="s">
        <v>36</v>
      </c>
      <c r="K41" s="13"/>
      <c r="L41" s="32" t="e">
        <f>((F37+1)*I41/2)-F38</f>
        <v>#N/A</v>
      </c>
      <c r="M41" s="17"/>
      <c r="N41" s="33"/>
      <c r="T41" s="11" t="s">
        <v>34</v>
      </c>
      <c r="U41" s="23"/>
      <c r="V41" s="20"/>
      <c r="W41" s="13" t="s">
        <v>35</v>
      </c>
      <c r="X41" s="14" t="e">
        <f>VLOOKUP(U33,[1]Pokemon!$A$1:$I$874,9,FALSE)</f>
        <v>#N/A</v>
      </c>
      <c r="Y41" s="13" t="s">
        <v>36</v>
      </c>
      <c r="Z41" s="13"/>
      <c r="AA41" s="32" t="e">
        <f>((U37+1)*X41/2)-U38</f>
        <v>#N/A</v>
      </c>
      <c r="AB41" s="17"/>
      <c r="AC41" s="33"/>
    </row>
    <row r="42" spans="1:31" x14ac:dyDescent="0.3">
      <c r="C42" s="46"/>
      <c r="E42" s="34"/>
      <c r="F42" s="8"/>
      <c r="G42" s="17"/>
      <c r="H42" s="8"/>
      <c r="I42" s="8"/>
      <c r="J42" s="8"/>
      <c r="K42" s="8"/>
      <c r="L42" s="26"/>
      <c r="M42" s="17"/>
      <c r="N42" s="35"/>
      <c r="T42" s="34"/>
      <c r="U42" s="8"/>
      <c r="V42" s="17"/>
      <c r="W42" s="8"/>
      <c r="X42" s="8"/>
      <c r="Y42" s="8"/>
      <c r="Z42" s="8"/>
      <c r="AA42" s="26"/>
      <c r="AB42" s="17"/>
      <c r="AC42" s="35"/>
    </row>
    <row r="43" spans="1:31" x14ac:dyDescent="0.3">
      <c r="C43" s="46"/>
      <c r="E43" s="60" t="s">
        <v>39</v>
      </c>
      <c r="F43" s="61"/>
      <c r="G43" s="13" t="s">
        <v>40</v>
      </c>
      <c r="H43" s="13"/>
      <c r="I43" s="13"/>
      <c r="J43" s="13" t="s">
        <v>16</v>
      </c>
      <c r="K43" s="13" t="s">
        <v>41</v>
      </c>
      <c r="L43" s="24" t="s">
        <v>42</v>
      </c>
      <c r="M43" s="17"/>
      <c r="N43" s="35"/>
      <c r="T43" s="60" t="s">
        <v>39</v>
      </c>
      <c r="U43" s="61"/>
      <c r="V43" s="13" t="s">
        <v>40</v>
      </c>
      <c r="W43" s="13"/>
      <c r="X43" s="13"/>
      <c r="Y43" s="13" t="s">
        <v>16</v>
      </c>
      <c r="Z43" s="13" t="s">
        <v>41</v>
      </c>
      <c r="AA43" s="24" t="s">
        <v>42</v>
      </c>
      <c r="AB43" s="17"/>
      <c r="AC43" s="35"/>
    </row>
    <row r="44" spans="1:31" x14ac:dyDescent="0.3">
      <c r="C44" s="46"/>
      <c r="E44" s="62"/>
      <c r="F44" s="63"/>
      <c r="G44" s="63" t="e">
        <f>VLOOKUP(E44,[2]Golpes!$A$1:$G$653,2,FALSE)&amp;"/"&amp;VLOOKUP(E44,[2]Golpes!$A$1:$G$653,3,FALSE)</f>
        <v>#N/A</v>
      </c>
      <c r="H44" s="63"/>
      <c r="I44" s="63"/>
      <c r="J44" s="25" t="e">
        <f>VLOOKUP(E44,[2]Golpes!$A$1:$G$653,4,FALSE)</f>
        <v>#N/A</v>
      </c>
      <c r="K44" s="25" t="e">
        <f>VLOOKUP(E44,[2]Golpes!$A$1:$G$653,5,FALSE)</f>
        <v>#N/A</v>
      </c>
      <c r="L44" s="36" t="e">
        <f>VLOOKUP(E44,[2]Golpes!$A$1:$G$653,6,FALSE)</f>
        <v>#N/A</v>
      </c>
      <c r="M44" s="17" t="e">
        <f>VLOOKUP(E44,[2]Golpes!$A$1:$G$653,7,FALSE)</f>
        <v>#N/A</v>
      </c>
      <c r="N44" s="35"/>
      <c r="T44" s="62"/>
      <c r="U44" s="63"/>
      <c r="V44" s="63" t="e">
        <f>VLOOKUP(T44,[2]Golpes!$A$1:$G$653,2,FALSE)&amp;"/"&amp;VLOOKUP(T44,[2]Golpes!$A$1:$G$653,3,FALSE)</f>
        <v>#N/A</v>
      </c>
      <c r="W44" s="63"/>
      <c r="X44" s="63"/>
      <c r="Y44" s="25" t="e">
        <f>VLOOKUP(T44,[2]Golpes!$A$1:$G$653,4,FALSE)</f>
        <v>#N/A</v>
      </c>
      <c r="Z44" s="25" t="e">
        <f>VLOOKUP(T44,[2]Golpes!$A$1:$G$653,5,FALSE)</f>
        <v>#N/A</v>
      </c>
      <c r="AA44" s="36" t="e">
        <f>VLOOKUP(T44,[2]Golpes!$A$1:$G$653,6,FALSE)</f>
        <v>#N/A</v>
      </c>
      <c r="AB44" s="17" t="e">
        <f>VLOOKUP(T44,[2]Golpes!$A$1:$G$653,7,FALSE)</f>
        <v>#N/A</v>
      </c>
      <c r="AC44" s="35"/>
    </row>
    <row r="45" spans="1:31" x14ac:dyDescent="0.3">
      <c r="C45" s="46"/>
      <c r="E45" s="62"/>
      <c r="F45" s="63"/>
      <c r="G45" s="63" t="e">
        <f>VLOOKUP(E45,[2]Golpes!$A$1:$G$653,2,FALSE)&amp;"/"&amp;VLOOKUP(E45,[2]Golpes!$A$1:$G$653,3,FALSE)</f>
        <v>#N/A</v>
      </c>
      <c r="H45" s="63"/>
      <c r="I45" s="63"/>
      <c r="J45" s="25" t="e">
        <f>VLOOKUP(E45,[2]Golpes!$A$1:$G$653,4,FALSE)</f>
        <v>#N/A</v>
      </c>
      <c r="K45" s="25" t="e">
        <f>VLOOKUP(E45,[2]Golpes!$A$1:$G$653,5,FALSE)</f>
        <v>#N/A</v>
      </c>
      <c r="L45" s="36" t="e">
        <f>VLOOKUP(E45,[2]Golpes!$A$1:$G$653,6,FALSE)</f>
        <v>#N/A</v>
      </c>
      <c r="M45" s="17" t="e">
        <f>VLOOKUP(E45,[2]Golpes!$A$1:$G$653,7,FALSE)</f>
        <v>#N/A</v>
      </c>
      <c r="N45" s="35"/>
      <c r="T45" s="62"/>
      <c r="U45" s="63"/>
      <c r="V45" s="63" t="e">
        <f>VLOOKUP(T45,[2]Golpes!$A$1:$G$653,2,FALSE)&amp;"/"&amp;VLOOKUP(T45,[2]Golpes!$A$1:$G$653,3,FALSE)</f>
        <v>#N/A</v>
      </c>
      <c r="W45" s="63"/>
      <c r="X45" s="63"/>
      <c r="Y45" s="25" t="e">
        <f>VLOOKUP(T45,[2]Golpes!$A$1:$G$653,4,FALSE)</f>
        <v>#N/A</v>
      </c>
      <c r="Z45" s="25" t="e">
        <f>VLOOKUP(T45,[2]Golpes!$A$1:$G$653,5,FALSE)</f>
        <v>#N/A</v>
      </c>
      <c r="AA45" s="36" t="e">
        <f>VLOOKUP(T45,[2]Golpes!$A$1:$G$653,6,FALSE)</f>
        <v>#N/A</v>
      </c>
      <c r="AB45" s="17" t="e">
        <f>VLOOKUP(T45,[2]Golpes!$A$1:$G$653,7,FALSE)</f>
        <v>#N/A</v>
      </c>
      <c r="AC45" s="35"/>
    </row>
    <row r="46" spans="1:31" x14ac:dyDescent="0.3">
      <c r="C46" s="46"/>
      <c r="E46" s="62"/>
      <c r="F46" s="63"/>
      <c r="G46" s="63" t="e">
        <f>VLOOKUP(E46,[2]Golpes!$A$1:$G$653,2,FALSE)&amp;"/"&amp;VLOOKUP(E46,[2]Golpes!$A$1:$G$653,3,FALSE)</f>
        <v>#N/A</v>
      </c>
      <c r="H46" s="63"/>
      <c r="I46" s="63"/>
      <c r="J46" s="25" t="e">
        <f>VLOOKUP(E46,[2]Golpes!$A$1:$G$653,4,FALSE)</f>
        <v>#N/A</v>
      </c>
      <c r="K46" s="25" t="e">
        <f>VLOOKUP(E46,[2]Golpes!$A$1:$G$653,5,FALSE)</f>
        <v>#N/A</v>
      </c>
      <c r="L46" s="36" t="e">
        <f>VLOOKUP(E46,[2]Golpes!$A$1:$G$653,6,FALSE)</f>
        <v>#N/A</v>
      </c>
      <c r="M46" s="17" t="e">
        <f>VLOOKUP(E46,[2]Golpes!$A$1:$G$653,7,FALSE)</f>
        <v>#N/A</v>
      </c>
      <c r="N46" s="35"/>
      <c r="T46" s="62"/>
      <c r="U46" s="63"/>
      <c r="V46" s="63" t="e">
        <f>VLOOKUP(T46,[2]Golpes!$A$1:$G$653,2,FALSE)&amp;"/"&amp;VLOOKUP(T46,[2]Golpes!$A$1:$G$653,3,FALSE)</f>
        <v>#N/A</v>
      </c>
      <c r="W46" s="63"/>
      <c r="X46" s="63"/>
      <c r="Y46" s="25" t="e">
        <f>VLOOKUP(T46,[2]Golpes!$A$1:$G$653,4,FALSE)</f>
        <v>#N/A</v>
      </c>
      <c r="Z46" s="25" t="e">
        <f>VLOOKUP(T46,[2]Golpes!$A$1:$G$653,5,FALSE)</f>
        <v>#N/A</v>
      </c>
      <c r="AA46" s="36" t="e">
        <f>VLOOKUP(T46,[2]Golpes!$A$1:$G$653,6,FALSE)</f>
        <v>#N/A</v>
      </c>
      <c r="AB46" s="17" t="e">
        <f>VLOOKUP(T46,[2]Golpes!$A$1:$G$653,7,FALSE)</f>
        <v>#N/A</v>
      </c>
      <c r="AC46" s="35"/>
    </row>
    <row r="47" spans="1:31" ht="15" thickBot="1" x14ac:dyDescent="0.35">
      <c r="C47" s="46"/>
      <c r="E47" s="67"/>
      <c r="F47" s="68"/>
      <c r="G47" s="68" t="e">
        <f>VLOOKUP(E47,[2]Golpes!$A$1:$G$653,2,FALSE)&amp;"/"&amp;VLOOKUP(E47,[2]Golpes!$A$1:$G$653,3,FALSE)</f>
        <v>#N/A</v>
      </c>
      <c r="H47" s="68"/>
      <c r="I47" s="68"/>
      <c r="J47" s="43" t="e">
        <f>VLOOKUP(E47,[2]Golpes!$A$1:$G$653,4,FALSE)</f>
        <v>#N/A</v>
      </c>
      <c r="K47" s="43" t="e">
        <f>VLOOKUP(E47,[2]Golpes!$A$1:$G$653,5,FALSE)</f>
        <v>#N/A</v>
      </c>
      <c r="L47" s="44" t="e">
        <f>VLOOKUP(E47,[2]Golpes!$A$1:$G$653,6,FALSE)</f>
        <v>#N/A</v>
      </c>
      <c r="M47" s="17" t="e">
        <f>VLOOKUP(E47,[2]Golpes!$A$1:$G$653,7,FALSE)</f>
        <v>#N/A</v>
      </c>
      <c r="N47" s="35"/>
      <c r="T47" s="67"/>
      <c r="U47" s="68"/>
      <c r="V47" s="68" t="e">
        <f>VLOOKUP(T47,[2]Golpes!$A$1:$G$653,2,FALSE)&amp;"/"&amp;VLOOKUP(T47,[2]Golpes!$A$1:$G$653,3,FALSE)</f>
        <v>#N/A</v>
      </c>
      <c r="W47" s="68"/>
      <c r="X47" s="68"/>
      <c r="Y47" s="43" t="e">
        <f>VLOOKUP(T47,[2]Golpes!$A$1:$G$653,4,FALSE)</f>
        <v>#N/A</v>
      </c>
      <c r="Z47" s="43" t="e">
        <f>VLOOKUP(T47,[2]Golpes!$A$1:$G$653,5,FALSE)</f>
        <v>#N/A</v>
      </c>
      <c r="AA47" s="44" t="e">
        <f>VLOOKUP(T47,[2]Golpes!$A$1:$G$653,6,FALSE)</f>
        <v>#N/A</v>
      </c>
      <c r="AB47" s="17" t="e">
        <f>VLOOKUP(T47,[2]Golpes!$A$1:$G$653,7,FALSE)</f>
        <v>#N/A</v>
      </c>
      <c r="AC47" s="35"/>
    </row>
    <row r="48" spans="1:31" x14ac:dyDescent="0.3">
      <c r="C48" s="46"/>
    </row>
    <row r="49" spans="3:3" x14ac:dyDescent="0.3">
      <c r="C49" s="46"/>
    </row>
    <row r="50" spans="3:3" x14ac:dyDescent="0.3">
      <c r="C50" s="46"/>
    </row>
    <row r="51" spans="3:3" x14ac:dyDescent="0.3">
      <c r="C51" s="46"/>
    </row>
    <row r="52" spans="3:3" x14ac:dyDescent="0.3">
      <c r="C52" s="46"/>
    </row>
    <row r="53" spans="3:3" x14ac:dyDescent="0.3">
      <c r="C53" s="46"/>
    </row>
    <row r="54" spans="3:3" x14ac:dyDescent="0.3">
      <c r="C54" s="46"/>
    </row>
    <row r="55" spans="3:3" x14ac:dyDescent="0.3">
      <c r="C55" s="46"/>
    </row>
    <row r="56" spans="3:3" x14ac:dyDescent="0.3">
      <c r="C56" s="46"/>
    </row>
    <row r="57" spans="3:3" x14ac:dyDescent="0.3">
      <c r="C57" s="46"/>
    </row>
    <row r="58" spans="3:3" x14ac:dyDescent="0.3">
      <c r="C58" s="46"/>
    </row>
  </sheetData>
  <mergeCells count="83">
    <mergeCell ref="E47:F47"/>
    <mergeCell ref="G47:I47"/>
    <mergeCell ref="T47:U47"/>
    <mergeCell ref="V47:X47"/>
    <mergeCell ref="B1:C1"/>
    <mergeCell ref="E45:F45"/>
    <mergeCell ref="G45:I45"/>
    <mergeCell ref="T45:U45"/>
    <mergeCell ref="V45:X45"/>
    <mergeCell ref="E46:F46"/>
    <mergeCell ref="G46:I46"/>
    <mergeCell ref="T46:U46"/>
    <mergeCell ref="V46:X46"/>
    <mergeCell ref="E44:F44"/>
    <mergeCell ref="G44:I44"/>
    <mergeCell ref="T44:U44"/>
    <mergeCell ref="AD33:AE33"/>
    <mergeCell ref="A34:C36"/>
    <mergeCell ref="A37:C37"/>
    <mergeCell ref="E43:F43"/>
    <mergeCell ref="T43:U43"/>
    <mergeCell ref="V44:X44"/>
    <mergeCell ref="A31:C33"/>
    <mergeCell ref="E31:F31"/>
    <mergeCell ref="G31:I31"/>
    <mergeCell ref="T31:U31"/>
    <mergeCell ref="V31:X31"/>
    <mergeCell ref="O33:P33"/>
    <mergeCell ref="A30:C30"/>
    <mergeCell ref="E30:F30"/>
    <mergeCell ref="G30:I30"/>
    <mergeCell ref="T30:U30"/>
    <mergeCell ref="V30:X30"/>
    <mergeCell ref="V15:X15"/>
    <mergeCell ref="AD17:AE17"/>
    <mergeCell ref="A18:C20"/>
    <mergeCell ref="A24:C26"/>
    <mergeCell ref="A27:C29"/>
    <mergeCell ref="E27:F27"/>
    <mergeCell ref="T27:U27"/>
    <mergeCell ref="E28:F28"/>
    <mergeCell ref="G28:I28"/>
    <mergeCell ref="T28:U28"/>
    <mergeCell ref="V28:X28"/>
    <mergeCell ref="E29:F29"/>
    <mergeCell ref="G29:I29"/>
    <mergeCell ref="T29:U29"/>
    <mergeCell ref="V29:X29"/>
    <mergeCell ref="A21:C23"/>
    <mergeCell ref="A16:C16"/>
    <mergeCell ref="A17:C17"/>
    <mergeCell ref="O17:P17"/>
    <mergeCell ref="V12:X12"/>
    <mergeCell ref="B13:C13"/>
    <mergeCell ref="E13:F13"/>
    <mergeCell ref="G13:I13"/>
    <mergeCell ref="T13:U13"/>
    <mergeCell ref="V13:X13"/>
    <mergeCell ref="E14:F14"/>
    <mergeCell ref="G14:I14"/>
    <mergeCell ref="T14:U14"/>
    <mergeCell ref="V14:X14"/>
    <mergeCell ref="E15:F15"/>
    <mergeCell ref="G15:I15"/>
    <mergeCell ref="T15:U15"/>
    <mergeCell ref="E11:F11"/>
    <mergeCell ref="T11:U11"/>
    <mergeCell ref="B12:C12"/>
    <mergeCell ref="E12:F12"/>
    <mergeCell ref="G12:I12"/>
    <mergeCell ref="T12:U12"/>
    <mergeCell ref="B11:C11"/>
    <mergeCell ref="B6:C6"/>
    <mergeCell ref="A7:C7"/>
    <mergeCell ref="B8:C8"/>
    <mergeCell ref="B9:C9"/>
    <mergeCell ref="B10:C10"/>
    <mergeCell ref="B5:C5"/>
    <mergeCell ref="O1:P1"/>
    <mergeCell ref="AD1:AE1"/>
    <mergeCell ref="B2:C2"/>
    <mergeCell ref="B3:C3"/>
    <mergeCell ref="B4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58"/>
  <sheetViews>
    <sheetView workbookViewId="0">
      <selection activeCell="B2" sqref="B2:C2"/>
    </sheetView>
  </sheetViews>
  <sheetFormatPr defaultRowHeight="14.4" x14ac:dyDescent="0.3"/>
  <sheetData>
    <row r="1" spans="1:31" x14ac:dyDescent="0.3">
      <c r="A1" s="1" t="s">
        <v>0</v>
      </c>
      <c r="B1" s="55" t="s">
        <v>173</v>
      </c>
      <c r="C1" s="56"/>
      <c r="E1" s="2" t="s">
        <v>1</v>
      </c>
      <c r="F1" s="3"/>
      <c r="G1" s="4"/>
      <c r="H1" s="5"/>
      <c r="I1" s="6" t="s">
        <v>2</v>
      </c>
      <c r="J1" s="6" t="s">
        <v>3</v>
      </c>
      <c r="K1" s="6" t="s">
        <v>4</v>
      </c>
      <c r="L1" s="7" t="s">
        <v>5</v>
      </c>
      <c r="M1" s="8"/>
      <c r="N1" s="9"/>
      <c r="O1" s="53" t="s">
        <v>6</v>
      </c>
      <c r="P1" s="54"/>
      <c r="T1" s="2" t="s">
        <v>1</v>
      </c>
      <c r="U1" s="3"/>
      <c r="V1" s="4"/>
      <c r="W1" s="5"/>
      <c r="X1" s="6" t="s">
        <v>2</v>
      </c>
      <c r="Y1" s="6" t="s">
        <v>3</v>
      </c>
      <c r="Z1" s="6" t="s">
        <v>4</v>
      </c>
      <c r="AA1" s="7" t="s">
        <v>5</v>
      </c>
      <c r="AB1" s="8"/>
      <c r="AC1" s="9"/>
      <c r="AD1" s="53" t="s">
        <v>6</v>
      </c>
      <c r="AE1" s="54"/>
    </row>
    <row r="2" spans="1:31" x14ac:dyDescent="0.3">
      <c r="A2" s="10" t="s">
        <v>7</v>
      </c>
      <c r="B2" s="51">
        <v>27</v>
      </c>
      <c r="C2" s="52"/>
      <c r="E2" s="11" t="s">
        <v>8</v>
      </c>
      <c r="F2" s="8" t="s">
        <v>9</v>
      </c>
      <c r="G2" s="12" t="s">
        <v>10</v>
      </c>
      <c r="H2" s="13" t="s">
        <v>11</v>
      </c>
      <c r="I2" s="14" t="e">
        <f>VLOOKUP(F1,[1]Pokemon!$A$1:$I$874,3,FALSE)+IF(F3="Sim",20,0)</f>
        <v>#N/A</v>
      </c>
      <c r="J2" s="15">
        <v>0</v>
      </c>
      <c r="K2" s="8" t="e">
        <f>IF($B$5="Vigoroso",ROUNDUP((N2+J2)*1.2,0),N2+J2)</f>
        <v>#N/A</v>
      </c>
      <c r="L2" s="16">
        <v>0</v>
      </c>
      <c r="M2" s="17"/>
      <c r="N2" s="9" t="e">
        <f>I2+LOOKUP(I2,[1]Dados!$C$3:$D$12,[1]Dados!$E$3:$E$12)*(ROUNDDOWN(F5/2,0))+LOOKUP(I2,[1]Dados!$C$3:$D$12,[1]Dados!$F$3:$F$12)*(ROUNDDOWN((F5-1)/2,0))</f>
        <v>#N/A</v>
      </c>
      <c r="O2" s="18" t="s">
        <v>12</v>
      </c>
      <c r="P2" s="19"/>
      <c r="T2" s="11" t="s">
        <v>8</v>
      </c>
      <c r="U2" s="8" t="s">
        <v>9</v>
      </c>
      <c r="V2" s="12" t="s">
        <v>10</v>
      </c>
      <c r="W2" s="13" t="s">
        <v>11</v>
      </c>
      <c r="X2" s="14" t="e">
        <f>VLOOKUP(U1,[1]Pokemon!$A$1:$I$874,3,FALSE)+IF(U3="Sim",20,0)</f>
        <v>#N/A</v>
      </c>
      <c r="Y2" s="15">
        <v>0</v>
      </c>
      <c r="Z2" s="8" t="e">
        <f>IF($B$5="Vigoroso",ROUNDUP((AC2+Y2)*1.2,0),AC2+Y2)</f>
        <v>#N/A</v>
      </c>
      <c r="AA2" s="16">
        <v>0</v>
      </c>
      <c r="AB2" s="17"/>
      <c r="AC2" s="9" t="e">
        <f>X2+LOOKUP(X2,[1]Dados!$C$3:$D$12,[1]Dados!$E$3:$E$12)*(ROUNDDOWN(U5/2,0))+LOOKUP(X2,[1]Dados!$C$3:$D$12,[1]Dados!$F$3:$F$12)*(ROUNDDOWN((U5-1)/2,0))</f>
        <v>#N/A</v>
      </c>
      <c r="AD2" s="18" t="s">
        <v>12</v>
      </c>
      <c r="AE2" s="19"/>
    </row>
    <row r="3" spans="1:31" x14ac:dyDescent="0.3">
      <c r="A3" s="10" t="s">
        <v>13</v>
      </c>
      <c r="B3" s="51" t="s">
        <v>51</v>
      </c>
      <c r="C3" s="52"/>
      <c r="E3" s="11" t="s">
        <v>14</v>
      </c>
      <c r="F3" s="8" t="s">
        <v>15</v>
      </c>
      <c r="G3" s="20"/>
      <c r="H3" s="13" t="s">
        <v>16</v>
      </c>
      <c r="I3" s="21">
        <f>20+IF(F3="Sim",10,0)</f>
        <v>20</v>
      </c>
      <c r="J3" s="22">
        <v>0</v>
      </c>
      <c r="K3" s="8">
        <f>18+(F5*2)+IF(F3="Sim",10,0)+J3</f>
        <v>20</v>
      </c>
      <c r="L3" s="16">
        <v>0</v>
      </c>
      <c r="M3" s="17"/>
      <c r="N3" s="9"/>
      <c r="O3" s="18" t="s">
        <v>17</v>
      </c>
      <c r="P3" s="19"/>
      <c r="T3" s="11" t="s">
        <v>14</v>
      </c>
      <c r="U3" s="8" t="s">
        <v>15</v>
      </c>
      <c r="V3" s="20"/>
      <c r="W3" s="13" t="s">
        <v>16</v>
      </c>
      <c r="X3" s="21">
        <f>20+IF(U3="Sim",10,0)</f>
        <v>20</v>
      </c>
      <c r="Y3" s="22">
        <v>0</v>
      </c>
      <c r="Z3" s="8">
        <f>18+(U5*2)+IF(U3="Sim",10,0)+Y3</f>
        <v>20</v>
      </c>
      <c r="AA3" s="16">
        <v>0</v>
      </c>
      <c r="AB3" s="17"/>
      <c r="AC3" s="9"/>
      <c r="AD3" s="18" t="s">
        <v>17</v>
      </c>
      <c r="AE3" s="19"/>
    </row>
    <row r="4" spans="1:31" x14ac:dyDescent="0.3">
      <c r="A4" s="10" t="s">
        <v>18</v>
      </c>
      <c r="B4" s="51" t="s">
        <v>52</v>
      </c>
      <c r="C4" s="52"/>
      <c r="E4" s="11" t="s">
        <v>19</v>
      </c>
      <c r="F4" s="23" t="e">
        <f>VLOOKUP(F1,[1]Pokemon!$A$1:$I$874,2,FALSE)</f>
        <v>#N/A</v>
      </c>
      <c r="G4" s="20"/>
      <c r="H4" s="13" t="s">
        <v>12</v>
      </c>
      <c r="I4" s="14" t="e">
        <f>VLOOKUP(F1,[1]Pokemon!$A$1:$I$874,4,FALSE)+IF(F3="Sim",1,0)</f>
        <v>#N/A</v>
      </c>
      <c r="J4" s="22">
        <v>1</v>
      </c>
      <c r="K4" s="8" t="e">
        <f>IF(L7="Sim", ROUNDUP((N4+ROUNDDOWN(F7/10,0))*J4*P2,0), ROUNDUP((N4+ROUNDDOWN(F7/10,0))*J4,0))</f>
        <v>#N/A</v>
      </c>
      <c r="L4" s="24" t="s">
        <v>20</v>
      </c>
      <c r="M4" s="17"/>
      <c r="N4" s="9" t="e">
        <f>I4+LOOKUP(I4,[1]Dados!$H$3:$I$12,[1]Dados!$J$3:$J$12)*(ROUNDDOWN(F5/2,0))+LOOKUP(I4,[1]Dados!$H$3:$I$12,[1]Dados!$K$3:$K$12)*(ROUNDDOWN((F5-1)/2,0))</f>
        <v>#N/A</v>
      </c>
      <c r="O4" s="18" t="s">
        <v>21</v>
      </c>
      <c r="P4" s="19"/>
      <c r="T4" s="11" t="s">
        <v>19</v>
      </c>
      <c r="U4" s="23" t="e">
        <f>VLOOKUP(U1,[1]Pokemon!$A$1:$I$874,2,FALSE)</f>
        <v>#N/A</v>
      </c>
      <c r="V4" s="20"/>
      <c r="W4" s="13" t="s">
        <v>12</v>
      </c>
      <c r="X4" s="14" t="e">
        <f>VLOOKUP(U1,[1]Pokemon!$A$1:$I$874,4,FALSE)+IF(U3="Sim",1,0)</f>
        <v>#N/A</v>
      </c>
      <c r="Y4" s="22">
        <v>1</v>
      </c>
      <c r="Z4" s="8" t="e">
        <f>IF(AA7="Sim", ROUNDUP((AC4+ROUNDDOWN(U7/10,0))*Y4*AE2,0), ROUNDUP((AC4+ROUNDDOWN(U7/10,0))*Y4,0))</f>
        <v>#N/A</v>
      </c>
      <c r="AA4" s="24" t="s">
        <v>20</v>
      </c>
      <c r="AB4" s="17"/>
      <c r="AC4" s="9" t="e">
        <f>X4+LOOKUP(X4,[1]Dados!$H$3:$I$12,[1]Dados!$J$3:$J$12)*(ROUNDDOWN(U5/2,0))+LOOKUP(X4,[1]Dados!$H$3:$I$12,[1]Dados!$K$3:$K$12)*(ROUNDDOWN((U5-1)/2,0))</f>
        <v>#N/A</v>
      </c>
      <c r="AD4" s="18" t="s">
        <v>21</v>
      </c>
      <c r="AE4" s="19"/>
    </row>
    <row r="5" spans="1:31" x14ac:dyDescent="0.3">
      <c r="A5" s="10" t="s">
        <v>22</v>
      </c>
      <c r="B5" s="51" t="s">
        <v>179</v>
      </c>
      <c r="C5" s="52"/>
      <c r="E5" s="11" t="s">
        <v>23</v>
      </c>
      <c r="F5" s="25">
        <v>1</v>
      </c>
      <c r="G5" s="20"/>
      <c r="H5" s="13" t="s">
        <v>17</v>
      </c>
      <c r="I5" s="14" t="e">
        <f>VLOOKUP(F1,[1]Pokemon!$A$1:$I$874,5,FALSE)+IF(F3="Sim",1,0)</f>
        <v>#N/A</v>
      </c>
      <c r="J5" s="22">
        <v>1</v>
      </c>
      <c r="K5" s="8" t="e">
        <f>IF(L7="Sim", ROUNDUP((N5+ROUNDDOWN(F7/10,0))*J5*P3,0), ROUNDUP((N5+ROUNDDOWN(F7/10,0))*J5,0))</f>
        <v>#N/A</v>
      </c>
      <c r="L5" s="26" t="e">
        <f>ROUNDDOWN(I8/2,0)</f>
        <v>#N/A</v>
      </c>
      <c r="M5" s="17"/>
      <c r="N5" s="9" t="e">
        <f>I5+LOOKUP(I5,[1]Dados!$H$3:$I$12,[1]Dados!$J$3:$J$12)*(ROUNDDOWN(F5/2,0))+LOOKUP(I5,[1]Dados!$H$3:$I$12,[1]Dados!$K$3:$K$12)*(ROUNDDOWN((F5-1)/2,0))</f>
        <v>#N/A</v>
      </c>
      <c r="O5" s="18" t="s">
        <v>24</v>
      </c>
      <c r="P5" s="19"/>
      <c r="T5" s="11" t="s">
        <v>23</v>
      </c>
      <c r="U5" s="25">
        <v>1</v>
      </c>
      <c r="V5" s="20"/>
      <c r="W5" s="13" t="s">
        <v>17</v>
      </c>
      <c r="X5" s="14" t="e">
        <f>VLOOKUP(U1,[1]Pokemon!$A$1:$I$874,5,FALSE)+IF(U3="Sim",1,0)</f>
        <v>#N/A</v>
      </c>
      <c r="Y5" s="22">
        <v>1</v>
      </c>
      <c r="Z5" s="8" t="e">
        <f>IF(AA7="Sim", ROUNDUP((AC5+ROUNDDOWN(U7/10,0))*Y5*AE3,0), ROUNDUP((AC5+ROUNDDOWN(U7/10,0))*Y5,0))</f>
        <v>#N/A</v>
      </c>
      <c r="AA5" s="26" t="e">
        <f>ROUNDDOWN(X8/2,0)</f>
        <v>#N/A</v>
      </c>
      <c r="AB5" s="17"/>
      <c r="AC5" s="9" t="e">
        <f>X5+LOOKUP(X5,[1]Dados!$H$3:$I$12,[1]Dados!$J$3:$J$12)*(ROUNDDOWN(U5/2,0))+LOOKUP(X5,[1]Dados!$H$3:$I$12,[1]Dados!$K$3:$K$12)*(ROUNDDOWN((U5-1)/2,0))</f>
        <v>#N/A</v>
      </c>
      <c r="AD5" s="18" t="s">
        <v>24</v>
      </c>
      <c r="AE5" s="19"/>
    </row>
    <row r="6" spans="1:31" ht="15" thickBot="1" x14ac:dyDescent="0.35">
      <c r="A6" s="27" t="s">
        <v>25</v>
      </c>
      <c r="B6" s="57" t="s">
        <v>32</v>
      </c>
      <c r="C6" s="58"/>
      <c r="E6" s="11" t="s">
        <v>26</v>
      </c>
      <c r="F6" s="23">
        <v>0</v>
      </c>
      <c r="G6" s="20"/>
      <c r="H6" s="13" t="s">
        <v>21</v>
      </c>
      <c r="I6" s="14" t="e">
        <f>VLOOKUP(F1,[1]Pokemon!$A$1:$I$874,6,FALSE)+IF(F3="Sim",1,0)</f>
        <v>#N/A</v>
      </c>
      <c r="J6" s="22">
        <v>1</v>
      </c>
      <c r="K6" s="8" t="e">
        <f>IF(L7="Sim", ROUNDUP((N6+ROUNDDOWN(F7/10,0))*J6*P4,0), ROUNDUP((N6+ROUNDDOWN(F7/10,0))*J6,0))</f>
        <v>#N/A</v>
      </c>
      <c r="L6" s="24" t="s">
        <v>27</v>
      </c>
      <c r="M6" s="17"/>
      <c r="N6" s="9" t="e">
        <f>I6+LOOKUP(I6,[1]Dados!$H$3:$I$12,[1]Dados!$J$3:$J$12)*(ROUNDDOWN(F5/2,0))+LOOKUP(I6,[1]Dados!$H$3:$I$12,[1]Dados!$K$3:$K$12)*(ROUNDDOWN((F5-1)/2,0))</f>
        <v>#N/A</v>
      </c>
      <c r="O6" s="28" t="s">
        <v>28</v>
      </c>
      <c r="P6" s="29"/>
      <c r="T6" s="11" t="s">
        <v>26</v>
      </c>
      <c r="U6" s="23">
        <v>0</v>
      </c>
      <c r="V6" s="20"/>
      <c r="W6" s="13" t="s">
        <v>21</v>
      </c>
      <c r="X6" s="14" t="e">
        <f>VLOOKUP(U1,[1]Pokemon!$A$1:$I$874,6,FALSE)+IF(U3="Sim",1,0)</f>
        <v>#N/A</v>
      </c>
      <c r="Y6" s="22">
        <v>1</v>
      </c>
      <c r="Z6" s="8" t="e">
        <f>IF(AA7="Sim", ROUNDUP((AC6+ROUNDDOWN(U7/10,0))*Y6*AE4,0), ROUNDUP((AC6+ROUNDDOWN(U7/10,0))*Y6,0))</f>
        <v>#N/A</v>
      </c>
      <c r="AA6" s="24" t="s">
        <v>27</v>
      </c>
      <c r="AB6" s="17"/>
      <c r="AC6" s="9" t="e">
        <f>X6+LOOKUP(X6,[1]Dados!$H$3:$I$12,[1]Dados!$J$3:$J$12)*(ROUNDDOWN(U5/2,0))+LOOKUP(X6,[1]Dados!$H$3:$I$12,[1]Dados!$K$3:$K$12)*(ROUNDDOWN((U5-1)/2,0))</f>
        <v>#N/A</v>
      </c>
      <c r="AD6" s="28" t="s">
        <v>28</v>
      </c>
      <c r="AE6" s="29"/>
    </row>
    <row r="7" spans="1:31" ht="15" thickBot="1" x14ac:dyDescent="0.35">
      <c r="A7" s="59"/>
      <c r="B7" s="59"/>
      <c r="C7" s="59"/>
      <c r="E7" s="11" t="s">
        <v>29</v>
      </c>
      <c r="F7" s="30">
        <v>0</v>
      </c>
      <c r="G7" s="20"/>
      <c r="H7" s="13" t="s">
        <v>24</v>
      </c>
      <c r="I7" s="14" t="e">
        <f>VLOOKUP(F1,[1]Pokemon!$A$1:$I$874,7,FALSE)+IF(F3="Sim",1,0)</f>
        <v>#N/A</v>
      </c>
      <c r="J7" s="22">
        <v>1</v>
      </c>
      <c r="K7" s="8" t="e">
        <f>IF(L7="Sim", ROUNDUP((N7+ROUNDDOWN(F7/10,0))*J7*P5,0), ROUNDUP((N7+ROUNDDOWN(F7/10,0))*J7,0))</f>
        <v>#N/A</v>
      </c>
      <c r="L7" s="26" t="s">
        <v>15</v>
      </c>
      <c r="M7" s="17"/>
      <c r="N7" s="9" t="e">
        <f>I7+LOOKUP(I7,[1]Dados!$H$3:$I$12,[1]Dados!$J$3:$J$12)*(ROUNDDOWN(F5/2,0))+LOOKUP(I7,[1]Dados!$H$3:$I$12,[1]Dados!$K$3:$K$12)*(ROUNDDOWN((F5-1)/2,0))</f>
        <v>#N/A</v>
      </c>
      <c r="T7" s="11" t="s">
        <v>29</v>
      </c>
      <c r="U7" s="30">
        <v>0</v>
      </c>
      <c r="V7" s="20"/>
      <c r="W7" s="13" t="s">
        <v>24</v>
      </c>
      <c r="X7" s="14" t="e">
        <f>VLOOKUP(U1,[1]Pokemon!$A$1:$I$874,7,FALSE)+IF(U3="Sim",1,0)</f>
        <v>#N/A</v>
      </c>
      <c r="Y7" s="22">
        <v>1</v>
      </c>
      <c r="Z7" s="8" t="e">
        <f>IF(AA7="Sim", ROUNDUP((AC7+ROUNDDOWN(U7/10,0))*Y7*AE5,0), ROUNDUP((AC7+ROUNDDOWN(U7/10,0))*Y7,0))</f>
        <v>#N/A</v>
      </c>
      <c r="AA7" s="26" t="s">
        <v>15</v>
      </c>
      <c r="AB7" s="17"/>
      <c r="AC7" s="9" t="e">
        <f>X7+LOOKUP(X7,[1]Dados!$H$3:$I$12,[1]Dados!$J$3:$J$12)*(ROUNDDOWN(U5/2,0))+LOOKUP(X7,[1]Dados!$H$3:$I$12,[1]Dados!$K$3:$K$12)*(ROUNDDOWN((U5-1)/2,0))</f>
        <v>#N/A</v>
      </c>
    </row>
    <row r="8" spans="1:31" x14ac:dyDescent="0.3">
      <c r="A8" s="1" t="s">
        <v>30</v>
      </c>
      <c r="B8" s="55">
        <v>3</v>
      </c>
      <c r="C8" s="56"/>
      <c r="E8" s="11" t="s">
        <v>31</v>
      </c>
      <c r="F8" s="23" t="s">
        <v>32</v>
      </c>
      <c r="G8" s="20"/>
      <c r="H8" s="13" t="s">
        <v>28</v>
      </c>
      <c r="I8" s="14" t="e">
        <f>VLOOKUP(F1,[1]Pokemon!$A$1:$I$874,8,FALSE)+IF(F3="Sim",1,0)</f>
        <v>#N/A</v>
      </c>
      <c r="J8" s="22">
        <f>1*IF(F9="Paralisado",0.5,1)</f>
        <v>1</v>
      </c>
      <c r="K8" s="8" t="e">
        <f>IF(L7="Sim", ROUNDUP(N8*J8*P6,0), ROUNDUP(N8*J8,0))</f>
        <v>#N/A</v>
      </c>
      <c r="L8" s="31" t="e">
        <f>IF(L7 = "Sim", ROUNDUP((K8/(10*P6)), 0)&amp;"d6", ROUNDUP((K8/10), 0)&amp;"d6")</f>
        <v>#N/A</v>
      </c>
      <c r="M8" s="17"/>
      <c r="N8" s="9" t="e">
        <f>I8+LOOKUP(I8,[1]Dados!$H$3:$I$12,[1]Dados!$J$3:$J$12)*(ROUNDDOWN(F5/2,0))+LOOKUP(I8,[1]Dados!$H$3:$I$12,[1]Dados!$K$3:$K$12)*(ROUNDDOWN((F5-1)/2,0))</f>
        <v>#N/A</v>
      </c>
      <c r="T8" s="11" t="s">
        <v>31</v>
      </c>
      <c r="U8" s="23" t="s">
        <v>32</v>
      </c>
      <c r="V8" s="20"/>
      <c r="W8" s="13" t="s">
        <v>28</v>
      </c>
      <c r="X8" s="14" t="e">
        <f>VLOOKUP(U1,[1]Pokemon!$A$1:$I$874,8,FALSE)+IF(U3="Sim",1,0)</f>
        <v>#N/A</v>
      </c>
      <c r="Y8" s="22">
        <f>1*IF(U9="Paralisado",0.5,1)</f>
        <v>1</v>
      </c>
      <c r="Z8" s="8" t="e">
        <f>IF(AA7="Sim", ROUNDUP(AC8*Y8*AE6,0), ROUNDUP(AC8*Y8,0))</f>
        <v>#N/A</v>
      </c>
      <c r="AA8" s="31" t="e">
        <f>IF(AA7 = "Sim", ROUNDUP((Z8/(10*AE6)), 0)&amp;"d6", ROUNDUP((Z8/10), 0)&amp;"d6")</f>
        <v>#N/A</v>
      </c>
      <c r="AB8" s="17"/>
      <c r="AC8" s="9" t="e">
        <f>X8+LOOKUP(X8,[1]Dados!$H$3:$I$12,[1]Dados!$J$3:$J$12)*(ROUNDDOWN(U5/2,0))+LOOKUP(X8,[1]Dados!$H$3:$I$12,[1]Dados!$K$3:$K$12)*(ROUNDDOWN((U5-1)/2,0))</f>
        <v>#N/A</v>
      </c>
    </row>
    <row r="9" spans="1:31" x14ac:dyDescent="0.3">
      <c r="A9" s="10" t="s">
        <v>33</v>
      </c>
      <c r="B9" s="51">
        <v>5</v>
      </c>
      <c r="C9" s="52"/>
      <c r="E9" s="11" t="s">
        <v>34</v>
      </c>
      <c r="F9" s="23"/>
      <c r="G9" s="20"/>
      <c r="H9" s="13" t="s">
        <v>35</v>
      </c>
      <c r="I9" s="14" t="e">
        <f>VLOOKUP(F1,[1]Pokemon!$A$1:$I$874,9,FALSE)</f>
        <v>#N/A</v>
      </c>
      <c r="J9" s="13" t="s">
        <v>36</v>
      </c>
      <c r="K9" s="13"/>
      <c r="L9" s="32" t="e">
        <f>((F5+1)*I9/2)-F6</f>
        <v>#N/A</v>
      </c>
      <c r="M9" s="17"/>
      <c r="N9" s="33"/>
      <c r="T9" s="11" t="s">
        <v>34</v>
      </c>
      <c r="U9" s="23"/>
      <c r="V9" s="20"/>
      <c r="W9" s="13" t="s">
        <v>35</v>
      </c>
      <c r="X9" s="14" t="e">
        <f>VLOOKUP(U1,[1]Pokemon!$A$1:$I$874,9,FALSE)</f>
        <v>#N/A</v>
      </c>
      <c r="Y9" s="13" t="s">
        <v>36</v>
      </c>
      <c r="Z9" s="13"/>
      <c r="AA9" s="32" t="e">
        <f>((U5+1)*X9/2)-U6</f>
        <v>#N/A</v>
      </c>
      <c r="AB9" s="17"/>
      <c r="AC9" s="33"/>
    </row>
    <row r="10" spans="1:31" x14ac:dyDescent="0.3">
      <c r="A10" s="10" t="s">
        <v>37</v>
      </c>
      <c r="B10" s="51">
        <v>5</v>
      </c>
      <c r="C10" s="52"/>
      <c r="E10" s="34"/>
      <c r="F10" s="8"/>
      <c r="G10" s="17"/>
      <c r="H10" s="8"/>
      <c r="I10" s="8"/>
      <c r="J10" s="8"/>
      <c r="K10" s="8"/>
      <c r="L10" s="26"/>
      <c r="M10" s="17"/>
      <c r="N10" s="35"/>
      <c r="T10" s="34"/>
      <c r="U10" s="8"/>
      <c r="V10" s="17"/>
      <c r="W10" s="8"/>
      <c r="X10" s="8"/>
      <c r="Y10" s="8"/>
      <c r="Z10" s="8"/>
      <c r="AA10" s="26"/>
      <c r="AB10" s="17"/>
      <c r="AC10" s="35"/>
    </row>
    <row r="11" spans="1:31" x14ac:dyDescent="0.3">
      <c r="A11" s="10" t="s">
        <v>38</v>
      </c>
      <c r="B11" s="51">
        <v>3</v>
      </c>
      <c r="C11" s="52"/>
      <c r="E11" s="60" t="s">
        <v>39</v>
      </c>
      <c r="F11" s="61"/>
      <c r="G11" s="13" t="s">
        <v>40</v>
      </c>
      <c r="H11" s="13"/>
      <c r="I11" s="13"/>
      <c r="J11" s="13" t="s">
        <v>16</v>
      </c>
      <c r="K11" s="13" t="s">
        <v>41</v>
      </c>
      <c r="L11" s="24" t="s">
        <v>42</v>
      </c>
      <c r="M11" s="17"/>
      <c r="N11" s="35"/>
      <c r="T11" s="60" t="s">
        <v>39</v>
      </c>
      <c r="U11" s="61"/>
      <c r="V11" s="13" t="s">
        <v>40</v>
      </c>
      <c r="W11" s="13"/>
      <c r="X11" s="13"/>
      <c r="Y11" s="13" t="s">
        <v>16</v>
      </c>
      <c r="Z11" s="13" t="s">
        <v>41</v>
      </c>
      <c r="AA11" s="24" t="s">
        <v>42</v>
      </c>
      <c r="AB11" s="17"/>
      <c r="AC11" s="35"/>
    </row>
    <row r="12" spans="1:31" x14ac:dyDescent="0.3">
      <c r="A12" s="10" t="s">
        <v>43</v>
      </c>
      <c r="B12" s="51">
        <v>3</v>
      </c>
      <c r="C12" s="52"/>
      <c r="E12" s="62"/>
      <c r="F12" s="63"/>
      <c r="G12" s="63" t="e">
        <f>VLOOKUP(E12,[2]Golpes!$A$1:$G$653,2,FALSE)&amp;"/"&amp;VLOOKUP(E12,[2]Golpes!$A$1:$G$653,3,FALSE)</f>
        <v>#N/A</v>
      </c>
      <c r="H12" s="63"/>
      <c r="I12" s="63"/>
      <c r="J12" s="25" t="e">
        <f>VLOOKUP(E12,[2]Golpes!$A$1:$G$653,4,FALSE)</f>
        <v>#N/A</v>
      </c>
      <c r="K12" s="25" t="e">
        <f>VLOOKUP(E12,[2]Golpes!$A$1:$G$653,5,FALSE)</f>
        <v>#N/A</v>
      </c>
      <c r="L12" s="36" t="e">
        <f>VLOOKUP(E12,[2]Golpes!$A$1:$G$653,6,FALSE)</f>
        <v>#N/A</v>
      </c>
      <c r="M12" s="17" t="e">
        <f>VLOOKUP(E12,[2]Golpes!$A$1:$G$653,7,FALSE)</f>
        <v>#N/A</v>
      </c>
      <c r="N12" s="35"/>
      <c r="T12" s="62"/>
      <c r="U12" s="63"/>
      <c r="V12" s="63" t="e">
        <f>VLOOKUP(T12,[2]Golpes!$A$1:$G$653,2,FALSE)&amp;"/"&amp;VLOOKUP(T12,[2]Golpes!$A$1:$G$653,3,FALSE)</f>
        <v>#N/A</v>
      </c>
      <c r="W12" s="63"/>
      <c r="X12" s="63"/>
      <c r="Y12" s="25" t="e">
        <f>VLOOKUP(T12,[2]Golpes!$A$1:$G$653,4,FALSE)</f>
        <v>#N/A</v>
      </c>
      <c r="Z12" s="25" t="e">
        <f>VLOOKUP(T12,[2]Golpes!$A$1:$G$653,5,FALSE)</f>
        <v>#N/A</v>
      </c>
      <c r="AA12" s="36" t="e">
        <f>VLOOKUP(T12,[2]Golpes!$A$1:$G$653,6,FALSE)</f>
        <v>#N/A</v>
      </c>
      <c r="AB12" s="17" t="e">
        <f>VLOOKUP(T12,[2]Golpes!$A$1:$G$653,7,FALSE)</f>
        <v>#N/A</v>
      </c>
      <c r="AC12" s="35"/>
    </row>
    <row r="13" spans="1:31" ht="15" thickBot="1" x14ac:dyDescent="0.35">
      <c r="A13" s="27" t="s">
        <v>44</v>
      </c>
      <c r="B13" s="57">
        <v>3</v>
      </c>
      <c r="C13" s="58"/>
      <c r="E13" s="62"/>
      <c r="F13" s="63"/>
      <c r="G13" s="63" t="e">
        <f>VLOOKUP(E13,[2]Golpes!$A$1:$G$653,2,FALSE)&amp;"/"&amp;VLOOKUP(E13,[2]Golpes!$A$1:$G$653,3,FALSE)</f>
        <v>#N/A</v>
      </c>
      <c r="H13" s="63"/>
      <c r="I13" s="63"/>
      <c r="J13" s="25" t="e">
        <f>VLOOKUP(E13,[2]Golpes!$A$1:$G$653,4,FALSE)</f>
        <v>#N/A</v>
      </c>
      <c r="K13" s="25" t="e">
        <f>VLOOKUP(E13,[2]Golpes!$A$1:$G$653,5,FALSE)</f>
        <v>#N/A</v>
      </c>
      <c r="L13" s="36" t="e">
        <f>VLOOKUP(E13,[2]Golpes!$A$1:$G$653,6,FALSE)</f>
        <v>#N/A</v>
      </c>
      <c r="M13" s="17" t="e">
        <f>VLOOKUP(E13,[2]Golpes!$A$1:$G$653,7,FALSE)</f>
        <v>#N/A</v>
      </c>
      <c r="N13" s="35"/>
      <c r="T13" s="62"/>
      <c r="U13" s="63"/>
      <c r="V13" s="63" t="e">
        <f>VLOOKUP(T13,[2]Golpes!$A$1:$G$653,2,FALSE)&amp;"/"&amp;VLOOKUP(T13,[2]Golpes!$A$1:$G$653,3,FALSE)</f>
        <v>#N/A</v>
      </c>
      <c r="W13" s="63"/>
      <c r="X13" s="63"/>
      <c r="Y13" s="25" t="e">
        <f>VLOOKUP(T13,[2]Golpes!$A$1:$G$653,4,FALSE)</f>
        <v>#N/A</v>
      </c>
      <c r="Z13" s="25" t="e">
        <f>VLOOKUP(T13,[2]Golpes!$A$1:$G$653,5,FALSE)</f>
        <v>#N/A</v>
      </c>
      <c r="AA13" s="36" t="e">
        <f>VLOOKUP(T13,[2]Golpes!$A$1:$G$653,6,FALSE)</f>
        <v>#N/A</v>
      </c>
      <c r="AB13" s="17" t="e">
        <f>VLOOKUP(T13,[2]Golpes!$A$1:$G$653,7,FALSE)</f>
        <v>#N/A</v>
      </c>
      <c r="AC13" s="35"/>
    </row>
    <row r="14" spans="1:31" x14ac:dyDescent="0.3">
      <c r="A14" s="37" t="s">
        <v>45</v>
      </c>
      <c r="B14" s="38">
        <v>50</v>
      </c>
      <c r="C14" s="39">
        <f>B10*10</f>
        <v>50</v>
      </c>
      <c r="E14" s="62"/>
      <c r="F14" s="63"/>
      <c r="G14" s="63" t="e">
        <f>VLOOKUP(E14,[2]Golpes!$A$1:$G$653,2,FALSE)&amp;"/"&amp;VLOOKUP(E14,[2]Golpes!$A$1:$G$653,3,FALSE)</f>
        <v>#N/A</v>
      </c>
      <c r="H14" s="63"/>
      <c r="I14" s="63"/>
      <c r="J14" s="25" t="e">
        <f>VLOOKUP(E14,[2]Golpes!$A$1:$G$653,4,FALSE)</f>
        <v>#N/A</v>
      </c>
      <c r="K14" s="25" t="e">
        <f>VLOOKUP(E14,[2]Golpes!$A$1:$G$653,5,FALSE)</f>
        <v>#N/A</v>
      </c>
      <c r="L14" s="36" t="e">
        <f>VLOOKUP(E14,[2]Golpes!$A$1:$G$653,6,FALSE)</f>
        <v>#N/A</v>
      </c>
      <c r="M14" s="17" t="e">
        <f>VLOOKUP(E14,[2]Golpes!$A$1:$G$653,7,FALSE)</f>
        <v>#N/A</v>
      </c>
      <c r="N14" s="35"/>
      <c r="T14" s="62"/>
      <c r="U14" s="63"/>
      <c r="V14" s="63" t="e">
        <f>VLOOKUP(T14,[2]Golpes!$A$1:$G$653,2,FALSE)&amp;"/"&amp;VLOOKUP(T14,[2]Golpes!$A$1:$G$653,3,FALSE)</f>
        <v>#N/A</v>
      </c>
      <c r="W14" s="63"/>
      <c r="X14" s="63"/>
      <c r="Y14" s="25" t="e">
        <f>VLOOKUP(T14,[2]Golpes!$A$1:$G$653,4,FALSE)</f>
        <v>#N/A</v>
      </c>
      <c r="Z14" s="25" t="e">
        <f>VLOOKUP(T14,[2]Golpes!$A$1:$G$653,5,FALSE)</f>
        <v>#N/A</v>
      </c>
      <c r="AA14" s="36" t="e">
        <f>VLOOKUP(T14,[2]Golpes!$A$1:$G$653,6,FALSE)</f>
        <v>#N/A</v>
      </c>
      <c r="AB14" s="17" t="e">
        <f>VLOOKUP(T14,[2]Golpes!$A$1:$G$653,7,FALSE)</f>
        <v>#N/A</v>
      </c>
      <c r="AC14" s="35"/>
    </row>
    <row r="15" spans="1:31" ht="15" thickBot="1" x14ac:dyDescent="0.35">
      <c r="A15" s="40" t="s">
        <v>46</v>
      </c>
      <c r="B15" s="41">
        <v>50</v>
      </c>
      <c r="C15" s="42">
        <f>B14</f>
        <v>50</v>
      </c>
      <c r="E15" s="67"/>
      <c r="F15" s="68"/>
      <c r="G15" s="68" t="e">
        <f>VLOOKUP(E15,[2]Golpes!$A$1:$G$653,2,FALSE)&amp;"/"&amp;VLOOKUP(E15,[2]Golpes!$A$1:$G$653,3,FALSE)</f>
        <v>#N/A</v>
      </c>
      <c r="H15" s="68"/>
      <c r="I15" s="68"/>
      <c r="J15" s="43" t="e">
        <f>VLOOKUP(E15,[2]Golpes!$A$1:$G$653,4,FALSE)</f>
        <v>#N/A</v>
      </c>
      <c r="K15" s="43" t="e">
        <f>VLOOKUP(E15,[2]Golpes!$A$1:$G$653,5,FALSE)</f>
        <v>#N/A</v>
      </c>
      <c r="L15" s="44" t="e">
        <f>VLOOKUP(E15,[2]Golpes!$A$1:$G$653,6,FALSE)</f>
        <v>#N/A</v>
      </c>
      <c r="M15" s="17" t="e">
        <f>VLOOKUP(E15,[2]Golpes!$A$1:$G$653,7,FALSE)</f>
        <v>#N/A</v>
      </c>
      <c r="N15" s="35"/>
      <c r="T15" s="67"/>
      <c r="U15" s="68"/>
      <c r="V15" s="68" t="e">
        <f>VLOOKUP(T15,[2]Golpes!$A$1:$G$653,2,FALSE)&amp;"/"&amp;VLOOKUP(T15,[2]Golpes!$A$1:$G$653,3,FALSE)</f>
        <v>#N/A</v>
      </c>
      <c r="W15" s="68"/>
      <c r="X15" s="68"/>
      <c r="Y15" s="43" t="e">
        <f>VLOOKUP(T15,[2]Golpes!$A$1:$G$653,4,FALSE)</f>
        <v>#N/A</v>
      </c>
      <c r="Z15" s="43" t="e">
        <f>VLOOKUP(T15,[2]Golpes!$A$1:$G$653,5,FALSE)</f>
        <v>#N/A</v>
      </c>
      <c r="AA15" s="44" t="e">
        <f>VLOOKUP(T15,[2]Golpes!$A$1:$G$653,6,FALSE)</f>
        <v>#N/A</v>
      </c>
      <c r="AB15" s="17" t="e">
        <f>VLOOKUP(T15,[2]Golpes!$A$1:$G$653,7,FALSE)</f>
        <v>#N/A</v>
      </c>
      <c r="AC15" s="35"/>
    </row>
    <row r="16" spans="1:31" ht="15" thickBot="1" x14ac:dyDescent="0.35">
      <c r="A16" s="59">
        <v>3</v>
      </c>
      <c r="B16" s="59"/>
      <c r="C16" s="59"/>
    </row>
    <row r="17" spans="1:31" ht="15" thickBot="1" x14ac:dyDescent="0.35">
      <c r="A17" s="64" t="s">
        <v>47</v>
      </c>
      <c r="B17" s="65"/>
      <c r="C17" s="66"/>
      <c r="E17" s="2" t="s">
        <v>1</v>
      </c>
      <c r="F17" s="3"/>
      <c r="G17" s="4"/>
      <c r="H17" s="5"/>
      <c r="I17" s="6" t="s">
        <v>2</v>
      </c>
      <c r="J17" s="6" t="s">
        <v>3</v>
      </c>
      <c r="K17" s="6" t="s">
        <v>4</v>
      </c>
      <c r="L17" s="7" t="s">
        <v>5</v>
      </c>
      <c r="M17" s="8"/>
      <c r="N17" s="9"/>
      <c r="O17" s="53" t="s">
        <v>6</v>
      </c>
      <c r="P17" s="54"/>
      <c r="T17" s="2" t="s">
        <v>1</v>
      </c>
      <c r="U17" s="3"/>
      <c r="V17" s="4"/>
      <c r="W17" s="5"/>
      <c r="X17" s="6" t="s">
        <v>2</v>
      </c>
      <c r="Y17" s="6" t="s">
        <v>3</v>
      </c>
      <c r="Z17" s="6" t="s">
        <v>4</v>
      </c>
      <c r="AA17" s="7" t="s">
        <v>5</v>
      </c>
      <c r="AB17" s="8"/>
      <c r="AC17" s="9"/>
      <c r="AD17" s="53" t="s">
        <v>6</v>
      </c>
      <c r="AE17" s="54"/>
    </row>
    <row r="18" spans="1:31" x14ac:dyDescent="0.3">
      <c r="A18" s="71"/>
      <c r="B18" s="49"/>
      <c r="C18" s="72"/>
      <c r="E18" s="11" t="s">
        <v>8</v>
      </c>
      <c r="F18" s="8" t="s">
        <v>9</v>
      </c>
      <c r="G18" s="12" t="s">
        <v>10</v>
      </c>
      <c r="H18" s="13" t="s">
        <v>11</v>
      </c>
      <c r="I18" s="14" t="e">
        <f>VLOOKUP(F17,[1]Pokemon!$A$1:$I$874,3,FALSE)+IF(F19="Sim",20,0)</f>
        <v>#N/A</v>
      </c>
      <c r="J18" s="15">
        <v>0</v>
      </c>
      <c r="K18" s="8" t="e">
        <f>IF($B$5="Vigoroso",ROUNDUP((N18+J18)*1.2,0),N18+J18)</f>
        <v>#N/A</v>
      </c>
      <c r="L18" s="16">
        <v>0</v>
      </c>
      <c r="M18" s="17"/>
      <c r="N18" s="9" t="e">
        <f>I18+LOOKUP(I18,[1]Dados!$C$3:$D$12,[1]Dados!$E$3:$E$12)*(ROUNDDOWN(F21/2,0))+LOOKUP(I18,[1]Dados!$C$3:$D$12,[1]Dados!$F$3:$F$12)*(ROUNDDOWN((F21-1)/2,0))</f>
        <v>#N/A</v>
      </c>
      <c r="O18" s="18" t="s">
        <v>12</v>
      </c>
      <c r="P18" s="19"/>
      <c r="T18" s="11" t="s">
        <v>8</v>
      </c>
      <c r="U18" s="8" t="s">
        <v>9</v>
      </c>
      <c r="V18" s="12" t="s">
        <v>10</v>
      </c>
      <c r="W18" s="13" t="s">
        <v>11</v>
      </c>
      <c r="X18" s="14" t="e">
        <f>VLOOKUP(U17,[1]Pokemon!$A$1:$I$874,3,FALSE)+IF(U19="Sim",20,0)</f>
        <v>#N/A</v>
      </c>
      <c r="Y18" s="15">
        <v>0</v>
      </c>
      <c r="Z18" s="8" t="e">
        <f>IF($B$5="Vigoroso",ROUNDUP((AC18+Y18)*1.2,0),AC18+Y18)</f>
        <v>#N/A</v>
      </c>
      <c r="AA18" s="16">
        <v>0</v>
      </c>
      <c r="AB18" s="17"/>
      <c r="AC18" s="9" t="e">
        <f>X18+LOOKUP(X18,[1]Dados!$C$3:$D$12,[1]Dados!$E$3:$E$12)*(ROUNDDOWN(U21/2,0))+LOOKUP(X18,[1]Dados!$C$3:$D$12,[1]Dados!$F$3:$F$12)*(ROUNDDOWN((U21-1)/2,0))</f>
        <v>#N/A</v>
      </c>
      <c r="AD18" s="18" t="s">
        <v>12</v>
      </c>
      <c r="AE18" s="19"/>
    </row>
    <row r="19" spans="1:31" x14ac:dyDescent="0.3">
      <c r="A19" s="71"/>
      <c r="B19" s="49"/>
      <c r="C19" s="72"/>
      <c r="E19" s="11" t="s">
        <v>14</v>
      </c>
      <c r="F19" s="8" t="s">
        <v>15</v>
      </c>
      <c r="G19" s="20"/>
      <c r="H19" s="13" t="s">
        <v>16</v>
      </c>
      <c r="I19" s="21">
        <f>20+IF(F19="Sim",10,0)</f>
        <v>20</v>
      </c>
      <c r="J19" s="22">
        <v>0</v>
      </c>
      <c r="K19" s="8">
        <f>18+(F21*2)+IF(F19="Sim",10,0)+J19</f>
        <v>20</v>
      </c>
      <c r="L19" s="16">
        <v>0</v>
      </c>
      <c r="M19" s="17"/>
      <c r="N19" s="9"/>
      <c r="O19" s="18" t="s">
        <v>17</v>
      </c>
      <c r="P19" s="19"/>
      <c r="T19" s="11" t="s">
        <v>14</v>
      </c>
      <c r="U19" s="8" t="s">
        <v>15</v>
      </c>
      <c r="V19" s="20"/>
      <c r="W19" s="13" t="s">
        <v>16</v>
      </c>
      <c r="X19" s="21">
        <f>20+IF(U19="Sim",10,0)</f>
        <v>20</v>
      </c>
      <c r="Y19" s="22">
        <v>0</v>
      </c>
      <c r="Z19" s="8">
        <f>18+(U21*2)+IF(U19="Sim",10,0)+Y19</f>
        <v>20</v>
      </c>
      <c r="AA19" s="16">
        <v>0</v>
      </c>
      <c r="AB19" s="17"/>
      <c r="AC19" s="9"/>
      <c r="AD19" s="18" t="s">
        <v>17</v>
      </c>
      <c r="AE19" s="19"/>
    </row>
    <row r="20" spans="1:31" x14ac:dyDescent="0.3">
      <c r="A20" s="71"/>
      <c r="B20" s="49"/>
      <c r="C20" s="72"/>
      <c r="E20" s="11" t="s">
        <v>19</v>
      </c>
      <c r="F20" s="23" t="e">
        <f>VLOOKUP(F17,[1]Pokemon!$A$1:$I$874,2,FALSE)</f>
        <v>#N/A</v>
      </c>
      <c r="G20" s="20"/>
      <c r="H20" s="13" t="s">
        <v>12</v>
      </c>
      <c r="I20" s="14" t="e">
        <f>VLOOKUP(F17,[1]Pokemon!$A$1:$I$874,4,FALSE)+IF(F19="Sim",1,0)</f>
        <v>#N/A</v>
      </c>
      <c r="J20" s="22">
        <v>1</v>
      </c>
      <c r="K20" s="8" t="e">
        <f>IF(L23="Sim", ROUNDUP((N20+ROUNDDOWN(F23/10,0))*J20*P18,0), ROUNDUP((N20+ROUNDDOWN(F23/10,0))*J20,0))</f>
        <v>#N/A</v>
      </c>
      <c r="L20" s="24" t="s">
        <v>20</v>
      </c>
      <c r="M20" s="17"/>
      <c r="N20" s="9" t="e">
        <f>I20+LOOKUP(I20,[1]Dados!$H$3:$I$12,[1]Dados!$J$3:$J$12)*(ROUNDDOWN(F21/2,0))+LOOKUP(I20,[1]Dados!$H$3:$I$12,[1]Dados!$K$3:$K$12)*(ROUNDDOWN((F21-1)/2,0))</f>
        <v>#N/A</v>
      </c>
      <c r="O20" s="18" t="s">
        <v>21</v>
      </c>
      <c r="P20" s="19"/>
      <c r="T20" s="11" t="s">
        <v>19</v>
      </c>
      <c r="U20" s="23" t="e">
        <f>VLOOKUP(U17,[1]Pokemon!$A$1:$I$874,2,FALSE)</f>
        <v>#N/A</v>
      </c>
      <c r="V20" s="20"/>
      <c r="W20" s="13" t="s">
        <v>12</v>
      </c>
      <c r="X20" s="14" t="e">
        <f>VLOOKUP(U17,[1]Pokemon!$A$1:$I$874,4,FALSE)+IF(U19="Sim",1,0)</f>
        <v>#N/A</v>
      </c>
      <c r="Y20" s="22">
        <v>1</v>
      </c>
      <c r="Z20" s="8" t="e">
        <f>IF(AA23="Sim", ROUNDUP((AC20+ROUNDDOWN(U23/10,0))*Y20*AE18,0), ROUNDUP((AC20+ROUNDDOWN(U23/10,0))*Y20,0))</f>
        <v>#N/A</v>
      </c>
      <c r="AA20" s="24" t="s">
        <v>20</v>
      </c>
      <c r="AB20" s="17"/>
      <c r="AC20" s="9" t="e">
        <f>X20+LOOKUP(X20,[1]Dados!$H$3:$I$12,[1]Dados!$J$3:$J$12)*(ROUNDDOWN(U21/2,0))+LOOKUP(X20,[1]Dados!$H$3:$I$12,[1]Dados!$K$3:$K$12)*(ROUNDDOWN((U21-1)/2,0))</f>
        <v>#N/A</v>
      </c>
      <c r="AD20" s="18" t="s">
        <v>21</v>
      </c>
      <c r="AE20" s="19"/>
    </row>
    <row r="21" spans="1:31" x14ac:dyDescent="0.3">
      <c r="A21" s="71"/>
      <c r="B21" s="49"/>
      <c r="C21" s="72"/>
      <c r="E21" s="11" t="s">
        <v>23</v>
      </c>
      <c r="F21" s="25">
        <v>1</v>
      </c>
      <c r="G21" s="20"/>
      <c r="H21" s="13" t="s">
        <v>17</v>
      </c>
      <c r="I21" s="14" t="e">
        <f>VLOOKUP(F17,[1]Pokemon!$A$1:$I$874,5,FALSE)+IF(F19="Sim",1,0)</f>
        <v>#N/A</v>
      </c>
      <c r="J21" s="22">
        <v>1</v>
      </c>
      <c r="K21" s="8" t="e">
        <f>IF(L23="Sim", ROUNDUP((N21+ROUNDDOWN(F23/10,0))*J21*P19,0), ROUNDUP((N21+ROUNDDOWN(F23/10,0))*J21,0))</f>
        <v>#N/A</v>
      </c>
      <c r="L21" s="26" t="e">
        <f>ROUNDDOWN(I24/2,0)</f>
        <v>#N/A</v>
      </c>
      <c r="M21" s="17"/>
      <c r="N21" s="9" t="e">
        <f>I21+LOOKUP(I21,[1]Dados!$H$3:$I$12,[1]Dados!$J$3:$J$12)*(ROUNDDOWN(F21/2,0))+LOOKUP(I21,[1]Dados!$H$3:$I$12,[1]Dados!$K$3:$K$12)*(ROUNDDOWN((F21-1)/2,0))</f>
        <v>#N/A</v>
      </c>
      <c r="O21" s="18" t="s">
        <v>24</v>
      </c>
      <c r="P21" s="19"/>
      <c r="T21" s="11" t="s">
        <v>23</v>
      </c>
      <c r="U21" s="25">
        <v>1</v>
      </c>
      <c r="V21" s="20"/>
      <c r="W21" s="13" t="s">
        <v>17</v>
      </c>
      <c r="X21" s="14" t="e">
        <f>VLOOKUP(U17,[1]Pokemon!$A$1:$I$874,5,FALSE)+IF(U19="Sim",1,0)</f>
        <v>#N/A</v>
      </c>
      <c r="Y21" s="22">
        <v>1</v>
      </c>
      <c r="Z21" s="8" t="e">
        <f>IF(AA23="Sim", ROUNDUP((AC21+ROUNDDOWN(U23/10,0))*Y21*AE19,0), ROUNDUP((AC21+ROUNDDOWN(U23/10,0))*Y21,0))</f>
        <v>#N/A</v>
      </c>
      <c r="AA21" s="26" t="e">
        <f>ROUNDDOWN(X24/2,0)</f>
        <v>#N/A</v>
      </c>
      <c r="AB21" s="17"/>
      <c r="AC21" s="9" t="e">
        <f>X21+LOOKUP(X21,[1]Dados!$H$3:$I$12,[1]Dados!$J$3:$J$12)*(ROUNDDOWN(U21/2,0))+LOOKUP(X21,[1]Dados!$H$3:$I$12,[1]Dados!$K$3:$K$12)*(ROUNDDOWN((U21-1)/2,0))</f>
        <v>#N/A</v>
      </c>
      <c r="AD21" s="18" t="s">
        <v>24</v>
      </c>
      <c r="AE21" s="19"/>
    </row>
    <row r="22" spans="1:31" ht="15" thickBot="1" x14ac:dyDescent="0.35">
      <c r="A22" s="71"/>
      <c r="B22" s="49"/>
      <c r="C22" s="72"/>
      <c r="E22" s="11" t="s">
        <v>26</v>
      </c>
      <c r="F22" s="23">
        <v>0</v>
      </c>
      <c r="G22" s="20"/>
      <c r="H22" s="13" t="s">
        <v>21</v>
      </c>
      <c r="I22" s="14" t="e">
        <f>VLOOKUP(F17,[1]Pokemon!$A$1:$I$874,6,FALSE)+IF(F19="Sim",1,0)</f>
        <v>#N/A</v>
      </c>
      <c r="J22" s="22">
        <v>1</v>
      </c>
      <c r="K22" s="8" t="e">
        <f>IF(L23="Sim", ROUNDUP((N22+ROUNDDOWN(F23/10,0))*J22*P20,0), ROUNDUP((N22+ROUNDDOWN(F23/10,0))*J22,0))</f>
        <v>#N/A</v>
      </c>
      <c r="L22" s="24" t="s">
        <v>27</v>
      </c>
      <c r="M22" s="17"/>
      <c r="N22" s="9" t="e">
        <f>I22+LOOKUP(I22,[1]Dados!$H$3:$I$12,[1]Dados!$J$3:$J$12)*(ROUNDDOWN(F21/2,0))+LOOKUP(I22,[1]Dados!$H$3:$I$12,[1]Dados!$K$3:$K$12)*(ROUNDDOWN((F21-1)/2,0))</f>
        <v>#N/A</v>
      </c>
      <c r="O22" s="28" t="s">
        <v>28</v>
      </c>
      <c r="P22" s="29"/>
      <c r="T22" s="11" t="s">
        <v>26</v>
      </c>
      <c r="U22" s="23">
        <v>0</v>
      </c>
      <c r="V22" s="20"/>
      <c r="W22" s="13" t="s">
        <v>21</v>
      </c>
      <c r="X22" s="14" t="e">
        <f>VLOOKUP(U17,[1]Pokemon!$A$1:$I$874,6,FALSE)+IF(U19="Sim",1,0)</f>
        <v>#N/A</v>
      </c>
      <c r="Y22" s="22">
        <v>1</v>
      </c>
      <c r="Z22" s="8" t="e">
        <f>IF(AA23="Sim", ROUNDUP((AC22+ROUNDDOWN(U23/10,0))*Y22*AE20,0), ROUNDUP((AC22+ROUNDDOWN(U23/10,0))*Y22,0))</f>
        <v>#N/A</v>
      </c>
      <c r="AA22" s="24" t="s">
        <v>27</v>
      </c>
      <c r="AB22" s="17"/>
      <c r="AC22" s="9" t="e">
        <f>X22+LOOKUP(X22,[1]Dados!$H$3:$I$12,[1]Dados!$J$3:$J$12)*(ROUNDDOWN(U21/2,0))+LOOKUP(X22,[1]Dados!$H$3:$I$12,[1]Dados!$K$3:$K$12)*(ROUNDDOWN((U21-1)/2,0))</f>
        <v>#N/A</v>
      </c>
      <c r="AD22" s="28" t="s">
        <v>28</v>
      </c>
      <c r="AE22" s="29"/>
    </row>
    <row r="23" spans="1:31" x14ac:dyDescent="0.3">
      <c r="A23" s="71"/>
      <c r="B23" s="49"/>
      <c r="C23" s="72"/>
      <c r="E23" s="11" t="s">
        <v>29</v>
      </c>
      <c r="F23" s="30">
        <v>0</v>
      </c>
      <c r="G23" s="20"/>
      <c r="H23" s="13" t="s">
        <v>24</v>
      </c>
      <c r="I23" s="14" t="e">
        <f>VLOOKUP(F17,[1]Pokemon!$A$1:$I$874,7,FALSE)+IF(F19="Sim",1,0)</f>
        <v>#N/A</v>
      </c>
      <c r="J23" s="22">
        <v>1</v>
      </c>
      <c r="K23" s="8" t="e">
        <f>IF(L23="Sim", ROUNDUP((N23+ROUNDDOWN(F23/10,0))*J23*P21,0), ROUNDUP((N23+ROUNDDOWN(F23/10,0))*J23,0))</f>
        <v>#N/A</v>
      </c>
      <c r="L23" s="26" t="s">
        <v>15</v>
      </c>
      <c r="M23" s="17"/>
      <c r="N23" s="9" t="e">
        <f>I23+LOOKUP(I23,[1]Dados!$H$3:$I$12,[1]Dados!$J$3:$J$12)*(ROUNDDOWN(F21/2,0))+LOOKUP(I23,[1]Dados!$H$3:$I$12,[1]Dados!$K$3:$K$12)*(ROUNDDOWN((F21-1)/2,0))</f>
        <v>#N/A</v>
      </c>
      <c r="T23" s="11" t="s">
        <v>29</v>
      </c>
      <c r="U23" s="30">
        <v>0</v>
      </c>
      <c r="V23" s="20"/>
      <c r="W23" s="13" t="s">
        <v>24</v>
      </c>
      <c r="X23" s="14" t="e">
        <f>VLOOKUP(U17,[1]Pokemon!$A$1:$I$874,7,FALSE)+IF(U19="Sim",1,0)</f>
        <v>#N/A</v>
      </c>
      <c r="Y23" s="22">
        <v>1</v>
      </c>
      <c r="Z23" s="8" t="e">
        <f>IF(AA23="Sim", ROUNDUP((AC23+ROUNDDOWN(U23/10,0))*Y23*AE21,0), ROUNDUP((AC23+ROUNDDOWN(U23/10,0))*Y23,0))</f>
        <v>#N/A</v>
      </c>
      <c r="AA23" s="26" t="s">
        <v>15</v>
      </c>
      <c r="AB23" s="17"/>
      <c r="AC23" s="9" t="e">
        <f>X23+LOOKUP(X23,[1]Dados!$H$3:$I$12,[1]Dados!$J$3:$J$12)*(ROUNDDOWN(U21/2,0))+LOOKUP(X23,[1]Dados!$H$3:$I$12,[1]Dados!$K$3:$K$12)*(ROUNDDOWN((U21-1)/2,0))</f>
        <v>#N/A</v>
      </c>
    </row>
    <row r="24" spans="1:31" x14ac:dyDescent="0.3">
      <c r="A24" s="71"/>
      <c r="B24" s="49"/>
      <c r="C24" s="72"/>
      <c r="E24" s="11" t="s">
        <v>31</v>
      </c>
      <c r="F24" s="23" t="s">
        <v>32</v>
      </c>
      <c r="G24" s="20"/>
      <c r="H24" s="13" t="s">
        <v>28</v>
      </c>
      <c r="I24" s="14" t="e">
        <f>VLOOKUP(F17,[1]Pokemon!$A$1:$I$874,8,FALSE)+IF(F19="Sim",1,0)</f>
        <v>#N/A</v>
      </c>
      <c r="J24" s="22">
        <f>1*IF(F25="Paralisado",0.5,1)</f>
        <v>1</v>
      </c>
      <c r="K24" s="8" t="e">
        <f>IF(L23="Sim", ROUNDUP(N24*J24*P22,0), ROUNDUP(N24*J24,0))</f>
        <v>#N/A</v>
      </c>
      <c r="L24" s="31" t="e">
        <f>IF(L23 = "Sim", ROUNDUP((K24/(10*P22)), 0)&amp;"d6", ROUNDUP((K24/10), 0)&amp;"d6")</f>
        <v>#N/A</v>
      </c>
      <c r="M24" s="17"/>
      <c r="N24" s="9" t="e">
        <f>I24+LOOKUP(I24,[1]Dados!$H$3:$I$12,[1]Dados!$J$3:$J$12)*(ROUNDDOWN(F21/2,0))+LOOKUP(I24,[1]Dados!$H$3:$I$12,[1]Dados!$K$3:$K$12)*(ROUNDDOWN((F21-1)/2,0))</f>
        <v>#N/A</v>
      </c>
      <c r="T24" s="11" t="s">
        <v>31</v>
      </c>
      <c r="U24" s="23" t="s">
        <v>32</v>
      </c>
      <c r="V24" s="20"/>
      <c r="W24" s="13" t="s">
        <v>28</v>
      </c>
      <c r="X24" s="14" t="e">
        <f>VLOOKUP(U17,[1]Pokemon!$A$1:$I$874,8,FALSE)+IF(U19="Sim",1,0)</f>
        <v>#N/A</v>
      </c>
      <c r="Y24" s="22">
        <f>1*IF(U25="Paralisado",0.5,1)</f>
        <v>1</v>
      </c>
      <c r="Z24" s="8" t="e">
        <f>IF(AA23="Sim", ROUNDUP(AC24*Y24*AE22,0), ROUNDUP(AC24*Y24,0))</f>
        <v>#N/A</v>
      </c>
      <c r="AA24" s="31" t="e">
        <f>IF(AA23 = "Sim", ROUNDUP((Z24/(10*AE22)), 0)&amp;"d6", ROUNDUP((Z24/10), 0)&amp;"d6")</f>
        <v>#N/A</v>
      </c>
      <c r="AB24" s="17"/>
      <c r="AC24" s="9" t="e">
        <f>X24+LOOKUP(X24,[1]Dados!$H$3:$I$12,[1]Dados!$J$3:$J$12)*(ROUNDDOWN(U21/2,0))+LOOKUP(X24,[1]Dados!$H$3:$I$12,[1]Dados!$K$3:$K$12)*(ROUNDDOWN((U21-1)/2,0))</f>
        <v>#N/A</v>
      </c>
    </row>
    <row r="25" spans="1:31" x14ac:dyDescent="0.3">
      <c r="A25" s="71"/>
      <c r="B25" s="49"/>
      <c r="C25" s="72"/>
      <c r="E25" s="11" t="s">
        <v>34</v>
      </c>
      <c r="F25" s="23"/>
      <c r="G25" s="20"/>
      <c r="H25" s="13" t="s">
        <v>35</v>
      </c>
      <c r="I25" s="14" t="e">
        <f>VLOOKUP(F17,[1]Pokemon!$A$1:$I$874,9,FALSE)</f>
        <v>#N/A</v>
      </c>
      <c r="J25" s="13" t="s">
        <v>36</v>
      </c>
      <c r="K25" s="13"/>
      <c r="L25" s="32" t="e">
        <f>((F21+1)*I25/2)-F22</f>
        <v>#N/A</v>
      </c>
      <c r="M25" s="17"/>
      <c r="N25" s="33"/>
      <c r="T25" s="11" t="s">
        <v>34</v>
      </c>
      <c r="U25" s="23"/>
      <c r="V25" s="20"/>
      <c r="W25" s="13" t="s">
        <v>35</v>
      </c>
      <c r="X25" s="14" t="e">
        <f>VLOOKUP(U17,[1]Pokemon!$A$1:$I$874,9,FALSE)</f>
        <v>#N/A</v>
      </c>
      <c r="Y25" s="13" t="s">
        <v>36</v>
      </c>
      <c r="Z25" s="13"/>
      <c r="AA25" s="32" t="e">
        <f>((U21+1)*X25/2)-U22</f>
        <v>#N/A</v>
      </c>
      <c r="AB25" s="17"/>
      <c r="AC25" s="33"/>
    </row>
    <row r="26" spans="1:31" x14ac:dyDescent="0.3">
      <c r="A26" s="71"/>
      <c r="B26" s="49"/>
      <c r="C26" s="72"/>
      <c r="E26" s="34"/>
      <c r="F26" s="8"/>
      <c r="G26" s="17"/>
      <c r="H26" s="8"/>
      <c r="I26" s="8"/>
      <c r="J26" s="8"/>
      <c r="K26" s="8"/>
      <c r="L26" s="26"/>
      <c r="M26" s="17"/>
      <c r="N26" s="35"/>
      <c r="T26" s="34"/>
      <c r="U26" s="8"/>
      <c r="V26" s="17"/>
      <c r="W26" s="8"/>
      <c r="X26" s="8"/>
      <c r="Y26" s="8"/>
      <c r="Z26" s="8"/>
      <c r="AA26" s="26"/>
      <c r="AB26" s="17"/>
      <c r="AC26" s="35"/>
    </row>
    <row r="27" spans="1:31" x14ac:dyDescent="0.3">
      <c r="A27" s="71"/>
      <c r="B27" s="49"/>
      <c r="C27" s="72"/>
      <c r="E27" s="60" t="s">
        <v>39</v>
      </c>
      <c r="F27" s="61"/>
      <c r="G27" s="13" t="s">
        <v>40</v>
      </c>
      <c r="H27" s="13"/>
      <c r="I27" s="13"/>
      <c r="J27" s="13" t="s">
        <v>16</v>
      </c>
      <c r="K27" s="13" t="s">
        <v>41</v>
      </c>
      <c r="L27" s="24" t="s">
        <v>42</v>
      </c>
      <c r="M27" s="17"/>
      <c r="N27" s="35"/>
      <c r="T27" s="60" t="s">
        <v>39</v>
      </c>
      <c r="U27" s="61"/>
      <c r="V27" s="13" t="s">
        <v>40</v>
      </c>
      <c r="W27" s="13"/>
      <c r="X27" s="13"/>
      <c r="Y27" s="13" t="s">
        <v>16</v>
      </c>
      <c r="Z27" s="13" t="s">
        <v>41</v>
      </c>
      <c r="AA27" s="24" t="s">
        <v>42</v>
      </c>
      <c r="AB27" s="17"/>
      <c r="AC27" s="35"/>
    </row>
    <row r="28" spans="1:31" x14ac:dyDescent="0.3">
      <c r="A28" s="71"/>
      <c r="B28" s="49"/>
      <c r="C28" s="72"/>
      <c r="E28" s="62"/>
      <c r="F28" s="63"/>
      <c r="G28" s="63" t="e">
        <f>VLOOKUP(E28,[2]Golpes!$A$1:$G$653,2,FALSE)&amp;"/"&amp;VLOOKUP(E28,[2]Golpes!$A$1:$G$653,3,FALSE)</f>
        <v>#N/A</v>
      </c>
      <c r="H28" s="63"/>
      <c r="I28" s="63"/>
      <c r="J28" s="25" t="e">
        <f>VLOOKUP(E28,[2]Golpes!$A$1:$G$653,4,FALSE)</f>
        <v>#N/A</v>
      </c>
      <c r="K28" s="25" t="e">
        <f>VLOOKUP(E28,[2]Golpes!$A$1:$G$653,5,FALSE)</f>
        <v>#N/A</v>
      </c>
      <c r="L28" s="36" t="e">
        <f>VLOOKUP(E28,[2]Golpes!$A$1:$G$653,6,FALSE)</f>
        <v>#N/A</v>
      </c>
      <c r="M28" s="17" t="e">
        <f>VLOOKUP(E28,[2]Golpes!$A$1:$G$653,7,FALSE)</f>
        <v>#N/A</v>
      </c>
      <c r="N28" s="35"/>
      <c r="T28" s="62"/>
      <c r="U28" s="63"/>
      <c r="V28" s="63" t="e">
        <f>VLOOKUP(T28,[2]Golpes!$A$1:$G$653,2,FALSE)&amp;"/"&amp;VLOOKUP(T28,[2]Golpes!$A$1:$G$653,3,FALSE)</f>
        <v>#N/A</v>
      </c>
      <c r="W28" s="63"/>
      <c r="X28" s="63"/>
      <c r="Y28" s="25" t="e">
        <f>VLOOKUP(T28,[2]Golpes!$A$1:$G$653,4,FALSE)</f>
        <v>#N/A</v>
      </c>
      <c r="Z28" s="25" t="e">
        <f>VLOOKUP(T28,[2]Golpes!$A$1:$G$653,5,FALSE)</f>
        <v>#N/A</v>
      </c>
      <c r="AA28" s="36" t="e">
        <f>VLOOKUP(T28,[2]Golpes!$A$1:$G$653,6,FALSE)</f>
        <v>#N/A</v>
      </c>
      <c r="AB28" s="17" t="e">
        <f>VLOOKUP(T28,[2]Golpes!$A$1:$G$653,7,FALSE)</f>
        <v>#N/A</v>
      </c>
      <c r="AC28" s="35"/>
    </row>
    <row r="29" spans="1:31" ht="15" thickBot="1" x14ac:dyDescent="0.35">
      <c r="A29" s="73"/>
      <c r="B29" s="74"/>
      <c r="C29" s="75"/>
      <c r="E29" s="62"/>
      <c r="F29" s="63"/>
      <c r="G29" s="63" t="e">
        <f>VLOOKUP(E29,[2]Golpes!$A$1:$G$653,2,FALSE)&amp;"/"&amp;VLOOKUP(E29,[2]Golpes!$A$1:$G$653,3,FALSE)</f>
        <v>#N/A</v>
      </c>
      <c r="H29" s="63"/>
      <c r="I29" s="63"/>
      <c r="J29" s="25" t="e">
        <f>VLOOKUP(E29,[2]Golpes!$A$1:$G$653,4,FALSE)</f>
        <v>#N/A</v>
      </c>
      <c r="K29" s="25" t="e">
        <f>VLOOKUP(E29,[2]Golpes!$A$1:$G$653,5,FALSE)</f>
        <v>#N/A</v>
      </c>
      <c r="L29" s="36" t="e">
        <f>VLOOKUP(E29,[2]Golpes!$A$1:$G$653,6,FALSE)</f>
        <v>#N/A</v>
      </c>
      <c r="M29" s="17" t="e">
        <f>VLOOKUP(E29,[2]Golpes!$A$1:$G$653,7,FALSE)</f>
        <v>#N/A</v>
      </c>
      <c r="N29" s="35"/>
      <c r="T29" s="62"/>
      <c r="U29" s="63"/>
      <c r="V29" s="63" t="e">
        <f>VLOOKUP(T29,[2]Golpes!$A$1:$G$653,2,FALSE)&amp;"/"&amp;VLOOKUP(T29,[2]Golpes!$A$1:$G$653,3,FALSE)</f>
        <v>#N/A</v>
      </c>
      <c r="W29" s="63"/>
      <c r="X29" s="63"/>
      <c r="Y29" s="25" t="e">
        <f>VLOOKUP(T29,[2]Golpes!$A$1:$G$653,4,FALSE)</f>
        <v>#N/A</v>
      </c>
      <c r="Z29" s="25" t="e">
        <f>VLOOKUP(T29,[2]Golpes!$A$1:$G$653,5,FALSE)</f>
        <v>#N/A</v>
      </c>
      <c r="AA29" s="36" t="e">
        <f>VLOOKUP(T29,[2]Golpes!$A$1:$G$653,6,FALSE)</f>
        <v>#N/A</v>
      </c>
      <c r="AB29" s="17" t="e">
        <f>VLOOKUP(T29,[2]Golpes!$A$1:$G$653,7,FALSE)</f>
        <v>#N/A</v>
      </c>
      <c r="AC29" s="35"/>
    </row>
    <row r="30" spans="1:31" ht="15" thickBot="1" x14ac:dyDescent="0.35">
      <c r="A30" s="64" t="s">
        <v>48</v>
      </c>
      <c r="B30" s="65"/>
      <c r="C30" s="66"/>
      <c r="E30" s="62"/>
      <c r="F30" s="63"/>
      <c r="G30" s="63" t="e">
        <f>VLOOKUP(E30,[2]Golpes!$A$1:$G$653,2,FALSE)&amp;"/"&amp;VLOOKUP(E30,[2]Golpes!$A$1:$G$653,3,FALSE)</f>
        <v>#N/A</v>
      </c>
      <c r="H30" s="63"/>
      <c r="I30" s="63"/>
      <c r="J30" s="25" t="e">
        <f>VLOOKUP(E30,[2]Golpes!$A$1:$G$653,4,FALSE)</f>
        <v>#N/A</v>
      </c>
      <c r="K30" s="25" t="e">
        <f>VLOOKUP(E30,[2]Golpes!$A$1:$G$653,5,FALSE)</f>
        <v>#N/A</v>
      </c>
      <c r="L30" s="36" t="e">
        <f>VLOOKUP(E30,[2]Golpes!$A$1:$G$653,6,FALSE)</f>
        <v>#N/A</v>
      </c>
      <c r="M30" s="17" t="e">
        <f>VLOOKUP(E30,[2]Golpes!$A$1:$G$653,7,FALSE)</f>
        <v>#N/A</v>
      </c>
      <c r="N30" s="35"/>
      <c r="T30" s="62"/>
      <c r="U30" s="63"/>
      <c r="V30" s="63" t="e">
        <f>VLOOKUP(T30,[2]Golpes!$A$1:$G$653,2,FALSE)&amp;"/"&amp;VLOOKUP(T30,[2]Golpes!$A$1:$G$653,3,FALSE)</f>
        <v>#N/A</v>
      </c>
      <c r="W30" s="63"/>
      <c r="X30" s="63"/>
      <c r="Y30" s="25" t="e">
        <f>VLOOKUP(T30,[2]Golpes!$A$1:$G$653,4,FALSE)</f>
        <v>#N/A</v>
      </c>
      <c r="Z30" s="25" t="e">
        <f>VLOOKUP(T30,[2]Golpes!$A$1:$G$653,5,FALSE)</f>
        <v>#N/A</v>
      </c>
      <c r="AA30" s="36" t="e">
        <f>VLOOKUP(T30,[2]Golpes!$A$1:$G$653,6,FALSE)</f>
        <v>#N/A</v>
      </c>
      <c r="AB30" s="17" t="e">
        <f>VLOOKUP(T30,[2]Golpes!$A$1:$G$653,7,FALSE)</f>
        <v>#N/A</v>
      </c>
      <c r="AC30" s="35"/>
    </row>
    <row r="31" spans="1:31" ht="15" thickBot="1" x14ac:dyDescent="0.35">
      <c r="A31" s="84"/>
      <c r="B31" s="48"/>
      <c r="C31" s="85"/>
      <c r="E31" s="67"/>
      <c r="F31" s="68"/>
      <c r="G31" s="68" t="e">
        <f>VLOOKUP(E31,[2]Golpes!$A$1:$G$653,2,FALSE)&amp;"/"&amp;VLOOKUP(E31,[2]Golpes!$A$1:$G$653,3,FALSE)</f>
        <v>#N/A</v>
      </c>
      <c r="H31" s="68"/>
      <c r="I31" s="68"/>
      <c r="J31" s="43" t="e">
        <f>VLOOKUP(E31,[2]Golpes!$A$1:$G$653,4,FALSE)</f>
        <v>#N/A</v>
      </c>
      <c r="K31" s="43" t="e">
        <f>VLOOKUP(E31,[2]Golpes!$A$1:$G$653,5,FALSE)</f>
        <v>#N/A</v>
      </c>
      <c r="L31" s="44" t="e">
        <f>VLOOKUP(E31,[2]Golpes!$A$1:$G$653,6,FALSE)</f>
        <v>#N/A</v>
      </c>
      <c r="M31" s="17" t="e">
        <f>VLOOKUP(E31,[2]Golpes!$A$1:$G$653,7,FALSE)</f>
        <v>#N/A</v>
      </c>
      <c r="N31" s="35"/>
      <c r="T31" s="67"/>
      <c r="U31" s="68"/>
      <c r="V31" s="68" t="e">
        <f>VLOOKUP(T31,[2]Golpes!$A$1:$G$653,2,FALSE)&amp;"/"&amp;VLOOKUP(T31,[2]Golpes!$A$1:$G$653,3,FALSE)</f>
        <v>#N/A</v>
      </c>
      <c r="W31" s="68"/>
      <c r="X31" s="68"/>
      <c r="Y31" s="43" t="e">
        <f>VLOOKUP(T31,[2]Golpes!$A$1:$G$653,4,FALSE)</f>
        <v>#N/A</v>
      </c>
      <c r="Z31" s="43" t="e">
        <f>VLOOKUP(T31,[2]Golpes!$A$1:$G$653,5,FALSE)</f>
        <v>#N/A</v>
      </c>
      <c r="AA31" s="44" t="e">
        <f>VLOOKUP(T31,[2]Golpes!$A$1:$G$653,6,FALSE)</f>
        <v>#N/A</v>
      </c>
      <c r="AB31" s="17" t="e">
        <f>VLOOKUP(T31,[2]Golpes!$A$1:$G$653,7,FALSE)</f>
        <v>#N/A</v>
      </c>
      <c r="AC31" s="35"/>
    </row>
    <row r="32" spans="1:31" ht="15" thickBot="1" x14ac:dyDescent="0.35">
      <c r="A32" s="71"/>
      <c r="B32" s="49"/>
      <c r="C32" s="72"/>
    </row>
    <row r="33" spans="1:31" x14ac:dyDescent="0.3">
      <c r="A33" s="71"/>
      <c r="B33" s="49"/>
      <c r="C33" s="72"/>
      <c r="E33" s="2" t="s">
        <v>1</v>
      </c>
      <c r="F33" s="3"/>
      <c r="G33" s="4"/>
      <c r="H33" s="5"/>
      <c r="I33" s="6" t="s">
        <v>2</v>
      </c>
      <c r="J33" s="6" t="s">
        <v>3</v>
      </c>
      <c r="K33" s="6" t="s">
        <v>4</v>
      </c>
      <c r="L33" s="7" t="s">
        <v>5</v>
      </c>
      <c r="M33" s="8"/>
      <c r="N33" s="9"/>
      <c r="O33" s="53" t="s">
        <v>6</v>
      </c>
      <c r="P33" s="54"/>
      <c r="T33" s="2" t="s">
        <v>1</v>
      </c>
      <c r="U33" s="3"/>
      <c r="V33" s="4"/>
      <c r="W33" s="5"/>
      <c r="X33" s="6" t="s">
        <v>2</v>
      </c>
      <c r="Y33" s="6" t="s">
        <v>3</v>
      </c>
      <c r="Z33" s="6" t="s">
        <v>4</v>
      </c>
      <c r="AA33" s="7" t="s">
        <v>5</v>
      </c>
      <c r="AB33" s="8"/>
      <c r="AC33" s="9"/>
      <c r="AD33" s="53" t="s">
        <v>6</v>
      </c>
      <c r="AE33" s="54"/>
    </row>
    <row r="34" spans="1:31" x14ac:dyDescent="0.3">
      <c r="A34" s="71"/>
      <c r="B34" s="49"/>
      <c r="C34" s="72"/>
      <c r="E34" s="11" t="s">
        <v>8</v>
      </c>
      <c r="F34" s="8" t="s">
        <v>9</v>
      </c>
      <c r="G34" s="12" t="s">
        <v>10</v>
      </c>
      <c r="H34" s="13" t="s">
        <v>11</v>
      </c>
      <c r="I34" s="14" t="e">
        <f>VLOOKUP(F33,[1]Pokemon!$A$1:$I$874,3,FALSE)+IF(F35="Sim",20,0)</f>
        <v>#N/A</v>
      </c>
      <c r="J34" s="15">
        <v>0</v>
      </c>
      <c r="K34" s="8" t="e">
        <f>IF($B$5="Vigoroso",ROUNDUP((N34+J34)*1.2,0),N34+J34)</f>
        <v>#N/A</v>
      </c>
      <c r="L34" s="16">
        <v>0</v>
      </c>
      <c r="M34" s="17"/>
      <c r="N34" s="9" t="e">
        <f>I34+LOOKUP(I34,[1]Dados!$C$3:$D$12,[1]Dados!$E$3:$E$12)*(ROUNDDOWN(F37/2,0))+LOOKUP(I34,[1]Dados!$C$3:$D$12,[1]Dados!$F$3:$F$12)*(ROUNDDOWN((F37-1)/2,0))</f>
        <v>#N/A</v>
      </c>
      <c r="O34" s="18" t="s">
        <v>12</v>
      </c>
      <c r="P34" s="19"/>
      <c r="T34" s="11" t="s">
        <v>8</v>
      </c>
      <c r="U34" s="8" t="s">
        <v>9</v>
      </c>
      <c r="V34" s="12" t="s">
        <v>10</v>
      </c>
      <c r="W34" s="13" t="s">
        <v>11</v>
      </c>
      <c r="X34" s="14" t="e">
        <f>VLOOKUP(U33,[1]Pokemon!$A$1:$I$874,3,FALSE)+IF(U35="Sim",20,0)</f>
        <v>#N/A</v>
      </c>
      <c r="Y34" s="15">
        <v>0</v>
      </c>
      <c r="Z34" s="8" t="e">
        <f>IF($B$5="Vigoroso",ROUNDUP((AC34+Y34)*1.2,0),AC34+Y34)</f>
        <v>#N/A</v>
      </c>
      <c r="AA34" s="16">
        <v>0</v>
      </c>
      <c r="AB34" s="17"/>
      <c r="AC34" s="9" t="e">
        <f>X34+LOOKUP(X34,[1]Dados!$C$3:$D$12,[1]Dados!$E$3:$E$12)*(ROUNDDOWN(U37/2,0))+LOOKUP(X34,[1]Dados!$C$3:$D$12,[1]Dados!$F$3:$F$12)*(ROUNDDOWN((U37-1)/2,0))</f>
        <v>#N/A</v>
      </c>
      <c r="AD34" s="18" t="s">
        <v>12</v>
      </c>
      <c r="AE34" s="19"/>
    </row>
    <row r="35" spans="1:31" x14ac:dyDescent="0.3">
      <c r="A35" s="71"/>
      <c r="B35" s="49"/>
      <c r="C35" s="72"/>
      <c r="E35" s="11" t="s">
        <v>14</v>
      </c>
      <c r="F35" s="8" t="s">
        <v>15</v>
      </c>
      <c r="G35" s="20"/>
      <c r="H35" s="13" t="s">
        <v>16</v>
      </c>
      <c r="I35" s="21">
        <f>20+IF(F35="Sim",10,0)</f>
        <v>20</v>
      </c>
      <c r="J35" s="22">
        <v>0</v>
      </c>
      <c r="K35" s="8">
        <f>18+(F37*2)+IF(F35="Sim",10,0)+J35</f>
        <v>20</v>
      </c>
      <c r="L35" s="16">
        <v>0</v>
      </c>
      <c r="M35" s="17"/>
      <c r="N35" s="9"/>
      <c r="O35" s="18" t="s">
        <v>17</v>
      </c>
      <c r="P35" s="19"/>
      <c r="T35" s="11" t="s">
        <v>14</v>
      </c>
      <c r="U35" s="8" t="s">
        <v>15</v>
      </c>
      <c r="V35" s="20"/>
      <c r="W35" s="13" t="s">
        <v>16</v>
      </c>
      <c r="X35" s="21">
        <f>20+IF(U35="Sim",10,0)</f>
        <v>20</v>
      </c>
      <c r="Y35" s="22">
        <v>0</v>
      </c>
      <c r="Z35" s="8">
        <f>18+(U37*2)+IF(U35="Sim",10,0)+Y35</f>
        <v>20</v>
      </c>
      <c r="AA35" s="16">
        <v>0</v>
      </c>
      <c r="AB35" s="17"/>
      <c r="AC35" s="9"/>
      <c r="AD35" s="18" t="s">
        <v>17</v>
      </c>
      <c r="AE35" s="19"/>
    </row>
    <row r="36" spans="1:31" ht="15" thickBot="1" x14ac:dyDescent="0.35">
      <c r="A36" s="73"/>
      <c r="B36" s="74"/>
      <c r="C36" s="75"/>
      <c r="E36" s="11" t="s">
        <v>19</v>
      </c>
      <c r="F36" s="23" t="e">
        <f>VLOOKUP(F33,[1]Pokemon!$A$1:$I$874,2,FALSE)</f>
        <v>#N/A</v>
      </c>
      <c r="G36" s="20"/>
      <c r="H36" s="13" t="s">
        <v>12</v>
      </c>
      <c r="I36" s="14" t="e">
        <f>VLOOKUP(F33,[1]Pokemon!$A$1:$I$874,4,FALSE)+IF(F35="Sim",1,0)</f>
        <v>#N/A</v>
      </c>
      <c r="J36" s="22">
        <v>1</v>
      </c>
      <c r="K36" s="8" t="e">
        <f>IF(L39="Sim", ROUNDUP((N36+ROUNDDOWN(F39/10,0))*J36*P34,0), ROUNDUP((N36+ROUNDDOWN(F39/10,0))*J36,0))</f>
        <v>#N/A</v>
      </c>
      <c r="L36" s="24" t="s">
        <v>20</v>
      </c>
      <c r="M36" s="17"/>
      <c r="N36" s="9" t="e">
        <f>I36+LOOKUP(I36,[1]Dados!$H$3:$I$12,[1]Dados!$J$3:$J$12)*(ROUNDDOWN(F37/2,0))+LOOKUP(I36,[1]Dados!$H$3:$I$12,[1]Dados!$K$3:$K$12)*(ROUNDDOWN((F37-1)/2,0))</f>
        <v>#N/A</v>
      </c>
      <c r="O36" s="18" t="s">
        <v>21</v>
      </c>
      <c r="P36" s="19"/>
      <c r="T36" s="11" t="s">
        <v>19</v>
      </c>
      <c r="U36" s="23" t="e">
        <f>VLOOKUP(U33,[1]Pokemon!$A$1:$I$874,2,FALSE)</f>
        <v>#N/A</v>
      </c>
      <c r="V36" s="20"/>
      <c r="W36" s="13" t="s">
        <v>12</v>
      </c>
      <c r="X36" s="14" t="e">
        <f>VLOOKUP(U33,[1]Pokemon!$A$1:$I$874,4,FALSE)+IF(U35="Sim",1,0)</f>
        <v>#N/A</v>
      </c>
      <c r="Y36" s="22">
        <v>1</v>
      </c>
      <c r="Z36" s="8" t="e">
        <f>IF(AA39="Sim", ROUNDUP((AC36+ROUNDDOWN(U39/10,0))*Y36*AE34,0), ROUNDUP((AC36+ROUNDDOWN(U39/10,0))*Y36,0))</f>
        <v>#N/A</v>
      </c>
      <c r="AA36" s="24" t="s">
        <v>20</v>
      </c>
      <c r="AB36" s="17"/>
      <c r="AC36" s="9" t="e">
        <f>X36+LOOKUP(X36,[1]Dados!$H$3:$I$12,[1]Dados!$J$3:$J$12)*(ROUNDDOWN(U37/2,0))+LOOKUP(X36,[1]Dados!$H$3:$I$12,[1]Dados!$K$3:$K$12)*(ROUNDDOWN((U37-1)/2,0))</f>
        <v>#N/A</v>
      </c>
      <c r="AD36" s="18" t="s">
        <v>21</v>
      </c>
      <c r="AE36" s="19"/>
    </row>
    <row r="37" spans="1:31" ht="15" thickBot="1" x14ac:dyDescent="0.35">
      <c r="A37" s="64" t="s">
        <v>49</v>
      </c>
      <c r="B37" s="65"/>
      <c r="C37" s="66"/>
      <c r="E37" s="11" t="s">
        <v>23</v>
      </c>
      <c r="F37" s="25">
        <v>1</v>
      </c>
      <c r="G37" s="20"/>
      <c r="H37" s="13" t="s">
        <v>17</v>
      </c>
      <c r="I37" s="14" t="e">
        <f>VLOOKUP(F33,[1]Pokemon!$A$1:$I$874,5,FALSE)+IF(F35="Sim",1,0)</f>
        <v>#N/A</v>
      </c>
      <c r="J37" s="22">
        <v>1</v>
      </c>
      <c r="K37" s="8" t="e">
        <f>IF(L39="Sim", ROUNDUP((N37+ROUNDDOWN(F39/10,0))*J37*P35,0), ROUNDUP((N37+ROUNDDOWN(F39/10,0))*J37,0))</f>
        <v>#N/A</v>
      </c>
      <c r="L37" s="26" t="e">
        <f>ROUNDDOWN(I40/2,0)</f>
        <v>#N/A</v>
      </c>
      <c r="M37" s="17"/>
      <c r="N37" s="9" t="e">
        <f>I37+LOOKUP(I37,[1]Dados!$H$3:$I$12,[1]Dados!$J$3:$J$12)*(ROUNDDOWN(F37/2,0))+LOOKUP(I37,[1]Dados!$H$3:$I$12,[1]Dados!$K$3:$K$12)*(ROUNDDOWN((F37-1)/2,0))</f>
        <v>#N/A</v>
      </c>
      <c r="O37" s="18" t="s">
        <v>24</v>
      </c>
      <c r="P37" s="19"/>
      <c r="T37" s="11" t="s">
        <v>23</v>
      </c>
      <c r="U37" s="25">
        <v>1</v>
      </c>
      <c r="V37" s="20"/>
      <c r="W37" s="13" t="s">
        <v>17</v>
      </c>
      <c r="X37" s="14" t="e">
        <f>VLOOKUP(U33,[1]Pokemon!$A$1:$I$874,5,FALSE)+IF(U35="Sim",1,0)</f>
        <v>#N/A</v>
      </c>
      <c r="Y37" s="22">
        <v>1</v>
      </c>
      <c r="Z37" s="8" t="e">
        <f>IF(AA39="Sim", ROUNDUP((AC37+ROUNDDOWN(U39/10,0))*Y37*AE35,0), ROUNDUP((AC37+ROUNDDOWN(U39/10,0))*Y37,0))</f>
        <v>#N/A</v>
      </c>
      <c r="AA37" s="26" t="e">
        <f>ROUNDDOWN(X40/2,0)</f>
        <v>#N/A</v>
      </c>
      <c r="AB37" s="17"/>
      <c r="AC37" s="9" t="e">
        <f>X37+LOOKUP(X37,[1]Dados!$H$3:$I$12,[1]Dados!$J$3:$J$12)*(ROUNDDOWN(U37/2,0))+LOOKUP(X37,[1]Dados!$H$3:$I$12,[1]Dados!$K$3:$K$12)*(ROUNDDOWN((U37-1)/2,0))</f>
        <v>#N/A</v>
      </c>
      <c r="AD37" s="18" t="s">
        <v>24</v>
      </c>
      <c r="AE37" s="19"/>
    </row>
    <row r="38" spans="1:31" ht="15" thickBot="1" x14ac:dyDescent="0.35">
      <c r="A38" s="38"/>
      <c r="B38" s="38"/>
      <c r="C38" s="45"/>
      <c r="E38" s="11" t="s">
        <v>26</v>
      </c>
      <c r="F38" s="23">
        <v>0</v>
      </c>
      <c r="G38" s="20"/>
      <c r="H38" s="13" t="s">
        <v>21</v>
      </c>
      <c r="I38" s="14" t="e">
        <f>VLOOKUP(F33,[1]Pokemon!$A$1:$I$874,6,FALSE)+IF(F35="Sim",1,0)</f>
        <v>#N/A</v>
      </c>
      <c r="J38" s="22">
        <v>1</v>
      </c>
      <c r="K38" s="8" t="e">
        <f>IF(L39="Sim", ROUNDUP((N38+ROUNDDOWN(F39/10,0))*J38*P36,0), ROUNDUP((N38+ROUNDDOWN(F39/10,0))*J38,0))</f>
        <v>#N/A</v>
      </c>
      <c r="L38" s="24" t="s">
        <v>27</v>
      </c>
      <c r="M38" s="17"/>
      <c r="N38" s="9" t="e">
        <f>I38+LOOKUP(I38,[1]Dados!$H$3:$I$12,[1]Dados!$J$3:$J$12)*(ROUNDDOWN(F37/2,0))+LOOKUP(I38,[1]Dados!$H$3:$I$12,[1]Dados!$K$3:$K$12)*(ROUNDDOWN((F37-1)/2,0))</f>
        <v>#N/A</v>
      </c>
      <c r="O38" s="28" t="s">
        <v>28</v>
      </c>
      <c r="P38" s="29"/>
      <c r="T38" s="11" t="s">
        <v>26</v>
      </c>
      <c r="U38" s="23">
        <v>0</v>
      </c>
      <c r="V38" s="20"/>
      <c r="W38" s="13" t="s">
        <v>21</v>
      </c>
      <c r="X38" s="14" t="e">
        <f>VLOOKUP(U33,[1]Pokemon!$A$1:$I$874,6,FALSE)+IF(U35="Sim",1,0)</f>
        <v>#N/A</v>
      </c>
      <c r="Y38" s="22">
        <v>1</v>
      </c>
      <c r="Z38" s="8" t="e">
        <f>IF(AA39="Sim", ROUNDUP((AC38+ROUNDDOWN(U39/10,0))*Y38*AE36,0), ROUNDUP((AC38+ROUNDDOWN(U39/10,0))*Y38,0))</f>
        <v>#N/A</v>
      </c>
      <c r="AA38" s="24" t="s">
        <v>27</v>
      </c>
      <c r="AB38" s="17"/>
      <c r="AC38" s="9" t="e">
        <f>X38+LOOKUP(X38,[1]Dados!$H$3:$I$12,[1]Dados!$J$3:$J$12)*(ROUNDDOWN(U37/2,0))+LOOKUP(X38,[1]Dados!$H$3:$I$12,[1]Dados!$K$3:$K$12)*(ROUNDDOWN((U37-1)/2,0))</f>
        <v>#N/A</v>
      </c>
      <c r="AD38" s="28" t="s">
        <v>28</v>
      </c>
      <c r="AE38" s="29"/>
    </row>
    <row r="39" spans="1:31" x14ac:dyDescent="0.3">
      <c r="C39" s="46"/>
      <c r="E39" s="11" t="s">
        <v>29</v>
      </c>
      <c r="F39" s="30">
        <v>0</v>
      </c>
      <c r="G39" s="20"/>
      <c r="H39" s="13" t="s">
        <v>24</v>
      </c>
      <c r="I39" s="14" t="e">
        <f>VLOOKUP(F33,[1]Pokemon!$A$1:$I$874,7,FALSE)+IF(F35="Sim",1,0)</f>
        <v>#N/A</v>
      </c>
      <c r="J39" s="22">
        <v>1</v>
      </c>
      <c r="K39" s="8" t="e">
        <f>IF(L39="Sim", ROUNDUP((N39+ROUNDDOWN(F39/10,0))*J39*P37,0), ROUNDUP((N39+ROUNDDOWN(F39/10,0))*J39,0))</f>
        <v>#N/A</v>
      </c>
      <c r="L39" s="26" t="s">
        <v>15</v>
      </c>
      <c r="M39" s="17"/>
      <c r="N39" s="9" t="e">
        <f>I39+LOOKUP(I39,[1]Dados!$H$3:$I$12,[1]Dados!$J$3:$J$12)*(ROUNDDOWN(F37/2,0))+LOOKUP(I39,[1]Dados!$H$3:$I$12,[1]Dados!$K$3:$K$12)*(ROUNDDOWN((F37-1)/2,0))</f>
        <v>#N/A</v>
      </c>
      <c r="T39" s="11" t="s">
        <v>29</v>
      </c>
      <c r="U39" s="30">
        <v>0</v>
      </c>
      <c r="V39" s="20"/>
      <c r="W39" s="13" t="s">
        <v>24</v>
      </c>
      <c r="X39" s="14" t="e">
        <f>VLOOKUP(U33,[1]Pokemon!$A$1:$I$874,7,FALSE)+IF(U35="Sim",1,0)</f>
        <v>#N/A</v>
      </c>
      <c r="Y39" s="22">
        <v>1</v>
      </c>
      <c r="Z39" s="8" t="e">
        <f>IF(AA39="Sim", ROUNDUP((AC39+ROUNDDOWN(U39/10,0))*Y39*AE37,0), ROUNDUP((AC39+ROUNDDOWN(U39/10,0))*Y39,0))</f>
        <v>#N/A</v>
      </c>
      <c r="AA39" s="26" t="s">
        <v>15</v>
      </c>
      <c r="AB39" s="17"/>
      <c r="AC39" s="9" t="e">
        <f>X39+LOOKUP(X39,[1]Dados!$H$3:$I$12,[1]Dados!$J$3:$J$12)*(ROUNDDOWN(U37/2,0))+LOOKUP(X39,[1]Dados!$H$3:$I$12,[1]Dados!$K$3:$K$12)*(ROUNDDOWN((U37-1)/2,0))</f>
        <v>#N/A</v>
      </c>
    </row>
    <row r="40" spans="1:31" x14ac:dyDescent="0.3">
      <c r="C40" s="46"/>
      <c r="E40" s="11" t="s">
        <v>31</v>
      </c>
      <c r="F40" s="23" t="s">
        <v>32</v>
      </c>
      <c r="G40" s="20"/>
      <c r="H40" s="13" t="s">
        <v>28</v>
      </c>
      <c r="I40" s="14" t="e">
        <f>VLOOKUP(F33,[1]Pokemon!$A$1:$I$874,8,FALSE)+IF(F35="Sim",1,0)</f>
        <v>#N/A</v>
      </c>
      <c r="J40" s="22">
        <f>1*IF(F41="Paralisado",0.5,1)</f>
        <v>1</v>
      </c>
      <c r="K40" s="8" t="e">
        <f>IF(L39="Sim", ROUNDUP(N40*J40*P38,0), ROUNDUP(N40*J40,0))</f>
        <v>#N/A</v>
      </c>
      <c r="L40" s="31" t="e">
        <f>IF(L39 = "Sim", ROUNDUP((K40/(10*P38)), 0)&amp;"d6", ROUNDUP((K40/10), 0)&amp;"d6")</f>
        <v>#N/A</v>
      </c>
      <c r="M40" s="17"/>
      <c r="N40" s="9" t="e">
        <f>I40+LOOKUP(I40,[1]Dados!$H$3:$I$12,[1]Dados!$J$3:$J$12)*(ROUNDDOWN(F37/2,0))+LOOKUP(I40,[1]Dados!$H$3:$I$12,[1]Dados!$K$3:$K$12)*(ROUNDDOWN((F37-1)/2,0))</f>
        <v>#N/A</v>
      </c>
      <c r="T40" s="11" t="s">
        <v>31</v>
      </c>
      <c r="U40" s="23" t="s">
        <v>32</v>
      </c>
      <c r="V40" s="20"/>
      <c r="W40" s="13" t="s">
        <v>28</v>
      </c>
      <c r="X40" s="14" t="e">
        <f>VLOOKUP(U33,[1]Pokemon!$A$1:$I$874,8,FALSE)+IF(U35="Sim",1,0)</f>
        <v>#N/A</v>
      </c>
      <c r="Y40" s="22">
        <f>1*IF(U41="Paralisado",0.5,1)</f>
        <v>1</v>
      </c>
      <c r="Z40" s="8" t="e">
        <f>IF(AA39="Sim", ROUNDUP(AC40*Y40*AE38,0), ROUNDUP(AC40*Y40,0))</f>
        <v>#N/A</v>
      </c>
      <c r="AA40" s="31" t="e">
        <f>IF(AA39 = "Sim", ROUNDUP((Z40/(10*AE38)), 0)&amp;"d6", ROUNDUP((Z40/10), 0)&amp;"d6")</f>
        <v>#N/A</v>
      </c>
      <c r="AB40" s="17"/>
      <c r="AC40" s="9" t="e">
        <f>X40+LOOKUP(X40,[1]Dados!$H$3:$I$12,[1]Dados!$J$3:$J$12)*(ROUNDDOWN(U37/2,0))+LOOKUP(X40,[1]Dados!$H$3:$I$12,[1]Dados!$K$3:$K$12)*(ROUNDDOWN((U37-1)/2,0))</f>
        <v>#N/A</v>
      </c>
    </row>
    <row r="41" spans="1:31" x14ac:dyDescent="0.3">
      <c r="C41" s="46"/>
      <c r="E41" s="11" t="s">
        <v>34</v>
      </c>
      <c r="F41" s="23"/>
      <c r="G41" s="20"/>
      <c r="H41" s="13" t="s">
        <v>35</v>
      </c>
      <c r="I41" s="14" t="e">
        <f>VLOOKUP(F33,[1]Pokemon!$A$1:$I$874,9,FALSE)</f>
        <v>#N/A</v>
      </c>
      <c r="J41" s="13" t="s">
        <v>36</v>
      </c>
      <c r="K41" s="13"/>
      <c r="L41" s="32" t="e">
        <f>((F37+1)*I41/2)-F38</f>
        <v>#N/A</v>
      </c>
      <c r="M41" s="17"/>
      <c r="N41" s="33"/>
      <c r="T41" s="11" t="s">
        <v>34</v>
      </c>
      <c r="U41" s="23"/>
      <c r="V41" s="20"/>
      <c r="W41" s="13" t="s">
        <v>35</v>
      </c>
      <c r="X41" s="14" t="e">
        <f>VLOOKUP(U33,[1]Pokemon!$A$1:$I$874,9,FALSE)</f>
        <v>#N/A</v>
      </c>
      <c r="Y41" s="13" t="s">
        <v>36</v>
      </c>
      <c r="Z41" s="13"/>
      <c r="AA41" s="32" t="e">
        <f>((U37+1)*X41/2)-U38</f>
        <v>#N/A</v>
      </c>
      <c r="AB41" s="17"/>
      <c r="AC41" s="33"/>
    </row>
    <row r="42" spans="1:31" x14ac:dyDescent="0.3">
      <c r="C42" s="46"/>
      <c r="E42" s="34"/>
      <c r="F42" s="8"/>
      <c r="G42" s="17"/>
      <c r="H42" s="8"/>
      <c r="I42" s="8"/>
      <c r="J42" s="8"/>
      <c r="K42" s="8"/>
      <c r="L42" s="26"/>
      <c r="M42" s="17"/>
      <c r="N42" s="35"/>
      <c r="T42" s="34"/>
      <c r="U42" s="8"/>
      <c r="V42" s="17"/>
      <c r="W42" s="8"/>
      <c r="X42" s="8"/>
      <c r="Y42" s="8"/>
      <c r="Z42" s="8"/>
      <c r="AA42" s="26"/>
      <c r="AB42" s="17"/>
      <c r="AC42" s="35"/>
    </row>
    <row r="43" spans="1:31" x14ac:dyDescent="0.3">
      <c r="C43" s="46"/>
      <c r="E43" s="60" t="s">
        <v>39</v>
      </c>
      <c r="F43" s="61"/>
      <c r="G43" s="13" t="s">
        <v>40</v>
      </c>
      <c r="H43" s="13"/>
      <c r="I43" s="13"/>
      <c r="J43" s="13" t="s">
        <v>16</v>
      </c>
      <c r="K43" s="13" t="s">
        <v>41</v>
      </c>
      <c r="L43" s="24" t="s">
        <v>42</v>
      </c>
      <c r="M43" s="17"/>
      <c r="N43" s="35"/>
      <c r="T43" s="60" t="s">
        <v>39</v>
      </c>
      <c r="U43" s="61"/>
      <c r="V43" s="13" t="s">
        <v>40</v>
      </c>
      <c r="W43" s="13"/>
      <c r="X43" s="13"/>
      <c r="Y43" s="13" t="s">
        <v>16</v>
      </c>
      <c r="Z43" s="13" t="s">
        <v>41</v>
      </c>
      <c r="AA43" s="24" t="s">
        <v>42</v>
      </c>
      <c r="AB43" s="17"/>
      <c r="AC43" s="35"/>
    </row>
    <row r="44" spans="1:31" x14ac:dyDescent="0.3">
      <c r="C44" s="46"/>
      <c r="E44" s="62"/>
      <c r="F44" s="63"/>
      <c r="G44" s="63" t="e">
        <f>VLOOKUP(E44,[2]Golpes!$A$1:$G$653,2,FALSE)&amp;"/"&amp;VLOOKUP(E44,[2]Golpes!$A$1:$G$653,3,FALSE)</f>
        <v>#N/A</v>
      </c>
      <c r="H44" s="63"/>
      <c r="I44" s="63"/>
      <c r="J44" s="25" t="e">
        <f>VLOOKUP(E44,[2]Golpes!$A$1:$G$653,4,FALSE)</f>
        <v>#N/A</v>
      </c>
      <c r="K44" s="25" t="e">
        <f>VLOOKUP(E44,[2]Golpes!$A$1:$G$653,5,FALSE)</f>
        <v>#N/A</v>
      </c>
      <c r="L44" s="36" t="e">
        <f>VLOOKUP(E44,[2]Golpes!$A$1:$G$653,6,FALSE)</f>
        <v>#N/A</v>
      </c>
      <c r="M44" s="17" t="e">
        <f>VLOOKUP(E44,[2]Golpes!$A$1:$G$653,7,FALSE)</f>
        <v>#N/A</v>
      </c>
      <c r="N44" s="35"/>
      <c r="T44" s="62"/>
      <c r="U44" s="63"/>
      <c r="V44" s="63" t="e">
        <f>VLOOKUP(T44,[2]Golpes!$A$1:$G$653,2,FALSE)&amp;"/"&amp;VLOOKUP(T44,[2]Golpes!$A$1:$G$653,3,FALSE)</f>
        <v>#N/A</v>
      </c>
      <c r="W44" s="63"/>
      <c r="X44" s="63"/>
      <c r="Y44" s="25" t="e">
        <f>VLOOKUP(T44,[2]Golpes!$A$1:$G$653,4,FALSE)</f>
        <v>#N/A</v>
      </c>
      <c r="Z44" s="25" t="e">
        <f>VLOOKUP(T44,[2]Golpes!$A$1:$G$653,5,FALSE)</f>
        <v>#N/A</v>
      </c>
      <c r="AA44" s="36" t="e">
        <f>VLOOKUP(T44,[2]Golpes!$A$1:$G$653,6,FALSE)</f>
        <v>#N/A</v>
      </c>
      <c r="AB44" s="17" t="e">
        <f>VLOOKUP(T44,[2]Golpes!$A$1:$G$653,7,FALSE)</f>
        <v>#N/A</v>
      </c>
      <c r="AC44" s="35"/>
    </row>
    <row r="45" spans="1:31" x14ac:dyDescent="0.3">
      <c r="C45" s="46"/>
      <c r="E45" s="62"/>
      <c r="F45" s="63"/>
      <c r="G45" s="63" t="e">
        <f>VLOOKUP(E45,[2]Golpes!$A$1:$G$653,2,FALSE)&amp;"/"&amp;VLOOKUP(E45,[2]Golpes!$A$1:$G$653,3,FALSE)</f>
        <v>#N/A</v>
      </c>
      <c r="H45" s="63"/>
      <c r="I45" s="63"/>
      <c r="J45" s="25" t="e">
        <f>VLOOKUP(E45,[2]Golpes!$A$1:$G$653,4,FALSE)</f>
        <v>#N/A</v>
      </c>
      <c r="K45" s="25" t="e">
        <f>VLOOKUP(E45,[2]Golpes!$A$1:$G$653,5,FALSE)</f>
        <v>#N/A</v>
      </c>
      <c r="L45" s="36" t="e">
        <f>VLOOKUP(E45,[2]Golpes!$A$1:$G$653,6,FALSE)</f>
        <v>#N/A</v>
      </c>
      <c r="M45" s="17" t="e">
        <f>VLOOKUP(E45,[2]Golpes!$A$1:$G$653,7,FALSE)</f>
        <v>#N/A</v>
      </c>
      <c r="N45" s="35"/>
      <c r="T45" s="62"/>
      <c r="U45" s="63"/>
      <c r="V45" s="63" t="e">
        <f>VLOOKUP(T45,[2]Golpes!$A$1:$G$653,2,FALSE)&amp;"/"&amp;VLOOKUP(T45,[2]Golpes!$A$1:$G$653,3,FALSE)</f>
        <v>#N/A</v>
      </c>
      <c r="W45" s="63"/>
      <c r="X45" s="63"/>
      <c r="Y45" s="25" t="e">
        <f>VLOOKUP(T45,[2]Golpes!$A$1:$G$653,4,FALSE)</f>
        <v>#N/A</v>
      </c>
      <c r="Z45" s="25" t="e">
        <f>VLOOKUP(T45,[2]Golpes!$A$1:$G$653,5,FALSE)</f>
        <v>#N/A</v>
      </c>
      <c r="AA45" s="36" t="e">
        <f>VLOOKUP(T45,[2]Golpes!$A$1:$G$653,6,FALSE)</f>
        <v>#N/A</v>
      </c>
      <c r="AB45" s="17" t="e">
        <f>VLOOKUP(T45,[2]Golpes!$A$1:$G$653,7,FALSE)</f>
        <v>#N/A</v>
      </c>
      <c r="AC45" s="35"/>
    </row>
    <row r="46" spans="1:31" x14ac:dyDescent="0.3">
      <c r="C46" s="46"/>
      <c r="E46" s="62"/>
      <c r="F46" s="63"/>
      <c r="G46" s="63" t="e">
        <f>VLOOKUP(E46,[2]Golpes!$A$1:$G$653,2,FALSE)&amp;"/"&amp;VLOOKUP(E46,[2]Golpes!$A$1:$G$653,3,FALSE)</f>
        <v>#N/A</v>
      </c>
      <c r="H46" s="63"/>
      <c r="I46" s="63"/>
      <c r="J46" s="25" t="e">
        <f>VLOOKUP(E46,[2]Golpes!$A$1:$G$653,4,FALSE)</f>
        <v>#N/A</v>
      </c>
      <c r="K46" s="25" t="e">
        <f>VLOOKUP(E46,[2]Golpes!$A$1:$G$653,5,FALSE)</f>
        <v>#N/A</v>
      </c>
      <c r="L46" s="36" t="e">
        <f>VLOOKUP(E46,[2]Golpes!$A$1:$G$653,6,FALSE)</f>
        <v>#N/A</v>
      </c>
      <c r="M46" s="17" t="e">
        <f>VLOOKUP(E46,[2]Golpes!$A$1:$G$653,7,FALSE)</f>
        <v>#N/A</v>
      </c>
      <c r="N46" s="35"/>
      <c r="T46" s="62"/>
      <c r="U46" s="63"/>
      <c r="V46" s="63" t="e">
        <f>VLOOKUP(T46,[2]Golpes!$A$1:$G$653,2,FALSE)&amp;"/"&amp;VLOOKUP(T46,[2]Golpes!$A$1:$G$653,3,FALSE)</f>
        <v>#N/A</v>
      </c>
      <c r="W46" s="63"/>
      <c r="X46" s="63"/>
      <c r="Y46" s="25" t="e">
        <f>VLOOKUP(T46,[2]Golpes!$A$1:$G$653,4,FALSE)</f>
        <v>#N/A</v>
      </c>
      <c r="Z46" s="25" t="e">
        <f>VLOOKUP(T46,[2]Golpes!$A$1:$G$653,5,FALSE)</f>
        <v>#N/A</v>
      </c>
      <c r="AA46" s="36" t="e">
        <f>VLOOKUP(T46,[2]Golpes!$A$1:$G$653,6,FALSE)</f>
        <v>#N/A</v>
      </c>
      <c r="AB46" s="17" t="e">
        <f>VLOOKUP(T46,[2]Golpes!$A$1:$G$653,7,FALSE)</f>
        <v>#N/A</v>
      </c>
      <c r="AC46" s="35"/>
    </row>
    <row r="47" spans="1:31" ht="15" thickBot="1" x14ac:dyDescent="0.35">
      <c r="C47" s="46"/>
      <c r="E47" s="67"/>
      <c r="F47" s="68"/>
      <c r="G47" s="68" t="e">
        <f>VLOOKUP(E47,[2]Golpes!$A$1:$G$653,2,FALSE)&amp;"/"&amp;VLOOKUP(E47,[2]Golpes!$A$1:$G$653,3,FALSE)</f>
        <v>#N/A</v>
      </c>
      <c r="H47" s="68"/>
      <c r="I47" s="68"/>
      <c r="J47" s="43" t="e">
        <f>VLOOKUP(E47,[2]Golpes!$A$1:$G$653,4,FALSE)</f>
        <v>#N/A</v>
      </c>
      <c r="K47" s="43" t="e">
        <f>VLOOKUP(E47,[2]Golpes!$A$1:$G$653,5,FALSE)</f>
        <v>#N/A</v>
      </c>
      <c r="L47" s="44" t="e">
        <f>VLOOKUP(E47,[2]Golpes!$A$1:$G$653,6,FALSE)</f>
        <v>#N/A</v>
      </c>
      <c r="M47" s="17" t="e">
        <f>VLOOKUP(E47,[2]Golpes!$A$1:$G$653,7,FALSE)</f>
        <v>#N/A</v>
      </c>
      <c r="N47" s="35"/>
      <c r="T47" s="67"/>
      <c r="U47" s="68"/>
      <c r="V47" s="68" t="e">
        <f>VLOOKUP(T47,[2]Golpes!$A$1:$G$653,2,FALSE)&amp;"/"&amp;VLOOKUP(T47,[2]Golpes!$A$1:$G$653,3,FALSE)</f>
        <v>#N/A</v>
      </c>
      <c r="W47" s="68"/>
      <c r="X47" s="68"/>
      <c r="Y47" s="43" t="e">
        <f>VLOOKUP(T47,[2]Golpes!$A$1:$G$653,4,FALSE)</f>
        <v>#N/A</v>
      </c>
      <c r="Z47" s="43" t="e">
        <f>VLOOKUP(T47,[2]Golpes!$A$1:$G$653,5,FALSE)</f>
        <v>#N/A</v>
      </c>
      <c r="AA47" s="44" t="e">
        <f>VLOOKUP(T47,[2]Golpes!$A$1:$G$653,6,FALSE)</f>
        <v>#N/A</v>
      </c>
      <c r="AB47" s="17" t="e">
        <f>VLOOKUP(T47,[2]Golpes!$A$1:$G$653,7,FALSE)</f>
        <v>#N/A</v>
      </c>
      <c r="AC47" s="35"/>
    </row>
    <row r="48" spans="1:31" x14ac:dyDescent="0.3">
      <c r="C48" s="46"/>
    </row>
    <row r="49" spans="3:3" x14ac:dyDescent="0.3">
      <c r="C49" s="46"/>
    </row>
    <row r="50" spans="3:3" x14ac:dyDescent="0.3">
      <c r="C50" s="46"/>
    </row>
    <row r="51" spans="3:3" x14ac:dyDescent="0.3">
      <c r="C51" s="46"/>
    </row>
    <row r="52" spans="3:3" x14ac:dyDescent="0.3">
      <c r="C52" s="46"/>
    </row>
    <row r="53" spans="3:3" x14ac:dyDescent="0.3">
      <c r="C53" s="46"/>
    </row>
    <row r="54" spans="3:3" x14ac:dyDescent="0.3">
      <c r="C54" s="46"/>
    </row>
    <row r="55" spans="3:3" x14ac:dyDescent="0.3">
      <c r="C55" s="46"/>
    </row>
    <row r="56" spans="3:3" x14ac:dyDescent="0.3">
      <c r="C56" s="46"/>
    </row>
    <row r="57" spans="3:3" x14ac:dyDescent="0.3">
      <c r="C57" s="46"/>
    </row>
    <row r="58" spans="3:3" x14ac:dyDescent="0.3">
      <c r="C58" s="46"/>
    </row>
  </sheetData>
  <mergeCells count="83">
    <mergeCell ref="E47:F47"/>
    <mergeCell ref="G47:I47"/>
    <mergeCell ref="T47:U47"/>
    <mergeCell ref="V47:X47"/>
    <mergeCell ref="B1:C1"/>
    <mergeCell ref="E45:F45"/>
    <mergeCell ref="G45:I45"/>
    <mergeCell ref="T45:U45"/>
    <mergeCell ref="V45:X45"/>
    <mergeCell ref="E46:F46"/>
    <mergeCell ref="G46:I46"/>
    <mergeCell ref="T46:U46"/>
    <mergeCell ref="V46:X46"/>
    <mergeCell ref="E44:F44"/>
    <mergeCell ref="G44:I44"/>
    <mergeCell ref="T44:U44"/>
    <mergeCell ref="AD33:AE33"/>
    <mergeCell ref="A34:C36"/>
    <mergeCell ref="A37:C37"/>
    <mergeCell ref="E43:F43"/>
    <mergeCell ref="T43:U43"/>
    <mergeCell ref="V44:X44"/>
    <mergeCell ref="A31:C33"/>
    <mergeCell ref="E31:F31"/>
    <mergeCell ref="G31:I31"/>
    <mergeCell ref="T31:U31"/>
    <mergeCell ref="V31:X31"/>
    <mergeCell ref="O33:P33"/>
    <mergeCell ref="A30:C30"/>
    <mergeCell ref="E30:F30"/>
    <mergeCell ref="G30:I30"/>
    <mergeCell ref="T30:U30"/>
    <mergeCell ref="V30:X30"/>
    <mergeCell ref="V15:X15"/>
    <mergeCell ref="AD17:AE17"/>
    <mergeCell ref="A18:C20"/>
    <mergeCell ref="A24:C26"/>
    <mergeCell ref="A27:C29"/>
    <mergeCell ref="E27:F27"/>
    <mergeCell ref="T27:U27"/>
    <mergeCell ref="E28:F28"/>
    <mergeCell ref="G28:I28"/>
    <mergeCell ref="T28:U28"/>
    <mergeCell ref="V28:X28"/>
    <mergeCell ref="E29:F29"/>
    <mergeCell ref="G29:I29"/>
    <mergeCell ref="T29:U29"/>
    <mergeCell ref="V29:X29"/>
    <mergeCell ref="A21:C23"/>
    <mergeCell ref="A16:C16"/>
    <mergeCell ref="A17:C17"/>
    <mergeCell ref="O17:P17"/>
    <mergeCell ref="V12:X12"/>
    <mergeCell ref="B13:C13"/>
    <mergeCell ref="E13:F13"/>
    <mergeCell ref="G13:I13"/>
    <mergeCell ref="T13:U13"/>
    <mergeCell ref="V13:X13"/>
    <mergeCell ref="E14:F14"/>
    <mergeCell ref="G14:I14"/>
    <mergeCell ref="T14:U14"/>
    <mergeCell ref="V14:X14"/>
    <mergeCell ref="E15:F15"/>
    <mergeCell ref="G15:I15"/>
    <mergeCell ref="T15:U15"/>
    <mergeCell ref="E11:F11"/>
    <mergeCell ref="T11:U11"/>
    <mergeCell ref="B12:C12"/>
    <mergeCell ref="E12:F12"/>
    <mergeCell ref="G12:I12"/>
    <mergeCell ref="T12:U12"/>
    <mergeCell ref="B11:C11"/>
    <mergeCell ref="B6:C6"/>
    <mergeCell ref="A7:C7"/>
    <mergeCell ref="B8:C8"/>
    <mergeCell ref="B9:C9"/>
    <mergeCell ref="B10:C10"/>
    <mergeCell ref="B5:C5"/>
    <mergeCell ref="O1:P1"/>
    <mergeCell ref="AD1:AE1"/>
    <mergeCell ref="B2:C2"/>
    <mergeCell ref="B3:C3"/>
    <mergeCell ref="B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58"/>
  <sheetViews>
    <sheetView tabSelected="1" workbookViewId="0">
      <selection activeCell="D15" sqref="D15"/>
    </sheetView>
  </sheetViews>
  <sheetFormatPr defaultRowHeight="14.4" x14ac:dyDescent="0.3"/>
  <sheetData>
    <row r="1" spans="1:31" x14ac:dyDescent="0.3">
      <c r="A1" s="1" t="s">
        <v>0</v>
      </c>
      <c r="B1" s="55" t="s">
        <v>171</v>
      </c>
      <c r="C1" s="56"/>
      <c r="E1" s="2" t="s">
        <v>1</v>
      </c>
      <c r="F1" s="3"/>
      <c r="G1" s="4"/>
      <c r="H1" s="5"/>
      <c r="I1" s="6" t="s">
        <v>2</v>
      </c>
      <c r="J1" s="6" t="s">
        <v>3</v>
      </c>
      <c r="K1" s="6" t="s">
        <v>4</v>
      </c>
      <c r="L1" s="7" t="s">
        <v>5</v>
      </c>
      <c r="M1" s="8"/>
      <c r="N1" s="9"/>
      <c r="O1" s="53" t="s">
        <v>6</v>
      </c>
      <c r="P1" s="54"/>
      <c r="T1" s="2" t="s">
        <v>1</v>
      </c>
      <c r="U1" s="3"/>
      <c r="V1" s="4"/>
      <c r="W1" s="5"/>
      <c r="X1" s="6" t="s">
        <v>2</v>
      </c>
      <c r="Y1" s="6" t="s">
        <v>3</v>
      </c>
      <c r="Z1" s="6" t="s">
        <v>4</v>
      </c>
      <c r="AA1" s="7" t="s">
        <v>5</v>
      </c>
      <c r="AB1" s="8"/>
      <c r="AC1" s="9"/>
      <c r="AD1" s="53" t="s">
        <v>6</v>
      </c>
      <c r="AE1" s="54"/>
    </row>
    <row r="2" spans="1:31" x14ac:dyDescent="0.3">
      <c r="A2" s="10" t="s">
        <v>7</v>
      </c>
      <c r="B2" s="51">
        <v>28</v>
      </c>
      <c r="C2" s="52"/>
      <c r="E2" s="11" t="s">
        <v>8</v>
      </c>
      <c r="F2" s="8" t="s">
        <v>9</v>
      </c>
      <c r="G2" s="12" t="s">
        <v>10</v>
      </c>
      <c r="H2" s="13" t="s">
        <v>11</v>
      </c>
      <c r="I2" s="14" t="e">
        <f>VLOOKUP(F1,[1]Pokemon!$A$1:$I$874,3,FALSE)+IF(F3="Sim",20,0)</f>
        <v>#N/A</v>
      </c>
      <c r="J2" s="15">
        <v>0</v>
      </c>
      <c r="K2" s="8" t="e">
        <f>IF($B$5="Vigoroso",ROUNDUP((N2+J2)*1.2,0),N2+J2)</f>
        <v>#N/A</v>
      </c>
      <c r="L2" s="16">
        <v>0</v>
      </c>
      <c r="M2" s="17"/>
      <c r="N2" s="9" t="e">
        <f>I2+LOOKUP(I2,[1]Dados!$C$3:$D$12,[1]Dados!$E$3:$E$12)*(ROUNDDOWN(F5/2,0))+LOOKUP(I2,[1]Dados!$C$3:$D$12,[1]Dados!$F$3:$F$12)*(ROUNDDOWN((F5-1)/2,0))</f>
        <v>#N/A</v>
      </c>
      <c r="O2" s="18" t="s">
        <v>12</v>
      </c>
      <c r="P2" s="19"/>
      <c r="T2" s="11" t="s">
        <v>8</v>
      </c>
      <c r="U2" s="8" t="s">
        <v>9</v>
      </c>
      <c r="V2" s="12" t="s">
        <v>10</v>
      </c>
      <c r="W2" s="13" t="s">
        <v>11</v>
      </c>
      <c r="X2" s="14" t="e">
        <f>VLOOKUP(U1,[1]Pokemon!$A$1:$I$874,3,FALSE)+IF(U3="Sim",20,0)</f>
        <v>#N/A</v>
      </c>
      <c r="Y2" s="15">
        <v>0</v>
      </c>
      <c r="Z2" s="8" t="e">
        <f>IF($B$5="Vigoroso",ROUNDUP((AC2+Y2)*1.2,0),AC2+Y2)</f>
        <v>#N/A</v>
      </c>
      <c r="AA2" s="16">
        <v>0</v>
      </c>
      <c r="AB2" s="17"/>
      <c r="AC2" s="9" t="e">
        <f>X2+LOOKUP(X2,[1]Dados!$C$3:$D$12,[1]Dados!$E$3:$E$12)*(ROUNDDOWN(U5/2,0))+LOOKUP(X2,[1]Dados!$C$3:$D$12,[1]Dados!$F$3:$F$12)*(ROUNDDOWN((U5-1)/2,0))</f>
        <v>#N/A</v>
      </c>
      <c r="AD2" s="18" t="s">
        <v>12</v>
      </c>
      <c r="AE2" s="19"/>
    </row>
    <row r="3" spans="1:31" x14ac:dyDescent="0.3">
      <c r="A3" s="10" t="s">
        <v>13</v>
      </c>
      <c r="B3" s="51" t="s">
        <v>51</v>
      </c>
      <c r="C3" s="52"/>
      <c r="E3" s="11" t="s">
        <v>14</v>
      </c>
      <c r="F3" s="8" t="s">
        <v>15</v>
      </c>
      <c r="G3" s="20"/>
      <c r="H3" s="13" t="s">
        <v>16</v>
      </c>
      <c r="I3" s="21">
        <f>20+IF(F3="Sim",10,0)</f>
        <v>20</v>
      </c>
      <c r="J3" s="22">
        <v>0</v>
      </c>
      <c r="K3" s="8">
        <f>18+(F5*2)+IF(F3="Sim",10,0)+J3</f>
        <v>20</v>
      </c>
      <c r="L3" s="16">
        <v>0</v>
      </c>
      <c r="M3" s="17"/>
      <c r="N3" s="9"/>
      <c r="O3" s="18" t="s">
        <v>17</v>
      </c>
      <c r="P3" s="19"/>
      <c r="T3" s="11" t="s">
        <v>14</v>
      </c>
      <c r="U3" s="8" t="s">
        <v>15</v>
      </c>
      <c r="V3" s="20"/>
      <c r="W3" s="13" t="s">
        <v>16</v>
      </c>
      <c r="X3" s="21">
        <f>20+IF(U3="Sim",10,0)</f>
        <v>20</v>
      </c>
      <c r="Y3" s="22">
        <v>0</v>
      </c>
      <c r="Z3" s="8">
        <f>18+(U5*2)+IF(U3="Sim",10,0)+Y3</f>
        <v>20</v>
      </c>
      <c r="AA3" s="16">
        <v>0</v>
      </c>
      <c r="AB3" s="17"/>
      <c r="AC3" s="9"/>
      <c r="AD3" s="18" t="s">
        <v>17</v>
      </c>
      <c r="AE3" s="19"/>
    </row>
    <row r="4" spans="1:31" x14ac:dyDescent="0.3">
      <c r="A4" s="10" t="s">
        <v>18</v>
      </c>
      <c r="B4" s="51" t="s">
        <v>172</v>
      </c>
      <c r="C4" s="52"/>
      <c r="E4" s="11" t="s">
        <v>19</v>
      </c>
      <c r="F4" s="23" t="e">
        <f>VLOOKUP(F1,[1]Pokemon!$A$1:$I$874,2,FALSE)</f>
        <v>#N/A</v>
      </c>
      <c r="G4" s="20"/>
      <c r="H4" s="13" t="s">
        <v>12</v>
      </c>
      <c r="I4" s="14" t="e">
        <f>VLOOKUP(F1,[1]Pokemon!$A$1:$I$874,4,FALSE)+IF(F3="Sim",1,0)</f>
        <v>#N/A</v>
      </c>
      <c r="J4" s="22">
        <v>1</v>
      </c>
      <c r="K4" s="8" t="e">
        <f>IF(L7="Sim", ROUNDUP((N4+ROUNDDOWN(F7/10,0))*J4*P2,0), ROUNDUP((N4+ROUNDDOWN(F7/10,0))*J4,0))</f>
        <v>#N/A</v>
      </c>
      <c r="L4" s="24" t="s">
        <v>20</v>
      </c>
      <c r="M4" s="17"/>
      <c r="N4" s="9" t="e">
        <f>I4+LOOKUP(I4,[1]Dados!$H$3:$I$12,[1]Dados!$J$3:$J$12)*(ROUNDDOWN(F5/2,0))+LOOKUP(I4,[1]Dados!$H$3:$I$12,[1]Dados!$K$3:$K$12)*(ROUNDDOWN((F5-1)/2,0))</f>
        <v>#N/A</v>
      </c>
      <c r="O4" s="18" t="s">
        <v>21</v>
      </c>
      <c r="P4" s="19"/>
      <c r="T4" s="11" t="s">
        <v>19</v>
      </c>
      <c r="U4" s="23" t="e">
        <f>VLOOKUP(U1,[1]Pokemon!$A$1:$I$874,2,FALSE)</f>
        <v>#N/A</v>
      </c>
      <c r="V4" s="20"/>
      <c r="W4" s="13" t="s">
        <v>12</v>
      </c>
      <c r="X4" s="14" t="e">
        <f>VLOOKUP(U1,[1]Pokemon!$A$1:$I$874,4,FALSE)+IF(U3="Sim",1,0)</f>
        <v>#N/A</v>
      </c>
      <c r="Y4" s="22">
        <v>1</v>
      </c>
      <c r="Z4" s="8" t="e">
        <f>IF(AA7="Sim", ROUNDUP((AC4+ROUNDDOWN(U7/10,0))*Y4*AE2,0), ROUNDUP((AC4+ROUNDDOWN(U7/10,0))*Y4,0))</f>
        <v>#N/A</v>
      </c>
      <c r="AA4" s="24" t="s">
        <v>20</v>
      </c>
      <c r="AB4" s="17"/>
      <c r="AC4" s="9" t="e">
        <f>X4+LOOKUP(X4,[1]Dados!$H$3:$I$12,[1]Dados!$J$3:$J$12)*(ROUNDDOWN(U5/2,0))+LOOKUP(X4,[1]Dados!$H$3:$I$12,[1]Dados!$K$3:$K$12)*(ROUNDDOWN((U5-1)/2,0))</f>
        <v>#N/A</v>
      </c>
      <c r="AD4" s="18" t="s">
        <v>21</v>
      </c>
      <c r="AE4" s="19"/>
    </row>
    <row r="5" spans="1:31" x14ac:dyDescent="0.3">
      <c r="A5" s="10" t="s">
        <v>22</v>
      </c>
      <c r="B5" s="51" t="s">
        <v>178</v>
      </c>
      <c r="C5" s="52"/>
      <c r="E5" s="11" t="s">
        <v>23</v>
      </c>
      <c r="F5" s="25">
        <v>1</v>
      </c>
      <c r="G5" s="20"/>
      <c r="H5" s="13" t="s">
        <v>17</v>
      </c>
      <c r="I5" s="14" t="e">
        <f>VLOOKUP(F1,[1]Pokemon!$A$1:$I$874,5,FALSE)+IF(F3="Sim",1,0)</f>
        <v>#N/A</v>
      </c>
      <c r="J5" s="22">
        <v>1</v>
      </c>
      <c r="K5" s="8" t="e">
        <f>IF(L7="Sim", ROUNDUP((N5+ROUNDDOWN(F7/10,0))*J5*P3,0), ROUNDUP((N5+ROUNDDOWN(F7/10,0))*J5,0))</f>
        <v>#N/A</v>
      </c>
      <c r="L5" s="26" t="e">
        <f>ROUNDDOWN(I8/2,0)</f>
        <v>#N/A</v>
      </c>
      <c r="M5" s="17"/>
      <c r="N5" s="9" t="e">
        <f>I5+LOOKUP(I5,[1]Dados!$H$3:$I$12,[1]Dados!$J$3:$J$12)*(ROUNDDOWN(F5/2,0))+LOOKUP(I5,[1]Dados!$H$3:$I$12,[1]Dados!$K$3:$K$12)*(ROUNDDOWN((F5-1)/2,0))</f>
        <v>#N/A</v>
      </c>
      <c r="O5" s="18" t="s">
        <v>24</v>
      </c>
      <c r="P5" s="19"/>
      <c r="T5" s="11" t="s">
        <v>23</v>
      </c>
      <c r="U5" s="25">
        <v>1</v>
      </c>
      <c r="V5" s="20"/>
      <c r="W5" s="13" t="s">
        <v>17</v>
      </c>
      <c r="X5" s="14" t="e">
        <f>VLOOKUP(U1,[1]Pokemon!$A$1:$I$874,5,FALSE)+IF(U3="Sim",1,0)</f>
        <v>#N/A</v>
      </c>
      <c r="Y5" s="22">
        <v>1</v>
      </c>
      <c r="Z5" s="8" t="e">
        <f>IF(AA7="Sim", ROUNDUP((AC5+ROUNDDOWN(U7/10,0))*Y5*AE3,0), ROUNDUP((AC5+ROUNDDOWN(U7/10,0))*Y5,0))</f>
        <v>#N/A</v>
      </c>
      <c r="AA5" s="26" t="e">
        <f>ROUNDDOWN(X8/2,0)</f>
        <v>#N/A</v>
      </c>
      <c r="AB5" s="17"/>
      <c r="AC5" s="9" t="e">
        <f>X5+LOOKUP(X5,[1]Dados!$H$3:$I$12,[1]Dados!$J$3:$J$12)*(ROUNDDOWN(U5/2,0))+LOOKUP(X5,[1]Dados!$H$3:$I$12,[1]Dados!$K$3:$K$12)*(ROUNDDOWN((U5-1)/2,0))</f>
        <v>#N/A</v>
      </c>
      <c r="AD5" s="18" t="s">
        <v>24</v>
      </c>
      <c r="AE5" s="19"/>
    </row>
    <row r="6" spans="1:31" ht="15" thickBot="1" x14ac:dyDescent="0.35">
      <c r="A6" s="27" t="s">
        <v>25</v>
      </c>
      <c r="B6" s="57" t="s">
        <v>32</v>
      </c>
      <c r="C6" s="58"/>
      <c r="E6" s="11" t="s">
        <v>26</v>
      </c>
      <c r="F6" s="23">
        <v>0</v>
      </c>
      <c r="G6" s="20"/>
      <c r="H6" s="13" t="s">
        <v>21</v>
      </c>
      <c r="I6" s="14" t="e">
        <f>VLOOKUP(F1,[1]Pokemon!$A$1:$I$874,6,FALSE)+IF(F3="Sim",1,0)</f>
        <v>#N/A</v>
      </c>
      <c r="J6" s="22">
        <v>1</v>
      </c>
      <c r="K6" s="8" t="e">
        <f>IF(L7="Sim", ROUNDUP((N6+ROUNDDOWN(F7/10,0))*J6*P4,0), ROUNDUP((N6+ROUNDDOWN(F7/10,0))*J6,0))</f>
        <v>#N/A</v>
      </c>
      <c r="L6" s="24" t="s">
        <v>27</v>
      </c>
      <c r="M6" s="17"/>
      <c r="N6" s="9" t="e">
        <f>I6+LOOKUP(I6,[1]Dados!$H$3:$I$12,[1]Dados!$J$3:$J$12)*(ROUNDDOWN(F5/2,0))+LOOKUP(I6,[1]Dados!$H$3:$I$12,[1]Dados!$K$3:$K$12)*(ROUNDDOWN((F5-1)/2,0))</f>
        <v>#N/A</v>
      </c>
      <c r="O6" s="28" t="s">
        <v>28</v>
      </c>
      <c r="P6" s="29"/>
      <c r="T6" s="11" t="s">
        <v>26</v>
      </c>
      <c r="U6" s="23">
        <v>0</v>
      </c>
      <c r="V6" s="20"/>
      <c r="W6" s="13" t="s">
        <v>21</v>
      </c>
      <c r="X6" s="14" t="e">
        <f>VLOOKUP(U1,[1]Pokemon!$A$1:$I$874,6,FALSE)+IF(U3="Sim",1,0)</f>
        <v>#N/A</v>
      </c>
      <c r="Y6" s="22">
        <v>1</v>
      </c>
      <c r="Z6" s="8" t="e">
        <f>IF(AA7="Sim", ROUNDUP((AC6+ROUNDDOWN(U7/10,0))*Y6*AE4,0), ROUNDUP((AC6+ROUNDDOWN(U7/10,0))*Y6,0))</f>
        <v>#N/A</v>
      </c>
      <c r="AA6" s="24" t="s">
        <v>27</v>
      </c>
      <c r="AB6" s="17"/>
      <c r="AC6" s="9" t="e">
        <f>X6+LOOKUP(X6,[1]Dados!$H$3:$I$12,[1]Dados!$J$3:$J$12)*(ROUNDDOWN(U5/2,0))+LOOKUP(X6,[1]Dados!$H$3:$I$12,[1]Dados!$K$3:$K$12)*(ROUNDDOWN((U5-1)/2,0))</f>
        <v>#N/A</v>
      </c>
      <c r="AD6" s="28" t="s">
        <v>28</v>
      </c>
      <c r="AE6" s="29"/>
    </row>
    <row r="7" spans="1:31" ht="15" thickBot="1" x14ac:dyDescent="0.35">
      <c r="A7" s="59"/>
      <c r="B7" s="59"/>
      <c r="C7" s="59"/>
      <c r="E7" s="11" t="s">
        <v>29</v>
      </c>
      <c r="F7" s="30">
        <v>0</v>
      </c>
      <c r="G7" s="20"/>
      <c r="H7" s="13" t="s">
        <v>24</v>
      </c>
      <c r="I7" s="14" t="e">
        <f>VLOOKUP(F1,[1]Pokemon!$A$1:$I$874,7,FALSE)+IF(F3="Sim",1,0)</f>
        <v>#N/A</v>
      </c>
      <c r="J7" s="22">
        <v>1</v>
      </c>
      <c r="K7" s="8" t="e">
        <f>IF(L7="Sim", ROUNDUP((N7+ROUNDDOWN(F7/10,0))*J7*P5,0), ROUNDUP((N7+ROUNDDOWN(F7/10,0))*J7,0))</f>
        <v>#N/A</v>
      </c>
      <c r="L7" s="26" t="s">
        <v>15</v>
      </c>
      <c r="M7" s="17"/>
      <c r="N7" s="9" t="e">
        <f>I7+LOOKUP(I7,[1]Dados!$H$3:$I$12,[1]Dados!$J$3:$J$12)*(ROUNDDOWN(F5/2,0))+LOOKUP(I7,[1]Dados!$H$3:$I$12,[1]Dados!$K$3:$K$12)*(ROUNDDOWN((F5-1)/2,0))</f>
        <v>#N/A</v>
      </c>
      <c r="T7" s="11" t="s">
        <v>29</v>
      </c>
      <c r="U7" s="30">
        <v>0</v>
      </c>
      <c r="V7" s="20"/>
      <c r="W7" s="13" t="s">
        <v>24</v>
      </c>
      <c r="X7" s="14" t="e">
        <f>VLOOKUP(U1,[1]Pokemon!$A$1:$I$874,7,FALSE)+IF(U3="Sim",1,0)</f>
        <v>#N/A</v>
      </c>
      <c r="Y7" s="22">
        <v>1</v>
      </c>
      <c r="Z7" s="8" t="e">
        <f>IF(AA7="Sim", ROUNDUP((AC7+ROUNDDOWN(U7/10,0))*Y7*AE5,0), ROUNDUP((AC7+ROUNDDOWN(U7/10,0))*Y7,0))</f>
        <v>#N/A</v>
      </c>
      <c r="AA7" s="26" t="s">
        <v>15</v>
      </c>
      <c r="AB7" s="17"/>
      <c r="AC7" s="9" t="e">
        <f>X7+LOOKUP(X7,[1]Dados!$H$3:$I$12,[1]Dados!$J$3:$J$12)*(ROUNDDOWN(U5/2,0))+LOOKUP(X7,[1]Dados!$H$3:$I$12,[1]Dados!$K$3:$K$12)*(ROUNDDOWN((U5-1)/2,0))</f>
        <v>#N/A</v>
      </c>
    </row>
    <row r="8" spans="1:31" x14ac:dyDescent="0.3">
      <c r="A8" s="1" t="s">
        <v>30</v>
      </c>
      <c r="B8" s="55">
        <v>3</v>
      </c>
      <c r="C8" s="56"/>
      <c r="E8" s="11" t="s">
        <v>31</v>
      </c>
      <c r="F8" s="23" t="s">
        <v>32</v>
      </c>
      <c r="G8" s="20"/>
      <c r="H8" s="13" t="s">
        <v>28</v>
      </c>
      <c r="I8" s="14" t="e">
        <f>VLOOKUP(F1,[1]Pokemon!$A$1:$I$874,8,FALSE)+IF(F3="Sim",1,0)</f>
        <v>#N/A</v>
      </c>
      <c r="J8" s="22">
        <f>1*IF(F9="Paralisado",0.5,1)</f>
        <v>1</v>
      </c>
      <c r="K8" s="8" t="e">
        <f>IF(L7="Sim", ROUNDUP(N8*J8*P6,0), ROUNDUP(N8*J8,0))</f>
        <v>#N/A</v>
      </c>
      <c r="L8" s="31" t="e">
        <f>IF(L7 = "Sim", ROUNDUP((K8/(10*P6)), 0)&amp;"d6", ROUNDUP((K8/10), 0)&amp;"d6")</f>
        <v>#N/A</v>
      </c>
      <c r="M8" s="17"/>
      <c r="N8" s="9" t="e">
        <f>I8+LOOKUP(I8,[1]Dados!$H$3:$I$12,[1]Dados!$J$3:$J$12)*(ROUNDDOWN(F5/2,0))+LOOKUP(I8,[1]Dados!$H$3:$I$12,[1]Dados!$K$3:$K$12)*(ROUNDDOWN((F5-1)/2,0))</f>
        <v>#N/A</v>
      </c>
      <c r="T8" s="11" t="s">
        <v>31</v>
      </c>
      <c r="U8" s="23" t="s">
        <v>32</v>
      </c>
      <c r="V8" s="20"/>
      <c r="W8" s="13" t="s">
        <v>28</v>
      </c>
      <c r="X8" s="14" t="e">
        <f>VLOOKUP(U1,[1]Pokemon!$A$1:$I$874,8,FALSE)+IF(U3="Sim",1,0)</f>
        <v>#N/A</v>
      </c>
      <c r="Y8" s="22">
        <f>1*IF(U9="Paralisado",0.5,1)</f>
        <v>1</v>
      </c>
      <c r="Z8" s="8" t="e">
        <f>IF(AA7="Sim", ROUNDUP(AC8*Y8*AE6,0), ROUNDUP(AC8*Y8,0))</f>
        <v>#N/A</v>
      </c>
      <c r="AA8" s="31" t="e">
        <f>IF(AA7 = "Sim", ROUNDUP((Z8/(10*AE6)), 0)&amp;"d6", ROUNDUP((Z8/10), 0)&amp;"d6")</f>
        <v>#N/A</v>
      </c>
      <c r="AB8" s="17"/>
      <c r="AC8" s="9" t="e">
        <f>X8+LOOKUP(X8,[1]Dados!$H$3:$I$12,[1]Dados!$J$3:$J$12)*(ROUNDDOWN(U5/2,0))+LOOKUP(X8,[1]Dados!$H$3:$I$12,[1]Dados!$K$3:$K$12)*(ROUNDDOWN((U5-1)/2,0))</f>
        <v>#N/A</v>
      </c>
    </row>
    <row r="9" spans="1:31" x14ac:dyDescent="0.3">
      <c r="A9" s="10" t="s">
        <v>33</v>
      </c>
      <c r="B9" s="51">
        <v>5</v>
      </c>
      <c r="C9" s="52"/>
      <c r="E9" s="11" t="s">
        <v>34</v>
      </c>
      <c r="F9" s="23"/>
      <c r="G9" s="20"/>
      <c r="H9" s="13" t="s">
        <v>35</v>
      </c>
      <c r="I9" s="14" t="e">
        <f>VLOOKUP(F1,[1]Pokemon!$A$1:$I$874,9,FALSE)</f>
        <v>#N/A</v>
      </c>
      <c r="J9" s="13" t="s">
        <v>36</v>
      </c>
      <c r="K9" s="13"/>
      <c r="L9" s="32" t="e">
        <f>((F5+1)*I9/2)-F6</f>
        <v>#N/A</v>
      </c>
      <c r="M9" s="17"/>
      <c r="N9" s="33"/>
      <c r="T9" s="11" t="s">
        <v>34</v>
      </c>
      <c r="U9" s="23"/>
      <c r="V9" s="20"/>
      <c r="W9" s="13" t="s">
        <v>35</v>
      </c>
      <c r="X9" s="14" t="e">
        <f>VLOOKUP(U1,[1]Pokemon!$A$1:$I$874,9,FALSE)</f>
        <v>#N/A</v>
      </c>
      <c r="Y9" s="13" t="s">
        <v>36</v>
      </c>
      <c r="Z9" s="13"/>
      <c r="AA9" s="32" t="e">
        <f>((U5+1)*X9/2)-U6</f>
        <v>#N/A</v>
      </c>
      <c r="AB9" s="17"/>
      <c r="AC9" s="33"/>
    </row>
    <row r="10" spans="1:31" x14ac:dyDescent="0.3">
      <c r="A10" s="10" t="s">
        <v>37</v>
      </c>
      <c r="B10" s="51">
        <v>5</v>
      </c>
      <c r="C10" s="52"/>
      <c r="E10" s="34"/>
      <c r="F10" s="8"/>
      <c r="G10" s="17"/>
      <c r="H10" s="8"/>
      <c r="I10" s="8"/>
      <c r="J10" s="8"/>
      <c r="K10" s="8"/>
      <c r="L10" s="26"/>
      <c r="M10" s="17"/>
      <c r="N10" s="35"/>
      <c r="T10" s="34"/>
      <c r="U10" s="8"/>
      <c r="V10" s="17"/>
      <c r="W10" s="8"/>
      <c r="X10" s="8"/>
      <c r="Y10" s="8"/>
      <c r="Z10" s="8"/>
      <c r="AA10" s="26"/>
      <c r="AB10" s="17"/>
      <c r="AC10" s="35"/>
    </row>
    <row r="11" spans="1:31" x14ac:dyDescent="0.3">
      <c r="A11" s="10" t="s">
        <v>38</v>
      </c>
      <c r="B11" s="51">
        <v>3</v>
      </c>
      <c r="C11" s="52"/>
      <c r="E11" s="60" t="s">
        <v>39</v>
      </c>
      <c r="F11" s="61"/>
      <c r="G11" s="13" t="s">
        <v>40</v>
      </c>
      <c r="H11" s="13"/>
      <c r="I11" s="13"/>
      <c r="J11" s="13" t="s">
        <v>16</v>
      </c>
      <c r="K11" s="13" t="s">
        <v>41</v>
      </c>
      <c r="L11" s="24" t="s">
        <v>42</v>
      </c>
      <c r="M11" s="17"/>
      <c r="N11" s="35"/>
      <c r="T11" s="60" t="s">
        <v>39</v>
      </c>
      <c r="U11" s="61"/>
      <c r="V11" s="13" t="s">
        <v>40</v>
      </c>
      <c r="W11" s="13"/>
      <c r="X11" s="13"/>
      <c r="Y11" s="13" t="s">
        <v>16</v>
      </c>
      <c r="Z11" s="13" t="s">
        <v>41</v>
      </c>
      <c r="AA11" s="24" t="s">
        <v>42</v>
      </c>
      <c r="AB11" s="17"/>
      <c r="AC11" s="35"/>
    </row>
    <row r="12" spans="1:31" x14ac:dyDescent="0.3">
      <c r="A12" s="10" t="s">
        <v>43</v>
      </c>
      <c r="B12" s="51">
        <v>4</v>
      </c>
      <c r="C12" s="52"/>
      <c r="E12" s="62"/>
      <c r="F12" s="63"/>
      <c r="G12" s="63" t="e">
        <f>VLOOKUP(E12,[2]Golpes!$A$1:$G$653,2,FALSE)&amp;"/"&amp;VLOOKUP(E12,[2]Golpes!$A$1:$G$653,3,FALSE)</f>
        <v>#N/A</v>
      </c>
      <c r="H12" s="63"/>
      <c r="I12" s="63"/>
      <c r="J12" s="25" t="e">
        <f>VLOOKUP(E12,[2]Golpes!$A$1:$G$653,4,FALSE)</f>
        <v>#N/A</v>
      </c>
      <c r="K12" s="25" t="e">
        <f>VLOOKUP(E12,[2]Golpes!$A$1:$G$653,5,FALSE)</f>
        <v>#N/A</v>
      </c>
      <c r="L12" s="36" t="e">
        <f>VLOOKUP(E12,[2]Golpes!$A$1:$G$653,6,FALSE)</f>
        <v>#N/A</v>
      </c>
      <c r="M12" s="17" t="e">
        <f>VLOOKUP(E12,[2]Golpes!$A$1:$G$653,7,FALSE)</f>
        <v>#N/A</v>
      </c>
      <c r="N12" s="35"/>
      <c r="T12" s="62"/>
      <c r="U12" s="63"/>
      <c r="V12" s="63" t="e">
        <f>VLOOKUP(T12,[2]Golpes!$A$1:$G$653,2,FALSE)&amp;"/"&amp;VLOOKUP(T12,[2]Golpes!$A$1:$G$653,3,FALSE)</f>
        <v>#N/A</v>
      </c>
      <c r="W12" s="63"/>
      <c r="X12" s="63"/>
      <c r="Y12" s="25" t="e">
        <f>VLOOKUP(T12,[2]Golpes!$A$1:$G$653,4,FALSE)</f>
        <v>#N/A</v>
      </c>
      <c r="Z12" s="25" t="e">
        <f>VLOOKUP(T12,[2]Golpes!$A$1:$G$653,5,FALSE)</f>
        <v>#N/A</v>
      </c>
      <c r="AA12" s="36" t="e">
        <f>VLOOKUP(T12,[2]Golpes!$A$1:$G$653,6,FALSE)</f>
        <v>#N/A</v>
      </c>
      <c r="AB12" s="17" t="e">
        <f>VLOOKUP(T12,[2]Golpes!$A$1:$G$653,7,FALSE)</f>
        <v>#N/A</v>
      </c>
      <c r="AC12" s="35"/>
    </row>
    <row r="13" spans="1:31" ht="15" thickBot="1" x14ac:dyDescent="0.35">
      <c r="A13" s="27" t="s">
        <v>44</v>
      </c>
      <c r="B13" s="57">
        <v>3</v>
      </c>
      <c r="C13" s="58"/>
      <c r="E13" s="62"/>
      <c r="F13" s="63"/>
      <c r="G13" s="63" t="e">
        <f>VLOOKUP(E13,[2]Golpes!$A$1:$G$653,2,FALSE)&amp;"/"&amp;VLOOKUP(E13,[2]Golpes!$A$1:$G$653,3,FALSE)</f>
        <v>#N/A</v>
      </c>
      <c r="H13" s="63"/>
      <c r="I13" s="63"/>
      <c r="J13" s="25" t="e">
        <f>VLOOKUP(E13,[2]Golpes!$A$1:$G$653,4,FALSE)</f>
        <v>#N/A</v>
      </c>
      <c r="K13" s="25" t="e">
        <f>VLOOKUP(E13,[2]Golpes!$A$1:$G$653,5,FALSE)</f>
        <v>#N/A</v>
      </c>
      <c r="L13" s="36" t="e">
        <f>VLOOKUP(E13,[2]Golpes!$A$1:$G$653,6,FALSE)</f>
        <v>#N/A</v>
      </c>
      <c r="M13" s="17" t="e">
        <f>VLOOKUP(E13,[2]Golpes!$A$1:$G$653,7,FALSE)</f>
        <v>#N/A</v>
      </c>
      <c r="N13" s="35"/>
      <c r="T13" s="62"/>
      <c r="U13" s="63"/>
      <c r="V13" s="63" t="e">
        <f>VLOOKUP(T13,[2]Golpes!$A$1:$G$653,2,FALSE)&amp;"/"&amp;VLOOKUP(T13,[2]Golpes!$A$1:$G$653,3,FALSE)</f>
        <v>#N/A</v>
      </c>
      <c r="W13" s="63"/>
      <c r="X13" s="63"/>
      <c r="Y13" s="25" t="e">
        <f>VLOOKUP(T13,[2]Golpes!$A$1:$G$653,4,FALSE)</f>
        <v>#N/A</v>
      </c>
      <c r="Z13" s="25" t="e">
        <f>VLOOKUP(T13,[2]Golpes!$A$1:$G$653,5,FALSE)</f>
        <v>#N/A</v>
      </c>
      <c r="AA13" s="36" t="e">
        <f>VLOOKUP(T13,[2]Golpes!$A$1:$G$653,6,FALSE)</f>
        <v>#N/A</v>
      </c>
      <c r="AB13" s="17" t="e">
        <f>VLOOKUP(T13,[2]Golpes!$A$1:$G$653,7,FALSE)</f>
        <v>#N/A</v>
      </c>
      <c r="AC13" s="35"/>
    </row>
    <row r="14" spans="1:31" x14ac:dyDescent="0.3">
      <c r="A14" s="37" t="s">
        <v>45</v>
      </c>
      <c r="B14" s="38">
        <v>50</v>
      </c>
      <c r="C14" s="39">
        <f>B10*10</f>
        <v>50</v>
      </c>
      <c r="E14" s="62"/>
      <c r="F14" s="63"/>
      <c r="G14" s="63" t="e">
        <f>VLOOKUP(E14,[2]Golpes!$A$1:$G$653,2,FALSE)&amp;"/"&amp;VLOOKUP(E14,[2]Golpes!$A$1:$G$653,3,FALSE)</f>
        <v>#N/A</v>
      </c>
      <c r="H14" s="63"/>
      <c r="I14" s="63"/>
      <c r="J14" s="25" t="e">
        <f>VLOOKUP(E14,[2]Golpes!$A$1:$G$653,4,FALSE)</f>
        <v>#N/A</v>
      </c>
      <c r="K14" s="25" t="e">
        <f>VLOOKUP(E14,[2]Golpes!$A$1:$G$653,5,FALSE)</f>
        <v>#N/A</v>
      </c>
      <c r="L14" s="36" t="e">
        <f>VLOOKUP(E14,[2]Golpes!$A$1:$G$653,6,FALSE)</f>
        <v>#N/A</v>
      </c>
      <c r="M14" s="17" t="e">
        <f>VLOOKUP(E14,[2]Golpes!$A$1:$G$653,7,FALSE)</f>
        <v>#N/A</v>
      </c>
      <c r="N14" s="35"/>
      <c r="T14" s="62"/>
      <c r="U14" s="63"/>
      <c r="V14" s="63" t="e">
        <f>VLOOKUP(T14,[2]Golpes!$A$1:$G$653,2,FALSE)&amp;"/"&amp;VLOOKUP(T14,[2]Golpes!$A$1:$G$653,3,FALSE)</f>
        <v>#N/A</v>
      </c>
      <c r="W14" s="63"/>
      <c r="X14" s="63"/>
      <c r="Y14" s="25" t="e">
        <f>VLOOKUP(T14,[2]Golpes!$A$1:$G$653,4,FALSE)</f>
        <v>#N/A</v>
      </c>
      <c r="Z14" s="25" t="e">
        <f>VLOOKUP(T14,[2]Golpes!$A$1:$G$653,5,FALSE)</f>
        <v>#N/A</v>
      </c>
      <c r="AA14" s="36" t="e">
        <f>VLOOKUP(T14,[2]Golpes!$A$1:$G$653,6,FALSE)</f>
        <v>#N/A</v>
      </c>
      <c r="AB14" s="17" t="e">
        <f>VLOOKUP(T14,[2]Golpes!$A$1:$G$653,7,FALSE)</f>
        <v>#N/A</v>
      </c>
      <c r="AC14" s="35"/>
    </row>
    <row r="15" spans="1:31" ht="15" thickBot="1" x14ac:dyDescent="0.35">
      <c r="A15" s="40" t="s">
        <v>46</v>
      </c>
      <c r="B15" s="41">
        <v>50</v>
      </c>
      <c r="C15" s="42">
        <f>B14</f>
        <v>50</v>
      </c>
      <c r="E15" s="67"/>
      <c r="F15" s="68"/>
      <c r="G15" s="68" t="e">
        <f>VLOOKUP(E15,[2]Golpes!$A$1:$G$653,2,FALSE)&amp;"/"&amp;VLOOKUP(E15,[2]Golpes!$A$1:$G$653,3,FALSE)</f>
        <v>#N/A</v>
      </c>
      <c r="H15" s="68"/>
      <c r="I15" s="68"/>
      <c r="J15" s="43" t="e">
        <f>VLOOKUP(E15,[2]Golpes!$A$1:$G$653,4,FALSE)</f>
        <v>#N/A</v>
      </c>
      <c r="K15" s="43" t="e">
        <f>VLOOKUP(E15,[2]Golpes!$A$1:$G$653,5,FALSE)</f>
        <v>#N/A</v>
      </c>
      <c r="L15" s="44" t="e">
        <f>VLOOKUP(E15,[2]Golpes!$A$1:$G$653,6,FALSE)</f>
        <v>#N/A</v>
      </c>
      <c r="M15" s="17" t="e">
        <f>VLOOKUP(E15,[2]Golpes!$A$1:$G$653,7,FALSE)</f>
        <v>#N/A</v>
      </c>
      <c r="N15" s="35"/>
      <c r="T15" s="67"/>
      <c r="U15" s="68"/>
      <c r="V15" s="68" t="e">
        <f>VLOOKUP(T15,[2]Golpes!$A$1:$G$653,2,FALSE)&amp;"/"&amp;VLOOKUP(T15,[2]Golpes!$A$1:$G$653,3,FALSE)</f>
        <v>#N/A</v>
      </c>
      <c r="W15" s="68"/>
      <c r="X15" s="68"/>
      <c r="Y15" s="43" t="e">
        <f>VLOOKUP(T15,[2]Golpes!$A$1:$G$653,4,FALSE)</f>
        <v>#N/A</v>
      </c>
      <c r="Z15" s="43" t="e">
        <f>VLOOKUP(T15,[2]Golpes!$A$1:$G$653,5,FALSE)</f>
        <v>#N/A</v>
      </c>
      <c r="AA15" s="44" t="e">
        <f>VLOOKUP(T15,[2]Golpes!$A$1:$G$653,6,FALSE)</f>
        <v>#N/A</v>
      </c>
      <c r="AB15" s="17" t="e">
        <f>VLOOKUP(T15,[2]Golpes!$A$1:$G$653,7,FALSE)</f>
        <v>#N/A</v>
      </c>
      <c r="AC15" s="35"/>
    </row>
    <row r="16" spans="1:31" ht="15" thickBot="1" x14ac:dyDescent="0.35">
      <c r="A16" s="59">
        <v>2</v>
      </c>
      <c r="B16" s="59"/>
      <c r="C16" s="59"/>
    </row>
    <row r="17" spans="1:31" ht="15" thickBot="1" x14ac:dyDescent="0.35">
      <c r="A17" s="64" t="s">
        <v>47</v>
      </c>
      <c r="B17" s="65"/>
      <c r="C17" s="66"/>
      <c r="E17" s="2" t="s">
        <v>1</v>
      </c>
      <c r="F17" s="3"/>
      <c r="G17" s="4"/>
      <c r="H17" s="5"/>
      <c r="I17" s="6" t="s">
        <v>2</v>
      </c>
      <c r="J17" s="6" t="s">
        <v>3</v>
      </c>
      <c r="K17" s="6" t="s">
        <v>4</v>
      </c>
      <c r="L17" s="7" t="s">
        <v>5</v>
      </c>
      <c r="M17" s="8"/>
      <c r="N17" s="9"/>
      <c r="O17" s="53" t="s">
        <v>6</v>
      </c>
      <c r="P17" s="54"/>
      <c r="T17" s="2" t="s">
        <v>1</v>
      </c>
      <c r="U17" s="3"/>
      <c r="V17" s="4"/>
      <c r="W17" s="5"/>
      <c r="X17" s="6" t="s">
        <v>2</v>
      </c>
      <c r="Y17" s="6" t="s">
        <v>3</v>
      </c>
      <c r="Z17" s="6" t="s">
        <v>4</v>
      </c>
      <c r="AA17" s="7" t="s">
        <v>5</v>
      </c>
      <c r="AB17" s="8"/>
      <c r="AC17" s="9"/>
      <c r="AD17" s="53" t="s">
        <v>6</v>
      </c>
      <c r="AE17" s="54"/>
    </row>
    <row r="18" spans="1:31" x14ac:dyDescent="0.3">
      <c r="A18" s="71"/>
      <c r="B18" s="49"/>
      <c r="C18" s="72"/>
      <c r="E18" s="11" t="s">
        <v>8</v>
      </c>
      <c r="F18" s="8" t="s">
        <v>9</v>
      </c>
      <c r="G18" s="12" t="s">
        <v>10</v>
      </c>
      <c r="H18" s="13" t="s">
        <v>11</v>
      </c>
      <c r="I18" s="14" t="e">
        <f>VLOOKUP(F17,[1]Pokemon!$A$1:$I$874,3,FALSE)+IF(F19="Sim",20,0)</f>
        <v>#N/A</v>
      </c>
      <c r="J18" s="15">
        <v>0</v>
      </c>
      <c r="K18" s="8" t="e">
        <f>IF($B$5="Vigoroso",ROUNDUP((N18+J18)*1.2,0),N18+J18)</f>
        <v>#N/A</v>
      </c>
      <c r="L18" s="16">
        <v>0</v>
      </c>
      <c r="M18" s="17"/>
      <c r="N18" s="9" t="e">
        <f>I18+LOOKUP(I18,[1]Dados!$C$3:$D$12,[1]Dados!$E$3:$E$12)*(ROUNDDOWN(F21/2,0))+LOOKUP(I18,[1]Dados!$C$3:$D$12,[1]Dados!$F$3:$F$12)*(ROUNDDOWN((F21-1)/2,0))</f>
        <v>#N/A</v>
      </c>
      <c r="O18" s="18" t="s">
        <v>12</v>
      </c>
      <c r="P18" s="19"/>
      <c r="T18" s="11" t="s">
        <v>8</v>
      </c>
      <c r="U18" s="8" t="s">
        <v>9</v>
      </c>
      <c r="V18" s="12" t="s">
        <v>10</v>
      </c>
      <c r="W18" s="13" t="s">
        <v>11</v>
      </c>
      <c r="X18" s="14" t="e">
        <f>VLOOKUP(U17,[1]Pokemon!$A$1:$I$874,3,FALSE)+IF(U19="Sim",20,0)</f>
        <v>#N/A</v>
      </c>
      <c r="Y18" s="15">
        <v>0</v>
      </c>
      <c r="Z18" s="8" t="e">
        <f>IF($B$5="Vigoroso",ROUNDUP((AC18+Y18)*1.2,0),AC18+Y18)</f>
        <v>#N/A</v>
      </c>
      <c r="AA18" s="16">
        <v>0</v>
      </c>
      <c r="AB18" s="17"/>
      <c r="AC18" s="9" t="e">
        <f>X18+LOOKUP(X18,[1]Dados!$C$3:$D$12,[1]Dados!$E$3:$E$12)*(ROUNDDOWN(U21/2,0))+LOOKUP(X18,[1]Dados!$C$3:$D$12,[1]Dados!$F$3:$F$12)*(ROUNDDOWN((U21-1)/2,0))</f>
        <v>#N/A</v>
      </c>
      <c r="AD18" s="18" t="s">
        <v>12</v>
      </c>
      <c r="AE18" s="19"/>
    </row>
    <row r="19" spans="1:31" x14ac:dyDescent="0.3">
      <c r="A19" s="71"/>
      <c r="B19" s="49"/>
      <c r="C19" s="72"/>
      <c r="E19" s="11" t="s">
        <v>14</v>
      </c>
      <c r="F19" s="8" t="s">
        <v>15</v>
      </c>
      <c r="G19" s="20"/>
      <c r="H19" s="13" t="s">
        <v>16</v>
      </c>
      <c r="I19" s="21">
        <f>20+IF(F19="Sim",10,0)</f>
        <v>20</v>
      </c>
      <c r="J19" s="22">
        <v>0</v>
      </c>
      <c r="K19" s="8">
        <f>18+(F21*2)+IF(F19="Sim",10,0)+J19</f>
        <v>20</v>
      </c>
      <c r="L19" s="16">
        <v>0</v>
      </c>
      <c r="M19" s="17"/>
      <c r="N19" s="9"/>
      <c r="O19" s="18" t="s">
        <v>17</v>
      </c>
      <c r="P19" s="19"/>
      <c r="T19" s="11" t="s">
        <v>14</v>
      </c>
      <c r="U19" s="8" t="s">
        <v>15</v>
      </c>
      <c r="V19" s="20"/>
      <c r="W19" s="13" t="s">
        <v>16</v>
      </c>
      <c r="X19" s="21">
        <f>20+IF(U19="Sim",10,0)</f>
        <v>20</v>
      </c>
      <c r="Y19" s="22">
        <v>0</v>
      </c>
      <c r="Z19" s="8">
        <f>18+(U21*2)+IF(U19="Sim",10,0)+Y19</f>
        <v>20</v>
      </c>
      <c r="AA19" s="16">
        <v>0</v>
      </c>
      <c r="AB19" s="17"/>
      <c r="AC19" s="9"/>
      <c r="AD19" s="18" t="s">
        <v>17</v>
      </c>
      <c r="AE19" s="19"/>
    </row>
    <row r="20" spans="1:31" x14ac:dyDescent="0.3">
      <c r="A20" s="71"/>
      <c r="B20" s="49"/>
      <c r="C20" s="72"/>
      <c r="E20" s="11" t="s">
        <v>19</v>
      </c>
      <c r="F20" s="23" t="e">
        <f>VLOOKUP(F17,[1]Pokemon!$A$1:$I$874,2,FALSE)</f>
        <v>#N/A</v>
      </c>
      <c r="G20" s="20"/>
      <c r="H20" s="13" t="s">
        <v>12</v>
      </c>
      <c r="I20" s="14" t="e">
        <f>VLOOKUP(F17,[1]Pokemon!$A$1:$I$874,4,FALSE)+IF(F19="Sim",1,0)</f>
        <v>#N/A</v>
      </c>
      <c r="J20" s="22">
        <v>1</v>
      </c>
      <c r="K20" s="8" t="e">
        <f>IF(L23="Sim", ROUNDUP((N20+ROUNDDOWN(F23/10,0))*J20*P18,0), ROUNDUP((N20+ROUNDDOWN(F23/10,0))*J20,0))</f>
        <v>#N/A</v>
      </c>
      <c r="L20" s="24" t="s">
        <v>20</v>
      </c>
      <c r="M20" s="17"/>
      <c r="N20" s="9" t="e">
        <f>I20+LOOKUP(I20,[1]Dados!$H$3:$I$12,[1]Dados!$J$3:$J$12)*(ROUNDDOWN(F21/2,0))+LOOKUP(I20,[1]Dados!$H$3:$I$12,[1]Dados!$K$3:$K$12)*(ROUNDDOWN((F21-1)/2,0))</f>
        <v>#N/A</v>
      </c>
      <c r="O20" s="18" t="s">
        <v>21</v>
      </c>
      <c r="P20" s="19"/>
      <c r="T20" s="11" t="s">
        <v>19</v>
      </c>
      <c r="U20" s="23" t="e">
        <f>VLOOKUP(U17,[1]Pokemon!$A$1:$I$874,2,FALSE)</f>
        <v>#N/A</v>
      </c>
      <c r="V20" s="20"/>
      <c r="W20" s="13" t="s">
        <v>12</v>
      </c>
      <c r="X20" s="14" t="e">
        <f>VLOOKUP(U17,[1]Pokemon!$A$1:$I$874,4,FALSE)+IF(U19="Sim",1,0)</f>
        <v>#N/A</v>
      </c>
      <c r="Y20" s="22">
        <v>1</v>
      </c>
      <c r="Z20" s="8" t="e">
        <f>IF(AA23="Sim", ROUNDUP((AC20+ROUNDDOWN(U23/10,0))*Y20*AE18,0), ROUNDUP((AC20+ROUNDDOWN(U23/10,0))*Y20,0))</f>
        <v>#N/A</v>
      </c>
      <c r="AA20" s="24" t="s">
        <v>20</v>
      </c>
      <c r="AB20" s="17"/>
      <c r="AC20" s="9" t="e">
        <f>X20+LOOKUP(X20,[1]Dados!$H$3:$I$12,[1]Dados!$J$3:$J$12)*(ROUNDDOWN(U21/2,0))+LOOKUP(X20,[1]Dados!$H$3:$I$12,[1]Dados!$K$3:$K$12)*(ROUNDDOWN((U21-1)/2,0))</f>
        <v>#N/A</v>
      </c>
      <c r="AD20" s="18" t="s">
        <v>21</v>
      </c>
      <c r="AE20" s="19"/>
    </row>
    <row r="21" spans="1:31" x14ac:dyDescent="0.3">
      <c r="A21" s="71"/>
      <c r="B21" s="49"/>
      <c r="C21" s="72"/>
      <c r="E21" s="11" t="s">
        <v>23</v>
      </c>
      <c r="F21" s="25">
        <v>1</v>
      </c>
      <c r="G21" s="20"/>
      <c r="H21" s="13" t="s">
        <v>17</v>
      </c>
      <c r="I21" s="14" t="e">
        <f>VLOOKUP(F17,[1]Pokemon!$A$1:$I$874,5,FALSE)+IF(F19="Sim",1,0)</f>
        <v>#N/A</v>
      </c>
      <c r="J21" s="22">
        <v>1</v>
      </c>
      <c r="K21" s="8" t="e">
        <f>IF(L23="Sim", ROUNDUP((N21+ROUNDDOWN(F23/10,0))*J21*P19,0), ROUNDUP((N21+ROUNDDOWN(F23/10,0))*J21,0))</f>
        <v>#N/A</v>
      </c>
      <c r="L21" s="26" t="e">
        <f>ROUNDDOWN(I24/2,0)</f>
        <v>#N/A</v>
      </c>
      <c r="M21" s="17"/>
      <c r="N21" s="9" t="e">
        <f>I21+LOOKUP(I21,[1]Dados!$H$3:$I$12,[1]Dados!$J$3:$J$12)*(ROUNDDOWN(F21/2,0))+LOOKUP(I21,[1]Dados!$H$3:$I$12,[1]Dados!$K$3:$K$12)*(ROUNDDOWN((F21-1)/2,0))</f>
        <v>#N/A</v>
      </c>
      <c r="O21" s="18" t="s">
        <v>24</v>
      </c>
      <c r="P21" s="19"/>
      <c r="T21" s="11" t="s">
        <v>23</v>
      </c>
      <c r="U21" s="25">
        <v>1</v>
      </c>
      <c r="V21" s="20"/>
      <c r="W21" s="13" t="s">
        <v>17</v>
      </c>
      <c r="X21" s="14" t="e">
        <f>VLOOKUP(U17,[1]Pokemon!$A$1:$I$874,5,FALSE)+IF(U19="Sim",1,0)</f>
        <v>#N/A</v>
      </c>
      <c r="Y21" s="22">
        <v>1</v>
      </c>
      <c r="Z21" s="8" t="e">
        <f>IF(AA23="Sim", ROUNDUP((AC21+ROUNDDOWN(U23/10,0))*Y21*AE19,0), ROUNDUP((AC21+ROUNDDOWN(U23/10,0))*Y21,0))</f>
        <v>#N/A</v>
      </c>
      <c r="AA21" s="26" t="e">
        <f>ROUNDDOWN(X24/2,0)</f>
        <v>#N/A</v>
      </c>
      <c r="AB21" s="17"/>
      <c r="AC21" s="9" t="e">
        <f>X21+LOOKUP(X21,[1]Dados!$H$3:$I$12,[1]Dados!$J$3:$J$12)*(ROUNDDOWN(U21/2,0))+LOOKUP(X21,[1]Dados!$H$3:$I$12,[1]Dados!$K$3:$K$12)*(ROUNDDOWN((U21-1)/2,0))</f>
        <v>#N/A</v>
      </c>
      <c r="AD21" s="18" t="s">
        <v>24</v>
      </c>
      <c r="AE21" s="19"/>
    </row>
    <row r="22" spans="1:31" ht="15" thickBot="1" x14ac:dyDescent="0.35">
      <c r="A22" s="71"/>
      <c r="B22" s="49"/>
      <c r="C22" s="72"/>
      <c r="E22" s="11" t="s">
        <v>26</v>
      </c>
      <c r="F22" s="23">
        <v>0</v>
      </c>
      <c r="G22" s="20"/>
      <c r="H22" s="13" t="s">
        <v>21</v>
      </c>
      <c r="I22" s="14" t="e">
        <f>VLOOKUP(F17,[1]Pokemon!$A$1:$I$874,6,FALSE)+IF(F19="Sim",1,0)</f>
        <v>#N/A</v>
      </c>
      <c r="J22" s="22">
        <v>1</v>
      </c>
      <c r="K22" s="8" t="e">
        <f>IF(L23="Sim", ROUNDUP((N22+ROUNDDOWN(F23/10,0))*J22*P20,0), ROUNDUP((N22+ROUNDDOWN(F23/10,0))*J22,0))</f>
        <v>#N/A</v>
      </c>
      <c r="L22" s="24" t="s">
        <v>27</v>
      </c>
      <c r="M22" s="17"/>
      <c r="N22" s="9" t="e">
        <f>I22+LOOKUP(I22,[1]Dados!$H$3:$I$12,[1]Dados!$J$3:$J$12)*(ROUNDDOWN(F21/2,0))+LOOKUP(I22,[1]Dados!$H$3:$I$12,[1]Dados!$K$3:$K$12)*(ROUNDDOWN((F21-1)/2,0))</f>
        <v>#N/A</v>
      </c>
      <c r="O22" s="28" t="s">
        <v>28</v>
      </c>
      <c r="P22" s="29"/>
      <c r="T22" s="11" t="s">
        <v>26</v>
      </c>
      <c r="U22" s="23">
        <v>0</v>
      </c>
      <c r="V22" s="20"/>
      <c r="W22" s="13" t="s">
        <v>21</v>
      </c>
      <c r="X22" s="14" t="e">
        <f>VLOOKUP(U17,[1]Pokemon!$A$1:$I$874,6,FALSE)+IF(U19="Sim",1,0)</f>
        <v>#N/A</v>
      </c>
      <c r="Y22" s="22">
        <v>1</v>
      </c>
      <c r="Z22" s="8" t="e">
        <f>IF(AA23="Sim", ROUNDUP((AC22+ROUNDDOWN(U23/10,0))*Y22*AE20,0), ROUNDUP((AC22+ROUNDDOWN(U23/10,0))*Y22,0))</f>
        <v>#N/A</v>
      </c>
      <c r="AA22" s="24" t="s">
        <v>27</v>
      </c>
      <c r="AB22" s="17"/>
      <c r="AC22" s="9" t="e">
        <f>X22+LOOKUP(X22,[1]Dados!$H$3:$I$12,[1]Dados!$J$3:$J$12)*(ROUNDDOWN(U21/2,0))+LOOKUP(X22,[1]Dados!$H$3:$I$12,[1]Dados!$K$3:$K$12)*(ROUNDDOWN((U21-1)/2,0))</f>
        <v>#N/A</v>
      </c>
      <c r="AD22" s="28" t="s">
        <v>28</v>
      </c>
      <c r="AE22" s="29"/>
    </row>
    <row r="23" spans="1:31" x14ac:dyDescent="0.3">
      <c r="A23" s="71"/>
      <c r="B23" s="49"/>
      <c r="C23" s="72"/>
      <c r="E23" s="11" t="s">
        <v>29</v>
      </c>
      <c r="F23" s="30">
        <v>0</v>
      </c>
      <c r="G23" s="20"/>
      <c r="H23" s="13" t="s">
        <v>24</v>
      </c>
      <c r="I23" s="14" t="e">
        <f>VLOOKUP(F17,[1]Pokemon!$A$1:$I$874,7,FALSE)+IF(F19="Sim",1,0)</f>
        <v>#N/A</v>
      </c>
      <c r="J23" s="22">
        <v>1</v>
      </c>
      <c r="K23" s="8" t="e">
        <f>IF(L23="Sim", ROUNDUP((N23+ROUNDDOWN(F23/10,0))*J23*P21,0), ROUNDUP((N23+ROUNDDOWN(F23/10,0))*J23,0))</f>
        <v>#N/A</v>
      </c>
      <c r="L23" s="26" t="s">
        <v>15</v>
      </c>
      <c r="M23" s="17"/>
      <c r="N23" s="9" t="e">
        <f>I23+LOOKUP(I23,[1]Dados!$H$3:$I$12,[1]Dados!$J$3:$J$12)*(ROUNDDOWN(F21/2,0))+LOOKUP(I23,[1]Dados!$H$3:$I$12,[1]Dados!$K$3:$K$12)*(ROUNDDOWN((F21-1)/2,0))</f>
        <v>#N/A</v>
      </c>
      <c r="T23" s="11" t="s">
        <v>29</v>
      </c>
      <c r="U23" s="30">
        <v>0</v>
      </c>
      <c r="V23" s="20"/>
      <c r="W23" s="13" t="s">
        <v>24</v>
      </c>
      <c r="X23" s="14" t="e">
        <f>VLOOKUP(U17,[1]Pokemon!$A$1:$I$874,7,FALSE)+IF(U19="Sim",1,0)</f>
        <v>#N/A</v>
      </c>
      <c r="Y23" s="22">
        <v>1</v>
      </c>
      <c r="Z23" s="8" t="e">
        <f>IF(AA23="Sim", ROUNDUP((AC23+ROUNDDOWN(U23/10,0))*Y23*AE21,0), ROUNDUP((AC23+ROUNDDOWN(U23/10,0))*Y23,0))</f>
        <v>#N/A</v>
      </c>
      <c r="AA23" s="26" t="s">
        <v>15</v>
      </c>
      <c r="AB23" s="17"/>
      <c r="AC23" s="9" t="e">
        <f>X23+LOOKUP(X23,[1]Dados!$H$3:$I$12,[1]Dados!$J$3:$J$12)*(ROUNDDOWN(U21/2,0))+LOOKUP(X23,[1]Dados!$H$3:$I$12,[1]Dados!$K$3:$K$12)*(ROUNDDOWN((U21-1)/2,0))</f>
        <v>#N/A</v>
      </c>
    </row>
    <row r="24" spans="1:31" x14ac:dyDescent="0.3">
      <c r="A24" s="71"/>
      <c r="B24" s="49"/>
      <c r="C24" s="72"/>
      <c r="E24" s="11" t="s">
        <v>31</v>
      </c>
      <c r="F24" s="23" t="s">
        <v>32</v>
      </c>
      <c r="G24" s="20"/>
      <c r="H24" s="13" t="s">
        <v>28</v>
      </c>
      <c r="I24" s="14" t="e">
        <f>VLOOKUP(F17,[1]Pokemon!$A$1:$I$874,8,FALSE)+IF(F19="Sim",1,0)</f>
        <v>#N/A</v>
      </c>
      <c r="J24" s="22">
        <f>1*IF(F25="Paralisado",0.5,1)</f>
        <v>1</v>
      </c>
      <c r="K24" s="8" t="e">
        <f>IF(L23="Sim", ROUNDUP(N24*J24*P22,0), ROUNDUP(N24*J24,0))</f>
        <v>#N/A</v>
      </c>
      <c r="L24" s="31" t="e">
        <f>IF(L23 = "Sim", ROUNDUP((K24/(10*P22)), 0)&amp;"d6", ROUNDUP((K24/10), 0)&amp;"d6")</f>
        <v>#N/A</v>
      </c>
      <c r="M24" s="17"/>
      <c r="N24" s="9" t="e">
        <f>I24+LOOKUP(I24,[1]Dados!$H$3:$I$12,[1]Dados!$J$3:$J$12)*(ROUNDDOWN(F21/2,0))+LOOKUP(I24,[1]Dados!$H$3:$I$12,[1]Dados!$K$3:$K$12)*(ROUNDDOWN((F21-1)/2,0))</f>
        <v>#N/A</v>
      </c>
      <c r="T24" s="11" t="s">
        <v>31</v>
      </c>
      <c r="U24" s="23" t="s">
        <v>32</v>
      </c>
      <c r="V24" s="20"/>
      <c r="W24" s="13" t="s">
        <v>28</v>
      </c>
      <c r="X24" s="14" t="e">
        <f>VLOOKUP(U17,[1]Pokemon!$A$1:$I$874,8,FALSE)+IF(U19="Sim",1,0)</f>
        <v>#N/A</v>
      </c>
      <c r="Y24" s="22">
        <f>1*IF(U25="Paralisado",0.5,1)</f>
        <v>1</v>
      </c>
      <c r="Z24" s="8" t="e">
        <f>IF(AA23="Sim", ROUNDUP(AC24*Y24*AE22,0), ROUNDUP(AC24*Y24,0))</f>
        <v>#N/A</v>
      </c>
      <c r="AA24" s="31" t="e">
        <f>IF(AA23 = "Sim", ROUNDUP((Z24/(10*AE22)), 0)&amp;"d6", ROUNDUP((Z24/10), 0)&amp;"d6")</f>
        <v>#N/A</v>
      </c>
      <c r="AB24" s="17"/>
      <c r="AC24" s="9" t="e">
        <f>X24+LOOKUP(X24,[1]Dados!$H$3:$I$12,[1]Dados!$J$3:$J$12)*(ROUNDDOWN(U21/2,0))+LOOKUP(X24,[1]Dados!$H$3:$I$12,[1]Dados!$K$3:$K$12)*(ROUNDDOWN((U21-1)/2,0))</f>
        <v>#N/A</v>
      </c>
    </row>
    <row r="25" spans="1:31" x14ac:dyDescent="0.3">
      <c r="A25" s="71"/>
      <c r="B25" s="49"/>
      <c r="C25" s="72"/>
      <c r="E25" s="11" t="s">
        <v>34</v>
      </c>
      <c r="F25" s="23"/>
      <c r="G25" s="20"/>
      <c r="H25" s="13" t="s">
        <v>35</v>
      </c>
      <c r="I25" s="14" t="e">
        <f>VLOOKUP(F17,[1]Pokemon!$A$1:$I$874,9,FALSE)</f>
        <v>#N/A</v>
      </c>
      <c r="J25" s="13" t="s">
        <v>36</v>
      </c>
      <c r="K25" s="13"/>
      <c r="L25" s="32" t="e">
        <f>((F21+1)*I25/2)-F22</f>
        <v>#N/A</v>
      </c>
      <c r="M25" s="17"/>
      <c r="N25" s="33"/>
      <c r="T25" s="11" t="s">
        <v>34</v>
      </c>
      <c r="U25" s="23"/>
      <c r="V25" s="20"/>
      <c r="W25" s="13" t="s">
        <v>35</v>
      </c>
      <c r="X25" s="14" t="e">
        <f>VLOOKUP(U17,[1]Pokemon!$A$1:$I$874,9,FALSE)</f>
        <v>#N/A</v>
      </c>
      <c r="Y25" s="13" t="s">
        <v>36</v>
      </c>
      <c r="Z25" s="13"/>
      <c r="AA25" s="32" t="e">
        <f>((U21+1)*X25/2)-U22</f>
        <v>#N/A</v>
      </c>
      <c r="AB25" s="17"/>
      <c r="AC25" s="33"/>
    </row>
    <row r="26" spans="1:31" x14ac:dyDescent="0.3">
      <c r="A26" s="71"/>
      <c r="B26" s="49"/>
      <c r="C26" s="72"/>
      <c r="E26" s="34"/>
      <c r="F26" s="8"/>
      <c r="G26" s="17"/>
      <c r="H26" s="8"/>
      <c r="I26" s="8"/>
      <c r="J26" s="8"/>
      <c r="K26" s="8"/>
      <c r="L26" s="26"/>
      <c r="M26" s="17"/>
      <c r="N26" s="35"/>
      <c r="T26" s="34"/>
      <c r="U26" s="8"/>
      <c r="V26" s="17"/>
      <c r="W26" s="8"/>
      <c r="X26" s="8"/>
      <c r="Y26" s="8"/>
      <c r="Z26" s="8"/>
      <c r="AA26" s="26"/>
      <c r="AB26" s="17"/>
      <c r="AC26" s="35"/>
    </row>
    <row r="27" spans="1:31" x14ac:dyDescent="0.3">
      <c r="A27" s="71"/>
      <c r="B27" s="49"/>
      <c r="C27" s="72"/>
      <c r="E27" s="60" t="s">
        <v>39</v>
      </c>
      <c r="F27" s="61"/>
      <c r="G27" s="13" t="s">
        <v>40</v>
      </c>
      <c r="H27" s="13"/>
      <c r="I27" s="13"/>
      <c r="J27" s="13" t="s">
        <v>16</v>
      </c>
      <c r="K27" s="13" t="s">
        <v>41</v>
      </c>
      <c r="L27" s="24" t="s">
        <v>42</v>
      </c>
      <c r="M27" s="17"/>
      <c r="N27" s="35"/>
      <c r="T27" s="60" t="s">
        <v>39</v>
      </c>
      <c r="U27" s="61"/>
      <c r="V27" s="13" t="s">
        <v>40</v>
      </c>
      <c r="W27" s="13"/>
      <c r="X27" s="13"/>
      <c r="Y27" s="13" t="s">
        <v>16</v>
      </c>
      <c r="Z27" s="13" t="s">
        <v>41</v>
      </c>
      <c r="AA27" s="24" t="s">
        <v>42</v>
      </c>
      <c r="AB27" s="17"/>
      <c r="AC27" s="35"/>
    </row>
    <row r="28" spans="1:31" x14ac:dyDescent="0.3">
      <c r="A28" s="71"/>
      <c r="B28" s="49"/>
      <c r="C28" s="72"/>
      <c r="E28" s="62"/>
      <c r="F28" s="63"/>
      <c r="G28" s="63" t="e">
        <f>VLOOKUP(E28,[2]Golpes!$A$1:$G$653,2,FALSE)&amp;"/"&amp;VLOOKUP(E28,[2]Golpes!$A$1:$G$653,3,FALSE)</f>
        <v>#N/A</v>
      </c>
      <c r="H28" s="63"/>
      <c r="I28" s="63"/>
      <c r="J28" s="25" t="e">
        <f>VLOOKUP(E28,[2]Golpes!$A$1:$G$653,4,FALSE)</f>
        <v>#N/A</v>
      </c>
      <c r="K28" s="25" t="e">
        <f>VLOOKUP(E28,[2]Golpes!$A$1:$G$653,5,FALSE)</f>
        <v>#N/A</v>
      </c>
      <c r="L28" s="36" t="e">
        <f>VLOOKUP(E28,[2]Golpes!$A$1:$G$653,6,FALSE)</f>
        <v>#N/A</v>
      </c>
      <c r="M28" s="17" t="e">
        <f>VLOOKUP(E28,[2]Golpes!$A$1:$G$653,7,FALSE)</f>
        <v>#N/A</v>
      </c>
      <c r="N28" s="35"/>
      <c r="T28" s="62"/>
      <c r="U28" s="63"/>
      <c r="V28" s="63" t="e">
        <f>VLOOKUP(T28,[2]Golpes!$A$1:$G$653,2,FALSE)&amp;"/"&amp;VLOOKUP(T28,[2]Golpes!$A$1:$G$653,3,FALSE)</f>
        <v>#N/A</v>
      </c>
      <c r="W28" s="63"/>
      <c r="X28" s="63"/>
      <c r="Y28" s="25" t="e">
        <f>VLOOKUP(T28,[2]Golpes!$A$1:$G$653,4,FALSE)</f>
        <v>#N/A</v>
      </c>
      <c r="Z28" s="25" t="e">
        <f>VLOOKUP(T28,[2]Golpes!$A$1:$G$653,5,FALSE)</f>
        <v>#N/A</v>
      </c>
      <c r="AA28" s="36" t="e">
        <f>VLOOKUP(T28,[2]Golpes!$A$1:$G$653,6,FALSE)</f>
        <v>#N/A</v>
      </c>
      <c r="AB28" s="17" t="e">
        <f>VLOOKUP(T28,[2]Golpes!$A$1:$G$653,7,FALSE)</f>
        <v>#N/A</v>
      </c>
      <c r="AC28" s="35"/>
    </row>
    <row r="29" spans="1:31" ht="15" thickBot="1" x14ac:dyDescent="0.35">
      <c r="A29" s="73"/>
      <c r="B29" s="74"/>
      <c r="C29" s="75"/>
      <c r="E29" s="62"/>
      <c r="F29" s="63"/>
      <c r="G29" s="63" t="e">
        <f>VLOOKUP(E29,[2]Golpes!$A$1:$G$653,2,FALSE)&amp;"/"&amp;VLOOKUP(E29,[2]Golpes!$A$1:$G$653,3,FALSE)</f>
        <v>#N/A</v>
      </c>
      <c r="H29" s="63"/>
      <c r="I29" s="63"/>
      <c r="J29" s="25" t="e">
        <f>VLOOKUP(E29,[2]Golpes!$A$1:$G$653,4,FALSE)</f>
        <v>#N/A</v>
      </c>
      <c r="K29" s="25" t="e">
        <f>VLOOKUP(E29,[2]Golpes!$A$1:$G$653,5,FALSE)</f>
        <v>#N/A</v>
      </c>
      <c r="L29" s="36" t="e">
        <f>VLOOKUP(E29,[2]Golpes!$A$1:$G$653,6,FALSE)</f>
        <v>#N/A</v>
      </c>
      <c r="M29" s="17" t="e">
        <f>VLOOKUP(E29,[2]Golpes!$A$1:$G$653,7,FALSE)</f>
        <v>#N/A</v>
      </c>
      <c r="N29" s="35"/>
      <c r="T29" s="62"/>
      <c r="U29" s="63"/>
      <c r="V29" s="63" t="e">
        <f>VLOOKUP(T29,[2]Golpes!$A$1:$G$653,2,FALSE)&amp;"/"&amp;VLOOKUP(T29,[2]Golpes!$A$1:$G$653,3,FALSE)</f>
        <v>#N/A</v>
      </c>
      <c r="W29" s="63"/>
      <c r="X29" s="63"/>
      <c r="Y29" s="25" t="e">
        <f>VLOOKUP(T29,[2]Golpes!$A$1:$G$653,4,FALSE)</f>
        <v>#N/A</v>
      </c>
      <c r="Z29" s="25" t="e">
        <f>VLOOKUP(T29,[2]Golpes!$A$1:$G$653,5,FALSE)</f>
        <v>#N/A</v>
      </c>
      <c r="AA29" s="36" t="e">
        <f>VLOOKUP(T29,[2]Golpes!$A$1:$G$653,6,FALSE)</f>
        <v>#N/A</v>
      </c>
      <c r="AB29" s="17" t="e">
        <f>VLOOKUP(T29,[2]Golpes!$A$1:$G$653,7,FALSE)</f>
        <v>#N/A</v>
      </c>
      <c r="AC29" s="35"/>
    </row>
    <row r="30" spans="1:31" ht="15" thickBot="1" x14ac:dyDescent="0.35">
      <c r="A30" s="64" t="s">
        <v>48</v>
      </c>
      <c r="B30" s="65"/>
      <c r="C30" s="66"/>
      <c r="E30" s="62"/>
      <c r="F30" s="63"/>
      <c r="G30" s="63" t="e">
        <f>VLOOKUP(E30,[2]Golpes!$A$1:$G$653,2,FALSE)&amp;"/"&amp;VLOOKUP(E30,[2]Golpes!$A$1:$G$653,3,FALSE)</f>
        <v>#N/A</v>
      </c>
      <c r="H30" s="63"/>
      <c r="I30" s="63"/>
      <c r="J30" s="25" t="e">
        <f>VLOOKUP(E30,[2]Golpes!$A$1:$G$653,4,FALSE)</f>
        <v>#N/A</v>
      </c>
      <c r="K30" s="25" t="e">
        <f>VLOOKUP(E30,[2]Golpes!$A$1:$G$653,5,FALSE)</f>
        <v>#N/A</v>
      </c>
      <c r="L30" s="36" t="e">
        <f>VLOOKUP(E30,[2]Golpes!$A$1:$G$653,6,FALSE)</f>
        <v>#N/A</v>
      </c>
      <c r="M30" s="17" t="e">
        <f>VLOOKUP(E30,[2]Golpes!$A$1:$G$653,7,FALSE)</f>
        <v>#N/A</v>
      </c>
      <c r="N30" s="35"/>
      <c r="T30" s="62"/>
      <c r="U30" s="63"/>
      <c r="V30" s="63" t="e">
        <f>VLOOKUP(T30,[2]Golpes!$A$1:$G$653,2,FALSE)&amp;"/"&amp;VLOOKUP(T30,[2]Golpes!$A$1:$G$653,3,FALSE)</f>
        <v>#N/A</v>
      </c>
      <c r="W30" s="63"/>
      <c r="X30" s="63"/>
      <c r="Y30" s="25" t="e">
        <f>VLOOKUP(T30,[2]Golpes!$A$1:$G$653,4,FALSE)</f>
        <v>#N/A</v>
      </c>
      <c r="Z30" s="25" t="e">
        <f>VLOOKUP(T30,[2]Golpes!$A$1:$G$653,5,FALSE)</f>
        <v>#N/A</v>
      </c>
      <c r="AA30" s="36" t="e">
        <f>VLOOKUP(T30,[2]Golpes!$A$1:$G$653,6,FALSE)</f>
        <v>#N/A</v>
      </c>
      <c r="AB30" s="17" t="e">
        <f>VLOOKUP(T30,[2]Golpes!$A$1:$G$653,7,FALSE)</f>
        <v>#N/A</v>
      </c>
      <c r="AC30" s="35"/>
    </row>
    <row r="31" spans="1:31" ht="15" thickBot="1" x14ac:dyDescent="0.35">
      <c r="A31" s="84"/>
      <c r="B31" s="48"/>
      <c r="C31" s="85"/>
      <c r="E31" s="67"/>
      <c r="F31" s="68"/>
      <c r="G31" s="68" t="e">
        <f>VLOOKUP(E31,[2]Golpes!$A$1:$G$653,2,FALSE)&amp;"/"&amp;VLOOKUP(E31,[2]Golpes!$A$1:$G$653,3,FALSE)</f>
        <v>#N/A</v>
      </c>
      <c r="H31" s="68"/>
      <c r="I31" s="68"/>
      <c r="J31" s="43" t="e">
        <f>VLOOKUP(E31,[2]Golpes!$A$1:$G$653,4,FALSE)</f>
        <v>#N/A</v>
      </c>
      <c r="K31" s="43" t="e">
        <f>VLOOKUP(E31,[2]Golpes!$A$1:$G$653,5,FALSE)</f>
        <v>#N/A</v>
      </c>
      <c r="L31" s="44" t="e">
        <f>VLOOKUP(E31,[2]Golpes!$A$1:$G$653,6,FALSE)</f>
        <v>#N/A</v>
      </c>
      <c r="M31" s="17" t="e">
        <f>VLOOKUP(E31,[2]Golpes!$A$1:$G$653,7,FALSE)</f>
        <v>#N/A</v>
      </c>
      <c r="N31" s="35"/>
      <c r="T31" s="67"/>
      <c r="U31" s="68"/>
      <c r="V31" s="68" t="e">
        <f>VLOOKUP(T31,[2]Golpes!$A$1:$G$653,2,FALSE)&amp;"/"&amp;VLOOKUP(T31,[2]Golpes!$A$1:$G$653,3,FALSE)</f>
        <v>#N/A</v>
      </c>
      <c r="W31" s="68"/>
      <c r="X31" s="68"/>
      <c r="Y31" s="43" t="e">
        <f>VLOOKUP(T31,[2]Golpes!$A$1:$G$653,4,FALSE)</f>
        <v>#N/A</v>
      </c>
      <c r="Z31" s="43" t="e">
        <f>VLOOKUP(T31,[2]Golpes!$A$1:$G$653,5,FALSE)</f>
        <v>#N/A</v>
      </c>
      <c r="AA31" s="44" t="e">
        <f>VLOOKUP(T31,[2]Golpes!$A$1:$G$653,6,FALSE)</f>
        <v>#N/A</v>
      </c>
      <c r="AB31" s="17" t="e">
        <f>VLOOKUP(T31,[2]Golpes!$A$1:$G$653,7,FALSE)</f>
        <v>#N/A</v>
      </c>
      <c r="AC31" s="35"/>
    </row>
    <row r="32" spans="1:31" ht="15" thickBot="1" x14ac:dyDescent="0.35">
      <c r="A32" s="71"/>
      <c r="B32" s="49"/>
      <c r="C32" s="72"/>
    </row>
    <row r="33" spans="1:31" x14ac:dyDescent="0.3">
      <c r="A33" s="71"/>
      <c r="B33" s="49"/>
      <c r="C33" s="72"/>
      <c r="E33" s="2" t="s">
        <v>1</v>
      </c>
      <c r="F33" s="3"/>
      <c r="G33" s="4"/>
      <c r="H33" s="5"/>
      <c r="I33" s="6" t="s">
        <v>2</v>
      </c>
      <c r="J33" s="6" t="s">
        <v>3</v>
      </c>
      <c r="K33" s="6" t="s">
        <v>4</v>
      </c>
      <c r="L33" s="7" t="s">
        <v>5</v>
      </c>
      <c r="M33" s="8"/>
      <c r="N33" s="9"/>
      <c r="O33" s="53" t="s">
        <v>6</v>
      </c>
      <c r="P33" s="54"/>
      <c r="T33" s="2" t="s">
        <v>1</v>
      </c>
      <c r="U33" s="3"/>
      <c r="V33" s="4"/>
      <c r="W33" s="5"/>
      <c r="X33" s="6" t="s">
        <v>2</v>
      </c>
      <c r="Y33" s="6" t="s">
        <v>3</v>
      </c>
      <c r="Z33" s="6" t="s">
        <v>4</v>
      </c>
      <c r="AA33" s="7" t="s">
        <v>5</v>
      </c>
      <c r="AB33" s="8"/>
      <c r="AC33" s="9"/>
      <c r="AD33" s="53" t="s">
        <v>6</v>
      </c>
      <c r="AE33" s="54"/>
    </row>
    <row r="34" spans="1:31" x14ac:dyDescent="0.3">
      <c r="A34" s="71"/>
      <c r="B34" s="49"/>
      <c r="C34" s="72"/>
      <c r="E34" s="11" t="s">
        <v>8</v>
      </c>
      <c r="F34" s="8" t="s">
        <v>9</v>
      </c>
      <c r="G34" s="12" t="s">
        <v>10</v>
      </c>
      <c r="H34" s="13" t="s">
        <v>11</v>
      </c>
      <c r="I34" s="14" t="e">
        <f>VLOOKUP(F33,[1]Pokemon!$A$1:$I$874,3,FALSE)+IF(F35="Sim",20,0)</f>
        <v>#N/A</v>
      </c>
      <c r="J34" s="15">
        <v>0</v>
      </c>
      <c r="K34" s="8" t="e">
        <f>IF($B$5="Vigoroso",ROUNDUP((N34+J34)*1.2,0),N34+J34)</f>
        <v>#N/A</v>
      </c>
      <c r="L34" s="16">
        <v>0</v>
      </c>
      <c r="M34" s="17"/>
      <c r="N34" s="9" t="e">
        <f>I34+LOOKUP(I34,[1]Dados!$C$3:$D$12,[1]Dados!$E$3:$E$12)*(ROUNDDOWN(F37/2,0))+LOOKUP(I34,[1]Dados!$C$3:$D$12,[1]Dados!$F$3:$F$12)*(ROUNDDOWN((F37-1)/2,0))</f>
        <v>#N/A</v>
      </c>
      <c r="O34" s="18" t="s">
        <v>12</v>
      </c>
      <c r="P34" s="19"/>
      <c r="T34" s="11" t="s">
        <v>8</v>
      </c>
      <c r="U34" s="8" t="s">
        <v>9</v>
      </c>
      <c r="V34" s="12" t="s">
        <v>10</v>
      </c>
      <c r="W34" s="13" t="s">
        <v>11</v>
      </c>
      <c r="X34" s="14" t="e">
        <f>VLOOKUP(U33,[1]Pokemon!$A$1:$I$874,3,FALSE)+IF(U35="Sim",20,0)</f>
        <v>#N/A</v>
      </c>
      <c r="Y34" s="15">
        <v>0</v>
      </c>
      <c r="Z34" s="8" t="e">
        <f>IF($B$5="Vigoroso",ROUNDUP((AC34+Y34)*1.2,0),AC34+Y34)</f>
        <v>#N/A</v>
      </c>
      <c r="AA34" s="16">
        <v>0</v>
      </c>
      <c r="AB34" s="17"/>
      <c r="AC34" s="9" t="e">
        <f>X34+LOOKUP(X34,[1]Dados!$C$3:$D$12,[1]Dados!$E$3:$E$12)*(ROUNDDOWN(U37/2,0))+LOOKUP(X34,[1]Dados!$C$3:$D$12,[1]Dados!$F$3:$F$12)*(ROUNDDOWN((U37-1)/2,0))</f>
        <v>#N/A</v>
      </c>
      <c r="AD34" s="18" t="s">
        <v>12</v>
      </c>
      <c r="AE34" s="19"/>
    </row>
    <row r="35" spans="1:31" x14ac:dyDescent="0.3">
      <c r="A35" s="71"/>
      <c r="B35" s="49"/>
      <c r="C35" s="72"/>
      <c r="E35" s="11" t="s">
        <v>14</v>
      </c>
      <c r="F35" s="8" t="s">
        <v>15</v>
      </c>
      <c r="G35" s="20"/>
      <c r="H35" s="13" t="s">
        <v>16</v>
      </c>
      <c r="I35" s="21">
        <f>20+IF(F35="Sim",10,0)</f>
        <v>20</v>
      </c>
      <c r="J35" s="22">
        <v>0</v>
      </c>
      <c r="K35" s="8">
        <f>18+(F37*2)+IF(F35="Sim",10,0)+J35</f>
        <v>20</v>
      </c>
      <c r="L35" s="16">
        <v>0</v>
      </c>
      <c r="M35" s="17"/>
      <c r="N35" s="9"/>
      <c r="O35" s="18" t="s">
        <v>17</v>
      </c>
      <c r="P35" s="19"/>
      <c r="T35" s="11" t="s">
        <v>14</v>
      </c>
      <c r="U35" s="8" t="s">
        <v>15</v>
      </c>
      <c r="V35" s="20"/>
      <c r="W35" s="13" t="s">
        <v>16</v>
      </c>
      <c r="X35" s="21">
        <f>20+IF(U35="Sim",10,0)</f>
        <v>20</v>
      </c>
      <c r="Y35" s="22">
        <v>0</v>
      </c>
      <c r="Z35" s="8">
        <f>18+(U37*2)+IF(U35="Sim",10,0)+Y35</f>
        <v>20</v>
      </c>
      <c r="AA35" s="16">
        <v>0</v>
      </c>
      <c r="AB35" s="17"/>
      <c r="AC35" s="9"/>
      <c r="AD35" s="18" t="s">
        <v>17</v>
      </c>
      <c r="AE35" s="19"/>
    </row>
    <row r="36" spans="1:31" ht="15" thickBot="1" x14ac:dyDescent="0.35">
      <c r="A36" s="73"/>
      <c r="B36" s="74"/>
      <c r="C36" s="75"/>
      <c r="E36" s="11" t="s">
        <v>19</v>
      </c>
      <c r="F36" s="23" t="e">
        <f>VLOOKUP(F33,[1]Pokemon!$A$1:$I$874,2,FALSE)</f>
        <v>#N/A</v>
      </c>
      <c r="G36" s="20"/>
      <c r="H36" s="13" t="s">
        <v>12</v>
      </c>
      <c r="I36" s="14" t="e">
        <f>VLOOKUP(F33,[1]Pokemon!$A$1:$I$874,4,FALSE)+IF(F35="Sim",1,0)</f>
        <v>#N/A</v>
      </c>
      <c r="J36" s="22">
        <v>1</v>
      </c>
      <c r="K36" s="8" t="e">
        <f>IF(L39="Sim", ROUNDUP((N36+ROUNDDOWN(F39/10,0))*J36*P34,0), ROUNDUP((N36+ROUNDDOWN(F39/10,0))*J36,0))</f>
        <v>#N/A</v>
      </c>
      <c r="L36" s="24" t="s">
        <v>20</v>
      </c>
      <c r="M36" s="17"/>
      <c r="N36" s="9" t="e">
        <f>I36+LOOKUP(I36,[1]Dados!$H$3:$I$12,[1]Dados!$J$3:$J$12)*(ROUNDDOWN(F37/2,0))+LOOKUP(I36,[1]Dados!$H$3:$I$12,[1]Dados!$K$3:$K$12)*(ROUNDDOWN((F37-1)/2,0))</f>
        <v>#N/A</v>
      </c>
      <c r="O36" s="18" t="s">
        <v>21</v>
      </c>
      <c r="P36" s="19"/>
      <c r="T36" s="11" t="s">
        <v>19</v>
      </c>
      <c r="U36" s="23" t="e">
        <f>VLOOKUP(U33,[1]Pokemon!$A$1:$I$874,2,FALSE)</f>
        <v>#N/A</v>
      </c>
      <c r="V36" s="20"/>
      <c r="W36" s="13" t="s">
        <v>12</v>
      </c>
      <c r="X36" s="14" t="e">
        <f>VLOOKUP(U33,[1]Pokemon!$A$1:$I$874,4,FALSE)+IF(U35="Sim",1,0)</f>
        <v>#N/A</v>
      </c>
      <c r="Y36" s="22">
        <v>1</v>
      </c>
      <c r="Z36" s="8" t="e">
        <f>IF(AA39="Sim", ROUNDUP((AC36+ROUNDDOWN(U39/10,0))*Y36*AE34,0), ROUNDUP((AC36+ROUNDDOWN(U39/10,0))*Y36,0))</f>
        <v>#N/A</v>
      </c>
      <c r="AA36" s="24" t="s">
        <v>20</v>
      </c>
      <c r="AB36" s="17"/>
      <c r="AC36" s="9" t="e">
        <f>X36+LOOKUP(X36,[1]Dados!$H$3:$I$12,[1]Dados!$J$3:$J$12)*(ROUNDDOWN(U37/2,0))+LOOKUP(X36,[1]Dados!$H$3:$I$12,[1]Dados!$K$3:$K$12)*(ROUNDDOWN((U37-1)/2,0))</f>
        <v>#N/A</v>
      </c>
      <c r="AD36" s="18" t="s">
        <v>21</v>
      </c>
      <c r="AE36" s="19"/>
    </row>
    <row r="37" spans="1:31" ht="15" thickBot="1" x14ac:dyDescent="0.35">
      <c r="A37" s="64" t="s">
        <v>49</v>
      </c>
      <c r="B37" s="65"/>
      <c r="C37" s="66"/>
      <c r="E37" s="11" t="s">
        <v>23</v>
      </c>
      <c r="F37" s="25">
        <v>1</v>
      </c>
      <c r="G37" s="20"/>
      <c r="H37" s="13" t="s">
        <v>17</v>
      </c>
      <c r="I37" s="14" t="e">
        <f>VLOOKUP(F33,[1]Pokemon!$A$1:$I$874,5,FALSE)+IF(F35="Sim",1,0)</f>
        <v>#N/A</v>
      </c>
      <c r="J37" s="22">
        <v>1</v>
      </c>
      <c r="K37" s="8" t="e">
        <f>IF(L39="Sim", ROUNDUP((N37+ROUNDDOWN(F39/10,0))*J37*P35,0), ROUNDUP((N37+ROUNDDOWN(F39/10,0))*J37,0))</f>
        <v>#N/A</v>
      </c>
      <c r="L37" s="26" t="e">
        <f>ROUNDDOWN(I40/2,0)</f>
        <v>#N/A</v>
      </c>
      <c r="M37" s="17"/>
      <c r="N37" s="9" t="e">
        <f>I37+LOOKUP(I37,[1]Dados!$H$3:$I$12,[1]Dados!$J$3:$J$12)*(ROUNDDOWN(F37/2,0))+LOOKUP(I37,[1]Dados!$H$3:$I$12,[1]Dados!$K$3:$K$12)*(ROUNDDOWN((F37-1)/2,0))</f>
        <v>#N/A</v>
      </c>
      <c r="O37" s="18" t="s">
        <v>24</v>
      </c>
      <c r="P37" s="19"/>
      <c r="T37" s="11" t="s">
        <v>23</v>
      </c>
      <c r="U37" s="25">
        <v>1</v>
      </c>
      <c r="V37" s="20"/>
      <c r="W37" s="13" t="s">
        <v>17</v>
      </c>
      <c r="X37" s="14" t="e">
        <f>VLOOKUP(U33,[1]Pokemon!$A$1:$I$874,5,FALSE)+IF(U35="Sim",1,0)</f>
        <v>#N/A</v>
      </c>
      <c r="Y37" s="22">
        <v>1</v>
      </c>
      <c r="Z37" s="8" t="e">
        <f>IF(AA39="Sim", ROUNDUP((AC37+ROUNDDOWN(U39/10,0))*Y37*AE35,0), ROUNDUP((AC37+ROUNDDOWN(U39/10,0))*Y37,0))</f>
        <v>#N/A</v>
      </c>
      <c r="AA37" s="26" t="e">
        <f>ROUNDDOWN(X40/2,0)</f>
        <v>#N/A</v>
      </c>
      <c r="AB37" s="17"/>
      <c r="AC37" s="9" t="e">
        <f>X37+LOOKUP(X37,[1]Dados!$H$3:$I$12,[1]Dados!$J$3:$J$12)*(ROUNDDOWN(U37/2,0))+LOOKUP(X37,[1]Dados!$H$3:$I$12,[1]Dados!$K$3:$K$12)*(ROUNDDOWN((U37-1)/2,0))</f>
        <v>#N/A</v>
      </c>
      <c r="AD37" s="18" t="s">
        <v>24</v>
      </c>
      <c r="AE37" s="19"/>
    </row>
    <row r="38" spans="1:31" ht="15" thickBot="1" x14ac:dyDescent="0.35">
      <c r="A38" s="38"/>
      <c r="B38" s="38"/>
      <c r="C38" s="45"/>
      <c r="E38" s="11" t="s">
        <v>26</v>
      </c>
      <c r="F38" s="23">
        <v>0</v>
      </c>
      <c r="G38" s="20"/>
      <c r="H38" s="13" t="s">
        <v>21</v>
      </c>
      <c r="I38" s="14" t="e">
        <f>VLOOKUP(F33,[1]Pokemon!$A$1:$I$874,6,FALSE)+IF(F35="Sim",1,0)</f>
        <v>#N/A</v>
      </c>
      <c r="J38" s="22">
        <v>1</v>
      </c>
      <c r="K38" s="8" t="e">
        <f>IF(L39="Sim", ROUNDUP((N38+ROUNDDOWN(F39/10,0))*J38*P36,0), ROUNDUP((N38+ROUNDDOWN(F39/10,0))*J38,0))</f>
        <v>#N/A</v>
      </c>
      <c r="L38" s="24" t="s">
        <v>27</v>
      </c>
      <c r="M38" s="17"/>
      <c r="N38" s="9" t="e">
        <f>I38+LOOKUP(I38,[1]Dados!$H$3:$I$12,[1]Dados!$J$3:$J$12)*(ROUNDDOWN(F37/2,0))+LOOKUP(I38,[1]Dados!$H$3:$I$12,[1]Dados!$K$3:$K$12)*(ROUNDDOWN((F37-1)/2,0))</f>
        <v>#N/A</v>
      </c>
      <c r="O38" s="28" t="s">
        <v>28</v>
      </c>
      <c r="P38" s="29"/>
      <c r="T38" s="11" t="s">
        <v>26</v>
      </c>
      <c r="U38" s="23">
        <v>0</v>
      </c>
      <c r="V38" s="20"/>
      <c r="W38" s="13" t="s">
        <v>21</v>
      </c>
      <c r="X38" s="14" t="e">
        <f>VLOOKUP(U33,[1]Pokemon!$A$1:$I$874,6,FALSE)+IF(U35="Sim",1,0)</f>
        <v>#N/A</v>
      </c>
      <c r="Y38" s="22">
        <v>1</v>
      </c>
      <c r="Z38" s="8" t="e">
        <f>IF(AA39="Sim", ROUNDUP((AC38+ROUNDDOWN(U39/10,0))*Y38*AE36,0), ROUNDUP((AC38+ROUNDDOWN(U39/10,0))*Y38,0))</f>
        <v>#N/A</v>
      </c>
      <c r="AA38" s="24" t="s">
        <v>27</v>
      </c>
      <c r="AB38" s="17"/>
      <c r="AC38" s="9" t="e">
        <f>X38+LOOKUP(X38,[1]Dados!$H$3:$I$12,[1]Dados!$J$3:$J$12)*(ROUNDDOWN(U37/2,0))+LOOKUP(X38,[1]Dados!$H$3:$I$12,[1]Dados!$K$3:$K$12)*(ROUNDDOWN((U37-1)/2,0))</f>
        <v>#N/A</v>
      </c>
      <c r="AD38" s="28" t="s">
        <v>28</v>
      </c>
      <c r="AE38" s="29"/>
    </row>
    <row r="39" spans="1:31" x14ac:dyDescent="0.3">
      <c r="C39" s="46"/>
      <c r="E39" s="11" t="s">
        <v>29</v>
      </c>
      <c r="F39" s="30">
        <v>0</v>
      </c>
      <c r="G39" s="20"/>
      <c r="H39" s="13" t="s">
        <v>24</v>
      </c>
      <c r="I39" s="14" t="e">
        <f>VLOOKUP(F33,[1]Pokemon!$A$1:$I$874,7,FALSE)+IF(F35="Sim",1,0)</f>
        <v>#N/A</v>
      </c>
      <c r="J39" s="22">
        <v>1</v>
      </c>
      <c r="K39" s="8" t="e">
        <f>IF(L39="Sim", ROUNDUP((N39+ROUNDDOWN(F39/10,0))*J39*P37,0), ROUNDUP((N39+ROUNDDOWN(F39/10,0))*J39,0))</f>
        <v>#N/A</v>
      </c>
      <c r="L39" s="26" t="s">
        <v>15</v>
      </c>
      <c r="M39" s="17"/>
      <c r="N39" s="9" t="e">
        <f>I39+LOOKUP(I39,[1]Dados!$H$3:$I$12,[1]Dados!$J$3:$J$12)*(ROUNDDOWN(F37/2,0))+LOOKUP(I39,[1]Dados!$H$3:$I$12,[1]Dados!$K$3:$K$12)*(ROUNDDOWN((F37-1)/2,0))</f>
        <v>#N/A</v>
      </c>
      <c r="T39" s="11" t="s">
        <v>29</v>
      </c>
      <c r="U39" s="30">
        <v>0</v>
      </c>
      <c r="V39" s="20"/>
      <c r="W39" s="13" t="s">
        <v>24</v>
      </c>
      <c r="X39" s="14" t="e">
        <f>VLOOKUP(U33,[1]Pokemon!$A$1:$I$874,7,FALSE)+IF(U35="Sim",1,0)</f>
        <v>#N/A</v>
      </c>
      <c r="Y39" s="22">
        <v>1</v>
      </c>
      <c r="Z39" s="8" t="e">
        <f>IF(AA39="Sim", ROUNDUP((AC39+ROUNDDOWN(U39/10,0))*Y39*AE37,0), ROUNDUP((AC39+ROUNDDOWN(U39/10,0))*Y39,0))</f>
        <v>#N/A</v>
      </c>
      <c r="AA39" s="26" t="s">
        <v>15</v>
      </c>
      <c r="AB39" s="17"/>
      <c r="AC39" s="9" t="e">
        <f>X39+LOOKUP(X39,[1]Dados!$H$3:$I$12,[1]Dados!$J$3:$J$12)*(ROUNDDOWN(U37/2,0))+LOOKUP(X39,[1]Dados!$H$3:$I$12,[1]Dados!$K$3:$K$12)*(ROUNDDOWN((U37-1)/2,0))</f>
        <v>#N/A</v>
      </c>
    </row>
    <row r="40" spans="1:31" x14ac:dyDescent="0.3">
      <c r="C40" s="46"/>
      <c r="E40" s="11" t="s">
        <v>31</v>
      </c>
      <c r="F40" s="23" t="s">
        <v>32</v>
      </c>
      <c r="G40" s="20"/>
      <c r="H40" s="13" t="s">
        <v>28</v>
      </c>
      <c r="I40" s="14" t="e">
        <f>VLOOKUP(F33,[1]Pokemon!$A$1:$I$874,8,FALSE)+IF(F35="Sim",1,0)</f>
        <v>#N/A</v>
      </c>
      <c r="J40" s="22">
        <f>1*IF(F41="Paralisado",0.5,1)</f>
        <v>1</v>
      </c>
      <c r="K40" s="8" t="e">
        <f>IF(L39="Sim", ROUNDUP(N40*J40*P38,0), ROUNDUP(N40*J40,0))</f>
        <v>#N/A</v>
      </c>
      <c r="L40" s="31" t="e">
        <f>IF(L39 = "Sim", ROUNDUP((K40/(10*P38)), 0)&amp;"d6", ROUNDUP((K40/10), 0)&amp;"d6")</f>
        <v>#N/A</v>
      </c>
      <c r="M40" s="17"/>
      <c r="N40" s="9" t="e">
        <f>I40+LOOKUP(I40,[1]Dados!$H$3:$I$12,[1]Dados!$J$3:$J$12)*(ROUNDDOWN(F37/2,0))+LOOKUP(I40,[1]Dados!$H$3:$I$12,[1]Dados!$K$3:$K$12)*(ROUNDDOWN((F37-1)/2,0))</f>
        <v>#N/A</v>
      </c>
      <c r="T40" s="11" t="s">
        <v>31</v>
      </c>
      <c r="U40" s="23" t="s">
        <v>32</v>
      </c>
      <c r="V40" s="20"/>
      <c r="W40" s="13" t="s">
        <v>28</v>
      </c>
      <c r="X40" s="14" t="e">
        <f>VLOOKUP(U33,[1]Pokemon!$A$1:$I$874,8,FALSE)+IF(U35="Sim",1,0)</f>
        <v>#N/A</v>
      </c>
      <c r="Y40" s="22">
        <f>1*IF(U41="Paralisado",0.5,1)</f>
        <v>1</v>
      </c>
      <c r="Z40" s="8" t="e">
        <f>IF(AA39="Sim", ROUNDUP(AC40*Y40*AE38,0), ROUNDUP(AC40*Y40,0))</f>
        <v>#N/A</v>
      </c>
      <c r="AA40" s="31" t="e">
        <f>IF(AA39 = "Sim", ROUNDUP((Z40/(10*AE38)), 0)&amp;"d6", ROUNDUP((Z40/10), 0)&amp;"d6")</f>
        <v>#N/A</v>
      </c>
      <c r="AB40" s="17"/>
      <c r="AC40" s="9" t="e">
        <f>X40+LOOKUP(X40,[1]Dados!$H$3:$I$12,[1]Dados!$J$3:$J$12)*(ROUNDDOWN(U37/2,0))+LOOKUP(X40,[1]Dados!$H$3:$I$12,[1]Dados!$K$3:$K$12)*(ROUNDDOWN((U37-1)/2,0))</f>
        <v>#N/A</v>
      </c>
    </row>
    <row r="41" spans="1:31" x14ac:dyDescent="0.3">
      <c r="C41" s="46"/>
      <c r="E41" s="11" t="s">
        <v>34</v>
      </c>
      <c r="F41" s="23"/>
      <c r="G41" s="20"/>
      <c r="H41" s="13" t="s">
        <v>35</v>
      </c>
      <c r="I41" s="14" t="e">
        <f>VLOOKUP(F33,[1]Pokemon!$A$1:$I$874,9,FALSE)</f>
        <v>#N/A</v>
      </c>
      <c r="J41" s="13" t="s">
        <v>36</v>
      </c>
      <c r="K41" s="13"/>
      <c r="L41" s="32" t="e">
        <f>((F37+1)*I41/2)-F38</f>
        <v>#N/A</v>
      </c>
      <c r="M41" s="17"/>
      <c r="N41" s="33"/>
      <c r="T41" s="11" t="s">
        <v>34</v>
      </c>
      <c r="U41" s="23"/>
      <c r="V41" s="20"/>
      <c r="W41" s="13" t="s">
        <v>35</v>
      </c>
      <c r="X41" s="14" t="e">
        <f>VLOOKUP(U33,[1]Pokemon!$A$1:$I$874,9,FALSE)</f>
        <v>#N/A</v>
      </c>
      <c r="Y41" s="13" t="s">
        <v>36</v>
      </c>
      <c r="Z41" s="13"/>
      <c r="AA41" s="32" t="e">
        <f>((U37+1)*X41/2)-U38</f>
        <v>#N/A</v>
      </c>
      <c r="AB41" s="17"/>
      <c r="AC41" s="33"/>
    </row>
    <row r="42" spans="1:31" x14ac:dyDescent="0.3">
      <c r="C42" s="46"/>
      <c r="E42" s="34"/>
      <c r="F42" s="8"/>
      <c r="G42" s="17"/>
      <c r="H42" s="8"/>
      <c r="I42" s="8"/>
      <c r="J42" s="8"/>
      <c r="K42" s="8"/>
      <c r="L42" s="26"/>
      <c r="M42" s="17"/>
      <c r="N42" s="35"/>
      <c r="T42" s="34"/>
      <c r="U42" s="8"/>
      <c r="V42" s="17"/>
      <c r="W42" s="8"/>
      <c r="X42" s="8"/>
      <c r="Y42" s="8"/>
      <c r="Z42" s="8"/>
      <c r="AA42" s="26"/>
      <c r="AB42" s="17"/>
      <c r="AC42" s="35"/>
    </row>
    <row r="43" spans="1:31" x14ac:dyDescent="0.3">
      <c r="C43" s="46"/>
      <c r="E43" s="60" t="s">
        <v>39</v>
      </c>
      <c r="F43" s="61"/>
      <c r="G43" s="13" t="s">
        <v>40</v>
      </c>
      <c r="H43" s="13"/>
      <c r="I43" s="13"/>
      <c r="J43" s="13" t="s">
        <v>16</v>
      </c>
      <c r="K43" s="13" t="s">
        <v>41</v>
      </c>
      <c r="L43" s="24" t="s">
        <v>42</v>
      </c>
      <c r="M43" s="17"/>
      <c r="N43" s="35"/>
      <c r="T43" s="60" t="s">
        <v>39</v>
      </c>
      <c r="U43" s="61"/>
      <c r="V43" s="13" t="s">
        <v>40</v>
      </c>
      <c r="W43" s="13"/>
      <c r="X43" s="13"/>
      <c r="Y43" s="13" t="s">
        <v>16</v>
      </c>
      <c r="Z43" s="13" t="s">
        <v>41</v>
      </c>
      <c r="AA43" s="24" t="s">
        <v>42</v>
      </c>
      <c r="AB43" s="17"/>
      <c r="AC43" s="35"/>
    </row>
    <row r="44" spans="1:31" x14ac:dyDescent="0.3">
      <c r="C44" s="46"/>
      <c r="E44" s="62"/>
      <c r="F44" s="63"/>
      <c r="G44" s="63" t="e">
        <f>VLOOKUP(E44,[2]Golpes!$A$1:$G$653,2,FALSE)&amp;"/"&amp;VLOOKUP(E44,[2]Golpes!$A$1:$G$653,3,FALSE)</f>
        <v>#N/A</v>
      </c>
      <c r="H44" s="63"/>
      <c r="I44" s="63"/>
      <c r="J44" s="25" t="e">
        <f>VLOOKUP(E44,[2]Golpes!$A$1:$G$653,4,FALSE)</f>
        <v>#N/A</v>
      </c>
      <c r="K44" s="25" t="e">
        <f>VLOOKUP(E44,[2]Golpes!$A$1:$G$653,5,FALSE)</f>
        <v>#N/A</v>
      </c>
      <c r="L44" s="36" t="e">
        <f>VLOOKUP(E44,[2]Golpes!$A$1:$G$653,6,FALSE)</f>
        <v>#N/A</v>
      </c>
      <c r="M44" s="17" t="e">
        <f>VLOOKUP(E44,[2]Golpes!$A$1:$G$653,7,FALSE)</f>
        <v>#N/A</v>
      </c>
      <c r="N44" s="35"/>
      <c r="T44" s="62"/>
      <c r="U44" s="63"/>
      <c r="V44" s="63" t="e">
        <f>VLOOKUP(T44,[2]Golpes!$A$1:$G$653,2,FALSE)&amp;"/"&amp;VLOOKUP(T44,[2]Golpes!$A$1:$G$653,3,FALSE)</f>
        <v>#N/A</v>
      </c>
      <c r="W44" s="63"/>
      <c r="X44" s="63"/>
      <c r="Y44" s="25" t="e">
        <f>VLOOKUP(T44,[2]Golpes!$A$1:$G$653,4,FALSE)</f>
        <v>#N/A</v>
      </c>
      <c r="Z44" s="25" t="e">
        <f>VLOOKUP(T44,[2]Golpes!$A$1:$G$653,5,FALSE)</f>
        <v>#N/A</v>
      </c>
      <c r="AA44" s="36" t="e">
        <f>VLOOKUP(T44,[2]Golpes!$A$1:$G$653,6,FALSE)</f>
        <v>#N/A</v>
      </c>
      <c r="AB44" s="17" t="e">
        <f>VLOOKUP(T44,[2]Golpes!$A$1:$G$653,7,FALSE)</f>
        <v>#N/A</v>
      </c>
      <c r="AC44" s="35"/>
    </row>
    <row r="45" spans="1:31" x14ac:dyDescent="0.3">
      <c r="C45" s="46"/>
      <c r="E45" s="62"/>
      <c r="F45" s="63"/>
      <c r="G45" s="63" t="e">
        <f>VLOOKUP(E45,[2]Golpes!$A$1:$G$653,2,FALSE)&amp;"/"&amp;VLOOKUP(E45,[2]Golpes!$A$1:$G$653,3,FALSE)</f>
        <v>#N/A</v>
      </c>
      <c r="H45" s="63"/>
      <c r="I45" s="63"/>
      <c r="J45" s="25" t="e">
        <f>VLOOKUP(E45,[2]Golpes!$A$1:$G$653,4,FALSE)</f>
        <v>#N/A</v>
      </c>
      <c r="K45" s="25" t="e">
        <f>VLOOKUP(E45,[2]Golpes!$A$1:$G$653,5,FALSE)</f>
        <v>#N/A</v>
      </c>
      <c r="L45" s="36" t="e">
        <f>VLOOKUP(E45,[2]Golpes!$A$1:$G$653,6,FALSE)</f>
        <v>#N/A</v>
      </c>
      <c r="M45" s="17" t="e">
        <f>VLOOKUP(E45,[2]Golpes!$A$1:$G$653,7,FALSE)</f>
        <v>#N/A</v>
      </c>
      <c r="N45" s="35"/>
      <c r="T45" s="62"/>
      <c r="U45" s="63"/>
      <c r="V45" s="63" t="e">
        <f>VLOOKUP(T45,[2]Golpes!$A$1:$G$653,2,FALSE)&amp;"/"&amp;VLOOKUP(T45,[2]Golpes!$A$1:$G$653,3,FALSE)</f>
        <v>#N/A</v>
      </c>
      <c r="W45" s="63"/>
      <c r="X45" s="63"/>
      <c r="Y45" s="25" t="e">
        <f>VLOOKUP(T45,[2]Golpes!$A$1:$G$653,4,FALSE)</f>
        <v>#N/A</v>
      </c>
      <c r="Z45" s="25" t="e">
        <f>VLOOKUP(T45,[2]Golpes!$A$1:$G$653,5,FALSE)</f>
        <v>#N/A</v>
      </c>
      <c r="AA45" s="36" t="e">
        <f>VLOOKUP(T45,[2]Golpes!$A$1:$G$653,6,FALSE)</f>
        <v>#N/A</v>
      </c>
      <c r="AB45" s="17" t="e">
        <f>VLOOKUP(T45,[2]Golpes!$A$1:$G$653,7,FALSE)</f>
        <v>#N/A</v>
      </c>
      <c r="AC45" s="35"/>
    </row>
    <row r="46" spans="1:31" x14ac:dyDescent="0.3">
      <c r="C46" s="46"/>
      <c r="E46" s="62"/>
      <c r="F46" s="63"/>
      <c r="G46" s="63" t="e">
        <f>VLOOKUP(E46,[2]Golpes!$A$1:$G$653,2,FALSE)&amp;"/"&amp;VLOOKUP(E46,[2]Golpes!$A$1:$G$653,3,FALSE)</f>
        <v>#N/A</v>
      </c>
      <c r="H46" s="63"/>
      <c r="I46" s="63"/>
      <c r="J46" s="25" t="e">
        <f>VLOOKUP(E46,[2]Golpes!$A$1:$G$653,4,FALSE)</f>
        <v>#N/A</v>
      </c>
      <c r="K46" s="25" t="e">
        <f>VLOOKUP(E46,[2]Golpes!$A$1:$G$653,5,FALSE)</f>
        <v>#N/A</v>
      </c>
      <c r="L46" s="36" t="e">
        <f>VLOOKUP(E46,[2]Golpes!$A$1:$G$653,6,FALSE)</f>
        <v>#N/A</v>
      </c>
      <c r="M46" s="17" t="e">
        <f>VLOOKUP(E46,[2]Golpes!$A$1:$G$653,7,FALSE)</f>
        <v>#N/A</v>
      </c>
      <c r="N46" s="35"/>
      <c r="T46" s="62"/>
      <c r="U46" s="63"/>
      <c r="V46" s="63" t="e">
        <f>VLOOKUP(T46,[2]Golpes!$A$1:$G$653,2,FALSE)&amp;"/"&amp;VLOOKUP(T46,[2]Golpes!$A$1:$G$653,3,FALSE)</f>
        <v>#N/A</v>
      </c>
      <c r="W46" s="63"/>
      <c r="X46" s="63"/>
      <c r="Y46" s="25" t="e">
        <f>VLOOKUP(T46,[2]Golpes!$A$1:$G$653,4,FALSE)</f>
        <v>#N/A</v>
      </c>
      <c r="Z46" s="25" t="e">
        <f>VLOOKUP(T46,[2]Golpes!$A$1:$G$653,5,FALSE)</f>
        <v>#N/A</v>
      </c>
      <c r="AA46" s="36" t="e">
        <f>VLOOKUP(T46,[2]Golpes!$A$1:$G$653,6,FALSE)</f>
        <v>#N/A</v>
      </c>
      <c r="AB46" s="17" t="e">
        <f>VLOOKUP(T46,[2]Golpes!$A$1:$G$653,7,FALSE)</f>
        <v>#N/A</v>
      </c>
      <c r="AC46" s="35"/>
    </row>
    <row r="47" spans="1:31" ht="15" thickBot="1" x14ac:dyDescent="0.35">
      <c r="C47" s="46"/>
      <c r="E47" s="67"/>
      <c r="F47" s="68"/>
      <c r="G47" s="68" t="e">
        <f>VLOOKUP(E47,[2]Golpes!$A$1:$G$653,2,FALSE)&amp;"/"&amp;VLOOKUP(E47,[2]Golpes!$A$1:$G$653,3,FALSE)</f>
        <v>#N/A</v>
      </c>
      <c r="H47" s="68"/>
      <c r="I47" s="68"/>
      <c r="J47" s="43" t="e">
        <f>VLOOKUP(E47,[2]Golpes!$A$1:$G$653,4,FALSE)</f>
        <v>#N/A</v>
      </c>
      <c r="K47" s="43" t="e">
        <f>VLOOKUP(E47,[2]Golpes!$A$1:$G$653,5,FALSE)</f>
        <v>#N/A</v>
      </c>
      <c r="L47" s="44" t="e">
        <f>VLOOKUP(E47,[2]Golpes!$A$1:$G$653,6,FALSE)</f>
        <v>#N/A</v>
      </c>
      <c r="M47" s="17" t="e">
        <f>VLOOKUP(E47,[2]Golpes!$A$1:$G$653,7,FALSE)</f>
        <v>#N/A</v>
      </c>
      <c r="N47" s="35"/>
      <c r="T47" s="67"/>
      <c r="U47" s="68"/>
      <c r="V47" s="68" t="e">
        <f>VLOOKUP(T47,[2]Golpes!$A$1:$G$653,2,FALSE)&amp;"/"&amp;VLOOKUP(T47,[2]Golpes!$A$1:$G$653,3,FALSE)</f>
        <v>#N/A</v>
      </c>
      <c r="W47" s="68"/>
      <c r="X47" s="68"/>
      <c r="Y47" s="43" t="e">
        <f>VLOOKUP(T47,[2]Golpes!$A$1:$G$653,4,FALSE)</f>
        <v>#N/A</v>
      </c>
      <c r="Z47" s="43" t="e">
        <f>VLOOKUP(T47,[2]Golpes!$A$1:$G$653,5,FALSE)</f>
        <v>#N/A</v>
      </c>
      <c r="AA47" s="44" t="e">
        <f>VLOOKUP(T47,[2]Golpes!$A$1:$G$653,6,FALSE)</f>
        <v>#N/A</v>
      </c>
      <c r="AB47" s="17" t="e">
        <f>VLOOKUP(T47,[2]Golpes!$A$1:$G$653,7,FALSE)</f>
        <v>#N/A</v>
      </c>
      <c r="AC47" s="35"/>
    </row>
    <row r="48" spans="1:31" x14ac:dyDescent="0.3">
      <c r="C48" s="46"/>
    </row>
    <row r="49" spans="3:3" x14ac:dyDescent="0.3">
      <c r="C49" s="46"/>
    </row>
    <row r="50" spans="3:3" x14ac:dyDescent="0.3">
      <c r="C50" s="46"/>
    </row>
    <row r="51" spans="3:3" x14ac:dyDescent="0.3">
      <c r="C51" s="46"/>
    </row>
    <row r="52" spans="3:3" x14ac:dyDescent="0.3">
      <c r="C52" s="46"/>
    </row>
    <row r="53" spans="3:3" x14ac:dyDescent="0.3">
      <c r="C53" s="46"/>
    </row>
    <row r="54" spans="3:3" x14ac:dyDescent="0.3">
      <c r="C54" s="46"/>
    </row>
    <row r="55" spans="3:3" x14ac:dyDescent="0.3">
      <c r="C55" s="46"/>
    </row>
    <row r="56" spans="3:3" x14ac:dyDescent="0.3">
      <c r="C56" s="46"/>
    </row>
    <row r="57" spans="3:3" x14ac:dyDescent="0.3">
      <c r="C57" s="46"/>
    </row>
    <row r="58" spans="3:3" x14ac:dyDescent="0.3">
      <c r="C58" s="46"/>
    </row>
  </sheetData>
  <mergeCells count="83">
    <mergeCell ref="E47:F47"/>
    <mergeCell ref="G47:I47"/>
    <mergeCell ref="T47:U47"/>
    <mergeCell ref="V47:X47"/>
    <mergeCell ref="B1:C1"/>
    <mergeCell ref="E45:F45"/>
    <mergeCell ref="G45:I45"/>
    <mergeCell ref="T45:U45"/>
    <mergeCell ref="V45:X45"/>
    <mergeCell ref="E46:F46"/>
    <mergeCell ref="G46:I46"/>
    <mergeCell ref="T46:U46"/>
    <mergeCell ref="V46:X46"/>
    <mergeCell ref="E44:F44"/>
    <mergeCell ref="G44:I44"/>
    <mergeCell ref="T44:U44"/>
    <mergeCell ref="AD33:AE33"/>
    <mergeCell ref="A34:C36"/>
    <mergeCell ref="A37:C37"/>
    <mergeCell ref="E43:F43"/>
    <mergeCell ref="T43:U43"/>
    <mergeCell ref="V44:X44"/>
    <mergeCell ref="A31:C33"/>
    <mergeCell ref="E31:F31"/>
    <mergeCell ref="G31:I31"/>
    <mergeCell ref="T31:U31"/>
    <mergeCell ref="V31:X31"/>
    <mergeCell ref="O33:P33"/>
    <mergeCell ref="A30:C30"/>
    <mergeCell ref="E30:F30"/>
    <mergeCell ref="G30:I30"/>
    <mergeCell ref="T30:U30"/>
    <mergeCell ref="V30:X30"/>
    <mergeCell ref="V15:X15"/>
    <mergeCell ref="AD17:AE17"/>
    <mergeCell ref="A18:C20"/>
    <mergeCell ref="A24:C26"/>
    <mergeCell ref="A27:C29"/>
    <mergeCell ref="E27:F27"/>
    <mergeCell ref="T27:U27"/>
    <mergeCell ref="E28:F28"/>
    <mergeCell ref="G28:I28"/>
    <mergeCell ref="T28:U28"/>
    <mergeCell ref="V28:X28"/>
    <mergeCell ref="E29:F29"/>
    <mergeCell ref="G29:I29"/>
    <mergeCell ref="T29:U29"/>
    <mergeCell ref="V29:X29"/>
    <mergeCell ref="A21:C23"/>
    <mergeCell ref="A16:C16"/>
    <mergeCell ref="A17:C17"/>
    <mergeCell ref="O17:P17"/>
    <mergeCell ref="V12:X12"/>
    <mergeCell ref="B13:C13"/>
    <mergeCell ref="E13:F13"/>
    <mergeCell ref="G13:I13"/>
    <mergeCell ref="T13:U13"/>
    <mergeCell ref="V13:X13"/>
    <mergeCell ref="E14:F14"/>
    <mergeCell ref="G14:I14"/>
    <mergeCell ref="T14:U14"/>
    <mergeCell ref="V14:X14"/>
    <mergeCell ref="E15:F15"/>
    <mergeCell ref="G15:I15"/>
    <mergeCell ref="T15:U15"/>
    <mergeCell ref="E11:F11"/>
    <mergeCell ref="T11:U11"/>
    <mergeCell ref="B12:C12"/>
    <mergeCell ref="E12:F12"/>
    <mergeCell ref="G12:I12"/>
    <mergeCell ref="T12:U12"/>
    <mergeCell ref="B11:C11"/>
    <mergeCell ref="B6:C6"/>
    <mergeCell ref="A7:C7"/>
    <mergeCell ref="B8:C8"/>
    <mergeCell ref="B9:C9"/>
    <mergeCell ref="B10:C10"/>
    <mergeCell ref="B5:C5"/>
    <mergeCell ref="O1:P1"/>
    <mergeCell ref="AD1:AE1"/>
    <mergeCell ref="B2:C2"/>
    <mergeCell ref="B3:C3"/>
    <mergeCell ref="B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58"/>
  <sheetViews>
    <sheetView workbookViewId="0">
      <selection activeCell="B3" sqref="B3:C3"/>
    </sheetView>
  </sheetViews>
  <sheetFormatPr defaultRowHeight="14.4" x14ac:dyDescent="0.3"/>
  <sheetData>
    <row r="1" spans="1:31" x14ac:dyDescent="0.3">
      <c r="A1" s="1" t="s">
        <v>0</v>
      </c>
      <c r="B1" s="55" t="s">
        <v>169</v>
      </c>
      <c r="C1" s="56"/>
      <c r="E1" s="2" t="s">
        <v>1</v>
      </c>
      <c r="F1" s="3"/>
      <c r="G1" s="4"/>
      <c r="H1" s="5"/>
      <c r="I1" s="6" t="s">
        <v>2</v>
      </c>
      <c r="J1" s="6" t="s">
        <v>3</v>
      </c>
      <c r="K1" s="6" t="s">
        <v>4</v>
      </c>
      <c r="L1" s="7" t="s">
        <v>5</v>
      </c>
      <c r="M1" s="8"/>
      <c r="N1" s="9"/>
      <c r="O1" s="53" t="s">
        <v>6</v>
      </c>
      <c r="P1" s="54"/>
      <c r="T1" s="2" t="s">
        <v>1</v>
      </c>
      <c r="U1" s="3"/>
      <c r="V1" s="4"/>
      <c r="W1" s="5"/>
      <c r="X1" s="6" t="s">
        <v>2</v>
      </c>
      <c r="Y1" s="6" t="s">
        <v>3</v>
      </c>
      <c r="Z1" s="6" t="s">
        <v>4</v>
      </c>
      <c r="AA1" s="7" t="s">
        <v>5</v>
      </c>
      <c r="AB1" s="8"/>
      <c r="AC1" s="9"/>
      <c r="AD1" s="53" t="s">
        <v>6</v>
      </c>
      <c r="AE1" s="54"/>
    </row>
    <row r="2" spans="1:31" x14ac:dyDescent="0.3">
      <c r="A2" s="10" t="s">
        <v>7</v>
      </c>
      <c r="B2" s="51">
        <v>37</v>
      </c>
      <c r="C2" s="52"/>
      <c r="E2" s="11" t="s">
        <v>8</v>
      </c>
      <c r="F2" s="8" t="s">
        <v>9</v>
      </c>
      <c r="G2" s="12" t="s">
        <v>10</v>
      </c>
      <c r="H2" s="13" t="s">
        <v>11</v>
      </c>
      <c r="I2" s="14" t="e">
        <f>VLOOKUP(F1,[1]Pokemon!$A$1:$I$874,3,FALSE)+IF(F3="Sim",20,0)</f>
        <v>#N/A</v>
      </c>
      <c r="J2" s="15">
        <v>0</v>
      </c>
      <c r="K2" s="8" t="e">
        <f>IF($B$5="Vigoroso",ROUNDUP((N2+J2)*1.2,0),N2+J2)</f>
        <v>#N/A</v>
      </c>
      <c r="L2" s="16">
        <v>0</v>
      </c>
      <c r="M2" s="17"/>
      <c r="N2" s="9" t="e">
        <f>I2+LOOKUP(I2,[1]Dados!$C$3:$D$12,[1]Dados!$E$3:$E$12)*(ROUNDDOWN(F5/2,0))+LOOKUP(I2,[1]Dados!$C$3:$D$12,[1]Dados!$F$3:$F$12)*(ROUNDDOWN((F5-1)/2,0))</f>
        <v>#N/A</v>
      </c>
      <c r="O2" s="18" t="s">
        <v>12</v>
      </c>
      <c r="P2" s="19"/>
      <c r="T2" s="11" t="s">
        <v>8</v>
      </c>
      <c r="U2" s="8" t="s">
        <v>9</v>
      </c>
      <c r="V2" s="12" t="s">
        <v>10</v>
      </c>
      <c r="W2" s="13" t="s">
        <v>11</v>
      </c>
      <c r="X2" s="14" t="e">
        <f>VLOOKUP(U1,[1]Pokemon!$A$1:$I$874,3,FALSE)+IF(U3="Sim",20,0)</f>
        <v>#N/A</v>
      </c>
      <c r="Y2" s="15">
        <v>0</v>
      </c>
      <c r="Z2" s="8" t="e">
        <f>IF($B$5="Vigoroso",ROUNDUP((AC2+Y2)*1.2,0),AC2+Y2)</f>
        <v>#N/A</v>
      </c>
      <c r="AA2" s="16">
        <v>0</v>
      </c>
      <c r="AB2" s="17"/>
      <c r="AC2" s="9" t="e">
        <f>X2+LOOKUP(X2,[1]Dados!$C$3:$D$12,[1]Dados!$E$3:$E$12)*(ROUNDDOWN(U5/2,0))+LOOKUP(X2,[1]Dados!$C$3:$D$12,[1]Dados!$F$3:$F$12)*(ROUNDDOWN((U5-1)/2,0))</f>
        <v>#N/A</v>
      </c>
      <c r="AD2" s="18" t="s">
        <v>12</v>
      </c>
      <c r="AE2" s="19"/>
    </row>
    <row r="3" spans="1:31" x14ac:dyDescent="0.3">
      <c r="A3" s="10" t="s">
        <v>13</v>
      </c>
      <c r="B3" s="51" t="s">
        <v>51</v>
      </c>
      <c r="C3" s="52"/>
      <c r="E3" s="11" t="s">
        <v>14</v>
      </c>
      <c r="F3" s="8" t="s">
        <v>15</v>
      </c>
      <c r="G3" s="20"/>
      <c r="H3" s="13" t="s">
        <v>16</v>
      </c>
      <c r="I3" s="21">
        <f>20+IF(F3="Sim",10,0)</f>
        <v>20</v>
      </c>
      <c r="J3" s="22">
        <v>0</v>
      </c>
      <c r="K3" s="8">
        <f>18+(F5*2)+IF(F3="Sim",10,0)+J3</f>
        <v>20</v>
      </c>
      <c r="L3" s="16">
        <v>0</v>
      </c>
      <c r="M3" s="17"/>
      <c r="N3" s="9"/>
      <c r="O3" s="18" t="s">
        <v>17</v>
      </c>
      <c r="P3" s="19"/>
      <c r="T3" s="11" t="s">
        <v>14</v>
      </c>
      <c r="U3" s="8" t="s">
        <v>15</v>
      </c>
      <c r="V3" s="20"/>
      <c r="W3" s="13" t="s">
        <v>16</v>
      </c>
      <c r="X3" s="21">
        <f>20+IF(U3="Sim",10,0)</f>
        <v>20</v>
      </c>
      <c r="Y3" s="22">
        <v>0</v>
      </c>
      <c r="Z3" s="8">
        <f>18+(U5*2)+IF(U3="Sim",10,0)+Y3</f>
        <v>20</v>
      </c>
      <c r="AA3" s="16">
        <v>0</v>
      </c>
      <c r="AB3" s="17"/>
      <c r="AC3" s="9"/>
      <c r="AD3" s="18" t="s">
        <v>17</v>
      </c>
      <c r="AE3" s="19"/>
    </row>
    <row r="4" spans="1:31" x14ac:dyDescent="0.3">
      <c r="A4" s="10" t="s">
        <v>18</v>
      </c>
      <c r="B4" s="51" t="s">
        <v>52</v>
      </c>
      <c r="C4" s="52"/>
      <c r="E4" s="11" t="s">
        <v>19</v>
      </c>
      <c r="F4" s="23" t="e">
        <f>VLOOKUP(F1,[1]Pokemon!$A$1:$I$874,2,FALSE)</f>
        <v>#N/A</v>
      </c>
      <c r="G4" s="20"/>
      <c r="H4" s="13" t="s">
        <v>12</v>
      </c>
      <c r="I4" s="14" t="e">
        <f>VLOOKUP(F1,[1]Pokemon!$A$1:$I$874,4,FALSE)+IF(F3="Sim",1,0)</f>
        <v>#N/A</v>
      </c>
      <c r="J4" s="22">
        <v>1</v>
      </c>
      <c r="K4" s="8" t="e">
        <f>IF(L7="Sim", ROUNDUP((N4+ROUNDDOWN(F7/10,0))*J4*P2,0), ROUNDUP((N4+ROUNDDOWN(F7/10,0))*J4,0))</f>
        <v>#N/A</v>
      </c>
      <c r="L4" s="24" t="s">
        <v>20</v>
      </c>
      <c r="M4" s="17"/>
      <c r="N4" s="9" t="e">
        <f>I4+LOOKUP(I4,[1]Dados!$H$3:$I$12,[1]Dados!$J$3:$J$12)*(ROUNDDOWN(F5/2,0))+LOOKUP(I4,[1]Dados!$H$3:$I$12,[1]Dados!$K$3:$K$12)*(ROUNDDOWN((F5-1)/2,0))</f>
        <v>#N/A</v>
      </c>
      <c r="O4" s="18" t="s">
        <v>21</v>
      </c>
      <c r="P4" s="19"/>
      <c r="T4" s="11" t="s">
        <v>19</v>
      </c>
      <c r="U4" s="23" t="e">
        <f>VLOOKUP(U1,[1]Pokemon!$A$1:$I$874,2,FALSE)</f>
        <v>#N/A</v>
      </c>
      <c r="V4" s="20"/>
      <c r="W4" s="13" t="s">
        <v>12</v>
      </c>
      <c r="X4" s="14" t="e">
        <f>VLOOKUP(U1,[1]Pokemon!$A$1:$I$874,4,FALSE)+IF(U3="Sim",1,0)</f>
        <v>#N/A</v>
      </c>
      <c r="Y4" s="22">
        <v>1</v>
      </c>
      <c r="Z4" s="8" t="e">
        <f>IF(AA7="Sim", ROUNDUP((AC4+ROUNDDOWN(U7/10,0))*Y4*AE2,0), ROUNDUP((AC4+ROUNDDOWN(U7/10,0))*Y4,0))</f>
        <v>#N/A</v>
      </c>
      <c r="AA4" s="24" t="s">
        <v>20</v>
      </c>
      <c r="AB4" s="17"/>
      <c r="AC4" s="9" t="e">
        <f>X4+LOOKUP(X4,[1]Dados!$H$3:$I$12,[1]Dados!$J$3:$J$12)*(ROUNDDOWN(U5/2,0))+LOOKUP(X4,[1]Dados!$H$3:$I$12,[1]Dados!$K$3:$K$12)*(ROUNDDOWN((U5-1)/2,0))</f>
        <v>#N/A</v>
      </c>
      <c r="AD4" s="18" t="s">
        <v>21</v>
      </c>
      <c r="AE4" s="19"/>
    </row>
    <row r="5" spans="1:31" x14ac:dyDescent="0.3">
      <c r="A5" s="10" t="s">
        <v>22</v>
      </c>
      <c r="B5" s="51" t="s">
        <v>170</v>
      </c>
      <c r="C5" s="52"/>
      <c r="E5" s="11" t="s">
        <v>23</v>
      </c>
      <c r="F5" s="25">
        <v>1</v>
      </c>
      <c r="G5" s="20"/>
      <c r="H5" s="13" t="s">
        <v>17</v>
      </c>
      <c r="I5" s="14" t="e">
        <f>VLOOKUP(F1,[1]Pokemon!$A$1:$I$874,5,FALSE)+IF(F3="Sim",1,0)</f>
        <v>#N/A</v>
      </c>
      <c r="J5" s="22">
        <v>1</v>
      </c>
      <c r="K5" s="8" t="e">
        <f>IF(L7="Sim", ROUNDUP((N5+ROUNDDOWN(F7/10,0))*J5*P3,0), ROUNDUP((N5+ROUNDDOWN(F7/10,0))*J5,0))</f>
        <v>#N/A</v>
      </c>
      <c r="L5" s="26" t="e">
        <f>ROUNDDOWN(I8/2,0)</f>
        <v>#N/A</v>
      </c>
      <c r="M5" s="17"/>
      <c r="N5" s="9" t="e">
        <f>I5+LOOKUP(I5,[1]Dados!$H$3:$I$12,[1]Dados!$J$3:$J$12)*(ROUNDDOWN(F5/2,0))+LOOKUP(I5,[1]Dados!$H$3:$I$12,[1]Dados!$K$3:$K$12)*(ROUNDDOWN((F5-1)/2,0))</f>
        <v>#N/A</v>
      </c>
      <c r="O5" s="18" t="s">
        <v>24</v>
      </c>
      <c r="P5" s="19"/>
      <c r="T5" s="11" t="s">
        <v>23</v>
      </c>
      <c r="U5" s="25">
        <v>1</v>
      </c>
      <c r="V5" s="20"/>
      <c r="W5" s="13" t="s">
        <v>17</v>
      </c>
      <c r="X5" s="14" t="e">
        <f>VLOOKUP(U1,[1]Pokemon!$A$1:$I$874,5,FALSE)+IF(U3="Sim",1,0)</f>
        <v>#N/A</v>
      </c>
      <c r="Y5" s="22">
        <v>1</v>
      </c>
      <c r="Z5" s="8" t="e">
        <f>IF(AA7="Sim", ROUNDUP((AC5+ROUNDDOWN(U7/10,0))*Y5*AE3,0), ROUNDUP((AC5+ROUNDDOWN(U7/10,0))*Y5,0))</f>
        <v>#N/A</v>
      </c>
      <c r="AA5" s="26" t="e">
        <f>ROUNDDOWN(X8/2,0)</f>
        <v>#N/A</v>
      </c>
      <c r="AB5" s="17"/>
      <c r="AC5" s="9" t="e">
        <f>X5+LOOKUP(X5,[1]Dados!$H$3:$I$12,[1]Dados!$J$3:$J$12)*(ROUNDDOWN(U5/2,0))+LOOKUP(X5,[1]Dados!$H$3:$I$12,[1]Dados!$K$3:$K$12)*(ROUNDDOWN((U5-1)/2,0))</f>
        <v>#N/A</v>
      </c>
      <c r="AD5" s="18" t="s">
        <v>24</v>
      </c>
      <c r="AE5" s="19"/>
    </row>
    <row r="6" spans="1:31" ht="15" thickBot="1" x14ac:dyDescent="0.35">
      <c r="A6" s="27" t="s">
        <v>25</v>
      </c>
      <c r="B6" s="57" t="s">
        <v>32</v>
      </c>
      <c r="C6" s="58"/>
      <c r="E6" s="11" t="s">
        <v>26</v>
      </c>
      <c r="F6" s="23">
        <v>0</v>
      </c>
      <c r="G6" s="20"/>
      <c r="H6" s="13" t="s">
        <v>21</v>
      </c>
      <c r="I6" s="14" t="e">
        <f>VLOOKUP(F1,[1]Pokemon!$A$1:$I$874,6,FALSE)+IF(F3="Sim",1,0)</f>
        <v>#N/A</v>
      </c>
      <c r="J6" s="22">
        <v>1</v>
      </c>
      <c r="K6" s="8" t="e">
        <f>IF(L7="Sim", ROUNDUP((N6+ROUNDDOWN(F7/10,0))*J6*P4,0), ROUNDUP((N6+ROUNDDOWN(F7/10,0))*J6,0))</f>
        <v>#N/A</v>
      </c>
      <c r="L6" s="24" t="s">
        <v>27</v>
      </c>
      <c r="M6" s="17"/>
      <c r="N6" s="9" t="e">
        <f>I6+LOOKUP(I6,[1]Dados!$H$3:$I$12,[1]Dados!$J$3:$J$12)*(ROUNDDOWN(F5/2,0))+LOOKUP(I6,[1]Dados!$H$3:$I$12,[1]Dados!$K$3:$K$12)*(ROUNDDOWN((F5-1)/2,0))</f>
        <v>#N/A</v>
      </c>
      <c r="O6" s="28" t="s">
        <v>28</v>
      </c>
      <c r="P6" s="29"/>
      <c r="T6" s="11" t="s">
        <v>26</v>
      </c>
      <c r="U6" s="23">
        <v>0</v>
      </c>
      <c r="V6" s="20"/>
      <c r="W6" s="13" t="s">
        <v>21</v>
      </c>
      <c r="X6" s="14" t="e">
        <f>VLOOKUP(U1,[1]Pokemon!$A$1:$I$874,6,FALSE)+IF(U3="Sim",1,0)</f>
        <v>#N/A</v>
      </c>
      <c r="Y6" s="22">
        <v>1</v>
      </c>
      <c r="Z6" s="8" t="e">
        <f>IF(AA7="Sim", ROUNDUP((AC6+ROUNDDOWN(U7/10,0))*Y6*AE4,0), ROUNDUP((AC6+ROUNDDOWN(U7/10,0))*Y6,0))</f>
        <v>#N/A</v>
      </c>
      <c r="AA6" s="24" t="s">
        <v>27</v>
      </c>
      <c r="AB6" s="17"/>
      <c r="AC6" s="9" t="e">
        <f>X6+LOOKUP(X6,[1]Dados!$H$3:$I$12,[1]Dados!$J$3:$J$12)*(ROUNDDOWN(U5/2,0))+LOOKUP(X6,[1]Dados!$H$3:$I$12,[1]Dados!$K$3:$K$12)*(ROUNDDOWN((U5-1)/2,0))</f>
        <v>#N/A</v>
      </c>
      <c r="AD6" s="28" t="s">
        <v>28</v>
      </c>
      <c r="AE6" s="29"/>
    </row>
    <row r="7" spans="1:31" ht="15" thickBot="1" x14ac:dyDescent="0.35">
      <c r="A7" s="59"/>
      <c r="B7" s="59"/>
      <c r="C7" s="59"/>
      <c r="E7" s="11" t="s">
        <v>29</v>
      </c>
      <c r="F7" s="30">
        <v>0</v>
      </c>
      <c r="G7" s="20"/>
      <c r="H7" s="13" t="s">
        <v>24</v>
      </c>
      <c r="I7" s="14" t="e">
        <f>VLOOKUP(F1,[1]Pokemon!$A$1:$I$874,7,FALSE)+IF(F3="Sim",1,0)</f>
        <v>#N/A</v>
      </c>
      <c r="J7" s="22">
        <v>1</v>
      </c>
      <c r="K7" s="8" t="e">
        <f>IF(L7="Sim", ROUNDUP((N7+ROUNDDOWN(F7/10,0))*J7*P5,0), ROUNDUP((N7+ROUNDDOWN(F7/10,0))*J7,0))</f>
        <v>#N/A</v>
      </c>
      <c r="L7" s="26" t="s">
        <v>15</v>
      </c>
      <c r="M7" s="17"/>
      <c r="N7" s="9" t="e">
        <f>I7+LOOKUP(I7,[1]Dados!$H$3:$I$12,[1]Dados!$J$3:$J$12)*(ROUNDDOWN(F5/2,0))+LOOKUP(I7,[1]Dados!$H$3:$I$12,[1]Dados!$K$3:$K$12)*(ROUNDDOWN((F5-1)/2,0))</f>
        <v>#N/A</v>
      </c>
      <c r="T7" s="11" t="s">
        <v>29</v>
      </c>
      <c r="U7" s="30">
        <v>0</v>
      </c>
      <c r="V7" s="20"/>
      <c r="W7" s="13" t="s">
        <v>24</v>
      </c>
      <c r="X7" s="14" t="e">
        <f>VLOOKUP(U1,[1]Pokemon!$A$1:$I$874,7,FALSE)+IF(U3="Sim",1,0)</f>
        <v>#N/A</v>
      </c>
      <c r="Y7" s="22">
        <v>1</v>
      </c>
      <c r="Z7" s="8" t="e">
        <f>IF(AA7="Sim", ROUNDUP((AC7+ROUNDDOWN(U7/10,0))*Y7*AE5,0), ROUNDUP((AC7+ROUNDDOWN(U7/10,0))*Y7,0))</f>
        <v>#N/A</v>
      </c>
      <c r="AA7" s="26" t="s">
        <v>15</v>
      </c>
      <c r="AB7" s="17"/>
      <c r="AC7" s="9" t="e">
        <f>X7+LOOKUP(X7,[1]Dados!$H$3:$I$12,[1]Dados!$J$3:$J$12)*(ROUNDDOWN(U5/2,0))+LOOKUP(X7,[1]Dados!$H$3:$I$12,[1]Dados!$K$3:$K$12)*(ROUNDDOWN((U5-1)/2,0))</f>
        <v>#N/A</v>
      </c>
    </row>
    <row r="8" spans="1:31" x14ac:dyDescent="0.3">
      <c r="A8" s="1" t="s">
        <v>30</v>
      </c>
      <c r="B8" s="55">
        <v>3</v>
      </c>
      <c r="C8" s="56"/>
      <c r="E8" s="11" t="s">
        <v>31</v>
      </c>
      <c r="F8" s="23" t="s">
        <v>32</v>
      </c>
      <c r="G8" s="20"/>
      <c r="H8" s="13" t="s">
        <v>28</v>
      </c>
      <c r="I8" s="14" t="e">
        <f>VLOOKUP(F1,[1]Pokemon!$A$1:$I$874,8,FALSE)+IF(F3="Sim",1,0)</f>
        <v>#N/A</v>
      </c>
      <c r="J8" s="22">
        <f>1*IF(F9="Paralisado",0.5,1)</f>
        <v>1</v>
      </c>
      <c r="K8" s="8" t="e">
        <f>IF(L7="Sim", ROUNDUP(N8*J8*P6,0), ROUNDUP(N8*J8,0))</f>
        <v>#N/A</v>
      </c>
      <c r="L8" s="31" t="e">
        <f>IF(L7 = "Sim", ROUNDUP((K8/(10*P6)), 0)&amp;"d6", ROUNDUP((K8/10), 0)&amp;"d6")</f>
        <v>#N/A</v>
      </c>
      <c r="M8" s="17"/>
      <c r="N8" s="9" t="e">
        <f>I8+LOOKUP(I8,[1]Dados!$H$3:$I$12,[1]Dados!$J$3:$J$12)*(ROUNDDOWN(F5/2,0))+LOOKUP(I8,[1]Dados!$H$3:$I$12,[1]Dados!$K$3:$K$12)*(ROUNDDOWN((F5-1)/2,0))</f>
        <v>#N/A</v>
      </c>
      <c r="T8" s="11" t="s">
        <v>31</v>
      </c>
      <c r="U8" s="23" t="s">
        <v>32</v>
      </c>
      <c r="V8" s="20"/>
      <c r="W8" s="13" t="s">
        <v>28</v>
      </c>
      <c r="X8" s="14" t="e">
        <f>VLOOKUP(U1,[1]Pokemon!$A$1:$I$874,8,FALSE)+IF(U3="Sim",1,0)</f>
        <v>#N/A</v>
      </c>
      <c r="Y8" s="22">
        <f>1*IF(U9="Paralisado",0.5,1)</f>
        <v>1</v>
      </c>
      <c r="Z8" s="8" t="e">
        <f>IF(AA7="Sim", ROUNDUP(AC8*Y8*AE6,0), ROUNDUP(AC8*Y8,0))</f>
        <v>#N/A</v>
      </c>
      <c r="AA8" s="31" t="e">
        <f>IF(AA7 = "Sim", ROUNDUP((Z8/(10*AE6)), 0)&amp;"d6", ROUNDUP((Z8/10), 0)&amp;"d6")</f>
        <v>#N/A</v>
      </c>
      <c r="AB8" s="17"/>
      <c r="AC8" s="9" t="e">
        <f>X8+LOOKUP(X8,[1]Dados!$H$3:$I$12,[1]Dados!$J$3:$J$12)*(ROUNDDOWN(U5/2,0))+LOOKUP(X8,[1]Dados!$H$3:$I$12,[1]Dados!$K$3:$K$12)*(ROUNDDOWN((U5-1)/2,0))</f>
        <v>#N/A</v>
      </c>
    </row>
    <row r="9" spans="1:31" x14ac:dyDescent="0.3">
      <c r="A9" s="10" t="s">
        <v>33</v>
      </c>
      <c r="B9" s="51">
        <v>4</v>
      </c>
      <c r="C9" s="52"/>
      <c r="E9" s="11" t="s">
        <v>34</v>
      </c>
      <c r="F9" s="23"/>
      <c r="G9" s="20"/>
      <c r="H9" s="13" t="s">
        <v>35</v>
      </c>
      <c r="I9" s="14" t="e">
        <f>VLOOKUP(F1,[1]Pokemon!$A$1:$I$874,9,FALSE)</f>
        <v>#N/A</v>
      </c>
      <c r="J9" s="13" t="s">
        <v>36</v>
      </c>
      <c r="K9" s="13"/>
      <c r="L9" s="32" t="e">
        <f>((F5+1)*I9/2)-F6</f>
        <v>#N/A</v>
      </c>
      <c r="M9" s="17"/>
      <c r="N9" s="33"/>
      <c r="T9" s="11" t="s">
        <v>34</v>
      </c>
      <c r="U9" s="23"/>
      <c r="V9" s="20"/>
      <c r="W9" s="13" t="s">
        <v>35</v>
      </c>
      <c r="X9" s="14" t="e">
        <f>VLOOKUP(U1,[1]Pokemon!$A$1:$I$874,9,FALSE)</f>
        <v>#N/A</v>
      </c>
      <c r="Y9" s="13" t="s">
        <v>36</v>
      </c>
      <c r="Z9" s="13"/>
      <c r="AA9" s="32" t="e">
        <f>((U5+1)*X9/2)-U6</f>
        <v>#N/A</v>
      </c>
      <c r="AB9" s="17"/>
      <c r="AC9" s="33"/>
    </row>
    <row r="10" spans="1:31" x14ac:dyDescent="0.3">
      <c r="A10" s="10" t="s">
        <v>37</v>
      </c>
      <c r="B10" s="51">
        <v>5</v>
      </c>
      <c r="C10" s="52"/>
      <c r="E10" s="34"/>
      <c r="F10" s="8"/>
      <c r="G10" s="17"/>
      <c r="H10" s="8"/>
      <c r="I10" s="8"/>
      <c r="J10" s="8"/>
      <c r="K10" s="8"/>
      <c r="L10" s="26"/>
      <c r="M10" s="17"/>
      <c r="N10" s="35"/>
      <c r="T10" s="34"/>
      <c r="U10" s="8"/>
      <c r="V10" s="17"/>
      <c r="W10" s="8"/>
      <c r="X10" s="8"/>
      <c r="Y10" s="8"/>
      <c r="Z10" s="8"/>
      <c r="AA10" s="26"/>
      <c r="AB10" s="17"/>
      <c r="AC10" s="35"/>
    </row>
    <row r="11" spans="1:31" x14ac:dyDescent="0.3">
      <c r="A11" s="10" t="s">
        <v>38</v>
      </c>
      <c r="B11" s="51">
        <v>4</v>
      </c>
      <c r="C11" s="52"/>
      <c r="E11" s="60" t="s">
        <v>39</v>
      </c>
      <c r="F11" s="61"/>
      <c r="G11" s="13" t="s">
        <v>40</v>
      </c>
      <c r="H11" s="13"/>
      <c r="I11" s="13"/>
      <c r="J11" s="13" t="s">
        <v>16</v>
      </c>
      <c r="K11" s="13" t="s">
        <v>41</v>
      </c>
      <c r="L11" s="24" t="s">
        <v>42</v>
      </c>
      <c r="M11" s="17"/>
      <c r="N11" s="35"/>
      <c r="T11" s="60" t="s">
        <v>39</v>
      </c>
      <c r="U11" s="61"/>
      <c r="V11" s="13" t="s">
        <v>40</v>
      </c>
      <c r="W11" s="13"/>
      <c r="X11" s="13"/>
      <c r="Y11" s="13" t="s">
        <v>16</v>
      </c>
      <c r="Z11" s="13" t="s">
        <v>41</v>
      </c>
      <c r="AA11" s="24" t="s">
        <v>42</v>
      </c>
      <c r="AB11" s="17"/>
      <c r="AC11" s="35"/>
    </row>
    <row r="12" spans="1:31" x14ac:dyDescent="0.3">
      <c r="A12" s="10" t="s">
        <v>43</v>
      </c>
      <c r="B12" s="51">
        <v>4</v>
      </c>
      <c r="C12" s="52"/>
      <c r="E12" s="62"/>
      <c r="F12" s="63"/>
      <c r="G12" s="63" t="e">
        <f>VLOOKUP(E12,[2]Golpes!$A$1:$G$653,2,FALSE)&amp;"/"&amp;VLOOKUP(E12,[2]Golpes!$A$1:$G$653,3,FALSE)</f>
        <v>#N/A</v>
      </c>
      <c r="H12" s="63"/>
      <c r="I12" s="63"/>
      <c r="J12" s="25" t="e">
        <f>VLOOKUP(E12,[2]Golpes!$A$1:$G$653,4,FALSE)</f>
        <v>#N/A</v>
      </c>
      <c r="K12" s="25" t="e">
        <f>VLOOKUP(E12,[2]Golpes!$A$1:$G$653,5,FALSE)</f>
        <v>#N/A</v>
      </c>
      <c r="L12" s="36" t="e">
        <f>VLOOKUP(E12,[2]Golpes!$A$1:$G$653,6,FALSE)</f>
        <v>#N/A</v>
      </c>
      <c r="M12" s="17" t="e">
        <f>VLOOKUP(E12,[2]Golpes!$A$1:$G$653,7,FALSE)</f>
        <v>#N/A</v>
      </c>
      <c r="N12" s="35"/>
      <c r="T12" s="62"/>
      <c r="U12" s="63"/>
      <c r="V12" s="63" t="e">
        <f>VLOOKUP(T12,[2]Golpes!$A$1:$G$653,2,FALSE)&amp;"/"&amp;VLOOKUP(T12,[2]Golpes!$A$1:$G$653,3,FALSE)</f>
        <v>#N/A</v>
      </c>
      <c r="W12" s="63"/>
      <c r="X12" s="63"/>
      <c r="Y12" s="25" t="e">
        <f>VLOOKUP(T12,[2]Golpes!$A$1:$G$653,4,FALSE)</f>
        <v>#N/A</v>
      </c>
      <c r="Z12" s="25" t="e">
        <f>VLOOKUP(T12,[2]Golpes!$A$1:$G$653,5,FALSE)</f>
        <v>#N/A</v>
      </c>
      <c r="AA12" s="36" t="e">
        <f>VLOOKUP(T12,[2]Golpes!$A$1:$G$653,6,FALSE)</f>
        <v>#N/A</v>
      </c>
      <c r="AB12" s="17" t="e">
        <f>VLOOKUP(T12,[2]Golpes!$A$1:$G$653,7,FALSE)</f>
        <v>#N/A</v>
      </c>
      <c r="AC12" s="35"/>
    </row>
    <row r="13" spans="1:31" ht="15" thickBot="1" x14ac:dyDescent="0.35">
      <c r="A13" s="27" t="s">
        <v>44</v>
      </c>
      <c r="B13" s="57">
        <v>3</v>
      </c>
      <c r="C13" s="58"/>
      <c r="E13" s="62"/>
      <c r="F13" s="63"/>
      <c r="G13" s="63" t="e">
        <f>VLOOKUP(E13,[2]Golpes!$A$1:$G$653,2,FALSE)&amp;"/"&amp;VLOOKUP(E13,[2]Golpes!$A$1:$G$653,3,FALSE)</f>
        <v>#N/A</v>
      </c>
      <c r="H13" s="63"/>
      <c r="I13" s="63"/>
      <c r="J13" s="25" t="e">
        <f>VLOOKUP(E13,[2]Golpes!$A$1:$G$653,4,FALSE)</f>
        <v>#N/A</v>
      </c>
      <c r="K13" s="25" t="e">
        <f>VLOOKUP(E13,[2]Golpes!$A$1:$G$653,5,FALSE)</f>
        <v>#N/A</v>
      </c>
      <c r="L13" s="36" t="e">
        <f>VLOOKUP(E13,[2]Golpes!$A$1:$G$653,6,FALSE)</f>
        <v>#N/A</v>
      </c>
      <c r="M13" s="17" t="e">
        <f>VLOOKUP(E13,[2]Golpes!$A$1:$G$653,7,FALSE)</f>
        <v>#N/A</v>
      </c>
      <c r="N13" s="35"/>
      <c r="T13" s="62"/>
      <c r="U13" s="63"/>
      <c r="V13" s="63" t="e">
        <f>VLOOKUP(T13,[2]Golpes!$A$1:$G$653,2,FALSE)&amp;"/"&amp;VLOOKUP(T13,[2]Golpes!$A$1:$G$653,3,FALSE)</f>
        <v>#N/A</v>
      </c>
      <c r="W13" s="63"/>
      <c r="X13" s="63"/>
      <c r="Y13" s="25" t="e">
        <f>VLOOKUP(T13,[2]Golpes!$A$1:$G$653,4,FALSE)</f>
        <v>#N/A</v>
      </c>
      <c r="Z13" s="25" t="e">
        <f>VLOOKUP(T13,[2]Golpes!$A$1:$G$653,5,FALSE)</f>
        <v>#N/A</v>
      </c>
      <c r="AA13" s="36" t="e">
        <f>VLOOKUP(T13,[2]Golpes!$A$1:$G$653,6,FALSE)</f>
        <v>#N/A</v>
      </c>
      <c r="AB13" s="17" t="e">
        <f>VLOOKUP(T13,[2]Golpes!$A$1:$G$653,7,FALSE)</f>
        <v>#N/A</v>
      </c>
      <c r="AC13" s="35"/>
    </row>
    <row r="14" spans="1:31" x14ac:dyDescent="0.3">
      <c r="A14" s="37" t="s">
        <v>45</v>
      </c>
      <c r="B14" s="38">
        <v>50</v>
      </c>
      <c r="C14" s="39">
        <f>B10*10</f>
        <v>50</v>
      </c>
      <c r="E14" s="62"/>
      <c r="F14" s="63"/>
      <c r="G14" s="63" t="e">
        <f>VLOOKUP(E14,[2]Golpes!$A$1:$G$653,2,FALSE)&amp;"/"&amp;VLOOKUP(E14,[2]Golpes!$A$1:$G$653,3,FALSE)</f>
        <v>#N/A</v>
      </c>
      <c r="H14" s="63"/>
      <c r="I14" s="63"/>
      <c r="J14" s="25" t="e">
        <f>VLOOKUP(E14,[2]Golpes!$A$1:$G$653,4,FALSE)</f>
        <v>#N/A</v>
      </c>
      <c r="K14" s="25" t="e">
        <f>VLOOKUP(E14,[2]Golpes!$A$1:$G$653,5,FALSE)</f>
        <v>#N/A</v>
      </c>
      <c r="L14" s="36" t="e">
        <f>VLOOKUP(E14,[2]Golpes!$A$1:$G$653,6,FALSE)</f>
        <v>#N/A</v>
      </c>
      <c r="M14" s="17" t="e">
        <f>VLOOKUP(E14,[2]Golpes!$A$1:$G$653,7,FALSE)</f>
        <v>#N/A</v>
      </c>
      <c r="N14" s="35"/>
      <c r="T14" s="62"/>
      <c r="U14" s="63"/>
      <c r="V14" s="63" t="e">
        <f>VLOOKUP(T14,[2]Golpes!$A$1:$G$653,2,FALSE)&amp;"/"&amp;VLOOKUP(T14,[2]Golpes!$A$1:$G$653,3,FALSE)</f>
        <v>#N/A</v>
      </c>
      <c r="W14" s="63"/>
      <c r="X14" s="63"/>
      <c r="Y14" s="25" t="e">
        <f>VLOOKUP(T14,[2]Golpes!$A$1:$G$653,4,FALSE)</f>
        <v>#N/A</v>
      </c>
      <c r="Z14" s="25" t="e">
        <f>VLOOKUP(T14,[2]Golpes!$A$1:$G$653,5,FALSE)</f>
        <v>#N/A</v>
      </c>
      <c r="AA14" s="36" t="e">
        <f>VLOOKUP(T14,[2]Golpes!$A$1:$G$653,6,FALSE)</f>
        <v>#N/A</v>
      </c>
      <c r="AB14" s="17" t="e">
        <f>VLOOKUP(T14,[2]Golpes!$A$1:$G$653,7,FALSE)</f>
        <v>#N/A</v>
      </c>
      <c r="AC14" s="35"/>
    </row>
    <row r="15" spans="1:31" ht="15" thickBot="1" x14ac:dyDescent="0.35">
      <c r="A15" s="40" t="s">
        <v>46</v>
      </c>
      <c r="B15" s="41">
        <v>50</v>
      </c>
      <c r="C15" s="42">
        <f>B14</f>
        <v>50</v>
      </c>
      <c r="E15" s="67"/>
      <c r="F15" s="68"/>
      <c r="G15" s="68" t="e">
        <f>VLOOKUP(E15,[2]Golpes!$A$1:$G$653,2,FALSE)&amp;"/"&amp;VLOOKUP(E15,[2]Golpes!$A$1:$G$653,3,FALSE)</f>
        <v>#N/A</v>
      </c>
      <c r="H15" s="68"/>
      <c r="I15" s="68"/>
      <c r="J15" s="43" t="e">
        <f>VLOOKUP(E15,[2]Golpes!$A$1:$G$653,4,FALSE)</f>
        <v>#N/A</v>
      </c>
      <c r="K15" s="43" t="e">
        <f>VLOOKUP(E15,[2]Golpes!$A$1:$G$653,5,FALSE)</f>
        <v>#N/A</v>
      </c>
      <c r="L15" s="44" t="e">
        <f>VLOOKUP(E15,[2]Golpes!$A$1:$G$653,6,FALSE)</f>
        <v>#N/A</v>
      </c>
      <c r="M15" s="17" t="e">
        <f>VLOOKUP(E15,[2]Golpes!$A$1:$G$653,7,FALSE)</f>
        <v>#N/A</v>
      </c>
      <c r="N15" s="35"/>
      <c r="T15" s="67"/>
      <c r="U15" s="68"/>
      <c r="V15" s="68" t="e">
        <f>VLOOKUP(T15,[2]Golpes!$A$1:$G$653,2,FALSE)&amp;"/"&amp;VLOOKUP(T15,[2]Golpes!$A$1:$G$653,3,FALSE)</f>
        <v>#N/A</v>
      </c>
      <c r="W15" s="68"/>
      <c r="X15" s="68"/>
      <c r="Y15" s="43" t="e">
        <f>VLOOKUP(T15,[2]Golpes!$A$1:$G$653,4,FALSE)</f>
        <v>#N/A</v>
      </c>
      <c r="Z15" s="43" t="e">
        <f>VLOOKUP(T15,[2]Golpes!$A$1:$G$653,5,FALSE)</f>
        <v>#N/A</v>
      </c>
      <c r="AA15" s="44" t="e">
        <f>VLOOKUP(T15,[2]Golpes!$A$1:$G$653,6,FALSE)</f>
        <v>#N/A</v>
      </c>
      <c r="AB15" s="17" t="e">
        <f>VLOOKUP(T15,[2]Golpes!$A$1:$G$653,7,FALSE)</f>
        <v>#N/A</v>
      </c>
      <c r="AC15" s="35"/>
    </row>
    <row r="16" spans="1:31" ht="15" thickBot="1" x14ac:dyDescent="0.35">
      <c r="A16" s="59">
        <v>3</v>
      </c>
      <c r="B16" s="59"/>
      <c r="C16" s="59"/>
    </row>
    <row r="17" spans="1:31" ht="15" thickBot="1" x14ac:dyDescent="0.35">
      <c r="A17" s="64" t="s">
        <v>47</v>
      </c>
      <c r="B17" s="65"/>
      <c r="C17" s="66"/>
      <c r="E17" s="2" t="s">
        <v>1</v>
      </c>
      <c r="F17" s="3"/>
      <c r="G17" s="4"/>
      <c r="H17" s="5"/>
      <c r="I17" s="6" t="s">
        <v>2</v>
      </c>
      <c r="J17" s="6" t="s">
        <v>3</v>
      </c>
      <c r="K17" s="6" t="s">
        <v>4</v>
      </c>
      <c r="L17" s="7" t="s">
        <v>5</v>
      </c>
      <c r="M17" s="8"/>
      <c r="N17" s="9"/>
      <c r="O17" s="53" t="s">
        <v>6</v>
      </c>
      <c r="P17" s="54"/>
      <c r="T17" s="2" t="s">
        <v>1</v>
      </c>
      <c r="U17" s="3"/>
      <c r="V17" s="4"/>
      <c r="W17" s="5"/>
      <c r="X17" s="6" t="s">
        <v>2</v>
      </c>
      <c r="Y17" s="6" t="s">
        <v>3</v>
      </c>
      <c r="Z17" s="6" t="s">
        <v>4</v>
      </c>
      <c r="AA17" s="7" t="s">
        <v>5</v>
      </c>
      <c r="AB17" s="8"/>
      <c r="AC17" s="9"/>
      <c r="AD17" s="53" t="s">
        <v>6</v>
      </c>
      <c r="AE17" s="54"/>
    </row>
    <row r="18" spans="1:31" x14ac:dyDescent="0.3">
      <c r="A18" s="69" t="s">
        <v>190</v>
      </c>
      <c r="B18" s="50"/>
      <c r="C18" s="70"/>
      <c r="E18" s="11" t="s">
        <v>8</v>
      </c>
      <c r="F18" s="8" t="s">
        <v>9</v>
      </c>
      <c r="G18" s="12" t="s">
        <v>10</v>
      </c>
      <c r="H18" s="13" t="s">
        <v>11</v>
      </c>
      <c r="I18" s="14" t="e">
        <f>VLOOKUP(F17,[1]Pokemon!$A$1:$I$874,3,FALSE)+IF(F19="Sim",20,0)</f>
        <v>#N/A</v>
      </c>
      <c r="J18" s="15">
        <v>0</v>
      </c>
      <c r="K18" s="8" t="e">
        <f>IF($B$5="Vigoroso",ROUNDUP((N18+J18)*1.2,0),N18+J18)</f>
        <v>#N/A</v>
      </c>
      <c r="L18" s="16">
        <v>0</v>
      </c>
      <c r="M18" s="17"/>
      <c r="N18" s="9" t="e">
        <f>I18+LOOKUP(I18,[1]Dados!$C$3:$D$12,[1]Dados!$E$3:$E$12)*(ROUNDDOWN(F21/2,0))+LOOKUP(I18,[1]Dados!$C$3:$D$12,[1]Dados!$F$3:$F$12)*(ROUNDDOWN((F21-1)/2,0))</f>
        <v>#N/A</v>
      </c>
      <c r="O18" s="18" t="s">
        <v>12</v>
      </c>
      <c r="P18" s="19"/>
      <c r="T18" s="11" t="s">
        <v>8</v>
      </c>
      <c r="U18" s="8" t="s">
        <v>9</v>
      </c>
      <c r="V18" s="12" t="s">
        <v>10</v>
      </c>
      <c r="W18" s="13" t="s">
        <v>11</v>
      </c>
      <c r="X18" s="14" t="e">
        <f>VLOOKUP(U17,[1]Pokemon!$A$1:$I$874,3,FALSE)+IF(U19="Sim",20,0)</f>
        <v>#N/A</v>
      </c>
      <c r="Y18" s="15">
        <v>0</v>
      </c>
      <c r="Z18" s="8" t="e">
        <f>IF($B$5="Vigoroso",ROUNDUP((AC18+Y18)*1.2,0),AC18+Y18)</f>
        <v>#N/A</v>
      </c>
      <c r="AA18" s="16">
        <v>0</v>
      </c>
      <c r="AB18" s="17"/>
      <c r="AC18" s="9" t="e">
        <f>X18+LOOKUP(X18,[1]Dados!$C$3:$D$12,[1]Dados!$E$3:$E$12)*(ROUNDDOWN(U21/2,0))+LOOKUP(X18,[1]Dados!$C$3:$D$12,[1]Dados!$F$3:$F$12)*(ROUNDDOWN((U21-1)/2,0))</f>
        <v>#N/A</v>
      </c>
      <c r="AD18" s="18" t="s">
        <v>12</v>
      </c>
      <c r="AE18" s="19"/>
    </row>
    <row r="19" spans="1:31" x14ac:dyDescent="0.3">
      <c r="A19" s="69"/>
      <c r="B19" s="50"/>
      <c r="C19" s="70"/>
      <c r="E19" s="11" t="s">
        <v>14</v>
      </c>
      <c r="F19" s="8" t="s">
        <v>15</v>
      </c>
      <c r="G19" s="20"/>
      <c r="H19" s="13" t="s">
        <v>16</v>
      </c>
      <c r="I19" s="21">
        <f>20+IF(F19="Sim",10,0)</f>
        <v>20</v>
      </c>
      <c r="J19" s="22">
        <v>0</v>
      </c>
      <c r="K19" s="8">
        <f>18+(F21*2)+IF(F19="Sim",10,0)+J19</f>
        <v>20</v>
      </c>
      <c r="L19" s="16">
        <v>0</v>
      </c>
      <c r="M19" s="17"/>
      <c r="N19" s="9"/>
      <c r="O19" s="18" t="s">
        <v>17</v>
      </c>
      <c r="P19" s="19"/>
      <c r="T19" s="11" t="s">
        <v>14</v>
      </c>
      <c r="U19" s="8" t="s">
        <v>15</v>
      </c>
      <c r="V19" s="20"/>
      <c r="W19" s="13" t="s">
        <v>16</v>
      </c>
      <c r="X19" s="21">
        <f>20+IF(U19="Sim",10,0)</f>
        <v>20</v>
      </c>
      <c r="Y19" s="22">
        <v>0</v>
      </c>
      <c r="Z19" s="8">
        <f>18+(U21*2)+IF(U19="Sim",10,0)+Y19</f>
        <v>20</v>
      </c>
      <c r="AA19" s="16">
        <v>0</v>
      </c>
      <c r="AB19" s="17"/>
      <c r="AC19" s="9"/>
      <c r="AD19" s="18" t="s">
        <v>17</v>
      </c>
      <c r="AE19" s="19"/>
    </row>
    <row r="20" spans="1:31" x14ac:dyDescent="0.3">
      <c r="A20" s="69"/>
      <c r="B20" s="50"/>
      <c r="C20" s="70"/>
      <c r="E20" s="11" t="s">
        <v>19</v>
      </c>
      <c r="F20" s="23" t="e">
        <f>VLOOKUP(F17,[1]Pokemon!$A$1:$I$874,2,FALSE)</f>
        <v>#N/A</v>
      </c>
      <c r="G20" s="20"/>
      <c r="H20" s="13" t="s">
        <v>12</v>
      </c>
      <c r="I20" s="14" t="e">
        <f>VLOOKUP(F17,[1]Pokemon!$A$1:$I$874,4,FALSE)+IF(F19="Sim",1,0)</f>
        <v>#N/A</v>
      </c>
      <c r="J20" s="22">
        <v>1</v>
      </c>
      <c r="K20" s="8" t="e">
        <f>IF(L23="Sim", ROUNDUP((N20+ROUNDDOWN(F23/10,0))*J20*P18,0), ROUNDUP((N20+ROUNDDOWN(F23/10,0))*J20,0))</f>
        <v>#N/A</v>
      </c>
      <c r="L20" s="24" t="s">
        <v>20</v>
      </c>
      <c r="M20" s="17"/>
      <c r="N20" s="9" t="e">
        <f>I20+LOOKUP(I20,[1]Dados!$H$3:$I$12,[1]Dados!$J$3:$J$12)*(ROUNDDOWN(F21/2,0))+LOOKUP(I20,[1]Dados!$H$3:$I$12,[1]Dados!$K$3:$K$12)*(ROUNDDOWN((F21-1)/2,0))</f>
        <v>#N/A</v>
      </c>
      <c r="O20" s="18" t="s">
        <v>21</v>
      </c>
      <c r="P20" s="19"/>
      <c r="T20" s="11" t="s">
        <v>19</v>
      </c>
      <c r="U20" s="23" t="e">
        <f>VLOOKUP(U17,[1]Pokemon!$A$1:$I$874,2,FALSE)</f>
        <v>#N/A</v>
      </c>
      <c r="V20" s="20"/>
      <c r="W20" s="13" t="s">
        <v>12</v>
      </c>
      <c r="X20" s="14" t="e">
        <f>VLOOKUP(U17,[1]Pokemon!$A$1:$I$874,4,FALSE)+IF(U19="Sim",1,0)</f>
        <v>#N/A</v>
      </c>
      <c r="Y20" s="22">
        <v>1</v>
      </c>
      <c r="Z20" s="8" t="e">
        <f>IF(AA23="Sim", ROUNDUP((AC20+ROUNDDOWN(U23/10,0))*Y20*AE18,0), ROUNDUP((AC20+ROUNDDOWN(U23/10,0))*Y20,0))</f>
        <v>#N/A</v>
      </c>
      <c r="AA20" s="24" t="s">
        <v>20</v>
      </c>
      <c r="AB20" s="17"/>
      <c r="AC20" s="9" t="e">
        <f>X20+LOOKUP(X20,[1]Dados!$H$3:$I$12,[1]Dados!$J$3:$J$12)*(ROUNDDOWN(U21/2,0))+LOOKUP(X20,[1]Dados!$H$3:$I$12,[1]Dados!$K$3:$K$12)*(ROUNDDOWN((U21-1)/2,0))</f>
        <v>#N/A</v>
      </c>
      <c r="AD20" s="18" t="s">
        <v>21</v>
      </c>
      <c r="AE20" s="19"/>
    </row>
    <row r="21" spans="1:31" x14ac:dyDescent="0.3">
      <c r="A21" s="71"/>
      <c r="B21" s="49"/>
      <c r="C21" s="72"/>
      <c r="E21" s="11" t="s">
        <v>23</v>
      </c>
      <c r="F21" s="25">
        <v>1</v>
      </c>
      <c r="G21" s="20"/>
      <c r="H21" s="13" t="s">
        <v>17</v>
      </c>
      <c r="I21" s="14" t="e">
        <f>VLOOKUP(F17,[1]Pokemon!$A$1:$I$874,5,FALSE)+IF(F19="Sim",1,0)</f>
        <v>#N/A</v>
      </c>
      <c r="J21" s="22">
        <v>1</v>
      </c>
      <c r="K21" s="8" t="e">
        <f>IF(L23="Sim", ROUNDUP((N21+ROUNDDOWN(F23/10,0))*J21*P19,0), ROUNDUP((N21+ROUNDDOWN(F23/10,0))*J21,0))</f>
        <v>#N/A</v>
      </c>
      <c r="L21" s="26" t="e">
        <f>ROUNDDOWN(I24/2,0)</f>
        <v>#N/A</v>
      </c>
      <c r="M21" s="17"/>
      <c r="N21" s="9" t="e">
        <f>I21+LOOKUP(I21,[1]Dados!$H$3:$I$12,[1]Dados!$J$3:$J$12)*(ROUNDDOWN(F21/2,0))+LOOKUP(I21,[1]Dados!$H$3:$I$12,[1]Dados!$K$3:$K$12)*(ROUNDDOWN((F21-1)/2,0))</f>
        <v>#N/A</v>
      </c>
      <c r="O21" s="18" t="s">
        <v>24</v>
      </c>
      <c r="P21" s="19"/>
      <c r="T21" s="11" t="s">
        <v>23</v>
      </c>
      <c r="U21" s="25">
        <v>1</v>
      </c>
      <c r="V21" s="20"/>
      <c r="W21" s="13" t="s">
        <v>17</v>
      </c>
      <c r="X21" s="14" t="e">
        <f>VLOOKUP(U17,[1]Pokemon!$A$1:$I$874,5,FALSE)+IF(U19="Sim",1,0)</f>
        <v>#N/A</v>
      </c>
      <c r="Y21" s="22">
        <v>1</v>
      </c>
      <c r="Z21" s="8" t="e">
        <f>IF(AA23="Sim", ROUNDUP((AC21+ROUNDDOWN(U23/10,0))*Y21*AE19,0), ROUNDUP((AC21+ROUNDDOWN(U23/10,0))*Y21,0))</f>
        <v>#N/A</v>
      </c>
      <c r="AA21" s="26" t="e">
        <f>ROUNDDOWN(X24/2,0)</f>
        <v>#N/A</v>
      </c>
      <c r="AB21" s="17"/>
      <c r="AC21" s="9" t="e">
        <f>X21+LOOKUP(X21,[1]Dados!$H$3:$I$12,[1]Dados!$J$3:$J$12)*(ROUNDDOWN(U21/2,0))+LOOKUP(X21,[1]Dados!$H$3:$I$12,[1]Dados!$K$3:$K$12)*(ROUNDDOWN((U21-1)/2,0))</f>
        <v>#N/A</v>
      </c>
      <c r="AD21" s="18" t="s">
        <v>24</v>
      </c>
      <c r="AE21" s="19"/>
    </row>
    <row r="22" spans="1:31" ht="15" thickBot="1" x14ac:dyDescent="0.35">
      <c r="A22" s="71"/>
      <c r="B22" s="49"/>
      <c r="C22" s="72"/>
      <c r="E22" s="11" t="s">
        <v>26</v>
      </c>
      <c r="F22" s="23">
        <v>0</v>
      </c>
      <c r="G22" s="20"/>
      <c r="H22" s="13" t="s">
        <v>21</v>
      </c>
      <c r="I22" s="14" t="e">
        <f>VLOOKUP(F17,[1]Pokemon!$A$1:$I$874,6,FALSE)+IF(F19="Sim",1,0)</f>
        <v>#N/A</v>
      </c>
      <c r="J22" s="22">
        <v>1</v>
      </c>
      <c r="K22" s="8" t="e">
        <f>IF(L23="Sim", ROUNDUP((N22+ROUNDDOWN(F23/10,0))*J22*P20,0), ROUNDUP((N22+ROUNDDOWN(F23/10,0))*J22,0))</f>
        <v>#N/A</v>
      </c>
      <c r="L22" s="24" t="s">
        <v>27</v>
      </c>
      <c r="M22" s="17"/>
      <c r="N22" s="9" t="e">
        <f>I22+LOOKUP(I22,[1]Dados!$H$3:$I$12,[1]Dados!$J$3:$J$12)*(ROUNDDOWN(F21/2,0))+LOOKUP(I22,[1]Dados!$H$3:$I$12,[1]Dados!$K$3:$K$12)*(ROUNDDOWN((F21-1)/2,0))</f>
        <v>#N/A</v>
      </c>
      <c r="O22" s="28" t="s">
        <v>28</v>
      </c>
      <c r="P22" s="29"/>
      <c r="T22" s="11" t="s">
        <v>26</v>
      </c>
      <c r="U22" s="23">
        <v>0</v>
      </c>
      <c r="V22" s="20"/>
      <c r="W22" s="13" t="s">
        <v>21</v>
      </c>
      <c r="X22" s="14" t="e">
        <f>VLOOKUP(U17,[1]Pokemon!$A$1:$I$874,6,FALSE)+IF(U19="Sim",1,0)</f>
        <v>#N/A</v>
      </c>
      <c r="Y22" s="22">
        <v>1</v>
      </c>
      <c r="Z22" s="8" t="e">
        <f>IF(AA23="Sim", ROUNDUP((AC22+ROUNDDOWN(U23/10,0))*Y22*AE20,0), ROUNDUP((AC22+ROUNDDOWN(U23/10,0))*Y22,0))</f>
        <v>#N/A</v>
      </c>
      <c r="AA22" s="24" t="s">
        <v>27</v>
      </c>
      <c r="AB22" s="17"/>
      <c r="AC22" s="9" t="e">
        <f>X22+LOOKUP(X22,[1]Dados!$H$3:$I$12,[1]Dados!$J$3:$J$12)*(ROUNDDOWN(U21/2,0))+LOOKUP(X22,[1]Dados!$H$3:$I$12,[1]Dados!$K$3:$K$12)*(ROUNDDOWN((U21-1)/2,0))</f>
        <v>#N/A</v>
      </c>
      <c r="AD22" s="28" t="s">
        <v>28</v>
      </c>
      <c r="AE22" s="29"/>
    </row>
    <row r="23" spans="1:31" x14ac:dyDescent="0.3">
      <c r="A23" s="71"/>
      <c r="B23" s="49"/>
      <c r="C23" s="72"/>
      <c r="E23" s="11" t="s">
        <v>29</v>
      </c>
      <c r="F23" s="30">
        <v>0</v>
      </c>
      <c r="G23" s="20"/>
      <c r="H23" s="13" t="s">
        <v>24</v>
      </c>
      <c r="I23" s="14" t="e">
        <f>VLOOKUP(F17,[1]Pokemon!$A$1:$I$874,7,FALSE)+IF(F19="Sim",1,0)</f>
        <v>#N/A</v>
      </c>
      <c r="J23" s="22">
        <v>1</v>
      </c>
      <c r="K23" s="8" t="e">
        <f>IF(L23="Sim", ROUNDUP((N23+ROUNDDOWN(F23/10,0))*J23*P21,0), ROUNDUP((N23+ROUNDDOWN(F23/10,0))*J23,0))</f>
        <v>#N/A</v>
      </c>
      <c r="L23" s="26" t="s">
        <v>15</v>
      </c>
      <c r="M23" s="17"/>
      <c r="N23" s="9" t="e">
        <f>I23+LOOKUP(I23,[1]Dados!$H$3:$I$12,[1]Dados!$J$3:$J$12)*(ROUNDDOWN(F21/2,0))+LOOKUP(I23,[1]Dados!$H$3:$I$12,[1]Dados!$K$3:$K$12)*(ROUNDDOWN((F21-1)/2,0))</f>
        <v>#N/A</v>
      </c>
      <c r="T23" s="11" t="s">
        <v>29</v>
      </c>
      <c r="U23" s="30">
        <v>0</v>
      </c>
      <c r="V23" s="20"/>
      <c r="W23" s="13" t="s">
        <v>24</v>
      </c>
      <c r="X23" s="14" t="e">
        <f>VLOOKUP(U17,[1]Pokemon!$A$1:$I$874,7,FALSE)+IF(U19="Sim",1,0)</f>
        <v>#N/A</v>
      </c>
      <c r="Y23" s="22">
        <v>1</v>
      </c>
      <c r="Z23" s="8" t="e">
        <f>IF(AA23="Sim", ROUNDUP((AC23+ROUNDDOWN(U23/10,0))*Y23*AE21,0), ROUNDUP((AC23+ROUNDDOWN(U23/10,0))*Y23,0))</f>
        <v>#N/A</v>
      </c>
      <c r="AA23" s="26" t="s">
        <v>15</v>
      </c>
      <c r="AB23" s="17"/>
      <c r="AC23" s="9" t="e">
        <f>X23+LOOKUP(X23,[1]Dados!$H$3:$I$12,[1]Dados!$J$3:$J$12)*(ROUNDDOWN(U21/2,0))+LOOKUP(X23,[1]Dados!$H$3:$I$12,[1]Dados!$K$3:$K$12)*(ROUNDDOWN((U21-1)/2,0))</f>
        <v>#N/A</v>
      </c>
    </row>
    <row r="24" spans="1:31" x14ac:dyDescent="0.3">
      <c r="A24" s="71"/>
      <c r="B24" s="49"/>
      <c r="C24" s="72"/>
      <c r="E24" s="11" t="s">
        <v>31</v>
      </c>
      <c r="F24" s="23" t="s">
        <v>32</v>
      </c>
      <c r="G24" s="20"/>
      <c r="H24" s="13" t="s">
        <v>28</v>
      </c>
      <c r="I24" s="14" t="e">
        <f>VLOOKUP(F17,[1]Pokemon!$A$1:$I$874,8,FALSE)+IF(F19="Sim",1,0)</f>
        <v>#N/A</v>
      </c>
      <c r="J24" s="22">
        <f>1*IF(F25="Paralisado",0.5,1)</f>
        <v>1</v>
      </c>
      <c r="K24" s="8" t="e">
        <f>IF(L23="Sim", ROUNDUP(N24*J24*P22,0), ROUNDUP(N24*J24,0))</f>
        <v>#N/A</v>
      </c>
      <c r="L24" s="31" t="e">
        <f>IF(L23 = "Sim", ROUNDUP((K24/(10*P22)), 0)&amp;"d6", ROUNDUP((K24/10), 0)&amp;"d6")</f>
        <v>#N/A</v>
      </c>
      <c r="M24" s="17"/>
      <c r="N24" s="9" t="e">
        <f>I24+LOOKUP(I24,[1]Dados!$H$3:$I$12,[1]Dados!$J$3:$J$12)*(ROUNDDOWN(F21/2,0))+LOOKUP(I24,[1]Dados!$H$3:$I$12,[1]Dados!$K$3:$K$12)*(ROUNDDOWN((F21-1)/2,0))</f>
        <v>#N/A</v>
      </c>
      <c r="T24" s="11" t="s">
        <v>31</v>
      </c>
      <c r="U24" s="23" t="s">
        <v>32</v>
      </c>
      <c r="V24" s="20"/>
      <c r="W24" s="13" t="s">
        <v>28</v>
      </c>
      <c r="X24" s="14" t="e">
        <f>VLOOKUP(U17,[1]Pokemon!$A$1:$I$874,8,FALSE)+IF(U19="Sim",1,0)</f>
        <v>#N/A</v>
      </c>
      <c r="Y24" s="22">
        <f>1*IF(U25="Paralisado",0.5,1)</f>
        <v>1</v>
      </c>
      <c r="Z24" s="8" t="e">
        <f>IF(AA23="Sim", ROUNDUP(AC24*Y24*AE22,0), ROUNDUP(AC24*Y24,0))</f>
        <v>#N/A</v>
      </c>
      <c r="AA24" s="31" t="e">
        <f>IF(AA23 = "Sim", ROUNDUP((Z24/(10*AE22)), 0)&amp;"d6", ROUNDUP((Z24/10), 0)&amp;"d6")</f>
        <v>#N/A</v>
      </c>
      <c r="AB24" s="17"/>
      <c r="AC24" s="9" t="e">
        <f>X24+LOOKUP(X24,[1]Dados!$H$3:$I$12,[1]Dados!$J$3:$J$12)*(ROUNDDOWN(U21/2,0))+LOOKUP(X24,[1]Dados!$H$3:$I$12,[1]Dados!$K$3:$K$12)*(ROUNDDOWN((U21-1)/2,0))</f>
        <v>#N/A</v>
      </c>
    </row>
    <row r="25" spans="1:31" x14ac:dyDescent="0.3">
      <c r="A25" s="71"/>
      <c r="B25" s="49"/>
      <c r="C25" s="72"/>
      <c r="E25" s="11" t="s">
        <v>34</v>
      </c>
      <c r="F25" s="23"/>
      <c r="G25" s="20"/>
      <c r="H25" s="13" t="s">
        <v>35</v>
      </c>
      <c r="I25" s="14" t="e">
        <f>VLOOKUP(F17,[1]Pokemon!$A$1:$I$874,9,FALSE)</f>
        <v>#N/A</v>
      </c>
      <c r="J25" s="13" t="s">
        <v>36</v>
      </c>
      <c r="K25" s="13"/>
      <c r="L25" s="32" t="e">
        <f>((F21+1)*I25/2)-F22</f>
        <v>#N/A</v>
      </c>
      <c r="M25" s="17"/>
      <c r="N25" s="33"/>
      <c r="T25" s="11" t="s">
        <v>34</v>
      </c>
      <c r="U25" s="23"/>
      <c r="V25" s="20"/>
      <c r="W25" s="13" t="s">
        <v>35</v>
      </c>
      <c r="X25" s="14" t="e">
        <f>VLOOKUP(U17,[1]Pokemon!$A$1:$I$874,9,FALSE)</f>
        <v>#N/A</v>
      </c>
      <c r="Y25" s="13" t="s">
        <v>36</v>
      </c>
      <c r="Z25" s="13"/>
      <c r="AA25" s="32" t="e">
        <f>((U21+1)*X25/2)-U22</f>
        <v>#N/A</v>
      </c>
      <c r="AB25" s="17"/>
      <c r="AC25" s="33"/>
    </row>
    <row r="26" spans="1:31" x14ac:dyDescent="0.3">
      <c r="A26" s="71"/>
      <c r="B26" s="49"/>
      <c r="C26" s="72"/>
      <c r="E26" s="34"/>
      <c r="F26" s="8"/>
      <c r="G26" s="17"/>
      <c r="H26" s="8"/>
      <c r="I26" s="8"/>
      <c r="J26" s="8"/>
      <c r="K26" s="8"/>
      <c r="L26" s="26"/>
      <c r="M26" s="17"/>
      <c r="N26" s="35"/>
      <c r="T26" s="34"/>
      <c r="U26" s="8"/>
      <c r="V26" s="17"/>
      <c r="W26" s="8"/>
      <c r="X26" s="8"/>
      <c r="Y26" s="8"/>
      <c r="Z26" s="8"/>
      <c r="AA26" s="26"/>
      <c r="AB26" s="17"/>
      <c r="AC26" s="35"/>
    </row>
    <row r="27" spans="1:31" x14ac:dyDescent="0.3">
      <c r="A27" s="71"/>
      <c r="B27" s="49"/>
      <c r="C27" s="72"/>
      <c r="E27" s="60" t="s">
        <v>39</v>
      </c>
      <c r="F27" s="61"/>
      <c r="G27" s="13" t="s">
        <v>40</v>
      </c>
      <c r="H27" s="13"/>
      <c r="I27" s="13"/>
      <c r="J27" s="13" t="s">
        <v>16</v>
      </c>
      <c r="K27" s="13" t="s">
        <v>41</v>
      </c>
      <c r="L27" s="24" t="s">
        <v>42</v>
      </c>
      <c r="M27" s="17"/>
      <c r="N27" s="35"/>
      <c r="T27" s="60" t="s">
        <v>39</v>
      </c>
      <c r="U27" s="61"/>
      <c r="V27" s="13" t="s">
        <v>40</v>
      </c>
      <c r="W27" s="13"/>
      <c r="X27" s="13"/>
      <c r="Y27" s="13" t="s">
        <v>16</v>
      </c>
      <c r="Z27" s="13" t="s">
        <v>41</v>
      </c>
      <c r="AA27" s="24" t="s">
        <v>42</v>
      </c>
      <c r="AB27" s="17"/>
      <c r="AC27" s="35"/>
    </row>
    <row r="28" spans="1:31" x14ac:dyDescent="0.3">
      <c r="A28" s="71"/>
      <c r="B28" s="49"/>
      <c r="C28" s="72"/>
      <c r="E28" s="62"/>
      <c r="F28" s="63"/>
      <c r="G28" s="63" t="e">
        <f>VLOOKUP(E28,[2]Golpes!$A$1:$G$653,2,FALSE)&amp;"/"&amp;VLOOKUP(E28,[2]Golpes!$A$1:$G$653,3,FALSE)</f>
        <v>#N/A</v>
      </c>
      <c r="H28" s="63"/>
      <c r="I28" s="63"/>
      <c r="J28" s="25" t="e">
        <f>VLOOKUP(E28,[2]Golpes!$A$1:$G$653,4,FALSE)</f>
        <v>#N/A</v>
      </c>
      <c r="K28" s="25" t="e">
        <f>VLOOKUP(E28,[2]Golpes!$A$1:$G$653,5,FALSE)</f>
        <v>#N/A</v>
      </c>
      <c r="L28" s="36" t="e">
        <f>VLOOKUP(E28,[2]Golpes!$A$1:$G$653,6,FALSE)</f>
        <v>#N/A</v>
      </c>
      <c r="M28" s="17" t="e">
        <f>VLOOKUP(E28,[2]Golpes!$A$1:$G$653,7,FALSE)</f>
        <v>#N/A</v>
      </c>
      <c r="N28" s="35"/>
      <c r="T28" s="62"/>
      <c r="U28" s="63"/>
      <c r="V28" s="63" t="e">
        <f>VLOOKUP(T28,[2]Golpes!$A$1:$G$653,2,FALSE)&amp;"/"&amp;VLOOKUP(T28,[2]Golpes!$A$1:$G$653,3,FALSE)</f>
        <v>#N/A</v>
      </c>
      <c r="W28" s="63"/>
      <c r="X28" s="63"/>
      <c r="Y28" s="25" t="e">
        <f>VLOOKUP(T28,[2]Golpes!$A$1:$G$653,4,FALSE)</f>
        <v>#N/A</v>
      </c>
      <c r="Z28" s="25" t="e">
        <f>VLOOKUP(T28,[2]Golpes!$A$1:$G$653,5,FALSE)</f>
        <v>#N/A</v>
      </c>
      <c r="AA28" s="36" t="e">
        <f>VLOOKUP(T28,[2]Golpes!$A$1:$G$653,6,FALSE)</f>
        <v>#N/A</v>
      </c>
      <c r="AB28" s="17" t="e">
        <f>VLOOKUP(T28,[2]Golpes!$A$1:$G$653,7,FALSE)</f>
        <v>#N/A</v>
      </c>
      <c r="AC28" s="35"/>
    </row>
    <row r="29" spans="1:31" ht="15" thickBot="1" x14ac:dyDescent="0.35">
      <c r="A29" s="73"/>
      <c r="B29" s="74"/>
      <c r="C29" s="75"/>
      <c r="E29" s="62"/>
      <c r="F29" s="63"/>
      <c r="G29" s="63" t="e">
        <f>VLOOKUP(E29,[2]Golpes!$A$1:$G$653,2,FALSE)&amp;"/"&amp;VLOOKUP(E29,[2]Golpes!$A$1:$G$653,3,FALSE)</f>
        <v>#N/A</v>
      </c>
      <c r="H29" s="63"/>
      <c r="I29" s="63"/>
      <c r="J29" s="25" t="e">
        <f>VLOOKUP(E29,[2]Golpes!$A$1:$G$653,4,FALSE)</f>
        <v>#N/A</v>
      </c>
      <c r="K29" s="25" t="e">
        <f>VLOOKUP(E29,[2]Golpes!$A$1:$G$653,5,FALSE)</f>
        <v>#N/A</v>
      </c>
      <c r="L29" s="36" t="e">
        <f>VLOOKUP(E29,[2]Golpes!$A$1:$G$653,6,FALSE)</f>
        <v>#N/A</v>
      </c>
      <c r="M29" s="17" t="e">
        <f>VLOOKUP(E29,[2]Golpes!$A$1:$G$653,7,FALSE)</f>
        <v>#N/A</v>
      </c>
      <c r="N29" s="35"/>
      <c r="T29" s="62"/>
      <c r="U29" s="63"/>
      <c r="V29" s="63" t="e">
        <f>VLOOKUP(T29,[2]Golpes!$A$1:$G$653,2,FALSE)&amp;"/"&amp;VLOOKUP(T29,[2]Golpes!$A$1:$G$653,3,FALSE)</f>
        <v>#N/A</v>
      </c>
      <c r="W29" s="63"/>
      <c r="X29" s="63"/>
      <c r="Y29" s="25" t="e">
        <f>VLOOKUP(T29,[2]Golpes!$A$1:$G$653,4,FALSE)</f>
        <v>#N/A</v>
      </c>
      <c r="Z29" s="25" t="e">
        <f>VLOOKUP(T29,[2]Golpes!$A$1:$G$653,5,FALSE)</f>
        <v>#N/A</v>
      </c>
      <c r="AA29" s="36" t="e">
        <f>VLOOKUP(T29,[2]Golpes!$A$1:$G$653,6,FALSE)</f>
        <v>#N/A</v>
      </c>
      <c r="AB29" s="17" t="e">
        <f>VLOOKUP(T29,[2]Golpes!$A$1:$G$653,7,FALSE)</f>
        <v>#N/A</v>
      </c>
      <c r="AC29" s="35"/>
    </row>
    <row r="30" spans="1:31" ht="15" thickBot="1" x14ac:dyDescent="0.35">
      <c r="A30" s="64" t="s">
        <v>48</v>
      </c>
      <c r="B30" s="65"/>
      <c r="C30" s="66"/>
      <c r="E30" s="62"/>
      <c r="F30" s="63"/>
      <c r="G30" s="63" t="e">
        <f>VLOOKUP(E30,[2]Golpes!$A$1:$G$653,2,FALSE)&amp;"/"&amp;VLOOKUP(E30,[2]Golpes!$A$1:$G$653,3,FALSE)</f>
        <v>#N/A</v>
      </c>
      <c r="H30" s="63"/>
      <c r="I30" s="63"/>
      <c r="J30" s="25" t="e">
        <f>VLOOKUP(E30,[2]Golpes!$A$1:$G$653,4,FALSE)</f>
        <v>#N/A</v>
      </c>
      <c r="K30" s="25" t="e">
        <f>VLOOKUP(E30,[2]Golpes!$A$1:$G$653,5,FALSE)</f>
        <v>#N/A</v>
      </c>
      <c r="L30" s="36" t="e">
        <f>VLOOKUP(E30,[2]Golpes!$A$1:$G$653,6,FALSE)</f>
        <v>#N/A</v>
      </c>
      <c r="M30" s="17" t="e">
        <f>VLOOKUP(E30,[2]Golpes!$A$1:$G$653,7,FALSE)</f>
        <v>#N/A</v>
      </c>
      <c r="N30" s="35"/>
      <c r="T30" s="62"/>
      <c r="U30" s="63"/>
      <c r="V30" s="63" t="e">
        <f>VLOOKUP(T30,[2]Golpes!$A$1:$G$653,2,FALSE)&amp;"/"&amp;VLOOKUP(T30,[2]Golpes!$A$1:$G$653,3,FALSE)</f>
        <v>#N/A</v>
      </c>
      <c r="W30" s="63"/>
      <c r="X30" s="63"/>
      <c r="Y30" s="25" t="e">
        <f>VLOOKUP(T30,[2]Golpes!$A$1:$G$653,4,FALSE)</f>
        <v>#N/A</v>
      </c>
      <c r="Z30" s="25" t="e">
        <f>VLOOKUP(T30,[2]Golpes!$A$1:$G$653,5,FALSE)</f>
        <v>#N/A</v>
      </c>
      <c r="AA30" s="36" t="e">
        <f>VLOOKUP(T30,[2]Golpes!$A$1:$G$653,6,FALSE)</f>
        <v>#N/A</v>
      </c>
      <c r="AB30" s="17" t="e">
        <f>VLOOKUP(T30,[2]Golpes!$A$1:$G$653,7,FALSE)</f>
        <v>#N/A</v>
      </c>
      <c r="AC30" s="35"/>
    </row>
    <row r="31" spans="1:31" ht="15" thickBot="1" x14ac:dyDescent="0.35">
      <c r="A31" s="84"/>
      <c r="B31" s="48"/>
      <c r="C31" s="85"/>
      <c r="E31" s="67"/>
      <c r="F31" s="68"/>
      <c r="G31" s="68" t="e">
        <f>VLOOKUP(E31,[2]Golpes!$A$1:$G$653,2,FALSE)&amp;"/"&amp;VLOOKUP(E31,[2]Golpes!$A$1:$G$653,3,FALSE)</f>
        <v>#N/A</v>
      </c>
      <c r="H31" s="68"/>
      <c r="I31" s="68"/>
      <c r="J31" s="43" t="e">
        <f>VLOOKUP(E31,[2]Golpes!$A$1:$G$653,4,FALSE)</f>
        <v>#N/A</v>
      </c>
      <c r="K31" s="43" t="e">
        <f>VLOOKUP(E31,[2]Golpes!$A$1:$G$653,5,FALSE)</f>
        <v>#N/A</v>
      </c>
      <c r="L31" s="44" t="e">
        <f>VLOOKUP(E31,[2]Golpes!$A$1:$G$653,6,FALSE)</f>
        <v>#N/A</v>
      </c>
      <c r="M31" s="17" t="e">
        <f>VLOOKUP(E31,[2]Golpes!$A$1:$G$653,7,FALSE)</f>
        <v>#N/A</v>
      </c>
      <c r="N31" s="35"/>
      <c r="T31" s="67"/>
      <c r="U31" s="68"/>
      <c r="V31" s="68" t="e">
        <f>VLOOKUP(T31,[2]Golpes!$A$1:$G$653,2,FALSE)&amp;"/"&amp;VLOOKUP(T31,[2]Golpes!$A$1:$G$653,3,FALSE)</f>
        <v>#N/A</v>
      </c>
      <c r="W31" s="68"/>
      <c r="X31" s="68"/>
      <c r="Y31" s="43" t="e">
        <f>VLOOKUP(T31,[2]Golpes!$A$1:$G$653,4,FALSE)</f>
        <v>#N/A</v>
      </c>
      <c r="Z31" s="43" t="e">
        <f>VLOOKUP(T31,[2]Golpes!$A$1:$G$653,5,FALSE)</f>
        <v>#N/A</v>
      </c>
      <c r="AA31" s="44" t="e">
        <f>VLOOKUP(T31,[2]Golpes!$A$1:$G$653,6,FALSE)</f>
        <v>#N/A</v>
      </c>
      <c r="AB31" s="17" t="e">
        <f>VLOOKUP(T31,[2]Golpes!$A$1:$G$653,7,FALSE)</f>
        <v>#N/A</v>
      </c>
      <c r="AC31" s="35"/>
    </row>
    <row r="32" spans="1:31" ht="15" thickBot="1" x14ac:dyDescent="0.35">
      <c r="A32" s="71"/>
      <c r="B32" s="49"/>
      <c r="C32" s="72"/>
    </row>
    <row r="33" spans="1:31" x14ac:dyDescent="0.3">
      <c r="A33" s="71"/>
      <c r="B33" s="49"/>
      <c r="C33" s="72"/>
      <c r="E33" s="2" t="s">
        <v>1</v>
      </c>
      <c r="F33" s="3"/>
      <c r="G33" s="4"/>
      <c r="H33" s="5"/>
      <c r="I33" s="6" t="s">
        <v>2</v>
      </c>
      <c r="J33" s="6" t="s">
        <v>3</v>
      </c>
      <c r="K33" s="6" t="s">
        <v>4</v>
      </c>
      <c r="L33" s="7" t="s">
        <v>5</v>
      </c>
      <c r="M33" s="8"/>
      <c r="N33" s="9"/>
      <c r="O33" s="53" t="s">
        <v>6</v>
      </c>
      <c r="P33" s="54"/>
      <c r="T33" s="2" t="s">
        <v>1</v>
      </c>
      <c r="U33" s="3"/>
      <c r="V33" s="4"/>
      <c r="W33" s="5"/>
      <c r="X33" s="6" t="s">
        <v>2</v>
      </c>
      <c r="Y33" s="6" t="s">
        <v>3</v>
      </c>
      <c r="Z33" s="6" t="s">
        <v>4</v>
      </c>
      <c r="AA33" s="7" t="s">
        <v>5</v>
      </c>
      <c r="AB33" s="8"/>
      <c r="AC33" s="9"/>
      <c r="AD33" s="53" t="s">
        <v>6</v>
      </c>
      <c r="AE33" s="54"/>
    </row>
    <row r="34" spans="1:31" x14ac:dyDescent="0.3">
      <c r="A34" s="71"/>
      <c r="B34" s="49"/>
      <c r="C34" s="72"/>
      <c r="E34" s="11" t="s">
        <v>8</v>
      </c>
      <c r="F34" s="8" t="s">
        <v>9</v>
      </c>
      <c r="G34" s="12" t="s">
        <v>10</v>
      </c>
      <c r="H34" s="13" t="s">
        <v>11</v>
      </c>
      <c r="I34" s="14" t="e">
        <f>VLOOKUP(F33,[1]Pokemon!$A$1:$I$874,3,FALSE)+IF(F35="Sim",20,0)</f>
        <v>#N/A</v>
      </c>
      <c r="J34" s="15">
        <v>0</v>
      </c>
      <c r="K34" s="8" t="e">
        <f>IF($B$5="Vigoroso",ROUNDUP((N34+J34)*1.2,0),N34+J34)</f>
        <v>#N/A</v>
      </c>
      <c r="L34" s="16">
        <v>0</v>
      </c>
      <c r="M34" s="17"/>
      <c r="N34" s="9" t="e">
        <f>I34+LOOKUP(I34,[1]Dados!$C$3:$D$12,[1]Dados!$E$3:$E$12)*(ROUNDDOWN(F37/2,0))+LOOKUP(I34,[1]Dados!$C$3:$D$12,[1]Dados!$F$3:$F$12)*(ROUNDDOWN((F37-1)/2,0))</f>
        <v>#N/A</v>
      </c>
      <c r="O34" s="18" t="s">
        <v>12</v>
      </c>
      <c r="P34" s="19"/>
      <c r="T34" s="11" t="s">
        <v>8</v>
      </c>
      <c r="U34" s="8" t="s">
        <v>9</v>
      </c>
      <c r="V34" s="12" t="s">
        <v>10</v>
      </c>
      <c r="W34" s="13" t="s">
        <v>11</v>
      </c>
      <c r="X34" s="14" t="e">
        <f>VLOOKUP(U33,[1]Pokemon!$A$1:$I$874,3,FALSE)+IF(U35="Sim",20,0)</f>
        <v>#N/A</v>
      </c>
      <c r="Y34" s="15">
        <v>0</v>
      </c>
      <c r="Z34" s="8" t="e">
        <f>IF($B$5="Vigoroso",ROUNDUP((AC34+Y34)*1.2,0),AC34+Y34)</f>
        <v>#N/A</v>
      </c>
      <c r="AA34" s="16">
        <v>0</v>
      </c>
      <c r="AB34" s="17"/>
      <c r="AC34" s="9" t="e">
        <f>X34+LOOKUP(X34,[1]Dados!$C$3:$D$12,[1]Dados!$E$3:$E$12)*(ROUNDDOWN(U37/2,0))+LOOKUP(X34,[1]Dados!$C$3:$D$12,[1]Dados!$F$3:$F$12)*(ROUNDDOWN((U37-1)/2,0))</f>
        <v>#N/A</v>
      </c>
      <c r="AD34" s="18" t="s">
        <v>12</v>
      </c>
      <c r="AE34" s="19"/>
    </row>
    <row r="35" spans="1:31" x14ac:dyDescent="0.3">
      <c r="A35" s="71"/>
      <c r="B35" s="49"/>
      <c r="C35" s="72"/>
      <c r="E35" s="11" t="s">
        <v>14</v>
      </c>
      <c r="F35" s="8" t="s">
        <v>15</v>
      </c>
      <c r="G35" s="20"/>
      <c r="H35" s="13" t="s">
        <v>16</v>
      </c>
      <c r="I35" s="21">
        <f>20+IF(F35="Sim",10,0)</f>
        <v>20</v>
      </c>
      <c r="J35" s="22">
        <v>0</v>
      </c>
      <c r="K35" s="8">
        <f>18+(F37*2)+IF(F35="Sim",10,0)+J35</f>
        <v>20</v>
      </c>
      <c r="L35" s="16">
        <v>0</v>
      </c>
      <c r="M35" s="17"/>
      <c r="N35" s="9"/>
      <c r="O35" s="18" t="s">
        <v>17</v>
      </c>
      <c r="P35" s="19"/>
      <c r="T35" s="11" t="s">
        <v>14</v>
      </c>
      <c r="U35" s="8" t="s">
        <v>15</v>
      </c>
      <c r="V35" s="20"/>
      <c r="W35" s="13" t="s">
        <v>16</v>
      </c>
      <c r="X35" s="21">
        <f>20+IF(U35="Sim",10,0)</f>
        <v>20</v>
      </c>
      <c r="Y35" s="22">
        <v>0</v>
      </c>
      <c r="Z35" s="8">
        <f>18+(U37*2)+IF(U35="Sim",10,0)+Y35</f>
        <v>20</v>
      </c>
      <c r="AA35" s="16">
        <v>0</v>
      </c>
      <c r="AB35" s="17"/>
      <c r="AC35" s="9"/>
      <c r="AD35" s="18" t="s">
        <v>17</v>
      </c>
      <c r="AE35" s="19"/>
    </row>
    <row r="36" spans="1:31" ht="15" thickBot="1" x14ac:dyDescent="0.35">
      <c r="A36" s="73"/>
      <c r="B36" s="74"/>
      <c r="C36" s="75"/>
      <c r="E36" s="11" t="s">
        <v>19</v>
      </c>
      <c r="F36" s="23" t="e">
        <f>VLOOKUP(F33,[1]Pokemon!$A$1:$I$874,2,FALSE)</f>
        <v>#N/A</v>
      </c>
      <c r="G36" s="20"/>
      <c r="H36" s="13" t="s">
        <v>12</v>
      </c>
      <c r="I36" s="14" t="e">
        <f>VLOOKUP(F33,[1]Pokemon!$A$1:$I$874,4,FALSE)+IF(F35="Sim",1,0)</f>
        <v>#N/A</v>
      </c>
      <c r="J36" s="22">
        <v>1</v>
      </c>
      <c r="K36" s="8" t="e">
        <f>IF(L39="Sim", ROUNDUP((N36+ROUNDDOWN(F39/10,0))*J36*P34,0), ROUNDUP((N36+ROUNDDOWN(F39/10,0))*J36,0))</f>
        <v>#N/A</v>
      </c>
      <c r="L36" s="24" t="s">
        <v>20</v>
      </c>
      <c r="M36" s="17"/>
      <c r="N36" s="9" t="e">
        <f>I36+LOOKUP(I36,[1]Dados!$H$3:$I$12,[1]Dados!$J$3:$J$12)*(ROUNDDOWN(F37/2,0))+LOOKUP(I36,[1]Dados!$H$3:$I$12,[1]Dados!$K$3:$K$12)*(ROUNDDOWN((F37-1)/2,0))</f>
        <v>#N/A</v>
      </c>
      <c r="O36" s="18" t="s">
        <v>21</v>
      </c>
      <c r="P36" s="19"/>
      <c r="T36" s="11" t="s">
        <v>19</v>
      </c>
      <c r="U36" s="23" t="e">
        <f>VLOOKUP(U33,[1]Pokemon!$A$1:$I$874,2,FALSE)</f>
        <v>#N/A</v>
      </c>
      <c r="V36" s="20"/>
      <c r="W36" s="13" t="s">
        <v>12</v>
      </c>
      <c r="X36" s="14" t="e">
        <f>VLOOKUP(U33,[1]Pokemon!$A$1:$I$874,4,FALSE)+IF(U35="Sim",1,0)</f>
        <v>#N/A</v>
      </c>
      <c r="Y36" s="22">
        <v>1</v>
      </c>
      <c r="Z36" s="8" t="e">
        <f>IF(AA39="Sim", ROUNDUP((AC36+ROUNDDOWN(U39/10,0))*Y36*AE34,0), ROUNDUP((AC36+ROUNDDOWN(U39/10,0))*Y36,0))</f>
        <v>#N/A</v>
      </c>
      <c r="AA36" s="24" t="s">
        <v>20</v>
      </c>
      <c r="AB36" s="17"/>
      <c r="AC36" s="9" t="e">
        <f>X36+LOOKUP(X36,[1]Dados!$H$3:$I$12,[1]Dados!$J$3:$J$12)*(ROUNDDOWN(U37/2,0))+LOOKUP(X36,[1]Dados!$H$3:$I$12,[1]Dados!$K$3:$K$12)*(ROUNDDOWN((U37-1)/2,0))</f>
        <v>#N/A</v>
      </c>
      <c r="AD36" s="18" t="s">
        <v>21</v>
      </c>
      <c r="AE36" s="19"/>
    </row>
    <row r="37" spans="1:31" ht="15" thickBot="1" x14ac:dyDescent="0.35">
      <c r="A37" s="64" t="s">
        <v>49</v>
      </c>
      <c r="B37" s="65"/>
      <c r="C37" s="66"/>
      <c r="E37" s="11" t="s">
        <v>23</v>
      </c>
      <c r="F37" s="25">
        <v>1</v>
      </c>
      <c r="G37" s="20"/>
      <c r="H37" s="13" t="s">
        <v>17</v>
      </c>
      <c r="I37" s="14" t="e">
        <f>VLOOKUP(F33,[1]Pokemon!$A$1:$I$874,5,FALSE)+IF(F35="Sim",1,0)</f>
        <v>#N/A</v>
      </c>
      <c r="J37" s="22">
        <v>1</v>
      </c>
      <c r="K37" s="8" t="e">
        <f>IF(L39="Sim", ROUNDUP((N37+ROUNDDOWN(F39/10,0))*J37*P35,0), ROUNDUP((N37+ROUNDDOWN(F39/10,0))*J37,0))</f>
        <v>#N/A</v>
      </c>
      <c r="L37" s="26" t="e">
        <f>ROUNDDOWN(I40/2,0)</f>
        <v>#N/A</v>
      </c>
      <c r="M37" s="17"/>
      <c r="N37" s="9" t="e">
        <f>I37+LOOKUP(I37,[1]Dados!$H$3:$I$12,[1]Dados!$J$3:$J$12)*(ROUNDDOWN(F37/2,0))+LOOKUP(I37,[1]Dados!$H$3:$I$12,[1]Dados!$K$3:$K$12)*(ROUNDDOWN((F37-1)/2,0))</f>
        <v>#N/A</v>
      </c>
      <c r="O37" s="18" t="s">
        <v>24</v>
      </c>
      <c r="P37" s="19"/>
      <c r="T37" s="11" t="s">
        <v>23</v>
      </c>
      <c r="U37" s="25">
        <v>1</v>
      </c>
      <c r="V37" s="20"/>
      <c r="W37" s="13" t="s">
        <v>17</v>
      </c>
      <c r="X37" s="14" t="e">
        <f>VLOOKUP(U33,[1]Pokemon!$A$1:$I$874,5,FALSE)+IF(U35="Sim",1,0)</f>
        <v>#N/A</v>
      </c>
      <c r="Y37" s="22">
        <v>1</v>
      </c>
      <c r="Z37" s="8" t="e">
        <f>IF(AA39="Sim", ROUNDUP((AC37+ROUNDDOWN(U39/10,0))*Y37*AE35,0), ROUNDUP((AC37+ROUNDDOWN(U39/10,0))*Y37,0))</f>
        <v>#N/A</v>
      </c>
      <c r="AA37" s="26" t="e">
        <f>ROUNDDOWN(X40/2,0)</f>
        <v>#N/A</v>
      </c>
      <c r="AB37" s="17"/>
      <c r="AC37" s="9" t="e">
        <f>X37+LOOKUP(X37,[1]Dados!$H$3:$I$12,[1]Dados!$J$3:$J$12)*(ROUNDDOWN(U37/2,0))+LOOKUP(X37,[1]Dados!$H$3:$I$12,[1]Dados!$K$3:$K$12)*(ROUNDDOWN((U37-1)/2,0))</f>
        <v>#N/A</v>
      </c>
      <c r="AD37" s="18" t="s">
        <v>24</v>
      </c>
      <c r="AE37" s="19"/>
    </row>
    <row r="38" spans="1:31" ht="15" thickBot="1" x14ac:dyDescent="0.35">
      <c r="A38" s="38"/>
      <c r="B38" s="38"/>
      <c r="C38" s="45"/>
      <c r="E38" s="11" t="s">
        <v>26</v>
      </c>
      <c r="F38" s="23">
        <v>0</v>
      </c>
      <c r="G38" s="20"/>
      <c r="H38" s="13" t="s">
        <v>21</v>
      </c>
      <c r="I38" s="14" t="e">
        <f>VLOOKUP(F33,[1]Pokemon!$A$1:$I$874,6,FALSE)+IF(F35="Sim",1,0)</f>
        <v>#N/A</v>
      </c>
      <c r="J38" s="22">
        <v>1</v>
      </c>
      <c r="K38" s="8" t="e">
        <f>IF(L39="Sim", ROUNDUP((N38+ROUNDDOWN(F39/10,0))*J38*P36,0), ROUNDUP((N38+ROUNDDOWN(F39/10,0))*J38,0))</f>
        <v>#N/A</v>
      </c>
      <c r="L38" s="24" t="s">
        <v>27</v>
      </c>
      <c r="M38" s="17"/>
      <c r="N38" s="9" t="e">
        <f>I38+LOOKUP(I38,[1]Dados!$H$3:$I$12,[1]Dados!$J$3:$J$12)*(ROUNDDOWN(F37/2,0))+LOOKUP(I38,[1]Dados!$H$3:$I$12,[1]Dados!$K$3:$K$12)*(ROUNDDOWN((F37-1)/2,0))</f>
        <v>#N/A</v>
      </c>
      <c r="O38" s="28" t="s">
        <v>28</v>
      </c>
      <c r="P38" s="29"/>
      <c r="T38" s="11" t="s">
        <v>26</v>
      </c>
      <c r="U38" s="23">
        <v>0</v>
      </c>
      <c r="V38" s="20"/>
      <c r="W38" s="13" t="s">
        <v>21</v>
      </c>
      <c r="X38" s="14" t="e">
        <f>VLOOKUP(U33,[1]Pokemon!$A$1:$I$874,6,FALSE)+IF(U35="Sim",1,0)</f>
        <v>#N/A</v>
      </c>
      <c r="Y38" s="22">
        <v>1</v>
      </c>
      <c r="Z38" s="8" t="e">
        <f>IF(AA39="Sim", ROUNDUP((AC38+ROUNDDOWN(U39/10,0))*Y38*AE36,0), ROUNDUP((AC38+ROUNDDOWN(U39/10,0))*Y38,0))</f>
        <v>#N/A</v>
      </c>
      <c r="AA38" s="24" t="s">
        <v>27</v>
      </c>
      <c r="AB38" s="17"/>
      <c r="AC38" s="9" t="e">
        <f>X38+LOOKUP(X38,[1]Dados!$H$3:$I$12,[1]Dados!$J$3:$J$12)*(ROUNDDOWN(U37/2,0))+LOOKUP(X38,[1]Dados!$H$3:$I$12,[1]Dados!$K$3:$K$12)*(ROUNDDOWN((U37-1)/2,0))</f>
        <v>#N/A</v>
      </c>
      <c r="AD38" s="28" t="s">
        <v>28</v>
      </c>
      <c r="AE38" s="29"/>
    </row>
    <row r="39" spans="1:31" x14ac:dyDescent="0.3">
      <c r="C39" s="46"/>
      <c r="E39" s="11" t="s">
        <v>29</v>
      </c>
      <c r="F39" s="30">
        <v>0</v>
      </c>
      <c r="G39" s="20"/>
      <c r="H39" s="13" t="s">
        <v>24</v>
      </c>
      <c r="I39" s="14" t="e">
        <f>VLOOKUP(F33,[1]Pokemon!$A$1:$I$874,7,FALSE)+IF(F35="Sim",1,0)</f>
        <v>#N/A</v>
      </c>
      <c r="J39" s="22">
        <v>1</v>
      </c>
      <c r="K39" s="8" t="e">
        <f>IF(L39="Sim", ROUNDUP((N39+ROUNDDOWN(F39/10,0))*J39*P37,0), ROUNDUP((N39+ROUNDDOWN(F39/10,0))*J39,0))</f>
        <v>#N/A</v>
      </c>
      <c r="L39" s="26" t="s">
        <v>15</v>
      </c>
      <c r="M39" s="17"/>
      <c r="N39" s="9" t="e">
        <f>I39+LOOKUP(I39,[1]Dados!$H$3:$I$12,[1]Dados!$J$3:$J$12)*(ROUNDDOWN(F37/2,0))+LOOKUP(I39,[1]Dados!$H$3:$I$12,[1]Dados!$K$3:$K$12)*(ROUNDDOWN((F37-1)/2,0))</f>
        <v>#N/A</v>
      </c>
      <c r="T39" s="11" t="s">
        <v>29</v>
      </c>
      <c r="U39" s="30">
        <v>0</v>
      </c>
      <c r="V39" s="20"/>
      <c r="W39" s="13" t="s">
        <v>24</v>
      </c>
      <c r="X39" s="14" t="e">
        <f>VLOOKUP(U33,[1]Pokemon!$A$1:$I$874,7,FALSE)+IF(U35="Sim",1,0)</f>
        <v>#N/A</v>
      </c>
      <c r="Y39" s="22">
        <v>1</v>
      </c>
      <c r="Z39" s="8" t="e">
        <f>IF(AA39="Sim", ROUNDUP((AC39+ROUNDDOWN(U39/10,0))*Y39*AE37,0), ROUNDUP((AC39+ROUNDDOWN(U39/10,0))*Y39,0))</f>
        <v>#N/A</v>
      </c>
      <c r="AA39" s="26" t="s">
        <v>15</v>
      </c>
      <c r="AB39" s="17"/>
      <c r="AC39" s="9" t="e">
        <f>X39+LOOKUP(X39,[1]Dados!$H$3:$I$12,[1]Dados!$J$3:$J$12)*(ROUNDDOWN(U37/2,0))+LOOKUP(X39,[1]Dados!$H$3:$I$12,[1]Dados!$K$3:$K$12)*(ROUNDDOWN((U37-1)/2,0))</f>
        <v>#N/A</v>
      </c>
    </row>
    <row r="40" spans="1:31" x14ac:dyDescent="0.3">
      <c r="C40" s="46"/>
      <c r="E40" s="11" t="s">
        <v>31</v>
      </c>
      <c r="F40" s="23" t="s">
        <v>32</v>
      </c>
      <c r="G40" s="20"/>
      <c r="H40" s="13" t="s">
        <v>28</v>
      </c>
      <c r="I40" s="14" t="e">
        <f>VLOOKUP(F33,[1]Pokemon!$A$1:$I$874,8,FALSE)+IF(F35="Sim",1,0)</f>
        <v>#N/A</v>
      </c>
      <c r="J40" s="22">
        <f>1*IF(F41="Paralisado",0.5,1)</f>
        <v>1</v>
      </c>
      <c r="K40" s="8" t="e">
        <f>IF(L39="Sim", ROUNDUP(N40*J40*P38,0), ROUNDUP(N40*J40,0))</f>
        <v>#N/A</v>
      </c>
      <c r="L40" s="31" t="e">
        <f>IF(L39 = "Sim", ROUNDUP((K40/(10*P38)), 0)&amp;"d6", ROUNDUP((K40/10), 0)&amp;"d6")</f>
        <v>#N/A</v>
      </c>
      <c r="M40" s="17"/>
      <c r="N40" s="9" t="e">
        <f>I40+LOOKUP(I40,[1]Dados!$H$3:$I$12,[1]Dados!$J$3:$J$12)*(ROUNDDOWN(F37/2,0))+LOOKUP(I40,[1]Dados!$H$3:$I$12,[1]Dados!$K$3:$K$12)*(ROUNDDOWN((F37-1)/2,0))</f>
        <v>#N/A</v>
      </c>
      <c r="T40" s="11" t="s">
        <v>31</v>
      </c>
      <c r="U40" s="23" t="s">
        <v>32</v>
      </c>
      <c r="V40" s="20"/>
      <c r="W40" s="13" t="s">
        <v>28</v>
      </c>
      <c r="X40" s="14" t="e">
        <f>VLOOKUP(U33,[1]Pokemon!$A$1:$I$874,8,FALSE)+IF(U35="Sim",1,0)</f>
        <v>#N/A</v>
      </c>
      <c r="Y40" s="22">
        <f>1*IF(U41="Paralisado",0.5,1)</f>
        <v>1</v>
      </c>
      <c r="Z40" s="8" t="e">
        <f>IF(AA39="Sim", ROUNDUP(AC40*Y40*AE38,0), ROUNDUP(AC40*Y40,0))</f>
        <v>#N/A</v>
      </c>
      <c r="AA40" s="31" t="e">
        <f>IF(AA39 = "Sim", ROUNDUP((Z40/(10*AE38)), 0)&amp;"d6", ROUNDUP((Z40/10), 0)&amp;"d6")</f>
        <v>#N/A</v>
      </c>
      <c r="AB40" s="17"/>
      <c r="AC40" s="9" t="e">
        <f>X40+LOOKUP(X40,[1]Dados!$H$3:$I$12,[1]Dados!$J$3:$J$12)*(ROUNDDOWN(U37/2,0))+LOOKUP(X40,[1]Dados!$H$3:$I$12,[1]Dados!$K$3:$K$12)*(ROUNDDOWN((U37-1)/2,0))</f>
        <v>#N/A</v>
      </c>
    </row>
    <row r="41" spans="1:31" x14ac:dyDescent="0.3">
      <c r="C41" s="46"/>
      <c r="E41" s="11" t="s">
        <v>34</v>
      </c>
      <c r="F41" s="23"/>
      <c r="G41" s="20"/>
      <c r="H41" s="13" t="s">
        <v>35</v>
      </c>
      <c r="I41" s="14" t="e">
        <f>VLOOKUP(F33,[1]Pokemon!$A$1:$I$874,9,FALSE)</f>
        <v>#N/A</v>
      </c>
      <c r="J41" s="13" t="s">
        <v>36</v>
      </c>
      <c r="K41" s="13"/>
      <c r="L41" s="32" t="e">
        <f>((F37+1)*I41/2)-F38</f>
        <v>#N/A</v>
      </c>
      <c r="M41" s="17"/>
      <c r="N41" s="33"/>
      <c r="T41" s="11" t="s">
        <v>34</v>
      </c>
      <c r="U41" s="23"/>
      <c r="V41" s="20"/>
      <c r="W41" s="13" t="s">
        <v>35</v>
      </c>
      <c r="X41" s="14" t="e">
        <f>VLOOKUP(U33,[1]Pokemon!$A$1:$I$874,9,FALSE)</f>
        <v>#N/A</v>
      </c>
      <c r="Y41" s="13" t="s">
        <v>36</v>
      </c>
      <c r="Z41" s="13"/>
      <c r="AA41" s="32" t="e">
        <f>((U37+1)*X41/2)-U38</f>
        <v>#N/A</v>
      </c>
      <c r="AB41" s="17"/>
      <c r="AC41" s="33"/>
    </row>
    <row r="42" spans="1:31" x14ac:dyDescent="0.3">
      <c r="C42" s="46"/>
      <c r="E42" s="34"/>
      <c r="F42" s="8"/>
      <c r="G42" s="17"/>
      <c r="H42" s="8"/>
      <c r="I42" s="8"/>
      <c r="J42" s="8"/>
      <c r="K42" s="8"/>
      <c r="L42" s="26"/>
      <c r="M42" s="17"/>
      <c r="N42" s="35"/>
      <c r="T42" s="34"/>
      <c r="U42" s="8"/>
      <c r="V42" s="17"/>
      <c r="W42" s="8"/>
      <c r="X42" s="8"/>
      <c r="Y42" s="8"/>
      <c r="Z42" s="8"/>
      <c r="AA42" s="26"/>
      <c r="AB42" s="17"/>
      <c r="AC42" s="35"/>
    </row>
    <row r="43" spans="1:31" x14ac:dyDescent="0.3">
      <c r="C43" s="46"/>
      <c r="E43" s="60" t="s">
        <v>39</v>
      </c>
      <c r="F43" s="61"/>
      <c r="G43" s="13" t="s">
        <v>40</v>
      </c>
      <c r="H43" s="13"/>
      <c r="I43" s="13"/>
      <c r="J43" s="13" t="s">
        <v>16</v>
      </c>
      <c r="K43" s="13" t="s">
        <v>41</v>
      </c>
      <c r="L43" s="24" t="s">
        <v>42</v>
      </c>
      <c r="M43" s="17"/>
      <c r="N43" s="35"/>
      <c r="T43" s="60" t="s">
        <v>39</v>
      </c>
      <c r="U43" s="61"/>
      <c r="V43" s="13" t="s">
        <v>40</v>
      </c>
      <c r="W43" s="13"/>
      <c r="X43" s="13"/>
      <c r="Y43" s="13" t="s">
        <v>16</v>
      </c>
      <c r="Z43" s="13" t="s">
        <v>41</v>
      </c>
      <c r="AA43" s="24" t="s">
        <v>42</v>
      </c>
      <c r="AB43" s="17"/>
      <c r="AC43" s="35"/>
    </row>
    <row r="44" spans="1:31" x14ac:dyDescent="0.3">
      <c r="C44" s="46"/>
      <c r="E44" s="62"/>
      <c r="F44" s="63"/>
      <c r="G44" s="63" t="e">
        <f>VLOOKUP(E44,[2]Golpes!$A$1:$G$653,2,FALSE)&amp;"/"&amp;VLOOKUP(E44,[2]Golpes!$A$1:$G$653,3,FALSE)</f>
        <v>#N/A</v>
      </c>
      <c r="H44" s="63"/>
      <c r="I44" s="63"/>
      <c r="J44" s="25" t="e">
        <f>VLOOKUP(E44,[2]Golpes!$A$1:$G$653,4,FALSE)</f>
        <v>#N/A</v>
      </c>
      <c r="K44" s="25" t="e">
        <f>VLOOKUP(E44,[2]Golpes!$A$1:$G$653,5,FALSE)</f>
        <v>#N/A</v>
      </c>
      <c r="L44" s="36" t="e">
        <f>VLOOKUP(E44,[2]Golpes!$A$1:$G$653,6,FALSE)</f>
        <v>#N/A</v>
      </c>
      <c r="M44" s="17" t="e">
        <f>VLOOKUP(E44,[2]Golpes!$A$1:$G$653,7,FALSE)</f>
        <v>#N/A</v>
      </c>
      <c r="N44" s="35"/>
      <c r="T44" s="62"/>
      <c r="U44" s="63"/>
      <c r="V44" s="63" t="e">
        <f>VLOOKUP(T44,[2]Golpes!$A$1:$G$653,2,FALSE)&amp;"/"&amp;VLOOKUP(T44,[2]Golpes!$A$1:$G$653,3,FALSE)</f>
        <v>#N/A</v>
      </c>
      <c r="W44" s="63"/>
      <c r="X44" s="63"/>
      <c r="Y44" s="25" t="e">
        <f>VLOOKUP(T44,[2]Golpes!$A$1:$G$653,4,FALSE)</f>
        <v>#N/A</v>
      </c>
      <c r="Z44" s="25" t="e">
        <f>VLOOKUP(T44,[2]Golpes!$A$1:$G$653,5,FALSE)</f>
        <v>#N/A</v>
      </c>
      <c r="AA44" s="36" t="e">
        <f>VLOOKUP(T44,[2]Golpes!$A$1:$G$653,6,FALSE)</f>
        <v>#N/A</v>
      </c>
      <c r="AB44" s="17" t="e">
        <f>VLOOKUP(T44,[2]Golpes!$A$1:$G$653,7,FALSE)</f>
        <v>#N/A</v>
      </c>
      <c r="AC44" s="35"/>
    </row>
    <row r="45" spans="1:31" x14ac:dyDescent="0.3">
      <c r="C45" s="46"/>
      <c r="E45" s="62"/>
      <c r="F45" s="63"/>
      <c r="G45" s="63" t="e">
        <f>VLOOKUP(E45,[2]Golpes!$A$1:$G$653,2,FALSE)&amp;"/"&amp;VLOOKUP(E45,[2]Golpes!$A$1:$G$653,3,FALSE)</f>
        <v>#N/A</v>
      </c>
      <c r="H45" s="63"/>
      <c r="I45" s="63"/>
      <c r="J45" s="25" t="e">
        <f>VLOOKUP(E45,[2]Golpes!$A$1:$G$653,4,FALSE)</f>
        <v>#N/A</v>
      </c>
      <c r="K45" s="25" t="e">
        <f>VLOOKUP(E45,[2]Golpes!$A$1:$G$653,5,FALSE)</f>
        <v>#N/A</v>
      </c>
      <c r="L45" s="36" t="e">
        <f>VLOOKUP(E45,[2]Golpes!$A$1:$G$653,6,FALSE)</f>
        <v>#N/A</v>
      </c>
      <c r="M45" s="17" t="e">
        <f>VLOOKUP(E45,[2]Golpes!$A$1:$G$653,7,FALSE)</f>
        <v>#N/A</v>
      </c>
      <c r="N45" s="35"/>
      <c r="T45" s="62"/>
      <c r="U45" s="63"/>
      <c r="V45" s="63" t="e">
        <f>VLOOKUP(T45,[2]Golpes!$A$1:$G$653,2,FALSE)&amp;"/"&amp;VLOOKUP(T45,[2]Golpes!$A$1:$G$653,3,FALSE)</f>
        <v>#N/A</v>
      </c>
      <c r="W45" s="63"/>
      <c r="X45" s="63"/>
      <c r="Y45" s="25" t="e">
        <f>VLOOKUP(T45,[2]Golpes!$A$1:$G$653,4,FALSE)</f>
        <v>#N/A</v>
      </c>
      <c r="Z45" s="25" t="e">
        <f>VLOOKUP(T45,[2]Golpes!$A$1:$G$653,5,FALSE)</f>
        <v>#N/A</v>
      </c>
      <c r="AA45" s="36" t="e">
        <f>VLOOKUP(T45,[2]Golpes!$A$1:$G$653,6,FALSE)</f>
        <v>#N/A</v>
      </c>
      <c r="AB45" s="17" t="e">
        <f>VLOOKUP(T45,[2]Golpes!$A$1:$G$653,7,FALSE)</f>
        <v>#N/A</v>
      </c>
      <c r="AC45" s="35"/>
    </row>
    <row r="46" spans="1:31" x14ac:dyDescent="0.3">
      <c r="C46" s="46"/>
      <c r="E46" s="62"/>
      <c r="F46" s="63"/>
      <c r="G46" s="63" t="e">
        <f>VLOOKUP(E46,[2]Golpes!$A$1:$G$653,2,FALSE)&amp;"/"&amp;VLOOKUP(E46,[2]Golpes!$A$1:$G$653,3,FALSE)</f>
        <v>#N/A</v>
      </c>
      <c r="H46" s="63"/>
      <c r="I46" s="63"/>
      <c r="J46" s="25" t="e">
        <f>VLOOKUP(E46,[2]Golpes!$A$1:$G$653,4,FALSE)</f>
        <v>#N/A</v>
      </c>
      <c r="K46" s="25" t="e">
        <f>VLOOKUP(E46,[2]Golpes!$A$1:$G$653,5,FALSE)</f>
        <v>#N/A</v>
      </c>
      <c r="L46" s="36" t="e">
        <f>VLOOKUP(E46,[2]Golpes!$A$1:$G$653,6,FALSE)</f>
        <v>#N/A</v>
      </c>
      <c r="M46" s="17" t="e">
        <f>VLOOKUP(E46,[2]Golpes!$A$1:$G$653,7,FALSE)</f>
        <v>#N/A</v>
      </c>
      <c r="N46" s="35"/>
      <c r="T46" s="62"/>
      <c r="U46" s="63"/>
      <c r="V46" s="63" t="e">
        <f>VLOOKUP(T46,[2]Golpes!$A$1:$G$653,2,FALSE)&amp;"/"&amp;VLOOKUP(T46,[2]Golpes!$A$1:$G$653,3,FALSE)</f>
        <v>#N/A</v>
      </c>
      <c r="W46" s="63"/>
      <c r="X46" s="63"/>
      <c r="Y46" s="25" t="e">
        <f>VLOOKUP(T46,[2]Golpes!$A$1:$G$653,4,FALSE)</f>
        <v>#N/A</v>
      </c>
      <c r="Z46" s="25" t="e">
        <f>VLOOKUP(T46,[2]Golpes!$A$1:$G$653,5,FALSE)</f>
        <v>#N/A</v>
      </c>
      <c r="AA46" s="36" t="e">
        <f>VLOOKUP(T46,[2]Golpes!$A$1:$G$653,6,FALSE)</f>
        <v>#N/A</v>
      </c>
      <c r="AB46" s="17" t="e">
        <f>VLOOKUP(T46,[2]Golpes!$A$1:$G$653,7,FALSE)</f>
        <v>#N/A</v>
      </c>
      <c r="AC46" s="35"/>
    </row>
    <row r="47" spans="1:31" ht="15" thickBot="1" x14ac:dyDescent="0.35">
      <c r="C47" s="46"/>
      <c r="E47" s="67"/>
      <c r="F47" s="68"/>
      <c r="G47" s="68" t="e">
        <f>VLOOKUP(E47,[2]Golpes!$A$1:$G$653,2,FALSE)&amp;"/"&amp;VLOOKUP(E47,[2]Golpes!$A$1:$G$653,3,FALSE)</f>
        <v>#N/A</v>
      </c>
      <c r="H47" s="68"/>
      <c r="I47" s="68"/>
      <c r="J47" s="43" t="e">
        <f>VLOOKUP(E47,[2]Golpes!$A$1:$G$653,4,FALSE)</f>
        <v>#N/A</v>
      </c>
      <c r="K47" s="43" t="e">
        <f>VLOOKUP(E47,[2]Golpes!$A$1:$G$653,5,FALSE)</f>
        <v>#N/A</v>
      </c>
      <c r="L47" s="44" t="e">
        <f>VLOOKUP(E47,[2]Golpes!$A$1:$G$653,6,FALSE)</f>
        <v>#N/A</v>
      </c>
      <c r="M47" s="17" t="e">
        <f>VLOOKUP(E47,[2]Golpes!$A$1:$G$653,7,FALSE)</f>
        <v>#N/A</v>
      </c>
      <c r="N47" s="35"/>
      <c r="T47" s="67"/>
      <c r="U47" s="68"/>
      <c r="V47" s="68" t="e">
        <f>VLOOKUP(T47,[2]Golpes!$A$1:$G$653,2,FALSE)&amp;"/"&amp;VLOOKUP(T47,[2]Golpes!$A$1:$G$653,3,FALSE)</f>
        <v>#N/A</v>
      </c>
      <c r="W47" s="68"/>
      <c r="X47" s="68"/>
      <c r="Y47" s="43" t="e">
        <f>VLOOKUP(T47,[2]Golpes!$A$1:$G$653,4,FALSE)</f>
        <v>#N/A</v>
      </c>
      <c r="Z47" s="43" t="e">
        <f>VLOOKUP(T47,[2]Golpes!$A$1:$G$653,5,FALSE)</f>
        <v>#N/A</v>
      </c>
      <c r="AA47" s="44" t="e">
        <f>VLOOKUP(T47,[2]Golpes!$A$1:$G$653,6,FALSE)</f>
        <v>#N/A</v>
      </c>
      <c r="AB47" s="17" t="e">
        <f>VLOOKUP(T47,[2]Golpes!$A$1:$G$653,7,FALSE)</f>
        <v>#N/A</v>
      </c>
      <c r="AC47" s="35"/>
    </row>
    <row r="48" spans="1:31" x14ac:dyDescent="0.3">
      <c r="C48" s="46"/>
    </row>
    <row r="49" spans="3:3" x14ac:dyDescent="0.3">
      <c r="C49" s="46"/>
    </row>
    <row r="50" spans="3:3" x14ac:dyDescent="0.3">
      <c r="C50" s="46"/>
    </row>
    <row r="51" spans="3:3" x14ac:dyDescent="0.3">
      <c r="C51" s="46"/>
    </row>
    <row r="52" spans="3:3" x14ac:dyDescent="0.3">
      <c r="C52" s="46"/>
    </row>
    <row r="53" spans="3:3" x14ac:dyDescent="0.3">
      <c r="C53" s="46"/>
    </row>
    <row r="54" spans="3:3" x14ac:dyDescent="0.3">
      <c r="C54" s="46"/>
    </row>
    <row r="55" spans="3:3" x14ac:dyDescent="0.3">
      <c r="C55" s="46"/>
    </row>
    <row r="56" spans="3:3" x14ac:dyDescent="0.3">
      <c r="C56" s="46"/>
    </row>
    <row r="57" spans="3:3" x14ac:dyDescent="0.3">
      <c r="C57" s="46"/>
    </row>
    <row r="58" spans="3:3" x14ac:dyDescent="0.3">
      <c r="C58" s="46"/>
    </row>
  </sheetData>
  <mergeCells count="83">
    <mergeCell ref="E47:F47"/>
    <mergeCell ref="G47:I47"/>
    <mergeCell ref="T47:U47"/>
    <mergeCell ref="V47:X47"/>
    <mergeCell ref="B1:C1"/>
    <mergeCell ref="E45:F45"/>
    <mergeCell ref="G45:I45"/>
    <mergeCell ref="T45:U45"/>
    <mergeCell ref="V45:X45"/>
    <mergeCell ref="E46:F46"/>
    <mergeCell ref="G46:I46"/>
    <mergeCell ref="T46:U46"/>
    <mergeCell ref="V46:X46"/>
    <mergeCell ref="E44:F44"/>
    <mergeCell ref="G44:I44"/>
    <mergeCell ref="T44:U44"/>
    <mergeCell ref="AD33:AE33"/>
    <mergeCell ref="A34:C36"/>
    <mergeCell ref="A37:C37"/>
    <mergeCell ref="E43:F43"/>
    <mergeCell ref="T43:U43"/>
    <mergeCell ref="V44:X44"/>
    <mergeCell ref="A31:C33"/>
    <mergeCell ref="E31:F31"/>
    <mergeCell ref="G31:I31"/>
    <mergeCell ref="T31:U31"/>
    <mergeCell ref="V31:X31"/>
    <mergeCell ref="O33:P33"/>
    <mergeCell ref="A30:C30"/>
    <mergeCell ref="E30:F30"/>
    <mergeCell ref="G30:I30"/>
    <mergeCell ref="T30:U30"/>
    <mergeCell ref="V30:X30"/>
    <mergeCell ref="V15:X15"/>
    <mergeCell ref="AD17:AE17"/>
    <mergeCell ref="A18:C20"/>
    <mergeCell ref="A24:C26"/>
    <mergeCell ref="A27:C29"/>
    <mergeCell ref="E27:F27"/>
    <mergeCell ref="T27:U27"/>
    <mergeCell ref="E28:F28"/>
    <mergeCell ref="G28:I28"/>
    <mergeCell ref="T28:U28"/>
    <mergeCell ref="V28:X28"/>
    <mergeCell ref="E29:F29"/>
    <mergeCell ref="G29:I29"/>
    <mergeCell ref="T29:U29"/>
    <mergeCell ref="V29:X29"/>
    <mergeCell ref="A21:C23"/>
    <mergeCell ref="A16:C16"/>
    <mergeCell ref="A17:C17"/>
    <mergeCell ref="O17:P17"/>
    <mergeCell ref="V12:X12"/>
    <mergeCell ref="B13:C13"/>
    <mergeCell ref="E13:F13"/>
    <mergeCell ref="G13:I13"/>
    <mergeCell ref="T13:U13"/>
    <mergeCell ref="V13:X13"/>
    <mergeCell ref="E14:F14"/>
    <mergeCell ref="G14:I14"/>
    <mergeCell ref="T14:U14"/>
    <mergeCell ref="V14:X14"/>
    <mergeCell ref="E15:F15"/>
    <mergeCell ref="G15:I15"/>
    <mergeCell ref="T15:U15"/>
    <mergeCell ref="E11:F11"/>
    <mergeCell ref="T11:U11"/>
    <mergeCell ref="B12:C12"/>
    <mergeCell ref="E12:F12"/>
    <mergeCell ref="G12:I12"/>
    <mergeCell ref="T12:U12"/>
    <mergeCell ref="B11:C11"/>
    <mergeCell ref="B6:C6"/>
    <mergeCell ref="A7:C7"/>
    <mergeCell ref="B8:C8"/>
    <mergeCell ref="B9:C9"/>
    <mergeCell ref="B10:C10"/>
    <mergeCell ref="B5:C5"/>
    <mergeCell ref="O1:P1"/>
    <mergeCell ref="AD1:AE1"/>
    <mergeCell ref="B2:C2"/>
    <mergeCell ref="B3:C3"/>
    <mergeCell ref="B4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Gimbya</vt:lpstr>
      <vt:lpstr>Xamã</vt:lpstr>
      <vt:lpstr>Irapuã</vt:lpstr>
      <vt:lpstr>Ayana</vt:lpstr>
      <vt:lpstr>Hamenra-&gt;</vt:lpstr>
      <vt:lpstr>Aiyra</vt:lpstr>
      <vt:lpstr>Yara</vt:lpstr>
      <vt:lpstr>Kayke</vt:lpstr>
      <vt:lpstr>Xondaro</vt:lpstr>
      <vt:lpstr>Kaira-&gt;</vt:lpstr>
      <vt:lpstr>Piata</vt:lpstr>
      <vt:lpstr>Dyami</vt:lpstr>
      <vt:lpstr>Arau</vt:lpstr>
      <vt:lpstr>Nina</vt:lpstr>
    </vt:vector>
  </TitlesOfParts>
  <Company>Grinnell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 Garcia, Patrick</dc:creator>
  <cp:lastModifiedBy>PATRICK GARCIA</cp:lastModifiedBy>
  <dcterms:created xsi:type="dcterms:W3CDTF">2022-04-09T04:13:41Z</dcterms:created>
  <dcterms:modified xsi:type="dcterms:W3CDTF">2023-09-30T21:03:53Z</dcterms:modified>
</cp:coreProperties>
</file>