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20C11D5C-0D98-4839-8E82-E766CFE7C6DA}" xr6:coauthVersionLast="47" xr6:coauthVersionMax="47" xr10:uidLastSave="{00000000-0000-0000-0000-000000000000}"/>
  <bookViews>
    <workbookView xWindow="-108" yWindow="-108" windowWidth="23256" windowHeight="13896" activeTab="7" xr2:uid="{00000000-000D-0000-FFFF-FFFF00000000}"/>
  </bookViews>
  <sheets>
    <sheet name="Valn" sheetId="8" r:id="rId1"/>
    <sheet name="PL" sheetId="1" r:id="rId2"/>
    <sheet name="Sheet1" sheetId="10" state="hidden" r:id="rId3"/>
    <sheet name="Expenses Analysis" sheetId="4" state="hidden" r:id="rId4"/>
    <sheet name="Professional Fees" sheetId="6" state="hidden" r:id="rId5"/>
    <sheet name="BS" sheetId="2" r:id="rId6"/>
    <sheet name="FA" sheetId="7" r:id="rId7"/>
    <sheet name="COE" sheetId="9" r:id="rId8"/>
    <sheet name="Graph" sheetId="11" state="hidden" r:id="rId9"/>
    <sheet name="India  SIngapore UK" sheetId="3"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8" l="1"/>
  <c r="C15" i="8"/>
  <c r="D29" i="8"/>
  <c r="G26" i="8"/>
  <c r="I30" i="2" l="1"/>
  <c r="J30" i="2" s="1"/>
  <c r="K30" i="2" s="1"/>
  <c r="L30" i="2" s="1"/>
  <c r="M30" i="2" s="1"/>
  <c r="G14" i="2"/>
  <c r="I13" i="2"/>
  <c r="J13" i="2" s="1"/>
  <c r="K13" i="2" s="1"/>
  <c r="L13" i="2" s="1"/>
  <c r="M13" i="2" s="1"/>
  <c r="L30" i="1"/>
  <c r="M30" i="1" s="1"/>
  <c r="N30" i="1" s="1"/>
  <c r="O30" i="1" s="1"/>
  <c r="P30" i="1" s="1"/>
  <c r="Q30" i="1" s="1"/>
  <c r="E16" i="1"/>
  <c r="D16" i="1"/>
  <c r="C16" i="1"/>
  <c r="F3" i="10"/>
  <c r="G3" i="10" s="1"/>
  <c r="H3" i="10" s="1"/>
  <c r="L6" i="1"/>
  <c r="C7" i="1"/>
  <c r="I23" i="2"/>
  <c r="J23" i="2" s="1"/>
  <c r="K23" i="2" s="1"/>
  <c r="L23" i="2" s="1"/>
  <c r="M23" i="2" s="1"/>
  <c r="I14" i="2" l="1"/>
  <c r="E12" i="7"/>
  <c r="E13" i="7" s="1"/>
  <c r="F11" i="7" s="1"/>
  <c r="E11" i="7"/>
  <c r="I21" i="2"/>
  <c r="E37" i="2"/>
  <c r="D37" i="2"/>
  <c r="E28" i="2"/>
  <c r="D28" i="2"/>
  <c r="C28" i="2"/>
  <c r="E15" i="1"/>
  <c r="D15" i="1"/>
  <c r="E14" i="1"/>
  <c r="E13" i="1"/>
  <c r="G12" i="2" s="1"/>
  <c r="D14" i="1"/>
  <c r="C14" i="1"/>
  <c r="C15" i="1"/>
  <c r="D13" i="1"/>
  <c r="C13" i="1"/>
  <c r="D7" i="1"/>
  <c r="E7" i="1"/>
  <c r="F12" i="7" l="1"/>
  <c r="F13" i="7"/>
  <c r="G11" i="7" s="1"/>
  <c r="G12" i="7" s="1"/>
  <c r="G13" i="7" s="1"/>
  <c r="H11" i="7" s="1"/>
  <c r="J21" i="2"/>
  <c r="G27" i="2"/>
  <c r="I27" i="2" s="1"/>
  <c r="H12" i="7"/>
  <c r="H13" i="7" s="1"/>
  <c r="I11" i="7" s="1"/>
  <c r="G26" i="2"/>
  <c r="I26" i="2" s="1"/>
  <c r="G15" i="2"/>
  <c r="C9" i="9"/>
  <c r="C18" i="8"/>
  <c r="I29" i="2"/>
  <c r="C36" i="2"/>
  <c r="E35" i="2"/>
  <c r="D35" i="2"/>
  <c r="D3" i="2"/>
  <c r="E3" i="2"/>
  <c r="C3" i="2"/>
  <c r="I5" i="1"/>
  <c r="H5" i="1"/>
  <c r="G5" i="1"/>
  <c r="L5" i="1"/>
  <c r="I3" i="2" s="1"/>
  <c r="E2" i="7" s="1"/>
  <c r="K21" i="2" l="1"/>
  <c r="L21" i="2" s="1"/>
  <c r="M21" i="2" s="1"/>
  <c r="I12" i="7"/>
  <c r="I13" i="7" s="1"/>
  <c r="J11" i="7" s="1"/>
  <c r="M5" i="1"/>
  <c r="C4" i="8"/>
  <c r="L29" i="8"/>
  <c r="L28" i="8"/>
  <c r="L27" i="8"/>
  <c r="L26" i="8"/>
  <c r="J12" i="7" l="1"/>
  <c r="J13" i="7" s="1"/>
  <c r="D4" i="8"/>
  <c r="J3" i="2"/>
  <c r="F2" i="7" s="1"/>
  <c r="N5" i="1"/>
  <c r="O5" i="1" l="1"/>
  <c r="E4" i="8"/>
  <c r="K3" i="2"/>
  <c r="G2" i="7" s="1"/>
  <c r="C7" i="9"/>
  <c r="C12" i="9" s="1"/>
  <c r="P5" i="1" l="1"/>
  <c r="F4" i="8"/>
  <c r="L3" i="2"/>
  <c r="H2" i="7" s="1"/>
  <c r="C7" i="8"/>
  <c r="D30" i="8"/>
  <c r="D31" i="8" s="1"/>
  <c r="D32" i="8" s="1"/>
  <c r="J24" i="3"/>
  <c r="J23" i="3"/>
  <c r="D6" i="8"/>
  <c r="E6" i="8" s="1"/>
  <c r="E7" i="8" s="1"/>
  <c r="G4" i="8" l="1"/>
  <c r="M3" i="2"/>
  <c r="I2" i="7" s="1"/>
  <c r="D28" i="8"/>
  <c r="D27" i="8" s="1"/>
  <c r="D7" i="8"/>
  <c r="F6" i="8"/>
  <c r="F7" i="8" l="1"/>
  <c r="G6" i="8"/>
  <c r="G7" i="8" s="1"/>
  <c r="J29" i="2" l="1"/>
  <c r="K29" i="2" s="1"/>
  <c r="L29" i="2" s="1"/>
  <c r="M29" i="2" s="1"/>
  <c r="E24" i="2"/>
  <c r="E32" i="2" s="1"/>
  <c r="D24" i="2"/>
  <c r="D32" i="2" s="1"/>
  <c r="C24" i="2"/>
  <c r="C32" i="2" s="1"/>
  <c r="E3" i="7"/>
  <c r="E4" i="7" s="1"/>
  <c r="E15" i="7" s="1"/>
  <c r="L38" i="1" s="1"/>
  <c r="D36" i="2"/>
  <c r="M5" i="2"/>
  <c r="I15" i="2" l="1"/>
  <c r="J5" i="2"/>
  <c r="D18" i="2"/>
  <c r="C18" i="2"/>
  <c r="K5" i="2"/>
  <c r="L5" i="2"/>
  <c r="I5" i="2"/>
  <c r="M6" i="1"/>
  <c r="E36" i="2"/>
  <c r="G36" i="2" s="1"/>
  <c r="C6" i="7" s="1"/>
  <c r="E6" i="7" s="1"/>
  <c r="F6" i="7" s="1"/>
  <c r="G6" i="7" s="1"/>
  <c r="H6" i="7" s="1"/>
  <c r="I6" i="7" s="1"/>
  <c r="J6" i="7" s="1"/>
  <c r="J27" i="2" l="1"/>
  <c r="J26" i="2"/>
  <c r="J14" i="2"/>
  <c r="J15" i="2"/>
  <c r="N6" i="1"/>
  <c r="E5" i="7"/>
  <c r="K27" i="2" l="1"/>
  <c r="K14" i="2"/>
  <c r="K26" i="2"/>
  <c r="E7" i="7"/>
  <c r="L26" i="1" s="1"/>
  <c r="L37" i="1" s="1"/>
  <c r="K15" i="2"/>
  <c r="O6" i="1"/>
  <c r="L27" i="2" l="1"/>
  <c r="L14" i="2"/>
  <c r="L26" i="2"/>
  <c r="E8" i="7"/>
  <c r="F3" i="7" s="1"/>
  <c r="F4" i="7" s="1"/>
  <c r="F15" i="7" s="1"/>
  <c r="M38" i="1" s="1"/>
  <c r="L15" i="2"/>
  <c r="P6" i="1"/>
  <c r="M27" i="2" l="1"/>
  <c r="M26" i="2"/>
  <c r="M14" i="2"/>
  <c r="F5" i="7"/>
  <c r="F7" i="7" s="1"/>
  <c r="M26" i="1" s="1"/>
  <c r="M37" i="1" s="1"/>
  <c r="I22" i="2"/>
  <c r="M15" i="2"/>
  <c r="Q6" i="1"/>
  <c r="E10" i="1"/>
  <c r="I9" i="1" s="1"/>
  <c r="E23" i="3"/>
  <c r="E24" i="3"/>
  <c r="I19" i="1"/>
  <c r="J19" i="1" s="1"/>
  <c r="P19" i="1" s="1"/>
  <c r="Q19" i="1" s="1"/>
  <c r="G19" i="1"/>
  <c r="H19" i="1"/>
  <c r="G18" i="1"/>
  <c r="H18" i="1"/>
  <c r="I17" i="1"/>
  <c r="G17" i="1"/>
  <c r="H17" i="1"/>
  <c r="H16" i="1"/>
  <c r="H15" i="1"/>
  <c r="G15" i="1"/>
  <c r="J15" i="1" l="1"/>
  <c r="F8" i="7"/>
  <c r="J22" i="2" s="1"/>
  <c r="J17" i="1"/>
  <c r="P17" i="1" s="1"/>
  <c r="Q17" i="1" s="1"/>
  <c r="L19" i="1"/>
  <c r="M19" i="1"/>
  <c r="N19" i="1"/>
  <c r="O19" i="1"/>
  <c r="G16" i="1"/>
  <c r="J16" i="1" s="1"/>
  <c r="I18" i="1"/>
  <c r="J18" i="1" s="1"/>
  <c r="L18" i="1" s="1"/>
  <c r="M18" i="1" s="1"/>
  <c r="N18" i="1" s="1"/>
  <c r="O18" i="1" s="1"/>
  <c r="P18" i="1" s="1"/>
  <c r="Q18" i="1" s="1"/>
  <c r="I16" i="1"/>
  <c r="I15" i="1"/>
  <c r="L16" i="1" l="1"/>
  <c r="M16" i="1"/>
  <c r="N16" i="1"/>
  <c r="O16" i="1"/>
  <c r="P16" i="1"/>
  <c r="M15" i="1"/>
  <c r="N15" i="1"/>
  <c r="O15" i="1"/>
  <c r="P15" i="1"/>
  <c r="Q16" i="1"/>
  <c r="Q15" i="1"/>
  <c r="G3" i="7"/>
  <c r="G4" i="7" s="1"/>
  <c r="G15" i="7" s="1"/>
  <c r="N38" i="1" s="1"/>
  <c r="O17" i="1"/>
  <c r="N17" i="1"/>
  <c r="M17" i="1"/>
  <c r="L17" i="1"/>
  <c r="L15" i="1"/>
  <c r="G5" i="7" l="1"/>
  <c r="G7" i="7" s="1"/>
  <c r="N26" i="1" s="1"/>
  <c r="N37" i="1" s="1"/>
  <c r="H14" i="1"/>
  <c r="I14" i="1"/>
  <c r="G14" i="1"/>
  <c r="J14" i="1" l="1"/>
  <c r="L14" i="1" s="1"/>
  <c r="M14" i="1"/>
  <c r="E22" i="1"/>
  <c r="G8" i="7"/>
  <c r="H3" i="7" s="1"/>
  <c r="H4" i="7" s="1"/>
  <c r="H15" i="7" s="1"/>
  <c r="O38" i="1" s="1"/>
  <c r="J5" i="3"/>
  <c r="J12" i="3"/>
  <c r="K15" i="3"/>
  <c r="L15" i="3"/>
  <c r="K23" i="3"/>
  <c r="L23" i="3"/>
  <c r="L27" i="3" s="1"/>
  <c r="J27" i="3"/>
  <c r="K27" i="3"/>
  <c r="D19" i="4"/>
  <c r="D17" i="4"/>
  <c r="C17" i="4"/>
  <c r="B17" i="4"/>
  <c r="E24" i="1" l="1"/>
  <c r="E28" i="1" s="1"/>
  <c r="E32" i="1" s="1"/>
  <c r="E34" i="1" s="1"/>
  <c r="C19" i="8"/>
  <c r="P14" i="1"/>
  <c r="Q14" i="1" s="1"/>
  <c r="O14" i="1"/>
  <c r="N14" i="1"/>
  <c r="J15" i="3"/>
  <c r="E36" i="1"/>
  <c r="K22" i="2"/>
  <c r="C8" i="4"/>
  <c r="F6" i="4" s="1"/>
  <c r="B8" i="4"/>
  <c r="E6" i="4" s="1"/>
  <c r="L42" i="1" l="1"/>
  <c r="H5" i="7"/>
  <c r="H7" i="7" s="1"/>
  <c r="O26" i="1" s="1"/>
  <c r="O37" i="1" s="1"/>
  <c r="D8" i="4"/>
  <c r="B13" i="3"/>
  <c r="B11" i="3"/>
  <c r="B8" i="3"/>
  <c r="D13" i="3"/>
  <c r="C13" i="3"/>
  <c r="D8" i="3"/>
  <c r="C8" i="3"/>
  <c r="D15" i="3" l="1"/>
  <c r="B15" i="3"/>
  <c r="E11" i="3"/>
  <c r="C15" i="3"/>
  <c r="E13" i="3"/>
  <c r="E18" i="2"/>
  <c r="H8" i="7"/>
  <c r="L22" i="2" s="1"/>
  <c r="G6" i="4"/>
  <c r="D22" i="4"/>
  <c r="C17" i="3"/>
  <c r="D17" i="3"/>
  <c r="B17" i="3" l="1"/>
  <c r="B21" i="3" s="1"/>
  <c r="B25" i="3" s="1"/>
  <c r="B29" i="3" s="1"/>
  <c r="B33" i="3" s="1"/>
  <c r="D21" i="3"/>
  <c r="D25" i="3" s="1"/>
  <c r="D29" i="3" s="1"/>
  <c r="D33" i="3" s="1"/>
  <c r="C21" i="3"/>
  <c r="I3" i="7"/>
  <c r="E20" i="4"/>
  <c r="E19" i="4"/>
  <c r="I4" i="7" l="1"/>
  <c r="I15" i="7" s="1"/>
  <c r="P38" i="1" s="1"/>
  <c r="E17" i="3"/>
  <c r="C25" i="3"/>
  <c r="C29" i="3" s="1"/>
  <c r="E21" i="3"/>
  <c r="D33" i="2"/>
  <c r="C33" i="2"/>
  <c r="I5" i="7" l="1"/>
  <c r="I7" i="7" s="1"/>
  <c r="P26" i="1" s="1"/>
  <c r="P37" i="1" s="1"/>
  <c r="C33" i="3"/>
  <c r="E29" i="3"/>
  <c r="E33" i="2"/>
  <c r="I8" i="7" l="1"/>
  <c r="J3" i="7" s="1"/>
  <c r="J4" i="7" s="1"/>
  <c r="J15" i="7" s="1"/>
  <c r="Q38" i="1" s="1"/>
  <c r="H30" i="1"/>
  <c r="G30" i="1"/>
  <c r="H26" i="1"/>
  <c r="G26" i="1"/>
  <c r="H20" i="1"/>
  <c r="H13" i="1"/>
  <c r="G13" i="1"/>
  <c r="C10" i="1"/>
  <c r="D10" i="1"/>
  <c r="H9" i="1" s="1"/>
  <c r="G9" i="1" l="1"/>
  <c r="J9" i="1" s="1"/>
  <c r="G6" i="1"/>
  <c r="M22" i="2"/>
  <c r="J5" i="7"/>
  <c r="J7" i="7" s="1"/>
  <c r="Q26" i="1" s="1"/>
  <c r="H6" i="1"/>
  <c r="I30" i="1"/>
  <c r="I26" i="1"/>
  <c r="I13" i="1"/>
  <c r="J13" i="1" s="1"/>
  <c r="D22" i="1"/>
  <c r="D24" i="1" s="1"/>
  <c r="Q13" i="1" l="1"/>
  <c r="O13" i="1"/>
  <c r="L13" i="1"/>
  <c r="I12" i="2" s="1"/>
  <c r="N13" i="1"/>
  <c r="P13" i="1"/>
  <c r="M13" i="1"/>
  <c r="M12" i="2"/>
  <c r="J8" i="7"/>
  <c r="Q37" i="1"/>
  <c r="I6" i="1"/>
  <c r="I20" i="1"/>
  <c r="J20" i="1" s="1"/>
  <c r="L20" i="1" s="1"/>
  <c r="M20" i="1" s="1"/>
  <c r="N20" i="1" s="1"/>
  <c r="O20" i="1" s="1"/>
  <c r="P20" i="1" s="1"/>
  <c r="Q20" i="1" s="1"/>
  <c r="L9" i="1" l="1"/>
  <c r="L10" i="1" s="1"/>
  <c r="M9" i="1"/>
  <c r="M10" i="1" s="1"/>
  <c r="N9" i="1"/>
  <c r="N10" i="1" s="1"/>
  <c r="O9" i="1"/>
  <c r="O10" i="1" s="1"/>
  <c r="P9" i="1"/>
  <c r="P10" i="1" s="1"/>
  <c r="Q9" i="1"/>
  <c r="Q10" i="1" s="1"/>
  <c r="K12" i="2"/>
  <c r="J12" i="2"/>
  <c r="L12" i="2"/>
  <c r="N22" i="1"/>
  <c r="N24" i="1" s="1"/>
  <c r="U24" i="1" s="1"/>
  <c r="P22" i="1"/>
  <c r="P24" i="1" s="1"/>
  <c r="W24" i="1" s="1"/>
  <c r="I24" i="1"/>
  <c r="I34" i="1"/>
  <c r="D28" i="1"/>
  <c r="D32" i="1" s="1"/>
  <c r="H24" i="1"/>
  <c r="D34" i="1" l="1"/>
  <c r="H34" i="1" s="1"/>
  <c r="U22" i="1"/>
  <c r="W22" i="1"/>
  <c r="O22" i="1"/>
  <c r="O24" i="1" s="1"/>
  <c r="V24" i="1" s="1"/>
  <c r="Q22" i="1"/>
  <c r="Q24" i="1" s="1"/>
  <c r="X24" i="1" s="1"/>
  <c r="M22" i="1"/>
  <c r="M24" i="1" s="1"/>
  <c r="T24" i="1" s="1"/>
  <c r="L22" i="1"/>
  <c r="L24" i="1" s="1"/>
  <c r="S24" i="1" s="1"/>
  <c r="I32" i="1"/>
  <c r="D36" i="1"/>
  <c r="H36" i="1" s="1"/>
  <c r="H32" i="1"/>
  <c r="I36" i="1"/>
  <c r="C20" i="8" l="1"/>
  <c r="H10" i="8" s="1"/>
  <c r="S22" i="1"/>
  <c r="V22" i="1"/>
  <c r="T22" i="1"/>
  <c r="R24" i="1"/>
  <c r="X22" i="1"/>
  <c r="P28" i="1"/>
  <c r="P32" i="1" s="1"/>
  <c r="N28" i="1"/>
  <c r="N32" i="1" s="1"/>
  <c r="N34" i="1" l="1"/>
  <c r="K37" i="2" s="1"/>
  <c r="P34" i="1"/>
  <c r="Q28" i="1"/>
  <c r="O28" i="1"/>
  <c r="M28" i="1"/>
  <c r="L28" i="1"/>
  <c r="M32" i="1" l="1"/>
  <c r="M34" i="1" s="1"/>
  <c r="J37" i="2" s="1"/>
  <c r="N39" i="1" s="1"/>
  <c r="O32" i="1"/>
  <c r="O34" i="1" s="1"/>
  <c r="L37" i="2" s="1"/>
  <c r="Q32" i="1"/>
  <c r="Q34" i="1" s="1"/>
  <c r="Q36" i="1" s="1"/>
  <c r="X36" i="1" s="1"/>
  <c r="L32" i="1"/>
  <c r="L34" i="1" s="1"/>
  <c r="P36" i="1"/>
  <c r="W36" i="1" s="1"/>
  <c r="M37" i="2"/>
  <c r="N36" i="1"/>
  <c r="U36" i="1" s="1"/>
  <c r="I37" i="2" l="1"/>
  <c r="L39" i="1" s="1"/>
  <c r="L41" i="1" s="1"/>
  <c r="L43" i="1" s="1"/>
  <c r="L36" i="1"/>
  <c r="N41" i="1"/>
  <c r="E5" i="8" s="1"/>
  <c r="E8" i="8" s="1"/>
  <c r="O36" i="1"/>
  <c r="V36" i="1" s="1"/>
  <c r="M36" i="1"/>
  <c r="O39" i="1"/>
  <c r="P39" i="1"/>
  <c r="T36" i="1" l="1"/>
  <c r="I6" i="2"/>
  <c r="I18" i="2" s="1"/>
  <c r="S36" i="1"/>
  <c r="I28" i="2"/>
  <c r="I32" i="2" s="1"/>
  <c r="M39" i="1"/>
  <c r="M41" i="1" s="1"/>
  <c r="D5" i="8" s="1"/>
  <c r="D8" i="8" s="1"/>
  <c r="M42" i="1"/>
  <c r="C5" i="8"/>
  <c r="C8" i="8" s="1"/>
  <c r="O41" i="1"/>
  <c r="F5" i="8" s="1"/>
  <c r="F8" i="8" s="1"/>
  <c r="P41" i="1"/>
  <c r="G5" i="8" s="1"/>
  <c r="G8" i="8" s="1"/>
  <c r="Q39" i="1"/>
  <c r="Q41" i="1" s="1"/>
  <c r="H9" i="8" s="1"/>
  <c r="I33" i="2" l="1"/>
  <c r="J6" i="2"/>
  <c r="J18" i="2" s="1"/>
  <c r="H8" i="8"/>
  <c r="H11" i="8" s="1"/>
  <c r="M43" i="1"/>
  <c r="J28" i="2" s="1"/>
  <c r="J32" i="2" s="1"/>
  <c r="H13" i="8" l="1"/>
  <c r="D26" i="8" s="1"/>
  <c r="K6" i="2"/>
  <c r="K18" i="2" s="1"/>
  <c r="N42" i="1"/>
  <c r="N43" i="1" s="1"/>
  <c r="M13" i="8" l="1"/>
  <c r="L6" i="2"/>
  <c r="L18" i="2" s="1"/>
  <c r="K28" i="2"/>
  <c r="K32" i="2" s="1"/>
  <c r="O42" i="1"/>
  <c r="O43" i="1" s="1"/>
  <c r="K33" i="2" l="1"/>
  <c r="M6" i="2"/>
  <c r="M18" i="2" s="1"/>
  <c r="L28" i="2"/>
  <c r="L32" i="2" s="1"/>
  <c r="P42" i="1"/>
  <c r="P43" i="1" s="1"/>
  <c r="L33" i="2" l="1"/>
  <c r="M28" i="2"/>
  <c r="Q42" i="1"/>
  <c r="Q43" i="1" s="1"/>
  <c r="M32" i="2" l="1"/>
  <c r="M33" i="2" s="1"/>
  <c r="C22" i="1"/>
  <c r="C24" i="1" s="1"/>
  <c r="G20" i="1"/>
  <c r="C28" i="1" l="1"/>
  <c r="C32" i="1" s="1"/>
  <c r="C34" i="1" s="1"/>
  <c r="G34" i="1" s="1"/>
  <c r="G24" i="1"/>
  <c r="G32" i="1" l="1"/>
  <c r="C36" i="1"/>
  <c r="G36" i="1" s="1"/>
  <c r="J33" i="2" l="1"/>
</calcChain>
</file>

<file path=xl/sharedStrings.xml><?xml version="1.0" encoding="utf-8"?>
<sst xmlns="http://schemas.openxmlformats.org/spreadsheetml/2006/main" count="239" uniqueCount="142">
  <si>
    <t>Sales</t>
  </si>
  <si>
    <t>Other Income</t>
  </si>
  <si>
    <t>Expenses</t>
  </si>
  <si>
    <t>Employee Cost</t>
  </si>
  <si>
    <t>Other Expenses</t>
  </si>
  <si>
    <t>EBIDTA</t>
  </si>
  <si>
    <t>Total Revenue</t>
  </si>
  <si>
    <t>Total Expenses</t>
  </si>
  <si>
    <t>Depreciation</t>
  </si>
  <si>
    <t>EBIT</t>
  </si>
  <si>
    <t>Finance Cost</t>
  </si>
  <si>
    <t>EBT</t>
  </si>
  <si>
    <t>Tax</t>
  </si>
  <si>
    <t>PAT</t>
  </si>
  <si>
    <t xml:space="preserve"> </t>
  </si>
  <si>
    <t>India</t>
  </si>
  <si>
    <t>Singapore</t>
  </si>
  <si>
    <t>UK</t>
  </si>
  <si>
    <t>Growth</t>
  </si>
  <si>
    <t>Share Capital</t>
  </si>
  <si>
    <t>Reserves and Surplus</t>
  </si>
  <si>
    <t>Shareholder's Funds</t>
  </si>
  <si>
    <t>Non-current Liabilities</t>
  </si>
  <si>
    <t>Long-term Borrowings</t>
  </si>
  <si>
    <t>Current Liabilities</t>
  </si>
  <si>
    <t>Trade Payables</t>
  </si>
  <si>
    <t>Other Current Liabilities</t>
  </si>
  <si>
    <t>Short-term Provisions</t>
  </si>
  <si>
    <t>Total</t>
  </si>
  <si>
    <t>Non-current Assets</t>
  </si>
  <si>
    <t>Property Plant and Equipments</t>
  </si>
  <si>
    <t>Deferred Tax Asset</t>
  </si>
  <si>
    <t>Current Assets</t>
  </si>
  <si>
    <t>Trade Receivables</t>
  </si>
  <si>
    <t>Short-term loans and advances</t>
  </si>
  <si>
    <t>Other Current Assets</t>
  </si>
  <si>
    <t>Cash and Bank</t>
  </si>
  <si>
    <t>Particulars</t>
  </si>
  <si>
    <t>FY 18 (A)</t>
  </si>
  <si>
    <t>FY 19 (A)</t>
  </si>
  <si>
    <t>FY 20 (P)</t>
  </si>
  <si>
    <t>Total Employee Cost</t>
  </si>
  <si>
    <t>Less:  Director's Remuneration</t>
  </si>
  <si>
    <t>Less: Expenses pertaining to Directors</t>
  </si>
  <si>
    <t>(a) Commission Expenses</t>
  </si>
  <si>
    <t>(b) Professional Fees</t>
  </si>
  <si>
    <t>(not received any explanation yet)</t>
  </si>
  <si>
    <t>Variable Cost</t>
  </si>
  <si>
    <t>Fixed Cost</t>
  </si>
  <si>
    <t>Profit and Loss</t>
  </si>
  <si>
    <t>Travelling Expenses</t>
  </si>
  <si>
    <t>Office Expenses</t>
  </si>
  <si>
    <t>Business Promotion Expenses</t>
  </si>
  <si>
    <t>Misc Expenses</t>
  </si>
  <si>
    <t>INR in lakhs</t>
  </si>
  <si>
    <t>Basis</t>
  </si>
  <si>
    <t>Note</t>
  </si>
  <si>
    <t>Other provisions</t>
  </si>
  <si>
    <t>Net working capital excluding cash</t>
  </si>
  <si>
    <t>Terminal year</t>
  </si>
  <si>
    <t>Capex</t>
  </si>
  <si>
    <t>Average dep rate</t>
  </si>
  <si>
    <t>Terminal</t>
  </si>
  <si>
    <t>Opening balance</t>
  </si>
  <si>
    <t>Additions</t>
  </si>
  <si>
    <t>Sub-total</t>
  </si>
  <si>
    <t>Depreciation rate</t>
  </si>
  <si>
    <t>Closing balance</t>
  </si>
  <si>
    <t>Calculation of value per equity share</t>
  </si>
  <si>
    <t>Net cash flow to equity shareholders</t>
  </si>
  <si>
    <t>Mid-year factor</t>
  </si>
  <si>
    <t>Discounting factor</t>
  </si>
  <si>
    <t>Discounted cash flow</t>
  </si>
  <si>
    <t>Terminal value</t>
  </si>
  <si>
    <t>Add: Depreciation</t>
  </si>
  <si>
    <t>Less: Capex</t>
  </si>
  <si>
    <t>Net cash flow to equity</t>
  </si>
  <si>
    <t>Opening cash and cash equivalents</t>
  </si>
  <si>
    <t>Closing  cash and cash equivalents</t>
  </si>
  <si>
    <t xml:space="preserve"> y-o-y growth</t>
  </si>
  <si>
    <t>Premoney value</t>
  </si>
  <si>
    <t>Add/ (Less): Change in working capital</t>
  </si>
  <si>
    <t>Calculation of cost of equity</t>
  </si>
  <si>
    <t>Amount</t>
  </si>
  <si>
    <t>Unlevered beta</t>
  </si>
  <si>
    <t xml:space="preserve">Tax rate </t>
  </si>
  <si>
    <t>Target debt equity ratio</t>
  </si>
  <si>
    <t>Levered beta</t>
  </si>
  <si>
    <t>Equity risk premium</t>
  </si>
  <si>
    <t>Company specific risk premium</t>
  </si>
  <si>
    <t>Illiquidity discount</t>
  </si>
  <si>
    <t>Cost of equity</t>
  </si>
  <si>
    <t>Sensitivity analysis</t>
  </si>
  <si>
    <t>Of sales</t>
  </si>
  <si>
    <t>Projected</t>
  </si>
  <si>
    <t>Less: Operating cash and cash equivalents</t>
  </si>
  <si>
    <t>Surplus cash and cash equivalents</t>
  </si>
  <si>
    <t>Lowest</t>
  </si>
  <si>
    <t>Maximum</t>
  </si>
  <si>
    <t>Median</t>
  </si>
  <si>
    <t>Average</t>
  </si>
  <si>
    <t>Valuation ranges</t>
  </si>
  <si>
    <t>Days</t>
  </si>
  <si>
    <t>Material Cost</t>
  </si>
  <si>
    <t>Manufacturing Cost</t>
  </si>
  <si>
    <t>Other Cost</t>
  </si>
  <si>
    <t>Advance from Customers</t>
  </si>
  <si>
    <t>Fixed Assets</t>
  </si>
  <si>
    <t>Investments</t>
  </si>
  <si>
    <t>Risk free rate as on 10-03-2023</t>
  </si>
  <si>
    <t>Average of 3 years</t>
  </si>
  <si>
    <t>5% of opening WDV</t>
  </si>
  <si>
    <t>Cash and cash equivalents as on 31-03-2022</t>
  </si>
  <si>
    <t>INR in Crore</t>
  </si>
  <si>
    <t>3 year average</t>
  </si>
  <si>
    <t>Debt free on yr end</t>
  </si>
  <si>
    <t>Average of 3 yrs</t>
  </si>
  <si>
    <t>CWIP</t>
  </si>
  <si>
    <t>Inventories</t>
  </si>
  <si>
    <t xml:space="preserve">Other liability items </t>
  </si>
  <si>
    <t xml:space="preserve"> No. of Shares</t>
  </si>
  <si>
    <t>Price of the Share</t>
  </si>
  <si>
    <t>Property, Plant &amp; Equipment</t>
  </si>
  <si>
    <t>Closing Balance</t>
  </si>
  <si>
    <t>Capex Expenditure</t>
  </si>
  <si>
    <t>Material cost</t>
  </si>
  <si>
    <t>YOY</t>
  </si>
  <si>
    <t>1 month expenses of FY22</t>
  </si>
  <si>
    <t>CMP (17 Mar)</t>
  </si>
  <si>
    <t>Upside / (Downside)</t>
  </si>
  <si>
    <t>Outlook</t>
  </si>
  <si>
    <t>Fairly Valued</t>
  </si>
  <si>
    <t>Standadrd Corporate tax</t>
  </si>
  <si>
    <t>Debt free company</t>
  </si>
  <si>
    <t xml:space="preserve">The concentration of credit risk is limited due to the fact that the customer base is large and unrelated. </t>
  </si>
  <si>
    <t>Expected credit loss by the company for less than one year is 1.82%</t>
  </si>
  <si>
    <t>Continued to deploy in small automation, cutting tools were improved to enhance the quality of the machines’ component, assembly operations to improve productivity and reduce operation fatigue. Skill sets of the existing employees were upgraded, while the new entrants were trained on the systems and processes of the Company and the division.</t>
  </si>
  <si>
    <t>We cannot  project the investments of a company.</t>
  </si>
  <si>
    <t>Current ratio reduced from 2.00 in FY 2020-21 to 1.51 times in FY 2021-22 on account of increase in material procurement and advance on orders.</t>
  </si>
  <si>
    <t>Advance to suppliers</t>
  </si>
  <si>
    <t>Growth of the business</t>
  </si>
  <si>
    <t>There is a constant increase in the core expenses of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</si>
</sst>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4" formatCode="_ * #,##0_ ;_ * \-#,##0_ ;_ * &quot;-&quot;??_ ;_ @_ "/>
    <numFmt numFmtId="165" formatCode="0.0%"/>
    <numFmt numFmtId="166" formatCode="_ * #,##0.0_ ;_ * \-#,##0.0_ ;_ * &quot;-&quot;??_ ;_ @_ "/>
    <numFmt numFmtId="167" formatCode="_(* #,##0_);_(* \(#,##0\);_(* &quot;-&quot;??_);_(@_)"/>
    <numFmt numFmtId="168" formatCode="_(* #,##0.0_);_(* \(#,##0.0\);_(* &quot;-&quot;??_);_(@_)"/>
    <numFmt numFmtId="169" formatCode="0.0"/>
    <numFmt numFmtId="170" formatCode="0.00000%"/>
  </numFmts>
  <fonts count="21" x14ac:knownFonts="1">
    <font>
      <sz val="11"/>
      <color theme="1"/>
      <name val="Calibri"/>
      <family val="2"/>
      <scheme val="minor"/>
    </font>
    <font>
      <sz val="11"/>
      <color theme="1"/>
      <name val="Calibri"/>
      <family val="2"/>
      <scheme val="minor"/>
    </font>
    <font>
      <b/>
      <sz val="11"/>
      <color theme="1"/>
      <name val="Calibri"/>
      <family val="2"/>
      <scheme val="minor"/>
    </font>
    <font>
      <i/>
      <sz val="10"/>
      <color theme="1"/>
      <name val="Calibri"/>
      <family val="2"/>
      <scheme val="minor"/>
    </font>
    <font>
      <sz val="11"/>
      <color theme="1"/>
      <name val="Cambria"/>
      <family val="1"/>
    </font>
    <font>
      <b/>
      <sz val="11"/>
      <color theme="1"/>
      <name val="Cambria"/>
      <family val="1"/>
    </font>
    <font>
      <i/>
      <sz val="11"/>
      <color theme="1"/>
      <name val="Cambria"/>
      <family val="1"/>
    </font>
    <font>
      <i/>
      <sz val="10"/>
      <color theme="1"/>
      <name val="Cambria"/>
      <family val="1"/>
    </font>
    <font>
      <b/>
      <i/>
      <sz val="11"/>
      <color theme="1"/>
      <name val="Cambria"/>
      <family val="1"/>
    </font>
    <font>
      <sz val="10"/>
      <color rgb="FF000000"/>
      <name val="Arial"/>
      <family val="2"/>
    </font>
    <font>
      <i/>
      <sz val="9"/>
      <color theme="1"/>
      <name val="Cambria"/>
      <family val="1"/>
    </font>
    <font>
      <sz val="11"/>
      <color rgb="FF000000"/>
      <name val="Cambria"/>
      <family val="1"/>
    </font>
    <font>
      <b/>
      <sz val="12"/>
      <color rgb="FF000000"/>
      <name val="Cambria"/>
      <family val="1"/>
    </font>
    <font>
      <sz val="12"/>
      <color rgb="FF000000"/>
      <name val="Cambria"/>
      <family val="1"/>
    </font>
    <font>
      <i/>
      <sz val="10"/>
      <color rgb="FF000000"/>
      <name val="Cambria"/>
      <family val="1"/>
    </font>
    <font>
      <b/>
      <sz val="11"/>
      <color rgb="FF000000"/>
      <name val="Cambria"/>
      <family val="1"/>
    </font>
    <font>
      <b/>
      <sz val="11"/>
      <name val="Cambria"/>
      <family val="1"/>
    </font>
    <font>
      <b/>
      <sz val="12"/>
      <name val="Cambria"/>
      <family val="1"/>
    </font>
    <font>
      <b/>
      <sz val="12"/>
      <color theme="1"/>
      <name val="Cambria"/>
      <family val="1"/>
    </font>
    <font>
      <sz val="11"/>
      <color rgb="FF22222F"/>
      <name val="Arial"/>
      <family val="2"/>
    </font>
    <font>
      <b/>
      <sz val="11"/>
      <color theme="5" tint="0.59999389629810485"/>
      <name val="Cambria"/>
      <family val="1"/>
    </font>
  </fonts>
  <fills count="6">
    <fill>
      <patternFill patternType="none"/>
    </fill>
    <fill>
      <patternFill patternType="gray125"/>
    </fill>
    <fill>
      <patternFill patternType="solid">
        <fgColor theme="5"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s>
  <borders count="14">
    <border>
      <left/>
      <right/>
      <top/>
      <bottom/>
      <diagonal/>
    </border>
    <border>
      <left/>
      <right/>
      <top/>
      <bottom style="thin">
        <color indexed="64"/>
      </bottom>
      <diagonal/>
    </border>
    <border>
      <left style="thin">
        <color indexed="64"/>
      </left>
      <right/>
      <top/>
      <bottom/>
      <diagonal/>
    </border>
    <border>
      <left/>
      <right/>
      <top/>
      <bottom style="medium">
        <color auto="1"/>
      </bottom>
      <diagonal/>
    </border>
    <border>
      <left/>
      <right style="medium">
        <color indexed="64"/>
      </right>
      <top/>
      <bottom style="medium">
        <color indexed="64"/>
      </bottom>
      <diagonal/>
    </border>
    <border>
      <left/>
      <right/>
      <top style="medium">
        <color indexed="64"/>
      </top>
      <bottom style="medium">
        <color auto="1"/>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thin">
        <color indexed="64"/>
      </top>
      <bottom style="medium">
        <color indexed="64"/>
      </bottom>
      <diagonal/>
    </border>
    <border>
      <left/>
      <right/>
      <top style="thin">
        <color indexed="64"/>
      </top>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9" fillId="0" borderId="0"/>
    <xf numFmtId="43" fontId="1" fillId="0" borderId="0" applyFont="0" applyFill="0" applyBorder="0" applyAlignment="0" applyProtection="0"/>
    <xf numFmtId="0" fontId="1" fillId="0" borderId="0"/>
  </cellStyleXfs>
  <cellXfs count="179">
    <xf numFmtId="0" fontId="0" fillId="0" borderId="0" xfId="0"/>
    <xf numFmtId="0" fontId="2" fillId="0" borderId="0" xfId="0" applyFont="1"/>
    <xf numFmtId="0" fontId="0" fillId="0" borderId="1" xfId="0" applyBorder="1"/>
    <xf numFmtId="164" fontId="2" fillId="0" borderId="0" xfId="1" applyNumberFormat="1" applyFont="1"/>
    <xf numFmtId="164" fontId="0" fillId="0" borderId="0" xfId="1" applyNumberFormat="1" applyFont="1"/>
    <xf numFmtId="164" fontId="0" fillId="0" borderId="1" xfId="1" applyNumberFormat="1" applyFont="1" applyBorder="1"/>
    <xf numFmtId="164" fontId="0" fillId="0" borderId="0" xfId="1" applyNumberFormat="1" applyFont="1" applyAlignment="1">
      <alignment horizontal="right"/>
    </xf>
    <xf numFmtId="0" fontId="0" fillId="0" borderId="0" xfId="0" applyAlignment="1">
      <alignment horizontal="right"/>
    </xf>
    <xf numFmtId="43" fontId="0" fillId="0" borderId="0" xfId="1" applyFont="1"/>
    <xf numFmtId="164" fontId="3" fillId="0" borderId="0" xfId="1" applyNumberFormat="1" applyFont="1"/>
    <xf numFmtId="164" fontId="0" fillId="0" borderId="0" xfId="1" applyNumberFormat="1" applyFont="1" applyBorder="1"/>
    <xf numFmtId="164" fontId="3" fillId="0" borderId="1" xfId="1" applyNumberFormat="1" applyFont="1" applyBorder="1"/>
    <xf numFmtId="166" fontId="0" fillId="0" borderId="1" xfId="1" applyNumberFormat="1" applyFont="1" applyBorder="1"/>
    <xf numFmtId="0" fontId="4" fillId="0" borderId="0" xfId="0" applyFont="1"/>
    <xf numFmtId="0" fontId="5" fillId="0" borderId="0" xfId="0" applyFont="1"/>
    <xf numFmtId="0" fontId="6" fillId="0" borderId="0" xfId="0" applyFont="1"/>
    <xf numFmtId="0" fontId="4" fillId="0" borderId="1" xfId="0" applyFont="1" applyBorder="1"/>
    <xf numFmtId="0" fontId="6" fillId="0" borderId="1" xfId="0" applyFont="1" applyBorder="1"/>
    <xf numFmtId="0" fontId="5" fillId="0" borderId="1" xfId="0" applyFont="1" applyBorder="1"/>
    <xf numFmtId="0" fontId="5" fillId="2" borderId="0" xfId="0" applyFont="1" applyFill="1"/>
    <xf numFmtId="166" fontId="5" fillId="2" borderId="5" xfId="0" applyNumberFormat="1" applyFont="1" applyFill="1" applyBorder="1" applyAlignment="1">
      <alignment horizontal="right"/>
    </xf>
    <xf numFmtId="166" fontId="5" fillId="2" borderId="6" xfId="0" applyNumberFormat="1" applyFont="1" applyFill="1" applyBorder="1" applyAlignment="1">
      <alignment horizontal="right"/>
    </xf>
    <xf numFmtId="0" fontId="0" fillId="0" borderId="7" xfId="0" applyBorder="1"/>
    <xf numFmtId="0" fontId="0" fillId="0" borderId="8" xfId="0" applyBorder="1"/>
    <xf numFmtId="0" fontId="0" fillId="0" borderId="9" xfId="0" applyBorder="1"/>
    <xf numFmtId="164" fontId="0" fillId="0" borderId="0" xfId="0" applyNumberFormat="1"/>
    <xf numFmtId="0" fontId="0" fillId="0" borderId="10" xfId="0" applyBorder="1"/>
    <xf numFmtId="165" fontId="0" fillId="0" borderId="0" xfId="2" applyNumberFormat="1" applyFont="1" applyBorder="1"/>
    <xf numFmtId="165" fontId="0" fillId="0" borderId="10" xfId="2" applyNumberFormat="1" applyFont="1" applyBorder="1"/>
    <xf numFmtId="0" fontId="0" fillId="0" borderId="11" xfId="0" applyBorder="1"/>
    <xf numFmtId="164" fontId="0" fillId="0" borderId="3" xfId="1" applyNumberFormat="1" applyFont="1" applyBorder="1"/>
    <xf numFmtId="0" fontId="0" fillId="0" borderId="3" xfId="0" applyBorder="1"/>
    <xf numFmtId="0" fontId="0" fillId="0" borderId="4" xfId="0" applyBorder="1"/>
    <xf numFmtId="164" fontId="0" fillId="0" borderId="3" xfId="0" applyNumberFormat="1" applyBorder="1"/>
    <xf numFmtId="166" fontId="5" fillId="2" borderId="5" xfId="0" applyNumberFormat="1" applyFont="1" applyFill="1" applyBorder="1" applyAlignment="1">
      <alignment horizontal="left"/>
    </xf>
    <xf numFmtId="164" fontId="0" fillId="2" borderId="0" xfId="1" applyNumberFormat="1" applyFont="1" applyFill="1" applyAlignment="1">
      <alignment horizontal="right"/>
    </xf>
    <xf numFmtId="0" fontId="0" fillId="2" borderId="0" xfId="0" applyFill="1" applyAlignment="1">
      <alignment horizontal="right"/>
    </xf>
    <xf numFmtId="9" fontId="4" fillId="0" borderId="0" xfId="0" applyNumberFormat="1" applyFont="1"/>
    <xf numFmtId="164" fontId="4" fillId="0" borderId="0" xfId="1" applyNumberFormat="1" applyFont="1"/>
    <xf numFmtId="0" fontId="8" fillId="0" borderId="1" xfId="0" applyFont="1" applyBorder="1"/>
    <xf numFmtId="0" fontId="5" fillId="0" borderId="12" xfId="0" applyFont="1" applyBorder="1"/>
    <xf numFmtId="164" fontId="5" fillId="0" borderId="0" xfId="0" applyNumberFormat="1" applyFont="1"/>
    <xf numFmtId="0" fontId="5" fillId="0" borderId="3" xfId="0" applyFont="1" applyBorder="1"/>
    <xf numFmtId="0" fontId="4" fillId="0" borderId="1" xfId="0" applyFont="1" applyBorder="1" applyAlignment="1">
      <alignment horizontal="left"/>
    </xf>
    <xf numFmtId="0" fontId="5" fillId="0" borderId="0" xfId="0" applyFont="1" applyAlignment="1">
      <alignment horizontal="left"/>
    </xf>
    <xf numFmtId="0" fontId="11" fillId="0" borderId="0" xfId="3" applyFont="1"/>
    <xf numFmtId="0" fontId="13" fillId="0" borderId="13" xfId="3" applyFont="1" applyBorder="1" applyAlignment="1">
      <alignment vertical="top"/>
    </xf>
    <xf numFmtId="167" fontId="13" fillId="0" borderId="13" xfId="1" applyNumberFormat="1" applyFont="1" applyBorder="1" applyAlignment="1">
      <alignment vertical="top"/>
    </xf>
    <xf numFmtId="43" fontId="13" fillId="0" borderId="13" xfId="1" applyFont="1" applyBorder="1" applyAlignment="1">
      <alignment vertical="top"/>
    </xf>
    <xf numFmtId="0" fontId="13" fillId="0" borderId="0" xfId="3" applyFont="1" applyAlignment="1">
      <alignment vertical="top"/>
    </xf>
    <xf numFmtId="43" fontId="13" fillId="0" borderId="0" xfId="1" applyFont="1" applyBorder="1" applyAlignment="1">
      <alignment vertical="top"/>
    </xf>
    <xf numFmtId="0" fontId="13" fillId="0" borderId="1" xfId="3" applyFont="1" applyBorder="1" applyAlignment="1">
      <alignment vertical="top"/>
    </xf>
    <xf numFmtId="43" fontId="13" fillId="0" borderId="1" xfId="1" applyFont="1" applyBorder="1" applyAlignment="1">
      <alignment vertical="top"/>
    </xf>
    <xf numFmtId="0" fontId="12" fillId="0" borderId="0" xfId="3" applyFont="1" applyAlignment="1">
      <alignment vertical="top"/>
    </xf>
    <xf numFmtId="167" fontId="12" fillId="0" borderId="0" xfId="1" applyNumberFormat="1" applyFont="1" applyAlignment="1">
      <alignment vertical="top"/>
    </xf>
    <xf numFmtId="164" fontId="12" fillId="0" borderId="0" xfId="1" applyNumberFormat="1" applyFont="1" applyAlignment="1">
      <alignment vertical="top"/>
    </xf>
    <xf numFmtId="164" fontId="13" fillId="0" borderId="0" xfId="1" applyNumberFormat="1" applyFont="1" applyBorder="1" applyAlignment="1">
      <alignment vertical="top"/>
    </xf>
    <xf numFmtId="168" fontId="13" fillId="0" borderId="1" xfId="1" applyNumberFormat="1" applyFont="1" applyBorder="1" applyAlignment="1">
      <alignment vertical="top"/>
    </xf>
    <xf numFmtId="168" fontId="12" fillId="0" borderId="12" xfId="1" applyNumberFormat="1" applyFont="1" applyBorder="1" applyAlignment="1">
      <alignment vertical="top"/>
    </xf>
    <xf numFmtId="164" fontId="12" fillId="0" borderId="12" xfId="1" applyNumberFormat="1" applyFont="1" applyFill="1" applyBorder="1" applyAlignment="1">
      <alignment vertical="top"/>
    </xf>
    <xf numFmtId="0" fontId="14" fillId="0" borderId="0" xfId="3" applyFont="1" applyAlignment="1">
      <alignment vertical="top"/>
    </xf>
    <xf numFmtId="168" fontId="15" fillId="0" borderId="0" xfId="1" applyNumberFormat="1" applyFont="1" applyBorder="1" applyAlignment="1">
      <alignment vertical="top"/>
    </xf>
    <xf numFmtId="168" fontId="15" fillId="0" borderId="0" xfId="1" applyNumberFormat="1" applyFont="1" applyFill="1" applyBorder="1" applyAlignment="1">
      <alignment vertical="top"/>
    </xf>
    <xf numFmtId="10" fontId="5" fillId="0" borderId="0" xfId="0" applyNumberFormat="1" applyFont="1"/>
    <xf numFmtId="10" fontId="4" fillId="0" borderId="0" xfId="0" applyNumberFormat="1" applyFont="1"/>
    <xf numFmtId="0" fontId="4" fillId="3" borderId="0" xfId="0" applyFont="1" applyFill="1"/>
    <xf numFmtId="0" fontId="5" fillId="3" borderId="0" xfId="0" applyFont="1" applyFill="1"/>
    <xf numFmtId="43" fontId="5" fillId="0" borderId="0" xfId="4" applyFont="1"/>
    <xf numFmtId="10" fontId="4" fillId="0" borderId="0" xfId="4" applyNumberFormat="1" applyFont="1"/>
    <xf numFmtId="43" fontId="4" fillId="0" borderId="1" xfId="4" applyFont="1" applyBorder="1"/>
    <xf numFmtId="43" fontId="16" fillId="0" borderId="0" xfId="4" applyFont="1" applyBorder="1"/>
    <xf numFmtId="0" fontId="4" fillId="0" borderId="0" xfId="5" applyFont="1"/>
    <xf numFmtId="10" fontId="4" fillId="0" borderId="0" xfId="5" applyNumberFormat="1" applyFont="1"/>
    <xf numFmtId="10" fontId="5" fillId="0" borderId="12" xfId="5" applyNumberFormat="1" applyFont="1" applyBorder="1"/>
    <xf numFmtId="164" fontId="4" fillId="0" borderId="0" xfId="0" applyNumberFormat="1" applyFont="1"/>
    <xf numFmtId="164" fontId="13" fillId="0" borderId="1" xfId="1" applyNumberFormat="1" applyFont="1" applyFill="1" applyBorder="1" applyAlignment="1">
      <alignment vertical="top"/>
    </xf>
    <xf numFmtId="0" fontId="12" fillId="0" borderId="12" xfId="3" applyFont="1" applyBorder="1" applyAlignment="1">
      <alignment vertical="top"/>
    </xf>
    <xf numFmtId="10" fontId="5" fillId="3" borderId="0" xfId="0" applyNumberFormat="1" applyFont="1" applyFill="1"/>
    <xf numFmtId="0" fontId="18" fillId="2" borderId="3" xfId="3" applyFont="1" applyFill="1" applyBorder="1" applyAlignment="1">
      <alignment vertical="top"/>
    </xf>
    <xf numFmtId="0" fontId="18" fillId="2" borderId="3" xfId="3" applyFont="1" applyFill="1" applyBorder="1" applyAlignment="1">
      <alignment horizontal="right" vertical="top"/>
    </xf>
    <xf numFmtId="0" fontId="14" fillId="0" borderId="0" xfId="3" applyFont="1"/>
    <xf numFmtId="0" fontId="4" fillId="0" borderId="0" xfId="0" applyFont="1" applyAlignment="1">
      <alignment horizontal="center"/>
    </xf>
    <xf numFmtId="1" fontId="4" fillId="0" borderId="0" xfId="1" applyNumberFormat="1" applyFont="1" applyAlignment="1">
      <alignment horizontal="center"/>
    </xf>
    <xf numFmtId="1" fontId="5" fillId="0" borderId="0" xfId="1" applyNumberFormat="1" applyFont="1" applyAlignment="1">
      <alignment horizontal="center"/>
    </xf>
    <xf numFmtId="1" fontId="5" fillId="0" borderId="12" xfId="1" applyNumberFormat="1" applyFont="1" applyBorder="1" applyAlignment="1">
      <alignment horizontal="center"/>
    </xf>
    <xf numFmtId="0" fontId="5" fillId="4" borderId="0" xfId="0" applyFont="1" applyFill="1"/>
    <xf numFmtId="1" fontId="5" fillId="4" borderId="3" xfId="0" applyNumberFormat="1" applyFont="1" applyFill="1" applyBorder="1" applyAlignment="1">
      <alignment horizontal="center"/>
    </xf>
    <xf numFmtId="167" fontId="4" fillId="0" borderId="0" xfId="1" applyNumberFormat="1" applyFont="1" applyAlignment="1">
      <alignment horizontal="center"/>
    </xf>
    <xf numFmtId="9" fontId="4" fillId="0" borderId="0" xfId="1" applyNumberFormat="1" applyFont="1" applyAlignment="1">
      <alignment horizontal="center"/>
    </xf>
    <xf numFmtId="1" fontId="11" fillId="0" borderId="1" xfId="1" applyNumberFormat="1" applyFont="1" applyFill="1" applyBorder="1" applyAlignment="1">
      <alignment horizontal="center"/>
    </xf>
    <xf numFmtId="1" fontId="4" fillId="0" borderId="1" xfId="1" applyNumberFormat="1" applyFont="1" applyFill="1" applyBorder="1" applyAlignment="1">
      <alignment horizontal="center"/>
    </xf>
    <xf numFmtId="0" fontId="5" fillId="4" borderId="3" xfId="0" applyFont="1" applyFill="1" applyBorder="1" applyAlignment="1">
      <alignment horizontal="right"/>
    </xf>
    <xf numFmtId="9" fontId="4" fillId="4" borderId="1" xfId="0" applyNumberFormat="1" applyFont="1" applyFill="1" applyBorder="1" applyAlignment="1">
      <alignment vertical="top"/>
    </xf>
    <xf numFmtId="0" fontId="4" fillId="4" borderId="0" xfId="0" applyFont="1" applyFill="1"/>
    <xf numFmtId="0" fontId="4" fillId="4" borderId="1" xfId="0" applyFont="1" applyFill="1" applyBorder="1"/>
    <xf numFmtId="0" fontId="17" fillId="4" borderId="3" xfId="3" applyFont="1" applyFill="1" applyBorder="1"/>
    <xf numFmtId="1" fontId="17" fillId="4" borderId="3" xfId="3" applyNumberFormat="1" applyFont="1" applyFill="1" applyBorder="1" applyAlignment="1">
      <alignment horizontal="right"/>
    </xf>
    <xf numFmtId="0" fontId="17" fillId="4" borderId="3" xfId="3" applyFont="1" applyFill="1" applyBorder="1" applyAlignment="1">
      <alignment horizontal="right" vertical="top"/>
    </xf>
    <xf numFmtId="167" fontId="15" fillId="0" borderId="0" xfId="1" applyNumberFormat="1" applyFont="1" applyFill="1" applyBorder="1" applyAlignment="1">
      <alignment vertical="top"/>
    </xf>
    <xf numFmtId="170" fontId="4" fillId="0" borderId="0" xfId="0" applyNumberFormat="1" applyFont="1"/>
    <xf numFmtId="0" fontId="5" fillId="0" borderId="0" xfId="0" applyFont="1" applyAlignment="1">
      <alignment horizontal="center"/>
    </xf>
    <xf numFmtId="1" fontId="8" fillId="4" borderId="1" xfId="0" applyNumberFormat="1" applyFont="1" applyFill="1" applyBorder="1" applyAlignment="1">
      <alignment horizontal="right"/>
    </xf>
    <xf numFmtId="2" fontId="4" fillId="0" borderId="0" xfId="0" applyNumberFormat="1" applyFont="1" applyAlignment="1">
      <alignment horizontal="center"/>
    </xf>
    <xf numFmtId="2" fontId="5" fillId="0" borderId="0" xfId="0" applyNumberFormat="1" applyFont="1" applyAlignment="1">
      <alignment horizontal="center"/>
    </xf>
    <xf numFmtId="169" fontId="4" fillId="0" borderId="0" xfId="1" applyNumberFormat="1" applyFont="1" applyAlignment="1"/>
    <xf numFmtId="169" fontId="4" fillId="0" borderId="0" xfId="0" applyNumberFormat="1" applyFont="1"/>
    <xf numFmtId="0" fontId="10" fillId="0" borderId="0" xfId="0" applyFont="1"/>
    <xf numFmtId="9" fontId="6" fillId="3" borderId="0" xfId="0" applyNumberFormat="1" applyFont="1" applyFill="1"/>
    <xf numFmtId="1" fontId="5" fillId="4" borderId="0" xfId="1" applyNumberFormat="1" applyFont="1" applyFill="1" applyAlignment="1"/>
    <xf numFmtId="169" fontId="4" fillId="4" borderId="0" xfId="0" applyNumberFormat="1" applyFont="1" applyFill="1"/>
    <xf numFmtId="1" fontId="5" fillId="4" borderId="2" xfId="1" applyNumberFormat="1" applyFont="1" applyFill="1" applyBorder="1" applyAlignment="1"/>
    <xf numFmtId="1" fontId="5" fillId="4" borderId="1" xfId="0" applyNumberFormat="1" applyFont="1" applyFill="1" applyBorder="1"/>
    <xf numFmtId="0" fontId="8" fillId="4" borderId="1" xfId="0" applyFont="1" applyFill="1" applyBorder="1"/>
    <xf numFmtId="9" fontId="4" fillId="3" borderId="2" xfId="2" applyFont="1" applyFill="1" applyBorder="1" applyAlignment="1"/>
    <xf numFmtId="9" fontId="4" fillId="3" borderId="0" xfId="2" applyFont="1" applyFill="1" applyAlignment="1"/>
    <xf numFmtId="164" fontId="6" fillId="0" borderId="0" xfId="1" applyNumberFormat="1" applyFont="1" applyAlignment="1"/>
    <xf numFmtId="9" fontId="4" fillId="0" borderId="0" xfId="2" applyFont="1" applyAlignment="1"/>
    <xf numFmtId="9" fontId="7" fillId="0" borderId="0" xfId="2" applyFont="1" applyAlignment="1"/>
    <xf numFmtId="169" fontId="4" fillId="0" borderId="1" xfId="1" applyNumberFormat="1" applyFont="1" applyBorder="1" applyAlignment="1"/>
    <xf numFmtId="9" fontId="4" fillId="3" borderId="0" xfId="2" applyFont="1" applyFill="1" applyBorder="1" applyAlignment="1"/>
    <xf numFmtId="9" fontId="6" fillId="0" borderId="0" xfId="0" applyNumberFormat="1" applyFont="1"/>
    <xf numFmtId="164" fontId="6" fillId="0" borderId="1" xfId="1" applyNumberFormat="1" applyFont="1" applyBorder="1" applyAlignment="1"/>
    <xf numFmtId="169" fontId="5" fillId="0" borderId="0" xfId="1" applyNumberFormat="1" applyFont="1" applyAlignment="1"/>
    <xf numFmtId="169" fontId="5" fillId="0" borderId="0" xfId="0" applyNumberFormat="1" applyFont="1"/>
    <xf numFmtId="9" fontId="5" fillId="3" borderId="2" xfId="2" applyFont="1" applyFill="1" applyBorder="1" applyAlignment="1"/>
    <xf numFmtId="9" fontId="5" fillId="3" borderId="0" xfId="2" applyFont="1" applyFill="1" applyAlignment="1"/>
    <xf numFmtId="0" fontId="8" fillId="0" borderId="0" xfId="0" applyFont="1"/>
    <xf numFmtId="164" fontId="8" fillId="0" borderId="0" xfId="1" applyNumberFormat="1" applyFont="1" applyAlignment="1"/>
    <xf numFmtId="167" fontId="6" fillId="0" borderId="0" xfId="1" applyNumberFormat="1" applyFont="1" applyAlignment="1"/>
    <xf numFmtId="43" fontId="4" fillId="0" borderId="0" xfId="0" applyNumberFormat="1" applyFont="1"/>
    <xf numFmtId="169" fontId="4" fillId="0" borderId="0" xfId="1" applyNumberFormat="1" applyFont="1" applyBorder="1" applyAlignment="1"/>
    <xf numFmtId="164" fontId="6" fillId="0" borderId="0" xfId="1" applyNumberFormat="1" applyFont="1" applyBorder="1" applyAlignment="1"/>
    <xf numFmtId="169" fontId="7" fillId="0" borderId="1" xfId="2" applyNumberFormat="1" applyFont="1" applyBorder="1" applyAlignment="1"/>
    <xf numFmtId="165" fontId="5" fillId="0" borderId="0" xfId="2" applyNumberFormat="1" applyFont="1" applyAlignment="1"/>
    <xf numFmtId="9" fontId="6" fillId="0" borderId="0" xfId="2" applyFont="1" applyAlignment="1"/>
    <xf numFmtId="164" fontId="6" fillId="0" borderId="1" xfId="1" applyNumberFormat="1" applyFont="1" applyFill="1" applyBorder="1" applyAlignment="1"/>
    <xf numFmtId="10" fontId="6" fillId="0" borderId="0" xfId="0" applyNumberFormat="1" applyFont="1"/>
    <xf numFmtId="164" fontId="4" fillId="0" borderId="0" xfId="1" applyNumberFormat="1" applyFont="1" applyAlignment="1"/>
    <xf numFmtId="164" fontId="4" fillId="0" borderId="0" xfId="1" applyNumberFormat="1" applyFont="1" applyFill="1" applyAlignment="1"/>
    <xf numFmtId="169" fontId="4" fillId="0" borderId="1" xfId="0" applyNumberFormat="1" applyFont="1" applyBorder="1"/>
    <xf numFmtId="164" fontId="4" fillId="0" borderId="1" xfId="1" applyNumberFormat="1" applyFont="1" applyBorder="1" applyAlignment="1"/>
    <xf numFmtId="164" fontId="4" fillId="0" borderId="1" xfId="1" applyNumberFormat="1" applyFont="1" applyFill="1" applyBorder="1" applyAlignment="1"/>
    <xf numFmtId="164" fontId="5" fillId="0" borderId="0" xfId="1" applyNumberFormat="1" applyFont="1" applyAlignment="1"/>
    <xf numFmtId="169" fontId="5" fillId="0" borderId="12" xfId="1" applyNumberFormat="1" applyFont="1" applyBorder="1" applyAlignment="1"/>
    <xf numFmtId="169" fontId="5" fillId="0" borderId="12" xfId="0" applyNumberFormat="1" applyFont="1" applyBorder="1"/>
    <xf numFmtId="164" fontId="5" fillId="0" borderId="12" xfId="1" applyNumberFormat="1" applyFont="1" applyBorder="1" applyAlignment="1"/>
    <xf numFmtId="0" fontId="19" fillId="5" borderId="0" xfId="0" applyFont="1" applyFill="1" applyAlignment="1">
      <alignment horizontal="right" vertical="center" wrapText="1" indent="1"/>
    </xf>
    <xf numFmtId="3" fontId="19" fillId="5" borderId="0" xfId="0" applyNumberFormat="1" applyFont="1" applyFill="1" applyAlignment="1">
      <alignment horizontal="right" vertical="center" wrapText="1" indent="1"/>
    </xf>
    <xf numFmtId="1" fontId="5" fillId="0" borderId="0" xfId="1" applyNumberFormat="1" applyFont="1" applyAlignment="1"/>
    <xf numFmtId="1" fontId="4" fillId="0" borderId="0" xfId="1" applyNumberFormat="1" applyFont="1" applyFill="1" applyAlignment="1"/>
    <xf numFmtId="1" fontId="4" fillId="0" borderId="0" xfId="1" applyNumberFormat="1" applyFont="1" applyAlignment="1"/>
    <xf numFmtId="1" fontId="4" fillId="0" borderId="1" xfId="1" applyNumberFormat="1" applyFont="1" applyBorder="1" applyAlignment="1"/>
    <xf numFmtId="1" fontId="4" fillId="0" borderId="0" xfId="0" applyNumberFormat="1" applyFont="1"/>
    <xf numFmtId="1" fontId="5" fillId="0" borderId="0" xfId="0" applyNumberFormat="1" applyFont="1"/>
    <xf numFmtId="1" fontId="4" fillId="3" borderId="0" xfId="1" applyNumberFormat="1" applyFont="1" applyFill="1" applyAlignment="1">
      <alignment horizontal="center"/>
    </xf>
    <xf numFmtId="165" fontId="4" fillId="3" borderId="0" xfId="2" applyNumberFormat="1" applyFont="1" applyFill="1" applyAlignment="1">
      <alignment horizontal="center"/>
    </xf>
    <xf numFmtId="4" fontId="4" fillId="0" borderId="0" xfId="0" applyNumberFormat="1" applyFont="1"/>
    <xf numFmtId="10" fontId="4" fillId="0" borderId="0" xfId="2" applyNumberFormat="1" applyFont="1"/>
    <xf numFmtId="164" fontId="20" fillId="3" borderId="0" xfId="0" applyNumberFormat="1" applyFont="1" applyFill="1"/>
    <xf numFmtId="164" fontId="5" fillId="4" borderId="0" xfId="1" applyNumberFormat="1" applyFont="1" applyFill="1" applyAlignment="1">
      <alignment horizontal="right"/>
    </xf>
    <xf numFmtId="164" fontId="5" fillId="0" borderId="0" xfId="1" applyNumberFormat="1" applyFont="1"/>
    <xf numFmtId="164" fontId="6" fillId="0" borderId="0" xfId="0" applyNumberFormat="1" applyFont="1"/>
    <xf numFmtId="164" fontId="6" fillId="0" borderId="0" xfId="1" applyNumberFormat="1" applyFont="1"/>
    <xf numFmtId="43" fontId="6" fillId="0" borderId="0" xfId="0" applyNumberFormat="1" applyFont="1"/>
    <xf numFmtId="1" fontId="6" fillId="0" borderId="0" xfId="0" applyNumberFormat="1" applyFont="1"/>
    <xf numFmtId="164" fontId="6" fillId="0" borderId="0" xfId="1" applyNumberFormat="1" applyFont="1" applyFill="1"/>
    <xf numFmtId="167" fontId="4" fillId="0" borderId="0" xfId="1" applyNumberFormat="1" applyFont="1"/>
    <xf numFmtId="164" fontId="4" fillId="0" borderId="1" xfId="1" applyNumberFormat="1" applyFont="1" applyBorder="1"/>
    <xf numFmtId="164" fontId="5" fillId="0" borderId="12" xfId="1" applyNumberFormat="1" applyFont="1" applyBorder="1"/>
    <xf numFmtId="164" fontId="6" fillId="0" borderId="12" xfId="1" applyNumberFormat="1" applyFont="1" applyBorder="1"/>
    <xf numFmtId="9" fontId="6" fillId="0" borderId="0" xfId="2" applyFont="1"/>
    <xf numFmtId="43" fontId="6" fillId="0" borderId="0" xfId="1" applyFont="1"/>
    <xf numFmtId="0" fontId="4" fillId="0" borderId="0" xfId="0" applyFont="1" applyAlignment="1">
      <alignment wrapText="1"/>
    </xf>
    <xf numFmtId="9" fontId="6" fillId="0" borderId="0" xfId="1" applyNumberFormat="1" applyFont="1"/>
    <xf numFmtId="165" fontId="4" fillId="0" borderId="0" xfId="2" applyNumberFormat="1" applyFont="1"/>
    <xf numFmtId="0" fontId="12" fillId="0" borderId="0" xfId="3" applyFont="1" applyAlignment="1">
      <alignment horizontal="center" vertical="top"/>
    </xf>
    <xf numFmtId="0" fontId="5" fillId="3" borderId="0" xfId="0" applyFont="1" applyFill="1" applyAlignment="1">
      <alignment horizontal="center" vertical="center" wrapText="1"/>
    </xf>
    <xf numFmtId="0" fontId="5" fillId="0" borderId="0" xfId="0" applyFont="1"/>
    <xf numFmtId="0" fontId="6" fillId="0" borderId="0" xfId="0" applyFont="1" applyAlignment="1">
      <alignment horizontal="center"/>
    </xf>
  </cellXfs>
  <cellStyles count="6">
    <cellStyle name="Comma" xfId="1" builtinId="3"/>
    <cellStyle name="Comma 3" xfId="4" xr:uid="{00000000-0005-0000-0000-000001000000}"/>
    <cellStyle name="Normal" xfId="0" builtinId="0"/>
    <cellStyle name="Normal 2 2" xfId="5" xr:uid="{00000000-0005-0000-0000-000003000000}"/>
    <cellStyle name="Normal 4" xfId="3" xr:uid="{00000000-0005-0000-0000-000004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Graph!$A$6</c:f>
              <c:strCache>
                <c:ptCount val="1"/>
                <c:pt idx="0">
                  <c:v>Total Revenue</c:v>
                </c:pt>
              </c:strCache>
            </c:strRef>
          </c:tx>
          <c:spPr>
            <a:solidFill>
              <a:schemeClr val="accent1"/>
            </a:solidFill>
            <a:ln>
              <a:noFill/>
            </a:ln>
            <a:effectLst/>
          </c:spPr>
          <c:invertIfNegative val="0"/>
          <c:val>
            <c:numRef>
              <c:f>Graph!$B$6:$J$6</c:f>
              <c:numCache>
                <c:formatCode>General</c:formatCode>
                <c:ptCount val="9"/>
                <c:pt idx="0">
                  <c:v>1666</c:v>
                </c:pt>
                <c:pt idx="1">
                  <c:v>1783</c:v>
                </c:pt>
                <c:pt idx="2">
                  <c:v>3222</c:v>
                </c:pt>
                <c:pt idx="3">
                  <c:v>4689.3970570688625</c:v>
                </c:pt>
                <c:pt idx="4">
                  <c:v>5814.8523507653899</c:v>
                </c:pt>
                <c:pt idx="5">
                  <c:v>7035.9713444261215</c:v>
                </c:pt>
                <c:pt idx="6">
                  <c:v>8302.4461864228233</c:v>
                </c:pt>
                <c:pt idx="7">
                  <c:v>9547.8131143862465</c:v>
                </c:pt>
                <c:pt idx="8">
                  <c:v>10502.594425824871</c:v>
                </c:pt>
              </c:numCache>
            </c:numRef>
          </c:val>
          <c:extLst>
            <c:ext xmlns:c16="http://schemas.microsoft.com/office/drawing/2014/chart" uri="{C3380CC4-5D6E-409C-BE32-E72D297353CC}">
              <c16:uniqueId val="{00000000-E2B8-4BAE-90E6-0AF28AD924DF}"/>
            </c:ext>
          </c:extLst>
        </c:ser>
        <c:dLbls>
          <c:showLegendKey val="0"/>
          <c:showVal val="0"/>
          <c:showCatName val="0"/>
          <c:showSerName val="0"/>
          <c:showPercent val="0"/>
          <c:showBubbleSize val="0"/>
        </c:dLbls>
        <c:gapWidth val="150"/>
        <c:axId val="646351264"/>
        <c:axId val="650395104"/>
      </c:barChart>
      <c:lineChart>
        <c:grouping val="standard"/>
        <c:varyColors val="0"/>
        <c:ser>
          <c:idx val="1"/>
          <c:order val="1"/>
          <c:tx>
            <c:strRef>
              <c:f>Graph!$A$20</c:f>
              <c:strCache>
                <c:ptCount val="1"/>
                <c:pt idx="0">
                  <c:v>EBIDTA</c:v>
                </c:pt>
              </c:strCache>
            </c:strRef>
          </c:tx>
          <c:spPr>
            <a:ln w="28575" cap="rnd">
              <a:solidFill>
                <a:schemeClr val="accent2"/>
              </a:solidFill>
              <a:round/>
            </a:ln>
            <a:effectLst/>
          </c:spPr>
          <c:marker>
            <c:symbol val="none"/>
          </c:marker>
          <c:val>
            <c:numRef>
              <c:f>Graph!$B$20:$J$20</c:f>
              <c:numCache>
                <c:formatCode>General</c:formatCode>
                <c:ptCount val="9"/>
                <c:pt idx="0">
                  <c:v>103.04000000000019</c:v>
                </c:pt>
                <c:pt idx="1">
                  <c:v>125.98000000000002</c:v>
                </c:pt>
                <c:pt idx="2">
                  <c:v>297.98</c:v>
                </c:pt>
                <c:pt idx="3">
                  <c:v>453.45299999999997</c:v>
                </c:pt>
                <c:pt idx="4">
                  <c:v>562.28171999999995</c:v>
                </c:pt>
                <c:pt idx="5">
                  <c:v>680.36088119999931</c:v>
                </c:pt>
                <c:pt idx="6">
                  <c:v>802.82583981600055</c:v>
                </c:pt>
                <c:pt idx="7">
                  <c:v>923.24971578839904</c:v>
                </c:pt>
                <c:pt idx="8">
                  <c:v>1015.5746873672397</c:v>
                </c:pt>
              </c:numCache>
            </c:numRef>
          </c:val>
          <c:smooth val="0"/>
          <c:extLst>
            <c:ext xmlns:c16="http://schemas.microsoft.com/office/drawing/2014/chart" uri="{C3380CC4-5D6E-409C-BE32-E72D297353CC}">
              <c16:uniqueId val="{00000001-E2B8-4BAE-90E6-0AF28AD924DF}"/>
            </c:ext>
          </c:extLst>
        </c:ser>
        <c:dLbls>
          <c:showLegendKey val="0"/>
          <c:showVal val="0"/>
          <c:showCatName val="0"/>
          <c:showSerName val="0"/>
          <c:showPercent val="0"/>
          <c:showBubbleSize val="0"/>
        </c:dLbls>
        <c:marker val="1"/>
        <c:smooth val="0"/>
        <c:axId val="646351264"/>
        <c:axId val="650395104"/>
      </c:lineChart>
      <c:lineChart>
        <c:grouping val="standard"/>
        <c:varyColors val="0"/>
        <c:ser>
          <c:idx val="2"/>
          <c:order val="2"/>
          <c:tx>
            <c:strRef>
              <c:f>Graph!$A$32</c:f>
              <c:strCache>
                <c:ptCount val="1"/>
                <c:pt idx="0">
                  <c:v>PAT</c:v>
                </c:pt>
              </c:strCache>
            </c:strRef>
          </c:tx>
          <c:spPr>
            <a:ln w="28575" cap="rnd">
              <a:solidFill>
                <a:schemeClr val="accent3"/>
              </a:solidFill>
              <a:round/>
            </a:ln>
            <a:effectLst/>
          </c:spPr>
          <c:marker>
            <c:symbol val="none"/>
          </c:marker>
          <c:val>
            <c:numRef>
              <c:f>Graph!$B$32:$J$32</c:f>
              <c:numCache>
                <c:formatCode>General</c:formatCode>
                <c:ptCount val="9"/>
                <c:pt idx="0">
                  <c:v>27.753600000000112</c:v>
                </c:pt>
                <c:pt idx="1">
                  <c:v>44.087400000000017</c:v>
                </c:pt>
                <c:pt idx="2">
                  <c:v>180.8648</c:v>
                </c:pt>
                <c:pt idx="3">
                  <c:v>415.55086265463035</c:v>
                </c:pt>
                <c:pt idx="4">
                  <c:v>525.73217169091663</c:v>
                </c:pt>
                <c:pt idx="5">
                  <c:v>645.17778156711825</c:v>
                </c:pt>
                <c:pt idx="6">
                  <c:v>769.00475804003486</c:v>
                </c:pt>
                <c:pt idx="7">
                  <c:v>890.76187941024818</c:v>
                </c:pt>
                <c:pt idx="8">
                  <c:v>980.19640479683062</c:v>
                </c:pt>
              </c:numCache>
            </c:numRef>
          </c:val>
          <c:smooth val="0"/>
          <c:extLst>
            <c:ext xmlns:c16="http://schemas.microsoft.com/office/drawing/2014/chart" uri="{C3380CC4-5D6E-409C-BE32-E72D297353CC}">
              <c16:uniqueId val="{00000002-E2B8-4BAE-90E6-0AF28AD924DF}"/>
            </c:ext>
          </c:extLst>
        </c:ser>
        <c:dLbls>
          <c:showLegendKey val="0"/>
          <c:showVal val="0"/>
          <c:showCatName val="0"/>
          <c:showSerName val="0"/>
          <c:showPercent val="0"/>
          <c:showBubbleSize val="0"/>
        </c:dLbls>
        <c:marker val="1"/>
        <c:smooth val="0"/>
        <c:axId val="1080634800"/>
        <c:axId val="253095984"/>
      </c:lineChart>
      <c:catAx>
        <c:axId val="6463512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395104"/>
        <c:crosses val="autoZero"/>
        <c:auto val="1"/>
        <c:lblAlgn val="ctr"/>
        <c:lblOffset val="100"/>
        <c:noMultiLvlLbl val="0"/>
      </c:catAx>
      <c:valAx>
        <c:axId val="65039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51264"/>
        <c:crosses val="autoZero"/>
        <c:crossBetween val="between"/>
      </c:valAx>
      <c:valAx>
        <c:axId val="2530959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634800"/>
        <c:crosses val="max"/>
        <c:crossBetween val="between"/>
      </c:valAx>
      <c:catAx>
        <c:axId val="1080634800"/>
        <c:scaling>
          <c:orientation val="minMax"/>
        </c:scaling>
        <c:delete val="1"/>
        <c:axPos val="b"/>
        <c:majorTickMark val="out"/>
        <c:minorTickMark val="none"/>
        <c:tickLblPos val="nextTo"/>
        <c:crossAx val="25309598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38100</xdr:colOff>
      <xdr:row>8</xdr:row>
      <xdr:rowOff>102870</xdr:rowOff>
    </xdr:from>
    <xdr:to>
      <xdr:col>18</xdr:col>
      <xdr:colOff>342900</xdr:colOff>
      <xdr:row>23</xdr:row>
      <xdr:rowOff>102870</xdr:rowOff>
    </xdr:to>
    <xdr:graphicFrame macro="">
      <xdr:nvGraphicFramePr>
        <xdr:cNvPr id="2" name="Chart 1">
          <a:extLst>
            <a:ext uri="{FF2B5EF4-FFF2-40B4-BE49-F238E27FC236}">
              <a16:creationId xmlns:a16="http://schemas.microsoft.com/office/drawing/2014/main" id="{D334E070-7A4F-4FD5-8259-DC35151A7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B2:P32"/>
  <sheetViews>
    <sheetView showGridLines="0" zoomScale="80" zoomScaleNormal="130" workbookViewId="0">
      <selection activeCell="B19" sqref="B19"/>
    </sheetView>
  </sheetViews>
  <sheetFormatPr defaultColWidth="9.109375" defaultRowHeight="13.8" outlineLevelRow="1" x14ac:dyDescent="0.25"/>
  <cols>
    <col min="1" max="1" width="9.109375" style="13"/>
    <col min="2" max="2" width="50.109375" style="13" customWidth="1"/>
    <col min="3" max="3" width="9.6640625" style="13" bestFit="1" customWidth="1"/>
    <col min="4" max="4" width="9.33203125" style="13" bestFit="1" customWidth="1"/>
    <col min="5" max="7" width="10" style="13" bestFit="1" customWidth="1"/>
    <col min="8" max="8" width="16.5546875" style="13" bestFit="1" customWidth="1"/>
    <col min="9" max="9" width="10" style="13" bestFit="1" customWidth="1"/>
    <col min="10" max="10" width="9.109375" style="13"/>
    <col min="11" max="11" width="10.6640625" style="13" bestFit="1" customWidth="1"/>
    <col min="12" max="16384" width="9.109375" style="13"/>
  </cols>
  <sheetData>
    <row r="2" spans="2:16" ht="15" x14ac:dyDescent="0.25">
      <c r="B2" s="175" t="s">
        <v>68</v>
      </c>
      <c r="C2" s="175"/>
      <c r="D2" s="175"/>
      <c r="E2" s="175"/>
      <c r="F2" s="175"/>
      <c r="G2" s="175"/>
      <c r="H2" s="175"/>
    </row>
    <row r="3" spans="2:16" x14ac:dyDescent="0.25">
      <c r="B3" s="80" t="s">
        <v>113</v>
      </c>
      <c r="C3" s="45"/>
      <c r="D3" s="45"/>
      <c r="E3" s="45"/>
      <c r="F3" s="45"/>
      <c r="G3" s="45"/>
      <c r="H3" s="45"/>
    </row>
    <row r="4" spans="2:16" ht="15.6" thickBot="1" x14ac:dyDescent="0.3">
      <c r="B4" s="95" t="s">
        <v>37</v>
      </c>
      <c r="C4" s="96">
        <f>PL!L5</f>
        <v>23</v>
      </c>
      <c r="D4" s="96">
        <f>PL!M5</f>
        <v>24</v>
      </c>
      <c r="E4" s="96">
        <f>PL!N5</f>
        <v>25</v>
      </c>
      <c r="F4" s="96">
        <f>PL!O5</f>
        <v>26</v>
      </c>
      <c r="G4" s="96">
        <f>PL!P5</f>
        <v>27</v>
      </c>
      <c r="H4" s="97" t="s">
        <v>28</v>
      </c>
    </row>
    <row r="5" spans="2:16" ht="15" x14ac:dyDescent="0.25">
      <c r="B5" s="46" t="s">
        <v>69</v>
      </c>
      <c r="C5" s="47">
        <f>+PL!L41</f>
        <v>10.360629667741648</v>
      </c>
      <c r="D5" s="47">
        <f>+PL!M41</f>
        <v>457.45990352406284</v>
      </c>
      <c r="E5" s="47">
        <f>+PL!N41</f>
        <v>576.30796504520663</v>
      </c>
      <c r="F5" s="47">
        <f>+PL!O41</f>
        <v>705.6389178577997</v>
      </c>
      <c r="G5" s="47">
        <f>+PL!P41</f>
        <v>840.7097071536125</v>
      </c>
      <c r="H5" s="48"/>
    </row>
    <row r="6" spans="2:16" ht="15" x14ac:dyDescent="0.25">
      <c r="B6" s="49" t="s">
        <v>70</v>
      </c>
      <c r="C6" s="50">
        <v>0.5</v>
      </c>
      <c r="D6" s="50">
        <f>+C6+1</f>
        <v>1.5</v>
      </c>
      <c r="E6" s="50">
        <f t="shared" ref="E6:G6" si="0">+D6+1</f>
        <v>2.5</v>
      </c>
      <c r="F6" s="50">
        <f t="shared" si="0"/>
        <v>3.5</v>
      </c>
      <c r="G6" s="50">
        <f t="shared" si="0"/>
        <v>4.5</v>
      </c>
      <c r="H6" s="50"/>
    </row>
    <row r="7" spans="2:16" ht="15" x14ac:dyDescent="0.25">
      <c r="B7" s="51" t="s">
        <v>71</v>
      </c>
      <c r="C7" s="52">
        <f>1/(1+$C$15)^C6</f>
        <v>0.93169499062491234</v>
      </c>
      <c r="D7" s="52">
        <f t="shared" ref="D7:G7" si="1">1/(1+$C$15)^D6</f>
        <v>0.80876301269523654</v>
      </c>
      <c r="E7" s="52">
        <f t="shared" si="1"/>
        <v>0.70205122629794847</v>
      </c>
      <c r="F7" s="52">
        <f t="shared" si="1"/>
        <v>0.60941946727252472</v>
      </c>
      <c r="G7" s="52">
        <f t="shared" si="1"/>
        <v>0.52900995422962216</v>
      </c>
      <c r="H7" s="52"/>
    </row>
    <row r="8" spans="2:16" ht="15" x14ac:dyDescent="0.25">
      <c r="B8" s="53" t="s">
        <v>72</v>
      </c>
      <c r="C8" s="54">
        <f>+C5*C7</f>
        <v>9.6529467611547428</v>
      </c>
      <c r="D8" s="54">
        <f>+D5*D7</f>
        <v>369.97664976139333</v>
      </c>
      <c r="E8" s="54">
        <f>+E5*E7</f>
        <v>404.59771358526251</v>
      </c>
      <c r="F8" s="54">
        <f>+F5*F7</f>
        <v>430.03009340766113</v>
      </c>
      <c r="G8" s="54">
        <f>+G5*G7</f>
        <v>444.74380370173162</v>
      </c>
      <c r="H8" s="55">
        <f>SUM(C8:G8)</f>
        <v>1659.0012072172033</v>
      </c>
    </row>
    <row r="9" spans="2:16" ht="15" x14ac:dyDescent="0.25">
      <c r="B9" s="49" t="s">
        <v>73</v>
      </c>
      <c r="C9" s="50"/>
      <c r="D9" s="50"/>
      <c r="E9" s="50"/>
      <c r="F9" s="50"/>
      <c r="G9" s="50"/>
      <c r="H9" s="56">
        <f>+PL!Q41/(C15-PL!Q4)*G7</f>
        <v>8873.6675579594248</v>
      </c>
    </row>
    <row r="10" spans="2:16" ht="15" x14ac:dyDescent="0.25">
      <c r="B10" s="51" t="s">
        <v>96</v>
      </c>
      <c r="C10" s="57"/>
      <c r="D10" s="57"/>
      <c r="E10" s="57"/>
      <c r="F10" s="57"/>
      <c r="G10" s="57"/>
      <c r="H10" s="75">
        <f>+C20</f>
        <v>252.33166666666668</v>
      </c>
    </row>
    <row r="11" spans="2:16" ht="15.6" thickBot="1" x14ac:dyDescent="0.3">
      <c r="B11" s="76" t="s">
        <v>80</v>
      </c>
      <c r="C11" s="58"/>
      <c r="D11" s="58"/>
      <c r="E11" s="58"/>
      <c r="F11" s="58"/>
      <c r="G11" s="58"/>
      <c r="H11" s="59">
        <f>SUM(H8:H10)</f>
        <v>10785.000431843295</v>
      </c>
    </row>
    <row r="12" spans="2:16" x14ac:dyDescent="0.25">
      <c r="B12" s="60" t="s">
        <v>120</v>
      </c>
      <c r="C12" s="61"/>
      <c r="D12" s="61"/>
      <c r="E12" s="61"/>
      <c r="F12" s="61"/>
      <c r="G12" s="61"/>
      <c r="H12" s="98">
        <v>10683000</v>
      </c>
      <c r="K12" s="13" t="s">
        <v>128</v>
      </c>
      <c r="M12" s="13" t="s">
        <v>129</v>
      </c>
      <c r="P12" s="13" t="s">
        <v>130</v>
      </c>
    </row>
    <row r="13" spans="2:16" x14ac:dyDescent="0.25">
      <c r="B13" s="60" t="s">
        <v>121</v>
      </c>
      <c r="C13" s="61"/>
      <c r="D13" s="61"/>
      <c r="E13" s="61"/>
      <c r="F13" s="61"/>
      <c r="G13" s="61"/>
      <c r="H13" s="62">
        <f>(H11*10^7)/H12</f>
        <v>10095.47920232453</v>
      </c>
      <c r="K13" s="156">
        <v>10113.75</v>
      </c>
      <c r="M13" s="157">
        <f>H13/K13-1</f>
        <v>-1.8065304832994844E-3</v>
      </c>
      <c r="P13" s="13" t="s">
        <v>131</v>
      </c>
    </row>
    <row r="14" spans="2:16" x14ac:dyDescent="0.25">
      <c r="B14" s="60"/>
      <c r="C14" s="61"/>
      <c r="D14" s="61"/>
      <c r="E14" s="61"/>
      <c r="F14" s="61"/>
      <c r="G14" s="61"/>
      <c r="H14" s="62"/>
    </row>
    <row r="15" spans="2:16" outlineLevel="1" x14ac:dyDescent="0.25">
      <c r="B15" s="13" t="s">
        <v>71</v>
      </c>
      <c r="C15" s="63">
        <f>+COE!C12</f>
        <v>0.152</v>
      </c>
    </row>
    <row r="16" spans="2:16" outlineLevel="1" x14ac:dyDescent="0.25">
      <c r="B16" s="13" t="s">
        <v>103</v>
      </c>
      <c r="C16" s="64">
        <f>+PL!J13</f>
        <v>0.61</v>
      </c>
    </row>
    <row r="17" spans="2:12" x14ac:dyDescent="0.25">
      <c r="C17" s="37"/>
    </row>
    <row r="18" spans="2:12" x14ac:dyDescent="0.25">
      <c r="B18" s="13" t="s">
        <v>112</v>
      </c>
      <c r="C18" s="38">
        <f>+BS!E28</f>
        <v>496</v>
      </c>
    </row>
    <row r="19" spans="2:12" x14ac:dyDescent="0.25">
      <c r="B19" s="13" t="s">
        <v>95</v>
      </c>
      <c r="C19" s="38">
        <f>-PL!E22/12*1</f>
        <v>-243.66833333333332</v>
      </c>
      <c r="D19" s="13" t="s">
        <v>127</v>
      </c>
    </row>
    <row r="20" spans="2:12" x14ac:dyDescent="0.25">
      <c r="B20" s="14" t="s">
        <v>96</v>
      </c>
      <c r="C20" s="41">
        <f>SUM(C18:C19)</f>
        <v>252.33166666666668</v>
      </c>
    </row>
    <row r="21" spans="2:12" x14ac:dyDescent="0.25">
      <c r="C21" s="37"/>
    </row>
    <row r="22" spans="2:12" x14ac:dyDescent="0.25">
      <c r="C22" s="37"/>
    </row>
    <row r="24" spans="2:12" x14ac:dyDescent="0.25">
      <c r="F24" s="14" t="s">
        <v>92</v>
      </c>
    </row>
    <row r="25" spans="2:12" x14ac:dyDescent="0.25">
      <c r="C25" s="65"/>
      <c r="D25" s="65"/>
      <c r="E25" s="65"/>
      <c r="F25" s="66" t="s">
        <v>125</v>
      </c>
      <c r="G25" s="66"/>
      <c r="H25" s="65"/>
      <c r="I25" s="65"/>
      <c r="K25" s="66" t="s">
        <v>101</v>
      </c>
      <c r="L25" s="65"/>
    </row>
    <row r="26" spans="2:12" ht="15" customHeight="1" x14ac:dyDescent="0.25">
      <c r="C26" s="176" t="s">
        <v>91</v>
      </c>
      <c r="D26" s="158">
        <f>H13</f>
        <v>10095.47920232453</v>
      </c>
      <c r="E26" s="155">
        <v>0.56999999999999995</v>
      </c>
      <c r="F26" s="155">
        <v>0.59</v>
      </c>
      <c r="G26" s="155">
        <f>+PL!J13</f>
        <v>0.61</v>
      </c>
      <c r="H26" s="155">
        <v>0.63</v>
      </c>
      <c r="I26" s="155">
        <v>0.65</v>
      </c>
      <c r="K26" s="13" t="s">
        <v>97</v>
      </c>
      <c r="L26" s="74">
        <f>+MIN(E27:I32)</f>
        <v>6364.2128161564733</v>
      </c>
    </row>
    <row r="27" spans="2:12" x14ac:dyDescent="0.25">
      <c r="C27" s="176"/>
      <c r="D27" s="77">
        <f>+D28-1%</f>
        <v>0.13199999999999998</v>
      </c>
      <c r="E27" s="82">
        <f t="dataTable" ref="E27:I32" dt2D="1" dtr="1" r1="C16" r2="C15"/>
        <v>16479.596446489057</v>
      </c>
      <c r="F27" s="82">
        <v>16479.596446489057</v>
      </c>
      <c r="G27" s="82">
        <v>16479.596446489057</v>
      </c>
      <c r="H27" s="82">
        <v>16479.596446489057</v>
      </c>
      <c r="I27" s="82">
        <v>16479.596446489057</v>
      </c>
      <c r="K27" s="13" t="s">
        <v>98</v>
      </c>
      <c r="L27" s="74">
        <f>+MAX(E27:I32)</f>
        <v>16479.596446489057</v>
      </c>
    </row>
    <row r="28" spans="2:12" x14ac:dyDescent="0.25">
      <c r="C28" s="176"/>
      <c r="D28" s="77">
        <f>+D29-1%</f>
        <v>0.14199999999999999</v>
      </c>
      <c r="E28" s="82">
        <v>12526.74784548167</v>
      </c>
      <c r="F28" s="82">
        <v>12526.74784548167</v>
      </c>
      <c r="G28" s="82">
        <v>12526.74784548167</v>
      </c>
      <c r="H28" s="82">
        <v>12526.74784548167</v>
      </c>
      <c r="I28" s="82">
        <v>12526.74784548167</v>
      </c>
      <c r="K28" s="13" t="s">
        <v>99</v>
      </c>
      <c r="L28" s="74">
        <f>+MEDIAN(E27:I32)</f>
        <v>9272.4983684385552</v>
      </c>
    </row>
    <row r="29" spans="2:12" x14ac:dyDescent="0.25">
      <c r="C29" s="176"/>
      <c r="D29" s="77">
        <f>+COE!C12</f>
        <v>0.152</v>
      </c>
      <c r="E29" s="82">
        <v>10095.47920232453</v>
      </c>
      <c r="F29" s="82">
        <v>10095.47920232453</v>
      </c>
      <c r="G29" s="154">
        <v>10095.47920232453</v>
      </c>
      <c r="H29" s="82">
        <v>10095.47920232453</v>
      </c>
      <c r="I29" s="82">
        <v>10095.47920232453</v>
      </c>
      <c r="K29" s="13" t="s">
        <v>100</v>
      </c>
      <c r="L29" s="74">
        <f>+AVERAGE(E27:I32)</f>
        <v>10196.197445342204</v>
      </c>
    </row>
    <row r="30" spans="2:12" x14ac:dyDescent="0.25">
      <c r="C30" s="176"/>
      <c r="D30" s="77">
        <f>+D29+1%</f>
        <v>0.16200000000000001</v>
      </c>
      <c r="E30" s="82">
        <v>8449.5175345525804</v>
      </c>
      <c r="F30" s="82">
        <v>8449.5175345525804</v>
      </c>
      <c r="G30" s="82">
        <v>8449.5175345525804</v>
      </c>
      <c r="H30" s="82">
        <v>8449.5175345525804</v>
      </c>
      <c r="I30" s="82">
        <v>8449.5175345525804</v>
      </c>
    </row>
    <row r="31" spans="2:12" x14ac:dyDescent="0.25">
      <c r="C31" s="176"/>
      <c r="D31" s="77">
        <f t="shared" ref="D31:D32" si="2">+D30+1%</f>
        <v>0.17200000000000001</v>
      </c>
      <c r="E31" s="82">
        <v>7261.6308270489462</v>
      </c>
      <c r="F31" s="82">
        <v>7261.6308270489462</v>
      </c>
      <c r="G31" s="82">
        <v>7261.6308270489462</v>
      </c>
      <c r="H31" s="82">
        <v>7261.6308270489462</v>
      </c>
      <c r="I31" s="82">
        <v>7261.6308270489462</v>
      </c>
    </row>
    <row r="32" spans="2:12" x14ac:dyDescent="0.25">
      <c r="C32" s="176"/>
      <c r="D32" s="77">
        <f t="shared" si="2"/>
        <v>0.18200000000000002</v>
      </c>
      <c r="E32" s="82">
        <v>6364.2128161564733</v>
      </c>
      <c r="F32" s="82">
        <v>6364.2128161564733</v>
      </c>
      <c r="G32" s="82">
        <v>6364.2128161564733</v>
      </c>
      <c r="H32" s="82">
        <v>6364.2128161564733</v>
      </c>
      <c r="I32" s="82">
        <v>6364.2128161564733</v>
      </c>
    </row>
  </sheetData>
  <mergeCells count="2">
    <mergeCell ref="B2:H2"/>
    <mergeCell ref="C26:C3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X43"/>
  <sheetViews>
    <sheetView showGridLines="0" topLeftCell="A2" zoomScale="71" zoomScaleNormal="100" workbookViewId="0">
      <pane xSplit="2" ySplit="4" topLeftCell="C8" activePane="bottomRight" state="frozen"/>
      <selection activeCell="A2" sqref="A2"/>
      <selection pane="topRight" activeCell="C2" sqref="C2"/>
      <selection pane="bottomLeft" activeCell="A6" sqref="A6"/>
      <selection pane="bottomRight" activeCell="U13" sqref="U13"/>
    </sheetView>
  </sheetViews>
  <sheetFormatPr defaultColWidth="9.109375" defaultRowHeight="13.8" x14ac:dyDescent="0.25"/>
  <cols>
    <col min="1" max="1" width="3.6640625" style="13" customWidth="1"/>
    <col min="2" max="2" width="36.44140625" style="13" bestFit="1" customWidth="1"/>
    <col min="3" max="5" width="8.109375" style="104" bestFit="1" customWidth="1"/>
    <col min="6" max="6" width="3.6640625" style="105" bestFit="1" customWidth="1"/>
    <col min="7" max="9" width="5.109375" style="105" bestFit="1" customWidth="1"/>
    <col min="10" max="10" width="8.44140625" style="13" bestFit="1" customWidth="1"/>
    <col min="11" max="11" width="24.33203125" style="13" bestFit="1" customWidth="1"/>
    <col min="12" max="16" width="8.44140625" style="13" bestFit="1" customWidth="1"/>
    <col min="17" max="17" width="15.88671875" style="13" bestFit="1" customWidth="1"/>
    <col min="18" max="18" width="5.44140625" style="13" bestFit="1" customWidth="1"/>
    <col min="19" max="24" width="7.6640625" style="13" bestFit="1" customWidth="1"/>
    <col min="25" max="16384" width="9.109375" style="13"/>
  </cols>
  <sheetData>
    <row r="3" spans="2:19" x14ac:dyDescent="0.25">
      <c r="B3" s="13" t="s">
        <v>49</v>
      </c>
      <c r="L3" s="177" t="s">
        <v>94</v>
      </c>
      <c r="M3" s="177"/>
      <c r="N3" s="177"/>
      <c r="O3" s="177"/>
      <c r="P3" s="177"/>
      <c r="Q3" s="177"/>
    </row>
    <row r="4" spans="2:19" x14ac:dyDescent="0.25">
      <c r="B4" s="106" t="s">
        <v>54</v>
      </c>
      <c r="L4" s="107">
        <v>0.43</v>
      </c>
      <c r="M4" s="107">
        <v>0.24</v>
      </c>
      <c r="N4" s="107">
        <v>0.21</v>
      </c>
      <c r="O4" s="107">
        <v>0.18</v>
      </c>
      <c r="P4" s="107">
        <v>0.15</v>
      </c>
      <c r="Q4" s="107">
        <v>0.1</v>
      </c>
    </row>
    <row r="5" spans="2:19" x14ac:dyDescent="0.25">
      <c r="B5" s="85" t="s">
        <v>37</v>
      </c>
      <c r="C5" s="108">
        <v>20</v>
      </c>
      <c r="D5" s="108">
        <v>21</v>
      </c>
      <c r="E5" s="108">
        <v>22</v>
      </c>
      <c r="F5" s="109"/>
      <c r="G5" s="110">
        <f>C5</f>
        <v>20</v>
      </c>
      <c r="H5" s="108">
        <f>D5</f>
        <v>21</v>
      </c>
      <c r="I5" s="108">
        <f>E5</f>
        <v>22</v>
      </c>
      <c r="J5" s="39" t="s">
        <v>55</v>
      </c>
      <c r="K5" s="39" t="s">
        <v>56</v>
      </c>
      <c r="L5" s="111">
        <f>E5+1</f>
        <v>23</v>
      </c>
      <c r="M5" s="111">
        <f>L5+1</f>
        <v>24</v>
      </c>
      <c r="N5" s="111">
        <f t="shared" ref="N5:P5" si="0">M5+1</f>
        <v>25</v>
      </c>
      <c r="O5" s="111">
        <f t="shared" si="0"/>
        <v>26</v>
      </c>
      <c r="P5" s="111">
        <f t="shared" si="0"/>
        <v>27</v>
      </c>
      <c r="Q5" s="112" t="s">
        <v>59</v>
      </c>
    </row>
    <row r="6" spans="2:19" x14ac:dyDescent="0.25">
      <c r="B6" s="13" t="s">
        <v>0</v>
      </c>
      <c r="C6" s="150">
        <v>1574</v>
      </c>
      <c r="D6" s="150">
        <v>1727</v>
      </c>
      <c r="E6" s="150">
        <v>3171</v>
      </c>
      <c r="G6" s="113">
        <f>C6/C10</f>
        <v>0.94477791116446574</v>
      </c>
      <c r="H6" s="114">
        <f>D6/D$10</f>
        <v>0.968592260235558</v>
      </c>
      <c r="I6" s="114">
        <f>E6/E10</f>
        <v>0.98417132216014902</v>
      </c>
      <c r="J6" s="15"/>
      <c r="K6" s="15"/>
      <c r="L6" s="115">
        <f>+E6*(1+L4)</f>
        <v>4534.53</v>
      </c>
      <c r="M6" s="115">
        <f>+L6*(1+M4)</f>
        <v>5622.8171999999995</v>
      </c>
      <c r="N6" s="115">
        <f t="shared" ref="N6:Q6" si="1">+M6*(1+N4)</f>
        <v>6803.6088119999995</v>
      </c>
      <c r="O6" s="115">
        <f t="shared" si="1"/>
        <v>8028.2583981599992</v>
      </c>
      <c r="P6" s="115">
        <f t="shared" si="1"/>
        <v>9232.4971578839977</v>
      </c>
      <c r="Q6" s="115">
        <f t="shared" si="1"/>
        <v>10155.746873672399</v>
      </c>
    </row>
    <row r="7" spans="2:19" x14ac:dyDescent="0.25">
      <c r="B7" s="15" t="s">
        <v>18</v>
      </c>
      <c r="C7" s="116">
        <f>(C6-2712)/2712</f>
        <v>-0.4196165191740413</v>
      </c>
      <c r="D7" s="117">
        <f>D6/C6-1</f>
        <v>9.7204574332909743E-2</v>
      </c>
      <c r="E7" s="117">
        <f t="shared" ref="E7" si="2">E6/D6-1</f>
        <v>0.83613202084539662</v>
      </c>
      <c r="G7" s="113"/>
      <c r="H7" s="114"/>
      <c r="I7" s="114"/>
      <c r="J7" s="15"/>
      <c r="K7" s="15"/>
      <c r="L7" s="115"/>
      <c r="M7" s="115"/>
      <c r="N7" s="115"/>
      <c r="O7" s="115"/>
      <c r="P7" s="115"/>
      <c r="Q7" s="115"/>
    </row>
    <row r="8" spans="2:19" x14ac:dyDescent="0.25">
      <c r="G8" s="113"/>
      <c r="H8" s="114"/>
      <c r="I8" s="114"/>
      <c r="J8" s="15"/>
      <c r="K8" s="15"/>
      <c r="L8" s="115"/>
      <c r="M8" s="115"/>
      <c r="N8" s="115"/>
      <c r="O8" s="115"/>
      <c r="P8" s="115"/>
      <c r="Q8" s="115"/>
    </row>
    <row r="9" spans="2:19" x14ac:dyDescent="0.25">
      <c r="B9" s="16" t="s">
        <v>1</v>
      </c>
      <c r="C9" s="151">
        <v>92</v>
      </c>
      <c r="D9" s="151">
        <v>56</v>
      </c>
      <c r="E9" s="151">
        <v>51</v>
      </c>
      <c r="F9" s="152"/>
      <c r="G9" s="113">
        <f>C9/C$10</f>
        <v>5.5222088835534214E-2</v>
      </c>
      <c r="H9" s="119">
        <f>D9/D10</f>
        <v>3.1407739764441951E-2</v>
      </c>
      <c r="I9" s="119">
        <f>E9/E10</f>
        <v>1.5828677839851025E-2</v>
      </c>
      <c r="J9" s="120">
        <f>AVERAGE(G9:I9)</f>
        <v>3.4152835479942398E-2</v>
      </c>
      <c r="K9" s="120" t="s">
        <v>114</v>
      </c>
      <c r="L9" s="121">
        <f>+L6*$J$9</f>
        <v>154.8670570688632</v>
      </c>
      <c r="M9" s="121">
        <f t="shared" ref="M9:P9" si="3">+M6*$J$9</f>
        <v>192.03515076539034</v>
      </c>
      <c r="N9" s="121">
        <f t="shared" si="3"/>
        <v>232.36253242612233</v>
      </c>
      <c r="O9" s="121">
        <f t="shared" si="3"/>
        <v>274.18778826282431</v>
      </c>
      <c r="P9" s="121">
        <f t="shared" si="3"/>
        <v>315.31595650224796</v>
      </c>
      <c r="Q9" s="121">
        <f t="shared" ref="Q9" si="4">+Q6*$J$9</f>
        <v>346.84755215247276</v>
      </c>
    </row>
    <row r="10" spans="2:19" s="14" customFormat="1" x14ac:dyDescent="0.25">
      <c r="B10" s="14" t="s">
        <v>6</v>
      </c>
      <c r="C10" s="148">
        <f>SUM(C6,C9)</f>
        <v>1666</v>
      </c>
      <c r="D10" s="148">
        <f>SUM(D6,D9)</f>
        <v>1783</v>
      </c>
      <c r="E10" s="148">
        <f>SUM(E6,E9)</f>
        <v>3222</v>
      </c>
      <c r="F10" s="153"/>
      <c r="G10" s="124"/>
      <c r="H10" s="125"/>
      <c r="I10" s="125"/>
      <c r="J10" s="126"/>
      <c r="K10" s="126"/>
      <c r="L10" s="127">
        <f>SUM(L6:L9)</f>
        <v>4689.3970570688625</v>
      </c>
      <c r="M10" s="127">
        <f t="shared" ref="M10:Q10" si="5">SUM(M6:M9)</f>
        <v>5814.8523507653899</v>
      </c>
      <c r="N10" s="127">
        <f t="shared" si="5"/>
        <v>7035.9713444261215</v>
      </c>
      <c r="O10" s="127">
        <f t="shared" si="5"/>
        <v>8302.4461864228233</v>
      </c>
      <c r="P10" s="127">
        <f t="shared" si="5"/>
        <v>9547.8131143862465</v>
      </c>
      <c r="Q10" s="127">
        <f t="shared" si="5"/>
        <v>10502.594425824871</v>
      </c>
    </row>
    <row r="11" spans="2:19" x14ac:dyDescent="0.25">
      <c r="G11" s="113"/>
      <c r="H11" s="114"/>
      <c r="I11" s="114"/>
      <c r="J11" s="15"/>
      <c r="K11" s="15"/>
      <c r="L11" s="115"/>
      <c r="M11" s="115"/>
      <c r="N11" s="115"/>
      <c r="O11" s="115"/>
      <c r="P11" s="115"/>
      <c r="Q11" s="115"/>
    </row>
    <row r="12" spans="2:19" x14ac:dyDescent="0.25">
      <c r="B12" s="14" t="s">
        <v>2</v>
      </c>
      <c r="G12" s="113"/>
      <c r="H12" s="114"/>
      <c r="I12" s="114"/>
      <c r="J12" s="120"/>
      <c r="K12" s="15"/>
      <c r="L12" s="115"/>
      <c r="M12" s="115"/>
      <c r="N12" s="115"/>
      <c r="O12" s="115"/>
      <c r="P12" s="115"/>
      <c r="Q12" s="115"/>
    </row>
    <row r="13" spans="2:19" x14ac:dyDescent="0.25">
      <c r="B13" s="13" t="s">
        <v>103</v>
      </c>
      <c r="C13" s="149">
        <f>C6*60%</f>
        <v>944.4</v>
      </c>
      <c r="D13" s="149">
        <f>D6*61%</f>
        <v>1053.47</v>
      </c>
      <c r="E13" s="149">
        <f>E6*63%</f>
        <v>1997.73</v>
      </c>
      <c r="G13" s="113">
        <f t="shared" ref="G13:H17" si="6">C13/C$6</f>
        <v>0.6</v>
      </c>
      <c r="H13" s="114">
        <f t="shared" si="6"/>
        <v>0.61</v>
      </c>
      <c r="I13" s="114">
        <f t="shared" ref="I13:I20" si="7">E13/E$6</f>
        <v>0.63</v>
      </c>
      <c r="J13" s="120">
        <f>+ROUND((G13+H13+I13)/3,2)</f>
        <v>0.61</v>
      </c>
      <c r="K13" s="120" t="s">
        <v>114</v>
      </c>
      <c r="L13" s="128">
        <f>$J$13*L6</f>
        <v>2766.0632999999998</v>
      </c>
      <c r="M13" s="128">
        <f t="shared" ref="M13:Q13" si="8">$J$13*M6</f>
        <v>3429.9184919999998</v>
      </c>
      <c r="N13" s="128">
        <f t="shared" si="8"/>
        <v>4150.2013753199999</v>
      </c>
      <c r="O13" s="128">
        <f t="shared" si="8"/>
        <v>4897.2376228775993</v>
      </c>
      <c r="P13" s="128">
        <f t="shared" si="8"/>
        <v>5631.8232663092385</v>
      </c>
      <c r="Q13" s="128">
        <f t="shared" si="8"/>
        <v>6195.0055929401633</v>
      </c>
      <c r="R13" s="129"/>
      <c r="S13" s="13" t="s">
        <v>141</v>
      </c>
    </row>
    <row r="14" spans="2:19" x14ac:dyDescent="0.25">
      <c r="B14" s="13" t="s">
        <v>104</v>
      </c>
      <c r="C14" s="150">
        <f>C6*10%</f>
        <v>157.4</v>
      </c>
      <c r="D14" s="150">
        <f>D6*9%</f>
        <v>155.43</v>
      </c>
      <c r="E14" s="150">
        <f>E6*9%</f>
        <v>285.39</v>
      </c>
      <c r="G14" s="113">
        <f t="shared" si="6"/>
        <v>0.1</v>
      </c>
      <c r="H14" s="114">
        <f t="shared" si="6"/>
        <v>9.0000000000000011E-2</v>
      </c>
      <c r="I14" s="114">
        <f t="shared" si="7"/>
        <v>0.09</v>
      </c>
      <c r="J14" s="120">
        <f t="shared" ref="J14" si="9">+ROUND((G14+H14+I14)/3,2)</f>
        <v>0.09</v>
      </c>
      <c r="K14" s="120" t="s">
        <v>114</v>
      </c>
      <c r="L14" s="115">
        <f>+L6*$J$14</f>
        <v>408.10769999999997</v>
      </c>
      <c r="M14" s="115">
        <f t="shared" ref="M14:P14" si="10">+M6*$J$14</f>
        <v>506.05354799999992</v>
      </c>
      <c r="N14" s="115">
        <f t="shared" si="10"/>
        <v>612.32479307999995</v>
      </c>
      <c r="O14" s="115">
        <f t="shared" si="10"/>
        <v>722.54325583439993</v>
      </c>
      <c r="P14" s="115">
        <f t="shared" si="10"/>
        <v>830.92474420955978</v>
      </c>
      <c r="Q14" s="115">
        <f t="shared" ref="Q14:Q20" si="11">+P14*(1+$Q$4)</f>
        <v>914.0172186305158</v>
      </c>
    </row>
    <row r="15" spans="2:19" x14ac:dyDescent="0.25">
      <c r="B15" s="13" t="s">
        <v>3</v>
      </c>
      <c r="C15" s="150">
        <f>C6*15%</f>
        <v>236.1</v>
      </c>
      <c r="D15" s="150">
        <f>D6*15%</f>
        <v>259.05</v>
      </c>
      <c r="E15" s="150">
        <f>E6*10%</f>
        <v>317.10000000000002</v>
      </c>
      <c r="G15" s="113">
        <f t="shared" si="6"/>
        <v>0.15</v>
      </c>
      <c r="H15" s="114">
        <f t="shared" si="6"/>
        <v>0.15</v>
      </c>
      <c r="I15" s="114">
        <f t="shared" si="7"/>
        <v>0.1</v>
      </c>
      <c r="J15" s="120">
        <f>+ROUND((G15+H15+I15)/3,2)-3%</f>
        <v>0.1</v>
      </c>
      <c r="K15" s="120" t="s">
        <v>114</v>
      </c>
      <c r="L15" s="115">
        <f>+L6*$J$15</f>
        <v>453.45299999999997</v>
      </c>
      <c r="M15" s="115">
        <f t="shared" ref="M15:Q15" si="12">+M6*$J$15</f>
        <v>562.28171999999995</v>
      </c>
      <c r="N15" s="115">
        <f t="shared" si="12"/>
        <v>680.36088119999999</v>
      </c>
      <c r="O15" s="115">
        <f t="shared" si="12"/>
        <v>802.82583981599998</v>
      </c>
      <c r="P15" s="115">
        <f t="shared" si="12"/>
        <v>923.24971578839984</v>
      </c>
      <c r="Q15" s="115">
        <f t="shared" si="12"/>
        <v>1015.5746873672399</v>
      </c>
    </row>
    <row r="16" spans="2:19" x14ac:dyDescent="0.25">
      <c r="B16" s="13" t="s">
        <v>105</v>
      </c>
      <c r="C16" s="150">
        <f>C6*14%+4.7</f>
        <v>225.06</v>
      </c>
      <c r="D16" s="150">
        <f>D6*11%-0.9</f>
        <v>189.07</v>
      </c>
      <c r="E16" s="150">
        <f>E6*10%+6.7</f>
        <v>323.8</v>
      </c>
      <c r="G16" s="113">
        <f t="shared" si="6"/>
        <v>0.14298602287166454</v>
      </c>
      <c r="H16" s="114">
        <f t="shared" si="6"/>
        <v>0.10947886508396062</v>
      </c>
      <c r="I16" s="114">
        <f t="shared" si="7"/>
        <v>0.1021128981393882</v>
      </c>
      <c r="J16" s="120">
        <f>+ROUND((G16+H16+I16)/3,2)-2%</f>
        <v>9.9999999999999992E-2</v>
      </c>
      <c r="K16" s="120" t="s">
        <v>114</v>
      </c>
      <c r="L16" s="115">
        <f>+L6*$J$16</f>
        <v>453.45299999999992</v>
      </c>
      <c r="M16" s="115">
        <f t="shared" ref="M16:Q16" si="13">+M6*$J$16</f>
        <v>562.28171999999995</v>
      </c>
      <c r="N16" s="115">
        <f t="shared" si="13"/>
        <v>680.36088119999988</v>
      </c>
      <c r="O16" s="115">
        <f t="shared" si="13"/>
        <v>802.82583981599987</v>
      </c>
      <c r="P16" s="115">
        <f t="shared" si="13"/>
        <v>923.24971578839973</v>
      </c>
      <c r="Q16" s="115">
        <f t="shared" si="13"/>
        <v>1015.5746873672398</v>
      </c>
    </row>
    <row r="17" spans="2:24" x14ac:dyDescent="0.25">
      <c r="B17" s="13" t="s">
        <v>50</v>
      </c>
      <c r="G17" s="113">
        <f t="shared" si="6"/>
        <v>0</v>
      </c>
      <c r="H17" s="114">
        <f t="shared" si="6"/>
        <v>0</v>
      </c>
      <c r="I17" s="114">
        <f t="shared" si="7"/>
        <v>0</v>
      </c>
      <c r="J17" s="120">
        <f>+ROUND(I17,2)</f>
        <v>0</v>
      </c>
      <c r="K17" s="120"/>
      <c r="L17" s="115">
        <f>+$J$17*L6</f>
        <v>0</v>
      </c>
      <c r="M17" s="115">
        <f t="shared" ref="M17:P17" si="14">+$J$17*M6</f>
        <v>0</v>
      </c>
      <c r="N17" s="115">
        <f t="shared" si="14"/>
        <v>0</v>
      </c>
      <c r="O17" s="115">
        <f t="shared" si="14"/>
        <v>0</v>
      </c>
      <c r="P17" s="115">
        <f t="shared" si="14"/>
        <v>0</v>
      </c>
      <c r="Q17" s="115">
        <f t="shared" si="11"/>
        <v>0</v>
      </c>
    </row>
    <row r="18" spans="2:24" x14ac:dyDescent="0.25">
      <c r="B18" s="13" t="s">
        <v>51</v>
      </c>
      <c r="G18" s="113">
        <f t="shared" ref="G18:G19" si="15">C18/C$6</f>
        <v>0</v>
      </c>
      <c r="H18" s="114">
        <f t="shared" ref="H18:H19" si="16">D18/D$6</f>
        <v>0</v>
      </c>
      <c r="I18" s="114">
        <f t="shared" si="7"/>
        <v>0</v>
      </c>
      <c r="J18" s="120">
        <f t="shared" ref="J18:J20" si="17">+ROUND(I18,2)</f>
        <v>0</v>
      </c>
      <c r="K18" s="15"/>
      <c r="L18" s="115">
        <f>+E18*(1+$J$18)</f>
        <v>0</v>
      </c>
      <c r="M18" s="115">
        <f>+L18*(1+$J$18)</f>
        <v>0</v>
      </c>
      <c r="N18" s="115">
        <f t="shared" ref="N18:P18" si="18">+M18*(1+$J$18)</f>
        <v>0</v>
      </c>
      <c r="O18" s="115">
        <f t="shared" si="18"/>
        <v>0</v>
      </c>
      <c r="P18" s="115">
        <f t="shared" si="18"/>
        <v>0</v>
      </c>
      <c r="Q18" s="115">
        <f t="shared" si="11"/>
        <v>0</v>
      </c>
    </row>
    <row r="19" spans="2:24" x14ac:dyDescent="0.25">
      <c r="B19" s="13" t="s">
        <v>52</v>
      </c>
      <c r="G19" s="113">
        <f t="shared" si="15"/>
        <v>0</v>
      </c>
      <c r="H19" s="114">
        <f t="shared" si="16"/>
        <v>0</v>
      </c>
      <c r="I19" s="114">
        <f t="shared" si="7"/>
        <v>0</v>
      </c>
      <c r="J19" s="120">
        <f t="shared" si="17"/>
        <v>0</v>
      </c>
      <c r="K19" s="15"/>
      <c r="L19" s="115">
        <f>+$J$19*L6</f>
        <v>0</v>
      </c>
      <c r="M19" s="115">
        <f t="shared" ref="M19:P19" si="19">+$J$19*M6</f>
        <v>0</v>
      </c>
      <c r="N19" s="115">
        <f t="shared" si="19"/>
        <v>0</v>
      </c>
      <c r="O19" s="115">
        <f t="shared" si="19"/>
        <v>0</v>
      </c>
      <c r="P19" s="115">
        <f t="shared" si="19"/>
        <v>0</v>
      </c>
      <c r="Q19" s="115">
        <f t="shared" si="11"/>
        <v>0</v>
      </c>
    </row>
    <row r="20" spans="2:24" x14ac:dyDescent="0.25">
      <c r="B20" s="13" t="s">
        <v>53</v>
      </c>
      <c r="C20" s="130"/>
      <c r="D20" s="130"/>
      <c r="E20" s="130"/>
      <c r="G20" s="113">
        <f>C20/C$6</f>
        <v>0</v>
      </c>
      <c r="H20" s="114">
        <f>D20/D$6</f>
        <v>0</v>
      </c>
      <c r="I20" s="114">
        <f t="shared" si="7"/>
        <v>0</v>
      </c>
      <c r="J20" s="120">
        <f t="shared" si="17"/>
        <v>0</v>
      </c>
      <c r="K20" s="15"/>
      <c r="L20" s="131">
        <f>+E20*(1+$J$20)</f>
        <v>0</v>
      </c>
      <c r="M20" s="131">
        <f>+L20*(1+$J$20)</f>
        <v>0</v>
      </c>
      <c r="N20" s="131">
        <f t="shared" ref="N20:P20" si="20">+M20*(1+$J$20)</f>
        <v>0</v>
      </c>
      <c r="O20" s="131">
        <f t="shared" si="20"/>
        <v>0</v>
      </c>
      <c r="P20" s="131">
        <f t="shared" si="20"/>
        <v>0</v>
      </c>
      <c r="Q20" s="131">
        <f t="shared" si="11"/>
        <v>0</v>
      </c>
    </row>
    <row r="21" spans="2:24" x14ac:dyDescent="0.25">
      <c r="B21" s="17"/>
      <c r="C21" s="118"/>
      <c r="D21" s="132"/>
      <c r="E21" s="132"/>
      <c r="G21" s="113"/>
      <c r="H21" s="114"/>
      <c r="I21" s="114"/>
      <c r="J21" s="15"/>
      <c r="K21" s="15"/>
      <c r="L21" s="121"/>
      <c r="M21" s="121"/>
      <c r="N21" s="121"/>
      <c r="O21" s="121"/>
      <c r="P21" s="121"/>
      <c r="Q21" s="121"/>
    </row>
    <row r="22" spans="2:24" s="14" customFormat="1" x14ac:dyDescent="0.25">
      <c r="B22" s="14" t="s">
        <v>7</v>
      </c>
      <c r="C22" s="148">
        <f>SUM(C13:C20)</f>
        <v>1562.9599999999998</v>
      </c>
      <c r="D22" s="148">
        <f>SUM(D13:D20)</f>
        <v>1657.02</v>
      </c>
      <c r="E22" s="148">
        <f>SUM(E13:E20)</f>
        <v>2924.02</v>
      </c>
      <c r="F22" s="123"/>
      <c r="G22" s="124"/>
      <c r="H22" s="125"/>
      <c r="I22" s="125"/>
      <c r="J22" s="126"/>
      <c r="K22" s="126"/>
      <c r="L22" s="127">
        <f>SUM(L13:L21)</f>
        <v>4081.0769999999998</v>
      </c>
      <c r="M22" s="127">
        <f t="shared" ref="M22:Q22" si="21">SUM(M13:M21)</f>
        <v>5060.5354799999996</v>
      </c>
      <c r="N22" s="127">
        <f t="shared" si="21"/>
        <v>6123.2479308000002</v>
      </c>
      <c r="O22" s="127">
        <f t="shared" si="21"/>
        <v>7225.4325583439986</v>
      </c>
      <c r="P22" s="127">
        <f t="shared" si="21"/>
        <v>8309.2474420955987</v>
      </c>
      <c r="Q22" s="127">
        <f t="shared" si="21"/>
        <v>9140.1721863051589</v>
      </c>
      <c r="S22" s="133">
        <f>L22/L$6</f>
        <v>0.9</v>
      </c>
      <c r="T22" s="133">
        <f t="shared" ref="T22:X22" si="22">M22/M$6</f>
        <v>0.9</v>
      </c>
      <c r="U22" s="133">
        <f t="shared" si="22"/>
        <v>0.90000000000000013</v>
      </c>
      <c r="V22" s="133">
        <f t="shared" si="22"/>
        <v>0.89999999999999991</v>
      </c>
      <c r="W22" s="133">
        <f t="shared" si="22"/>
        <v>0.90000000000000013</v>
      </c>
      <c r="X22" s="133">
        <f t="shared" si="22"/>
        <v>0.9</v>
      </c>
    </row>
    <row r="23" spans="2:24" x14ac:dyDescent="0.25">
      <c r="B23" s="18"/>
      <c r="C23" s="118"/>
      <c r="D23" s="118"/>
      <c r="E23" s="118"/>
      <c r="G23" s="113"/>
      <c r="H23" s="114"/>
      <c r="I23" s="114"/>
      <c r="J23" s="15"/>
      <c r="K23" s="15"/>
      <c r="L23" s="121"/>
      <c r="M23" s="121"/>
      <c r="N23" s="121"/>
      <c r="O23" s="121"/>
      <c r="P23" s="121"/>
      <c r="Q23" s="121"/>
    </row>
    <row r="24" spans="2:24" s="14" customFormat="1" x14ac:dyDescent="0.25">
      <c r="B24" s="14" t="s">
        <v>5</v>
      </c>
      <c r="C24" s="122">
        <f>C10-C22</f>
        <v>103.04000000000019</v>
      </c>
      <c r="D24" s="122">
        <f>D10-D22</f>
        <v>125.98000000000002</v>
      </c>
      <c r="E24" s="122">
        <f>E10-E22</f>
        <v>297.98</v>
      </c>
      <c r="F24" s="123"/>
      <c r="G24" s="113">
        <f>C24/C10</f>
        <v>6.1848739495798437E-2</v>
      </c>
      <c r="H24" s="114">
        <f>D24/D10</f>
        <v>7.0656197420078531E-2</v>
      </c>
      <c r="I24" s="114">
        <f>E24/E10</f>
        <v>9.2482929857231541E-2</v>
      </c>
      <c r="J24" s="120"/>
      <c r="K24" s="126"/>
      <c r="L24" s="127">
        <f>L6-L22</f>
        <v>453.45299999999997</v>
      </c>
      <c r="M24" s="127">
        <f t="shared" ref="M24:Q24" si="23">M6-M22</f>
        <v>562.28171999999995</v>
      </c>
      <c r="N24" s="127">
        <f t="shared" si="23"/>
        <v>680.36088119999931</v>
      </c>
      <c r="O24" s="127">
        <f t="shared" si="23"/>
        <v>802.82583981600055</v>
      </c>
      <c r="P24" s="127">
        <f t="shared" si="23"/>
        <v>923.24971578839904</v>
      </c>
      <c r="Q24" s="127">
        <f t="shared" si="23"/>
        <v>1015.5746873672397</v>
      </c>
      <c r="R24" s="41">
        <f>+P24*(1+Q4)-Q24</f>
        <v>0</v>
      </c>
      <c r="S24" s="133">
        <f>L24/L$6</f>
        <v>0.1</v>
      </c>
      <c r="T24" s="133">
        <f t="shared" ref="T24:X24" si="24">M24/M$6</f>
        <v>0.1</v>
      </c>
      <c r="U24" s="133">
        <f t="shared" si="24"/>
        <v>9.9999999999999908E-2</v>
      </c>
      <c r="V24" s="133">
        <f t="shared" si="24"/>
        <v>0.10000000000000007</v>
      </c>
      <c r="W24" s="133">
        <f t="shared" si="24"/>
        <v>9.9999999999999922E-2</v>
      </c>
      <c r="X24" s="133">
        <f t="shared" si="24"/>
        <v>9.9999999999999978E-2</v>
      </c>
    </row>
    <row r="25" spans="2:24" x14ac:dyDescent="0.25">
      <c r="G25" s="113"/>
      <c r="H25" s="114"/>
      <c r="I25" s="114"/>
      <c r="J25" s="15"/>
      <c r="K25" s="15"/>
      <c r="L25" s="134"/>
      <c r="M25" s="115"/>
      <c r="N25" s="115"/>
      <c r="O25" s="115"/>
      <c r="P25" s="115"/>
      <c r="Q25" s="115"/>
    </row>
    <row r="26" spans="2:24" x14ac:dyDescent="0.25">
      <c r="B26" s="13" t="s">
        <v>8</v>
      </c>
      <c r="C26" s="104">
        <v>55</v>
      </c>
      <c r="D26" s="104">
        <v>56</v>
      </c>
      <c r="E26" s="104">
        <v>60</v>
      </c>
      <c r="G26" s="113">
        <f>C26/C$6</f>
        <v>3.4942820838627701E-2</v>
      </c>
      <c r="H26" s="114">
        <f>D26/D$6</f>
        <v>3.2426172553561089E-2</v>
      </c>
      <c r="I26" s="114">
        <f>E26/E$6</f>
        <v>1.8921475875118259E-2</v>
      </c>
      <c r="J26" s="15"/>
      <c r="K26" s="15"/>
      <c r="L26" s="135">
        <f>+FA!E7</f>
        <v>52.993500000000004</v>
      </c>
      <c r="M26" s="135">
        <f>+FA!F7</f>
        <v>51.748152749999996</v>
      </c>
      <c r="N26" s="135">
        <f>+FA!G7</f>
        <v>50.53207116037499</v>
      </c>
      <c r="O26" s="135">
        <f>+FA!H7</f>
        <v>49.344567488106172</v>
      </c>
      <c r="P26" s="135">
        <f>+FA!I7</f>
        <v>48.184970152135683</v>
      </c>
      <c r="Q26" s="135">
        <f>+FA!J7</f>
        <v>52.524598470894212</v>
      </c>
    </row>
    <row r="27" spans="2:24" x14ac:dyDescent="0.25">
      <c r="B27" s="16"/>
      <c r="C27" s="118"/>
      <c r="D27" s="118"/>
      <c r="E27" s="118"/>
      <c r="G27" s="113"/>
      <c r="H27" s="114"/>
      <c r="I27" s="114"/>
      <c r="J27" s="15"/>
      <c r="K27" s="15"/>
      <c r="L27" s="115"/>
      <c r="M27" s="115"/>
      <c r="N27" s="115"/>
      <c r="O27" s="115"/>
      <c r="P27" s="115"/>
      <c r="Q27" s="115"/>
    </row>
    <row r="28" spans="2:24" s="14" customFormat="1" x14ac:dyDescent="0.25">
      <c r="B28" s="14" t="s">
        <v>9</v>
      </c>
      <c r="C28" s="122">
        <f>C24-C26</f>
        <v>48.040000000000191</v>
      </c>
      <c r="D28" s="122">
        <f>D24-D26</f>
        <v>69.980000000000018</v>
      </c>
      <c r="E28" s="122">
        <f>E24-E26</f>
        <v>237.98000000000002</v>
      </c>
      <c r="F28" s="123"/>
      <c r="G28" s="124"/>
      <c r="H28" s="125"/>
      <c r="I28" s="125"/>
      <c r="J28" s="126"/>
      <c r="K28" s="126"/>
      <c r="L28" s="127">
        <f t="shared" ref="L28:P28" si="25">L24-L26</f>
        <v>400.45949999999999</v>
      </c>
      <c r="M28" s="127">
        <f t="shared" si="25"/>
        <v>510.53356724999998</v>
      </c>
      <c r="N28" s="127">
        <f t="shared" si="25"/>
        <v>629.82881003962427</v>
      </c>
      <c r="O28" s="127">
        <f t="shared" si="25"/>
        <v>753.48127232789443</v>
      </c>
      <c r="P28" s="127">
        <f t="shared" si="25"/>
        <v>875.06474563626341</v>
      </c>
      <c r="Q28" s="127">
        <f t="shared" ref="Q28" si="26">Q24-Q26</f>
        <v>963.05008889634541</v>
      </c>
    </row>
    <row r="29" spans="2:24" x14ac:dyDescent="0.25">
      <c r="G29" s="113"/>
      <c r="H29" s="114"/>
      <c r="I29" s="114"/>
      <c r="J29" s="15"/>
      <c r="K29" s="15"/>
      <c r="L29" s="115"/>
      <c r="M29" s="115"/>
      <c r="N29" s="115"/>
      <c r="O29" s="115"/>
      <c r="P29" s="115"/>
      <c r="Q29" s="115"/>
    </row>
    <row r="30" spans="2:24" ht="14.4" x14ac:dyDescent="0.3">
      <c r="B30" s="13" t="s">
        <v>10</v>
      </c>
      <c r="C30" s="104">
        <v>1</v>
      </c>
      <c r="D30" s="104">
        <v>0</v>
      </c>
      <c r="E30" s="104">
        <v>0</v>
      </c>
      <c r="G30" s="113">
        <f>C30/C$6</f>
        <v>6.3532401524777639E-4</v>
      </c>
      <c r="H30" s="114">
        <f>D30/D$6</f>
        <v>0</v>
      </c>
      <c r="I30" s="114">
        <f>E30/E$6</f>
        <v>0</v>
      </c>
      <c r="J30" s="134">
        <v>0</v>
      </c>
      <c r="K30" s="15" t="s">
        <v>133</v>
      </c>
      <c r="L30" s="121">
        <f>+E30</f>
        <v>0</v>
      </c>
      <c r="M30" s="121">
        <f>+L30</f>
        <v>0</v>
      </c>
      <c r="N30" s="121">
        <f t="shared" ref="N30:Q30" si="27">+M30</f>
        <v>0</v>
      </c>
      <c r="O30" s="121">
        <f t="shared" si="27"/>
        <v>0</v>
      </c>
      <c r="P30" s="121">
        <f t="shared" si="27"/>
        <v>0</v>
      </c>
      <c r="Q30" s="121">
        <f t="shared" si="27"/>
        <v>0</v>
      </c>
      <c r="S30" t="s">
        <v>134</v>
      </c>
    </row>
    <row r="31" spans="2:24" x14ac:dyDescent="0.25">
      <c r="B31" s="16"/>
      <c r="C31" s="118"/>
      <c r="D31" s="118"/>
      <c r="E31" s="118"/>
      <c r="G31" s="113"/>
      <c r="H31" s="114"/>
      <c r="I31" s="114"/>
      <c r="J31" s="15"/>
      <c r="K31" s="15"/>
      <c r="L31" s="115"/>
      <c r="M31" s="115"/>
      <c r="N31" s="115"/>
      <c r="O31" s="115"/>
      <c r="P31" s="115"/>
      <c r="Q31" s="115"/>
    </row>
    <row r="32" spans="2:24" s="14" customFormat="1" x14ac:dyDescent="0.25">
      <c r="B32" s="14" t="s">
        <v>11</v>
      </c>
      <c r="C32" s="122">
        <f>C28-C30</f>
        <v>47.040000000000191</v>
      </c>
      <c r="D32" s="122">
        <f>D28-D30</f>
        <v>69.980000000000018</v>
      </c>
      <c r="E32" s="122">
        <f>E28-E30</f>
        <v>237.98000000000002</v>
      </c>
      <c r="F32" s="123"/>
      <c r="G32" s="113">
        <f>C32/C$6</f>
        <v>2.988564167725552E-2</v>
      </c>
      <c r="H32" s="114">
        <f>D32/D$6</f>
        <v>4.0521134916039384E-2</v>
      </c>
      <c r="I32" s="114">
        <f>E32/E$6</f>
        <v>7.5048880479344063E-2</v>
      </c>
      <c r="J32" s="126"/>
      <c r="K32" s="126"/>
      <c r="L32" s="127">
        <f>L28-L30+L9</f>
        <v>555.32655706886317</v>
      </c>
      <c r="M32" s="127">
        <f t="shared" ref="M32:Q32" si="28">M28-M30+M9</f>
        <v>702.56871801539035</v>
      </c>
      <c r="N32" s="127">
        <f t="shared" si="28"/>
        <v>862.19134246574663</v>
      </c>
      <c r="O32" s="127">
        <f t="shared" si="28"/>
        <v>1027.6690605907188</v>
      </c>
      <c r="P32" s="127">
        <f t="shared" si="28"/>
        <v>1190.3807021385114</v>
      </c>
      <c r="Q32" s="127">
        <f t="shared" si="28"/>
        <v>1309.8976410488181</v>
      </c>
    </row>
    <row r="33" spans="2:24" x14ac:dyDescent="0.25">
      <c r="G33" s="113"/>
      <c r="H33" s="114"/>
      <c r="I33" s="114"/>
      <c r="J33" s="15"/>
      <c r="K33" s="15"/>
      <c r="L33" s="115"/>
      <c r="M33" s="115"/>
      <c r="N33" s="115"/>
      <c r="O33" s="115"/>
      <c r="P33" s="115"/>
      <c r="Q33" s="115"/>
    </row>
    <row r="34" spans="2:24" x14ac:dyDescent="0.25">
      <c r="B34" s="13" t="s">
        <v>12</v>
      </c>
      <c r="C34" s="104">
        <f>C32*41%</f>
        <v>19.286400000000079</v>
      </c>
      <c r="D34" s="104">
        <f>D32*37%</f>
        <v>25.892600000000005</v>
      </c>
      <c r="E34" s="104">
        <f>E32*24%</f>
        <v>57.115200000000002</v>
      </c>
      <c r="G34" s="113">
        <f>C34/C$6</f>
        <v>1.2253113087674765E-2</v>
      </c>
      <c r="H34" s="114">
        <f>D34/D32</f>
        <v>0.37</v>
      </c>
      <c r="I34" s="114">
        <f>E34/E$6</f>
        <v>1.8011731315042575E-2</v>
      </c>
      <c r="J34" s="136">
        <v>0.25169999999999998</v>
      </c>
      <c r="K34" s="15" t="s">
        <v>132</v>
      </c>
      <c r="L34" s="135">
        <f>+L32*$J$34</f>
        <v>139.77569441423285</v>
      </c>
      <c r="M34" s="135">
        <f t="shared" ref="M34:Q34" si="29">+M32*$J$34</f>
        <v>176.83654632447374</v>
      </c>
      <c r="N34" s="135">
        <f t="shared" si="29"/>
        <v>217.01356089862841</v>
      </c>
      <c r="O34" s="135">
        <f t="shared" si="29"/>
        <v>258.66430255068389</v>
      </c>
      <c r="P34" s="135">
        <f t="shared" si="29"/>
        <v>299.6188227282633</v>
      </c>
      <c r="Q34" s="135">
        <f t="shared" si="29"/>
        <v>329.7012362519875</v>
      </c>
    </row>
    <row r="35" spans="2:24" x14ac:dyDescent="0.25">
      <c r="B35" s="16"/>
      <c r="C35" s="118" t="s">
        <v>14</v>
      </c>
      <c r="D35" s="118"/>
      <c r="E35" s="118"/>
      <c r="G35" s="113"/>
      <c r="H35" s="114"/>
      <c r="I35" s="114"/>
      <c r="J35" s="15"/>
      <c r="K35" s="15"/>
      <c r="L35" s="134"/>
      <c r="M35" s="115"/>
      <c r="N35" s="115"/>
      <c r="O35" s="115"/>
      <c r="P35" s="115"/>
      <c r="Q35" s="115"/>
    </row>
    <row r="36" spans="2:24" s="14" customFormat="1" x14ac:dyDescent="0.25">
      <c r="B36" s="14" t="s">
        <v>13</v>
      </c>
      <c r="C36" s="122">
        <f>C32-C34</f>
        <v>27.753600000000112</v>
      </c>
      <c r="D36" s="122">
        <f>D32-D34</f>
        <v>44.087400000000017</v>
      </c>
      <c r="E36" s="122">
        <f>E32-E34</f>
        <v>180.8648</v>
      </c>
      <c r="F36" s="123"/>
      <c r="G36" s="113">
        <f>C36/C6</f>
        <v>1.7632528589580757E-2</v>
      </c>
      <c r="H36" s="114">
        <f>D36/D6</f>
        <v>2.5528314997104815E-2</v>
      </c>
      <c r="I36" s="114">
        <f>E36/E6</f>
        <v>5.7037149164301484E-2</v>
      </c>
      <c r="J36" s="126"/>
      <c r="K36" s="126"/>
      <c r="L36" s="127">
        <f t="shared" ref="L36:P36" si="30">L32-L34</f>
        <v>415.55086265463035</v>
      </c>
      <c r="M36" s="127">
        <f t="shared" si="30"/>
        <v>525.73217169091663</v>
      </c>
      <c r="N36" s="127">
        <f t="shared" si="30"/>
        <v>645.17778156711825</v>
      </c>
      <c r="O36" s="127">
        <f t="shared" si="30"/>
        <v>769.00475804003486</v>
      </c>
      <c r="P36" s="127">
        <f t="shared" si="30"/>
        <v>890.76187941024818</v>
      </c>
      <c r="Q36" s="127">
        <f t="shared" ref="Q36" si="31">Q32-Q34</f>
        <v>980.19640479683062</v>
      </c>
      <c r="S36" s="133">
        <f>L36/L6</f>
        <v>9.1641440822892425E-2</v>
      </c>
      <c r="T36" s="133">
        <f t="shared" ref="T36:W36" si="32">M36/M6</f>
        <v>9.3499780090826476E-2</v>
      </c>
      <c r="U36" s="133">
        <f t="shared" si="32"/>
        <v>9.4828759176919922E-2</v>
      </c>
      <c r="V36" s="133">
        <f t="shared" si="32"/>
        <v>9.5787245489791839E-2</v>
      </c>
      <c r="W36" s="133">
        <f t="shared" si="32"/>
        <v>9.6481143094595059E-2</v>
      </c>
      <c r="X36" s="133">
        <f>Q36/Q6</f>
        <v>9.6516427298702828E-2</v>
      </c>
    </row>
    <row r="37" spans="2:24" x14ac:dyDescent="0.25">
      <c r="B37" s="13" t="s">
        <v>74</v>
      </c>
      <c r="L37" s="137">
        <f>+L26</f>
        <v>52.993500000000004</v>
      </c>
      <c r="M37" s="137">
        <f t="shared" ref="M37:Q37" si="33">+M26</f>
        <v>51.748152749999996</v>
      </c>
      <c r="N37" s="137">
        <f t="shared" si="33"/>
        <v>50.53207116037499</v>
      </c>
      <c r="O37" s="137">
        <f t="shared" si="33"/>
        <v>49.344567488106172</v>
      </c>
      <c r="P37" s="137">
        <f t="shared" si="33"/>
        <v>48.184970152135683</v>
      </c>
      <c r="Q37" s="137">
        <f t="shared" si="33"/>
        <v>52.524598470894212</v>
      </c>
    </row>
    <row r="38" spans="2:24" x14ac:dyDescent="0.25">
      <c r="B38" s="13" t="s">
        <v>75</v>
      </c>
      <c r="L38" s="138">
        <f>-FA!E15</f>
        <v>-36.35</v>
      </c>
      <c r="M38" s="138">
        <f>-FA!F15</f>
        <v>-35.517824999999995</v>
      </c>
      <c r="N38" s="138">
        <f>-FA!G15</f>
        <v>-34.706308612499996</v>
      </c>
      <c r="O38" s="138">
        <f>-FA!H15</f>
        <v>-33.91502048510624</v>
      </c>
      <c r="P38" s="138">
        <f>-FA!I15</f>
        <v>-33.143543134956246</v>
      </c>
      <c r="Q38" s="138">
        <f>-FA!J15</f>
        <v>-110.56254488886461</v>
      </c>
    </row>
    <row r="39" spans="2:24" x14ac:dyDescent="0.25">
      <c r="B39" s="16" t="s">
        <v>81</v>
      </c>
      <c r="C39" s="118"/>
      <c r="D39" s="118"/>
      <c r="E39" s="118"/>
      <c r="F39" s="139"/>
      <c r="G39" s="139"/>
      <c r="H39" s="139"/>
      <c r="I39" s="139"/>
      <c r="J39" s="16"/>
      <c r="K39" s="16"/>
      <c r="L39" s="140">
        <f>+BS!E37-BS!I37</f>
        <v>-421.83373298688866</v>
      </c>
      <c r="M39" s="141">
        <f>+BS!I37-BS!J37</f>
        <v>-84.502595916853807</v>
      </c>
      <c r="N39" s="141">
        <f>+BS!J37-BS!K37</f>
        <v>-84.695579069786618</v>
      </c>
      <c r="O39" s="141">
        <f>+BS!K37-BS!L37</f>
        <v>-78.795387185235086</v>
      </c>
      <c r="P39" s="141">
        <f>+BS!L37-BS!M37</f>
        <v>-65.093599273815016</v>
      </c>
      <c r="Q39" s="141">
        <f>+P39/(P6-O6)*(Q6-P6)</f>
        <v>-49.905092776591616</v>
      </c>
    </row>
    <row r="40" spans="2:24" x14ac:dyDescent="0.25">
      <c r="L40" s="137"/>
      <c r="M40" s="137"/>
      <c r="N40" s="137"/>
      <c r="O40" s="137"/>
      <c r="P40" s="137"/>
      <c r="Q40" s="137"/>
    </row>
    <row r="41" spans="2:24" x14ac:dyDescent="0.25">
      <c r="B41" s="14" t="s">
        <v>76</v>
      </c>
      <c r="C41" s="122"/>
      <c r="D41" s="122"/>
      <c r="E41" s="122"/>
      <c r="F41" s="123"/>
      <c r="G41" s="123"/>
      <c r="H41" s="123"/>
      <c r="I41" s="123"/>
      <c r="J41" s="14"/>
      <c r="K41" s="14"/>
      <c r="L41" s="142">
        <f>SUM(L36:L40)</f>
        <v>10.360629667741648</v>
      </c>
      <c r="M41" s="142">
        <f t="shared" ref="M41:Q41" si="34">SUM(M36:M40)</f>
        <v>457.45990352406284</v>
      </c>
      <c r="N41" s="142">
        <f t="shared" si="34"/>
        <v>576.30796504520663</v>
      </c>
      <c r="O41" s="142">
        <f t="shared" si="34"/>
        <v>705.6389178577997</v>
      </c>
      <c r="P41" s="142">
        <f t="shared" si="34"/>
        <v>840.7097071536125</v>
      </c>
      <c r="Q41" s="142">
        <f t="shared" si="34"/>
        <v>872.25336560226867</v>
      </c>
    </row>
    <row r="42" spans="2:24" x14ac:dyDescent="0.25">
      <c r="B42" s="13" t="s">
        <v>77</v>
      </c>
      <c r="L42" s="137">
        <f>+BS!E28</f>
        <v>496</v>
      </c>
      <c r="M42" s="137">
        <f>+L43</f>
        <v>506.36062966774165</v>
      </c>
      <c r="N42" s="137">
        <f t="shared" ref="N42:Q42" si="35">+M43</f>
        <v>963.82053319180454</v>
      </c>
      <c r="O42" s="137">
        <f t="shared" si="35"/>
        <v>1540.1284982370112</v>
      </c>
      <c r="P42" s="137">
        <f t="shared" si="35"/>
        <v>2245.7674160948109</v>
      </c>
      <c r="Q42" s="137">
        <f t="shared" si="35"/>
        <v>3086.4771232484236</v>
      </c>
    </row>
    <row r="43" spans="2:24" ht="14.4" thickBot="1" x14ac:dyDescent="0.3">
      <c r="B43" s="40" t="s">
        <v>78</v>
      </c>
      <c r="C43" s="143"/>
      <c r="D43" s="143"/>
      <c r="E43" s="143"/>
      <c r="F43" s="144"/>
      <c r="G43" s="144"/>
      <c r="H43" s="144"/>
      <c r="I43" s="144"/>
      <c r="J43" s="40"/>
      <c r="K43" s="40"/>
      <c r="L43" s="145">
        <f>SUM(L41:L42)</f>
        <v>506.36062966774165</v>
      </c>
      <c r="M43" s="145">
        <f t="shared" ref="M43:Q43" si="36">SUM(M41:M42)</f>
        <v>963.82053319180454</v>
      </c>
      <c r="N43" s="145">
        <f t="shared" si="36"/>
        <v>1540.1284982370112</v>
      </c>
      <c r="O43" s="145">
        <f t="shared" si="36"/>
        <v>2245.7674160948109</v>
      </c>
      <c r="P43" s="145">
        <f t="shared" si="36"/>
        <v>3086.4771232484236</v>
      </c>
      <c r="Q43" s="145">
        <f t="shared" si="36"/>
        <v>3958.7304888506924</v>
      </c>
    </row>
  </sheetData>
  <mergeCells count="1">
    <mergeCell ref="L3:Q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2D59-98EF-41D5-965D-3DB5FD793384}">
  <dimension ref="C3:H3"/>
  <sheetViews>
    <sheetView workbookViewId="0">
      <selection activeCell="H3" sqref="H3"/>
    </sheetView>
  </sheetViews>
  <sheetFormatPr defaultRowHeight="14.4" x14ac:dyDescent="0.3"/>
  <sheetData>
    <row r="3" spans="3:8" x14ac:dyDescent="0.3">
      <c r="C3" s="146">
        <v>983</v>
      </c>
      <c r="D3" s="147">
        <v>1212</v>
      </c>
      <c r="E3" s="147">
        <v>1222</v>
      </c>
      <c r="F3">
        <f>SUM(C3:E3)</f>
        <v>3417</v>
      </c>
      <c r="G3">
        <f>F3/9</f>
        <v>379.66666666666669</v>
      </c>
      <c r="H3">
        <f>G3*12</f>
        <v>4556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22"/>
  <sheetViews>
    <sheetView showGridLines="0" workbookViewId="0">
      <selection activeCell="B7" sqref="B7"/>
    </sheetView>
  </sheetViews>
  <sheetFormatPr defaultRowHeight="14.4" x14ac:dyDescent="0.3"/>
  <cols>
    <col min="1" max="1" width="35.109375" bestFit="1" customWidth="1"/>
    <col min="2" max="2" width="14.44140625" bestFit="1" customWidth="1"/>
    <col min="3" max="3" width="14.33203125" bestFit="1" customWidth="1"/>
    <col min="4" max="4" width="15.33203125" bestFit="1" customWidth="1"/>
  </cols>
  <sheetData>
    <row r="2" spans="1:7" ht="15" thickBot="1" x14ac:dyDescent="0.35">
      <c r="A2" s="1" t="s">
        <v>3</v>
      </c>
    </row>
    <row r="3" spans="1:7" ht="15" thickBot="1" x14ac:dyDescent="0.35">
      <c r="A3" s="34" t="s">
        <v>37</v>
      </c>
      <c r="B3" s="20" t="s">
        <v>38</v>
      </c>
      <c r="C3" s="20" t="s">
        <v>39</v>
      </c>
      <c r="D3" s="21" t="s">
        <v>40</v>
      </c>
      <c r="E3" s="22"/>
      <c r="F3" s="22"/>
      <c r="G3" s="23"/>
    </row>
    <row r="4" spans="1:7" x14ac:dyDescent="0.3">
      <c r="A4" s="24" t="s">
        <v>41</v>
      </c>
      <c r="B4" s="25">
        <v>5915591.7699999996</v>
      </c>
      <c r="C4" s="25">
        <v>23964059.25</v>
      </c>
      <c r="D4" s="25">
        <v>52396766</v>
      </c>
      <c r="G4" s="26"/>
    </row>
    <row r="5" spans="1:7" x14ac:dyDescent="0.3">
      <c r="A5" s="24" t="s">
        <v>42</v>
      </c>
      <c r="B5" s="5">
        <v>600000</v>
      </c>
      <c r="C5" s="5">
        <v>2880000</v>
      </c>
      <c r="D5" s="12">
        <v>7500000</v>
      </c>
      <c r="G5" s="26"/>
    </row>
    <row r="6" spans="1:7" x14ac:dyDescent="0.3">
      <c r="A6" s="24"/>
      <c r="B6" s="10">
        <v>5315591.7699999996</v>
      </c>
      <c r="C6" s="10">
        <v>21084059.25</v>
      </c>
      <c r="D6" s="10">
        <v>44896766</v>
      </c>
      <c r="E6" s="27">
        <f>B6/B$8</f>
        <v>3.3771231067344344E-2</v>
      </c>
      <c r="F6" s="27">
        <f t="shared" ref="F6:G6" si="0">C6/C$8</f>
        <v>0.12208488274464389</v>
      </c>
      <c r="G6" s="28">
        <f t="shared" si="0"/>
        <v>0.14158551245663828</v>
      </c>
    </row>
    <row r="7" spans="1:7" x14ac:dyDescent="0.3">
      <c r="A7" s="24"/>
      <c r="G7" s="26"/>
    </row>
    <row r="8" spans="1:7" ht="15" thickBot="1" x14ac:dyDescent="0.35">
      <c r="A8" s="29" t="s">
        <v>6</v>
      </c>
      <c r="B8" s="30">
        <f>PL!C6*100000</f>
        <v>157400000</v>
      </c>
      <c r="C8" s="30">
        <f>PL!D6*100000</f>
        <v>172700000</v>
      </c>
      <c r="D8" s="30">
        <f>PL!E6*100000</f>
        <v>317100000</v>
      </c>
      <c r="E8" s="31"/>
      <c r="F8" s="31"/>
      <c r="G8" s="32"/>
    </row>
    <row r="10" spans="1:7" ht="15" thickBot="1" x14ac:dyDescent="0.35">
      <c r="A10" s="1" t="s">
        <v>4</v>
      </c>
    </row>
    <row r="11" spans="1:7" ht="15" thickBot="1" x14ac:dyDescent="0.35">
      <c r="A11" s="34" t="s">
        <v>37</v>
      </c>
      <c r="B11" s="20" t="s">
        <v>38</v>
      </c>
      <c r="C11" s="20" t="s">
        <v>39</v>
      </c>
      <c r="D11" s="21" t="s">
        <v>40</v>
      </c>
      <c r="E11" s="22"/>
      <c r="F11" s="22"/>
      <c r="G11" s="23"/>
    </row>
    <row r="12" spans="1:7" x14ac:dyDescent="0.3">
      <c r="A12" s="24" t="s">
        <v>4</v>
      </c>
      <c r="B12" s="10">
        <v>2830436.39</v>
      </c>
      <c r="C12" s="10">
        <v>16938417.199999999</v>
      </c>
      <c r="D12" s="10">
        <v>33855511.302000001</v>
      </c>
      <c r="G12" s="26"/>
    </row>
    <row r="13" spans="1:7" x14ac:dyDescent="0.3">
      <c r="A13" s="24" t="s">
        <v>43</v>
      </c>
      <c r="G13" s="26"/>
    </row>
    <row r="14" spans="1:7" x14ac:dyDescent="0.3">
      <c r="A14" s="24" t="s">
        <v>44</v>
      </c>
      <c r="D14" s="10">
        <v>-4000000</v>
      </c>
      <c r="G14" s="26"/>
    </row>
    <row r="15" spans="1:7" x14ac:dyDescent="0.3">
      <c r="A15" s="24" t="s">
        <v>45</v>
      </c>
      <c r="D15" s="10">
        <v>-13598180</v>
      </c>
      <c r="E15" t="s">
        <v>46</v>
      </c>
      <c r="G15" s="26"/>
    </row>
    <row r="16" spans="1:7" ht="5.0999999999999996" customHeight="1" x14ac:dyDescent="0.3">
      <c r="A16" s="24"/>
      <c r="B16" s="2"/>
      <c r="C16" s="2"/>
      <c r="D16" s="2"/>
      <c r="G16" s="26"/>
    </row>
    <row r="17" spans="1:7" x14ac:dyDescent="0.3">
      <c r="A17" s="24"/>
      <c r="B17" s="25">
        <f>SUM(B12:B16)</f>
        <v>2830436.39</v>
      </c>
      <c r="C17" s="25">
        <f t="shared" ref="C17:D17" si="1">SUM(C12:C16)</f>
        <v>16938417.199999999</v>
      </c>
      <c r="D17" s="25">
        <f t="shared" si="1"/>
        <v>16257331.302000001</v>
      </c>
      <c r="G17" s="26"/>
    </row>
    <row r="18" spans="1:7" x14ac:dyDescent="0.3">
      <c r="A18" s="24"/>
      <c r="G18" s="26"/>
    </row>
    <row r="19" spans="1:7" x14ac:dyDescent="0.3">
      <c r="A19" s="24" t="s">
        <v>47</v>
      </c>
      <c r="C19" s="10"/>
      <c r="D19" s="10">
        <f>24011658+SUM(D14:D15)</f>
        <v>6413478</v>
      </c>
      <c r="E19" s="27">
        <f>D19/D$22</f>
        <v>2.0225411542100283E-2</v>
      </c>
      <c r="F19" s="27"/>
      <c r="G19" s="26"/>
    </row>
    <row r="20" spans="1:7" x14ac:dyDescent="0.3">
      <c r="A20" s="24" t="s">
        <v>48</v>
      </c>
      <c r="C20" s="10"/>
      <c r="D20" s="10">
        <v>11199628.802099999</v>
      </c>
      <c r="E20" s="27">
        <f>D20/D$22</f>
        <v>3.5318917698202459E-2</v>
      </c>
      <c r="F20" s="27"/>
      <c r="G20" s="26"/>
    </row>
    <row r="21" spans="1:7" x14ac:dyDescent="0.3">
      <c r="A21" s="24"/>
      <c r="G21" s="26"/>
    </row>
    <row r="22" spans="1:7" ht="15" thickBot="1" x14ac:dyDescent="0.35">
      <c r="A22" s="29" t="s">
        <v>6</v>
      </c>
      <c r="B22" s="31"/>
      <c r="C22" s="33"/>
      <c r="D22" s="33">
        <f>D8</f>
        <v>317100000</v>
      </c>
      <c r="E22" s="31"/>
      <c r="F22" s="31"/>
      <c r="G22"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B14" sqref="B14"/>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45"/>
  <sheetViews>
    <sheetView showGridLines="0" zoomScale="64" zoomScaleNormal="100" workbookViewId="0">
      <selection activeCell="C18" sqref="C18"/>
    </sheetView>
  </sheetViews>
  <sheetFormatPr defaultRowHeight="13.8" x14ac:dyDescent="0.25"/>
  <cols>
    <col min="1" max="1" width="8.88671875" style="13"/>
    <col min="2" max="2" width="32.109375" style="13" bestFit="1" customWidth="1"/>
    <col min="3" max="4" width="7.109375" style="38" bestFit="1" customWidth="1"/>
    <col min="5" max="5" width="7.109375" style="13" bestFit="1" customWidth="1"/>
    <col min="6" max="6" width="6" style="13" customWidth="1"/>
    <col min="7" max="7" width="7.6640625" style="15" bestFit="1" customWidth="1"/>
    <col min="8" max="8" width="18.44140625" style="15" bestFit="1" customWidth="1"/>
    <col min="9" max="13" width="7.77734375" style="15" bestFit="1" customWidth="1"/>
    <col min="14" max="14" width="169.88671875" style="13" customWidth="1"/>
    <col min="15" max="16384" width="8.88671875" style="13"/>
  </cols>
  <sheetData>
    <row r="1" spans="2:14" x14ac:dyDescent="0.25">
      <c r="I1" s="178" t="s">
        <v>94</v>
      </c>
      <c r="J1" s="178"/>
      <c r="K1" s="178"/>
      <c r="L1" s="178"/>
      <c r="M1" s="178"/>
      <c r="N1" s="14"/>
    </row>
    <row r="2" spans="2:14" x14ac:dyDescent="0.25">
      <c r="B2" s="13" t="s">
        <v>54</v>
      </c>
      <c r="E2" s="38"/>
    </row>
    <row r="3" spans="2:14" x14ac:dyDescent="0.25">
      <c r="B3" s="85" t="s">
        <v>37</v>
      </c>
      <c r="C3" s="159">
        <f>PL!C5</f>
        <v>20</v>
      </c>
      <c r="D3" s="159">
        <f>PL!D5</f>
        <v>21</v>
      </c>
      <c r="E3" s="159">
        <f>PL!E5</f>
        <v>22</v>
      </c>
      <c r="G3" s="39" t="s">
        <v>55</v>
      </c>
      <c r="H3" s="39" t="s">
        <v>56</v>
      </c>
      <c r="I3" s="101">
        <f>PL!L5</f>
        <v>23</v>
      </c>
      <c r="J3" s="101">
        <f>PL!M5</f>
        <v>24</v>
      </c>
      <c r="K3" s="101">
        <f>PL!N5</f>
        <v>25</v>
      </c>
      <c r="L3" s="101">
        <f>PL!O5</f>
        <v>26</v>
      </c>
      <c r="M3" s="101">
        <f>PL!P5</f>
        <v>27</v>
      </c>
    </row>
    <row r="4" spans="2:14" x14ac:dyDescent="0.25">
      <c r="B4" s="14" t="s">
        <v>21</v>
      </c>
      <c r="C4" s="160"/>
      <c r="D4" s="160"/>
      <c r="E4" s="160"/>
    </row>
    <row r="5" spans="2:14" x14ac:dyDescent="0.25">
      <c r="B5" s="13" t="s">
        <v>19</v>
      </c>
      <c r="C5" s="38">
        <v>11</v>
      </c>
      <c r="D5" s="38">
        <v>11</v>
      </c>
      <c r="E5" s="38">
        <v>11</v>
      </c>
      <c r="I5" s="161">
        <f>+$E$5</f>
        <v>11</v>
      </c>
      <c r="J5" s="161">
        <f t="shared" ref="J5:M5" si="0">+$E$5</f>
        <v>11</v>
      </c>
      <c r="K5" s="161">
        <f t="shared" si="0"/>
        <v>11</v>
      </c>
      <c r="L5" s="161">
        <f t="shared" si="0"/>
        <v>11</v>
      </c>
      <c r="M5" s="161">
        <f t="shared" si="0"/>
        <v>11</v>
      </c>
    </row>
    <row r="6" spans="2:14" x14ac:dyDescent="0.25">
      <c r="B6" s="13" t="s">
        <v>20</v>
      </c>
      <c r="C6" s="38">
        <v>1650</v>
      </c>
      <c r="D6" s="38">
        <v>1770</v>
      </c>
      <c r="E6" s="38">
        <v>1980</v>
      </c>
      <c r="I6" s="161">
        <f>+PL!L36+E6</f>
        <v>2395.5508626546302</v>
      </c>
      <c r="J6" s="161">
        <f>+PL!M36+I6</f>
        <v>2921.2830343455471</v>
      </c>
      <c r="K6" s="161">
        <f>+PL!N36+J6</f>
        <v>3566.4608159126656</v>
      </c>
      <c r="L6" s="161">
        <f>+PL!O36+K6</f>
        <v>4335.4655739527007</v>
      </c>
      <c r="M6" s="161">
        <f>+PL!P36+L6</f>
        <v>5226.2274533629488</v>
      </c>
    </row>
    <row r="7" spans="2:14" ht="5.0999999999999996" customHeight="1" x14ac:dyDescent="0.25"/>
    <row r="8" spans="2:14" x14ac:dyDescent="0.25">
      <c r="B8" s="14" t="s">
        <v>22</v>
      </c>
    </row>
    <row r="9" spans="2:14" x14ac:dyDescent="0.25">
      <c r="B9" s="13" t="s">
        <v>23</v>
      </c>
      <c r="C9" s="38">
        <v>0</v>
      </c>
      <c r="D9" s="38">
        <v>0</v>
      </c>
      <c r="E9" s="38">
        <v>0</v>
      </c>
      <c r="G9" s="15">
        <v>0</v>
      </c>
      <c r="H9" s="15" t="s">
        <v>115</v>
      </c>
      <c r="I9" s="162">
        <v>0</v>
      </c>
      <c r="J9" s="162">
        <v>0</v>
      </c>
      <c r="K9" s="162">
        <v>0</v>
      </c>
      <c r="L9" s="162">
        <v>0</v>
      </c>
      <c r="M9" s="162">
        <v>0</v>
      </c>
    </row>
    <row r="10" spans="2:14" ht="5.0999999999999996" customHeight="1" x14ac:dyDescent="0.25"/>
    <row r="11" spans="2:14" x14ac:dyDescent="0.25">
      <c r="B11" s="14" t="s">
        <v>24</v>
      </c>
      <c r="I11" s="163"/>
      <c r="J11" s="163"/>
      <c r="K11" s="163"/>
      <c r="L11" s="163"/>
      <c r="M11" s="163"/>
    </row>
    <row r="12" spans="2:14" x14ac:dyDescent="0.25">
      <c r="B12" s="13" t="s">
        <v>25</v>
      </c>
      <c r="C12" s="38">
        <v>333</v>
      </c>
      <c r="D12" s="38">
        <v>432</v>
      </c>
      <c r="E12" s="38">
        <v>550</v>
      </c>
      <c r="F12" s="38"/>
      <c r="G12" s="164">
        <f>E12/(PL!E13/365)</f>
        <v>100.48905507751297</v>
      </c>
      <c r="H12" s="15" t="s">
        <v>102</v>
      </c>
      <c r="I12" s="165">
        <f>+PL!L13*$G$12/365</f>
        <v>761.53174603174602</v>
      </c>
      <c r="J12" s="165">
        <f>+PL!M13*$G$12/365</f>
        <v>944.29936507936497</v>
      </c>
      <c r="K12" s="165">
        <f>+PL!N13*$G$12/365</f>
        <v>1142.6022317460317</v>
      </c>
      <c r="L12" s="165">
        <f>+PL!O13*$G$12/365</f>
        <v>1348.2706334603172</v>
      </c>
      <c r="M12" s="165">
        <f>+PL!P13*$G$12/365</f>
        <v>1550.5112284793647</v>
      </c>
    </row>
    <row r="13" spans="2:14" x14ac:dyDescent="0.25">
      <c r="B13" s="13" t="s">
        <v>119</v>
      </c>
      <c r="C13" s="38">
        <v>233</v>
      </c>
      <c r="D13" s="38">
        <v>313</v>
      </c>
      <c r="E13" s="38">
        <v>791</v>
      </c>
      <c r="G13" s="120">
        <v>0.15</v>
      </c>
      <c r="H13" s="15" t="s">
        <v>126</v>
      </c>
      <c r="I13" s="162">
        <f>E13*(1+$G$13)</f>
        <v>909.65</v>
      </c>
      <c r="J13" s="162">
        <f>I13*(1+$G$13)</f>
        <v>1046.0974999999999</v>
      </c>
      <c r="K13" s="162">
        <f t="shared" ref="K13:M13" si="1">J13*(1+$G$13)</f>
        <v>1203.0121249999997</v>
      </c>
      <c r="L13" s="162">
        <f t="shared" si="1"/>
        <v>1383.4639437499995</v>
      </c>
      <c r="M13" s="162">
        <f t="shared" si="1"/>
        <v>1590.9835353124993</v>
      </c>
      <c r="N13" s="13" t="s">
        <v>140</v>
      </c>
    </row>
    <row r="14" spans="2:14" x14ac:dyDescent="0.25">
      <c r="B14" s="13" t="s">
        <v>106</v>
      </c>
      <c r="C14" s="38">
        <v>120</v>
      </c>
      <c r="D14" s="38">
        <v>233</v>
      </c>
      <c r="E14" s="166">
        <v>315</v>
      </c>
      <c r="F14" s="157"/>
      <c r="G14" s="120">
        <f>AVERAGE(E14/PL!$E$6,D14/PL!$D$6,C14/PL!$C$6)</f>
        <v>0.10349755651624737</v>
      </c>
      <c r="H14" s="15" t="s">
        <v>93</v>
      </c>
      <c r="I14" s="162">
        <f>+PL!L6*$G$14</f>
        <v>469.31277494961915</v>
      </c>
      <c r="J14" s="162">
        <f>+PL!M6*$G$14</f>
        <v>581.94784093752776</v>
      </c>
      <c r="K14" s="162">
        <f>+PL!N6*$G$14</f>
        <v>704.15688753440861</v>
      </c>
      <c r="L14" s="162">
        <f>+PL!O6*$G$14</f>
        <v>830.90512729060208</v>
      </c>
      <c r="M14" s="162">
        <f>+PL!P6*$G$14</f>
        <v>955.54089638419225</v>
      </c>
      <c r="N14" s="13" t="s">
        <v>138</v>
      </c>
    </row>
    <row r="15" spans="2:14" x14ac:dyDescent="0.25">
      <c r="B15" s="13" t="s">
        <v>57</v>
      </c>
      <c r="C15" s="38">
        <v>0</v>
      </c>
      <c r="D15" s="38">
        <v>0</v>
      </c>
      <c r="E15" s="38">
        <v>0</v>
      </c>
      <c r="G15" s="120">
        <f>AVERAGE(E15/PL!$E$6,D15/PL!$D$6,C15/PL!$C$6)</f>
        <v>0</v>
      </c>
      <c r="H15" s="15" t="s">
        <v>114</v>
      </c>
      <c r="I15" s="162">
        <f>+PL!L6*$G$15</f>
        <v>0</v>
      </c>
      <c r="J15" s="162">
        <f>+PL!M6*$G$15</f>
        <v>0</v>
      </c>
      <c r="K15" s="162">
        <f>+PL!N6*$G$15</f>
        <v>0</v>
      </c>
      <c r="L15" s="162">
        <f>+PL!O6*$G$15</f>
        <v>0</v>
      </c>
      <c r="M15" s="162">
        <f>+PL!P6*$G$15</f>
        <v>0</v>
      </c>
    </row>
    <row r="16" spans="2:14" x14ac:dyDescent="0.25">
      <c r="E16" s="38"/>
      <c r="I16" s="162"/>
      <c r="J16" s="162"/>
      <c r="K16" s="162"/>
      <c r="L16" s="162"/>
      <c r="M16" s="162"/>
    </row>
    <row r="17" spans="2:14" ht="5.0999999999999996" customHeight="1" x14ac:dyDescent="0.25">
      <c r="B17" s="16"/>
      <c r="C17" s="167"/>
      <c r="D17" s="167"/>
      <c r="E17" s="16"/>
      <c r="I17" s="162"/>
      <c r="J17" s="162"/>
      <c r="K17" s="162"/>
      <c r="L17" s="162"/>
      <c r="M17" s="162"/>
    </row>
    <row r="18" spans="2:14" s="14" customFormat="1" ht="14.4" thickBot="1" x14ac:dyDescent="0.3">
      <c r="B18" s="40" t="s">
        <v>28</v>
      </c>
      <c r="C18" s="168">
        <f>SUM(C5:C16)</f>
        <v>2347</v>
      </c>
      <c r="D18" s="168">
        <f t="shared" ref="D18:E18" si="2">SUM(D5:D16)</f>
        <v>2759</v>
      </c>
      <c r="E18" s="168">
        <f t="shared" si="2"/>
        <v>3647</v>
      </c>
      <c r="G18" s="126"/>
      <c r="H18" s="126"/>
      <c r="I18" s="169">
        <f>ROUND(SUM(I5:I16),0)</f>
        <v>4547</v>
      </c>
      <c r="J18" s="169">
        <f t="shared" ref="J18" si="3">ROUND(SUM(J5:J16),0)</f>
        <v>5505</v>
      </c>
      <c r="K18" s="169">
        <f>ROUNDUP(SUM(K5:K16),0)</f>
        <v>6628</v>
      </c>
      <c r="L18" s="169">
        <f>ROUND(SUM(L5:L16),0)</f>
        <v>7909</v>
      </c>
      <c r="M18" s="169">
        <f t="shared" ref="M18" si="4">ROUNDUP(SUM(M5:M16),0)</f>
        <v>9335</v>
      </c>
    </row>
    <row r="19" spans="2:14" x14ac:dyDescent="0.25">
      <c r="I19" s="162"/>
      <c r="J19" s="162"/>
      <c r="K19" s="162"/>
      <c r="L19" s="162"/>
      <c r="M19" s="162"/>
    </row>
    <row r="20" spans="2:14" x14ac:dyDescent="0.25">
      <c r="B20" s="14" t="s">
        <v>29</v>
      </c>
      <c r="I20" s="162"/>
      <c r="J20" s="162"/>
      <c r="K20" s="162"/>
      <c r="L20" s="162"/>
      <c r="M20" s="162"/>
    </row>
    <row r="21" spans="2:14" ht="24.6" customHeight="1" x14ac:dyDescent="0.25">
      <c r="B21" s="13" t="s">
        <v>117</v>
      </c>
      <c r="C21" s="38">
        <v>30</v>
      </c>
      <c r="D21" s="38">
        <v>11</v>
      </c>
      <c r="E21" s="13">
        <v>6</v>
      </c>
      <c r="G21" s="170">
        <v>0.1</v>
      </c>
      <c r="I21" s="171">
        <f>+E21*(1+$G$21)</f>
        <v>6.6000000000000005</v>
      </c>
      <c r="J21" s="171">
        <f>+I21*(1+$G$21)</f>
        <v>7.2600000000000016</v>
      </c>
      <c r="K21" s="171">
        <f t="shared" ref="K21" si="5">+J21*(1+$G$21)</f>
        <v>7.9860000000000024</v>
      </c>
      <c r="L21" s="171">
        <f>+K21*(1+$G$21)-2</f>
        <v>6.7846000000000029</v>
      </c>
      <c r="M21" s="171">
        <f>+L21*(1+$G$21)+1</f>
        <v>8.463060000000004</v>
      </c>
      <c r="N21" s="172" t="s">
        <v>136</v>
      </c>
    </row>
    <row r="22" spans="2:14" x14ac:dyDescent="0.25">
      <c r="B22" s="13" t="s">
        <v>107</v>
      </c>
      <c r="C22" s="38">
        <v>711</v>
      </c>
      <c r="D22" s="38">
        <v>701</v>
      </c>
      <c r="E22" s="38">
        <v>721</v>
      </c>
      <c r="I22" s="162">
        <f>+FA!E8</f>
        <v>704.05649999999991</v>
      </c>
      <c r="J22" s="162">
        <f>+FA!F8</f>
        <v>687.51117224999985</v>
      </c>
      <c r="K22" s="162">
        <f>+FA!G8</f>
        <v>671.35465970212476</v>
      </c>
      <c r="L22" s="162">
        <f>+FA!H8</f>
        <v>655.57782519912485</v>
      </c>
      <c r="M22" s="162">
        <f>+FA!I8</f>
        <v>640.17174630694547</v>
      </c>
    </row>
    <row r="23" spans="2:14" x14ac:dyDescent="0.25">
      <c r="B23" s="13" t="s">
        <v>108</v>
      </c>
      <c r="C23" s="38">
        <v>136</v>
      </c>
      <c r="D23" s="38">
        <v>286</v>
      </c>
      <c r="E23" s="13">
        <v>448</v>
      </c>
      <c r="G23" s="120">
        <v>0</v>
      </c>
      <c r="I23" s="162">
        <f>+E23*(1+$G$23)</f>
        <v>448</v>
      </c>
      <c r="J23" s="162">
        <f>+I23*(1+$G$23)</f>
        <v>448</v>
      </c>
      <c r="K23" s="162">
        <f t="shared" ref="K23:M23" si="6">+J23*(1+$G$23)</f>
        <v>448</v>
      </c>
      <c r="L23" s="162">
        <f t="shared" si="6"/>
        <v>448</v>
      </c>
      <c r="M23" s="162">
        <f t="shared" si="6"/>
        <v>448</v>
      </c>
      <c r="N23" s="13" t="s">
        <v>137</v>
      </c>
    </row>
    <row r="24" spans="2:14" ht="5.0999999999999996" customHeight="1" x14ac:dyDescent="0.25">
      <c r="C24" s="38">
        <f t="shared" ref="C24:E24" si="7">0/(100000)</f>
        <v>0</v>
      </c>
      <c r="D24" s="38">
        <f t="shared" si="7"/>
        <v>0</v>
      </c>
      <c r="E24" s="38">
        <f t="shared" si="7"/>
        <v>0</v>
      </c>
      <c r="I24" s="162"/>
      <c r="J24" s="162"/>
      <c r="K24" s="162"/>
      <c r="L24" s="162"/>
      <c r="M24" s="162"/>
    </row>
    <row r="25" spans="2:14" x14ac:dyDescent="0.25">
      <c r="B25" s="14" t="s">
        <v>32</v>
      </c>
      <c r="E25" s="38"/>
      <c r="I25" s="162"/>
      <c r="J25" s="162"/>
      <c r="K25" s="162"/>
      <c r="L25" s="162"/>
      <c r="M25" s="162"/>
    </row>
    <row r="26" spans="2:14" x14ac:dyDescent="0.25">
      <c r="B26" s="13" t="s">
        <v>33</v>
      </c>
      <c r="C26" s="38">
        <v>107</v>
      </c>
      <c r="D26" s="38">
        <v>178</v>
      </c>
      <c r="E26" s="38">
        <v>322</v>
      </c>
      <c r="G26" s="74">
        <f>(E26/PL!E6)*365</f>
        <v>37.064017660044151</v>
      </c>
      <c r="H26" s="15" t="s">
        <v>102</v>
      </c>
      <c r="I26" s="162">
        <f>+PL!L6*$G$26/365</f>
        <v>460.46</v>
      </c>
      <c r="J26" s="162">
        <f>+PL!M6*$G$26/365</f>
        <v>570.97040000000004</v>
      </c>
      <c r="K26" s="162">
        <f>+PL!N6*$G$26/365</f>
        <v>690.87418400000001</v>
      </c>
      <c r="L26" s="162">
        <f>+PL!O6*$G$26/365</f>
        <v>815.23153711999987</v>
      </c>
      <c r="M26" s="162">
        <f>+PL!P6*$G$26/365</f>
        <v>937.51626768799974</v>
      </c>
      <c r="N26" s="13" t="s">
        <v>135</v>
      </c>
    </row>
    <row r="27" spans="2:14" x14ac:dyDescent="0.25">
      <c r="B27" s="13" t="s">
        <v>118</v>
      </c>
      <c r="C27" s="38">
        <v>288</v>
      </c>
      <c r="D27" s="38">
        <v>345</v>
      </c>
      <c r="E27" s="38">
        <v>515</v>
      </c>
      <c r="F27" s="74"/>
      <c r="G27" s="165">
        <f>E27/(PL!E13/365)</f>
        <v>94.094297027125791</v>
      </c>
      <c r="H27" s="15" t="s">
        <v>102</v>
      </c>
      <c r="I27" s="162">
        <f>+PL!L6*$G$27/365</f>
        <v>1168.968253968254</v>
      </c>
      <c r="J27" s="162">
        <f>+PL!M6*$G$27/365</f>
        <v>1449.5206349206348</v>
      </c>
      <c r="K27" s="162">
        <f>+PL!N6*$G$27/365</f>
        <v>1753.9199682539684</v>
      </c>
      <c r="L27" s="162">
        <f>+PL!O6*$G$27/365</f>
        <v>2069.6255625396825</v>
      </c>
      <c r="M27" s="162">
        <f>+PL!P6*$G$27/365</f>
        <v>2380.0693969206345</v>
      </c>
    </row>
    <row r="28" spans="2:14" x14ac:dyDescent="0.25">
      <c r="B28" s="13" t="s">
        <v>36</v>
      </c>
      <c r="C28" s="38">
        <f>638+2</f>
        <v>640</v>
      </c>
      <c r="D28" s="38">
        <f>782+1</f>
        <v>783</v>
      </c>
      <c r="E28" s="38">
        <f>494+2</f>
        <v>496</v>
      </c>
      <c r="I28" s="162">
        <f>+PL!L43</f>
        <v>506.36062966774165</v>
      </c>
      <c r="J28" s="162">
        <f>+PL!M43</f>
        <v>963.82053319180454</v>
      </c>
      <c r="K28" s="162">
        <f>+PL!N43</f>
        <v>1540.1284982370112</v>
      </c>
      <c r="L28" s="162">
        <f>+PL!O43</f>
        <v>2245.7674160948109</v>
      </c>
      <c r="M28" s="162">
        <f>+PL!P43</f>
        <v>3086.4771232484236</v>
      </c>
    </row>
    <row r="29" spans="2:14" x14ac:dyDescent="0.25">
      <c r="B29" s="13" t="s">
        <v>34</v>
      </c>
      <c r="C29" s="38">
        <v>183</v>
      </c>
      <c r="D29" s="38">
        <v>205</v>
      </c>
      <c r="E29" s="38">
        <v>258</v>
      </c>
      <c r="G29" s="120">
        <v>0.1</v>
      </c>
      <c r="H29" s="15" t="s">
        <v>79</v>
      </c>
      <c r="I29" s="162">
        <f>+E29*(1+$G$29)</f>
        <v>283.8</v>
      </c>
      <c r="J29" s="162">
        <f>+I29*(1+$G$29)</f>
        <v>312.18000000000006</v>
      </c>
      <c r="K29" s="162">
        <f t="shared" ref="K29:M29" si="8">+J29*(1+$G$29)</f>
        <v>343.39800000000008</v>
      </c>
      <c r="L29" s="162">
        <f t="shared" si="8"/>
        <v>377.73780000000011</v>
      </c>
      <c r="M29" s="162">
        <f t="shared" si="8"/>
        <v>415.51158000000015</v>
      </c>
      <c r="N29" s="13" t="s">
        <v>139</v>
      </c>
    </row>
    <row r="30" spans="2:14" x14ac:dyDescent="0.25">
      <c r="B30" s="13" t="s">
        <v>35</v>
      </c>
      <c r="C30" s="38">
        <v>252</v>
      </c>
      <c r="D30" s="38">
        <v>250</v>
      </c>
      <c r="E30" s="38">
        <v>881</v>
      </c>
      <c r="G30" s="173">
        <v>0.1</v>
      </c>
      <c r="H30" s="15" t="s">
        <v>79</v>
      </c>
      <c r="I30" s="162">
        <f>+E30*(1+$G$30)</f>
        <v>969.1</v>
      </c>
      <c r="J30" s="162">
        <f>+I30*(1+$G$30)</f>
        <v>1066.0100000000002</v>
      </c>
      <c r="K30" s="162">
        <f t="shared" ref="K30:M30" si="9">+J30*(1+$G$30)</f>
        <v>1172.6110000000003</v>
      </c>
      <c r="L30" s="162">
        <f t="shared" si="9"/>
        <v>1289.8721000000005</v>
      </c>
      <c r="M30" s="162">
        <f t="shared" si="9"/>
        <v>1418.8593100000007</v>
      </c>
      <c r="N30" s="13" t="s">
        <v>140</v>
      </c>
    </row>
    <row r="31" spans="2:14" ht="5.0999999999999996" customHeight="1" x14ac:dyDescent="0.25">
      <c r="B31" s="16"/>
      <c r="C31" s="167"/>
      <c r="D31" s="167"/>
      <c r="E31" s="16"/>
      <c r="I31" s="162"/>
      <c r="J31" s="162"/>
      <c r="K31" s="162"/>
      <c r="L31" s="162"/>
      <c r="M31" s="162"/>
    </row>
    <row r="32" spans="2:14" ht="14.4" thickBot="1" x14ac:dyDescent="0.3">
      <c r="B32" s="40" t="s">
        <v>28</v>
      </c>
      <c r="C32" s="168">
        <f>SUM(C21:C30)</f>
        <v>2347</v>
      </c>
      <c r="D32" s="168">
        <f t="shared" ref="D32:E32" si="10">SUM(D21:D30)</f>
        <v>2759</v>
      </c>
      <c r="E32" s="168">
        <f t="shared" si="10"/>
        <v>3647</v>
      </c>
      <c r="I32" s="169">
        <f>ROUND(SUM(I21:I30),0)</f>
        <v>4547</v>
      </c>
      <c r="J32" s="169">
        <f t="shared" ref="J32:M32" si="11">ROUND(SUM(J21:J30),0)</f>
        <v>5505</v>
      </c>
      <c r="K32" s="169">
        <f t="shared" si="11"/>
        <v>6628</v>
      </c>
      <c r="L32" s="169">
        <f t="shared" si="11"/>
        <v>7909</v>
      </c>
      <c r="M32" s="169">
        <f t="shared" si="11"/>
        <v>9335</v>
      </c>
    </row>
    <row r="33" spans="2:13" x14ac:dyDescent="0.25">
      <c r="C33" s="38" t="b">
        <f>C18=C32</f>
        <v>1</v>
      </c>
      <c r="D33" s="38" t="b">
        <f t="shared" ref="D33:E33" si="12">D18=D32</f>
        <v>1</v>
      </c>
      <c r="E33" s="38" t="b">
        <f t="shared" si="12"/>
        <v>1</v>
      </c>
      <c r="I33" s="162" t="b">
        <f>I18=I32</f>
        <v>1</v>
      </c>
      <c r="J33" s="162" t="b">
        <f t="shared" ref="J33:M33" si="13">J18=J32</f>
        <v>1</v>
      </c>
      <c r="K33" s="162" t="b">
        <f t="shared" si="13"/>
        <v>1</v>
      </c>
      <c r="L33" s="162" t="b">
        <f t="shared" si="13"/>
        <v>1</v>
      </c>
      <c r="M33" s="162" t="b">
        <f t="shared" si="13"/>
        <v>1</v>
      </c>
    </row>
    <row r="34" spans="2:13" x14ac:dyDescent="0.25">
      <c r="I34" s="162"/>
      <c r="J34" s="162"/>
      <c r="K34" s="162"/>
      <c r="L34" s="162"/>
      <c r="M34" s="162"/>
    </row>
    <row r="35" spans="2:13" x14ac:dyDescent="0.25">
      <c r="B35" s="13" t="s">
        <v>60</v>
      </c>
      <c r="C35" s="74"/>
      <c r="D35" s="74">
        <f>+D22+PL!D26-C22</f>
        <v>46</v>
      </c>
      <c r="E35" s="74">
        <f>+E22+PL!E26-D22</f>
        <v>80</v>
      </c>
    </row>
    <row r="36" spans="2:13" x14ac:dyDescent="0.25">
      <c r="B36" s="13" t="s">
        <v>61</v>
      </c>
      <c r="C36" s="37">
        <f>+PL!C26/(PL!C26+BS!C22)</f>
        <v>7.1801566579634463E-2</v>
      </c>
      <c r="D36" s="37">
        <f>+PL!D26/(PL!D26+BS!D22)</f>
        <v>7.3976221928665792E-2</v>
      </c>
      <c r="E36" s="37">
        <f>+PL!E26/(PL!E26+BS!E22)</f>
        <v>7.6824583866837381E-2</v>
      </c>
      <c r="G36" s="120">
        <f>ROUND(AVERAGE(C36:E36),2)</f>
        <v>7.0000000000000007E-2</v>
      </c>
      <c r="H36" s="15" t="s">
        <v>116</v>
      </c>
    </row>
    <row r="37" spans="2:13" x14ac:dyDescent="0.25">
      <c r="B37" s="13" t="s">
        <v>58</v>
      </c>
      <c r="D37" s="38">
        <f>+SUM(D26:D27,D29:D30)-SUM(D12:D15)</f>
        <v>0</v>
      </c>
      <c r="E37" s="38">
        <f>+SUM(E26:E27,E29:E30)-SUM(E12:E15)</f>
        <v>320</v>
      </c>
      <c r="I37" s="38">
        <f t="shared" ref="I37:M37" si="14">+SUM(I26:I27,I29:I30)-SUM(I12:I15)</f>
        <v>741.83373298688866</v>
      </c>
      <c r="J37" s="38">
        <f t="shared" si="14"/>
        <v>826.33632890374247</v>
      </c>
      <c r="K37" s="38">
        <f t="shared" si="14"/>
        <v>911.03190797352909</v>
      </c>
      <c r="L37" s="38">
        <f t="shared" si="14"/>
        <v>989.82729515876417</v>
      </c>
      <c r="M37" s="38">
        <f t="shared" si="14"/>
        <v>1054.9208944325792</v>
      </c>
    </row>
    <row r="38" spans="2:13" x14ac:dyDescent="0.25">
      <c r="C38" s="174"/>
      <c r="D38" s="174"/>
      <c r="E38" s="157"/>
    </row>
    <row r="43" spans="2:13" x14ac:dyDescent="0.25">
      <c r="E43" s="74"/>
    </row>
    <row r="45" spans="2:13" x14ac:dyDescent="0.25">
      <c r="E45" s="74"/>
    </row>
  </sheetData>
  <mergeCells count="1">
    <mergeCell ref="I1:M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J15"/>
  <sheetViews>
    <sheetView showGridLines="0" zoomScale="90" workbookViewId="0">
      <selection activeCell="B7" sqref="B7"/>
    </sheetView>
  </sheetViews>
  <sheetFormatPr defaultColWidth="9.109375" defaultRowHeight="13.8" x14ac:dyDescent="0.25"/>
  <cols>
    <col min="1" max="1" width="9.109375" style="13"/>
    <col min="2" max="2" width="30.109375" style="13" bestFit="1" customWidth="1"/>
    <col min="3" max="3" width="4.109375" style="13" bestFit="1" customWidth="1"/>
    <col min="4" max="4" width="41" style="13" bestFit="1" customWidth="1"/>
    <col min="5" max="9" width="9.109375" style="81"/>
    <col min="10" max="10" width="10.5546875" style="13" bestFit="1" customWidth="1"/>
    <col min="11" max="16384" width="9.109375" style="13"/>
  </cols>
  <sheetData>
    <row r="2" spans="2:10" ht="14.4" thickBot="1" x14ac:dyDescent="0.3">
      <c r="B2" s="42" t="s">
        <v>122</v>
      </c>
      <c r="C2" s="42"/>
      <c r="D2" s="42"/>
      <c r="E2" s="86">
        <f>BS!I3</f>
        <v>23</v>
      </c>
      <c r="F2" s="86">
        <f>BS!J3</f>
        <v>24</v>
      </c>
      <c r="G2" s="86">
        <f>BS!K3</f>
        <v>25</v>
      </c>
      <c r="H2" s="86">
        <f>BS!L3</f>
        <v>26</v>
      </c>
      <c r="I2" s="86">
        <f>BS!M3</f>
        <v>27</v>
      </c>
      <c r="J2" s="91" t="s">
        <v>62</v>
      </c>
    </row>
    <row r="3" spans="2:10" x14ac:dyDescent="0.25">
      <c r="B3" s="13" t="s">
        <v>63</v>
      </c>
      <c r="E3" s="82">
        <f>+BS!E22</f>
        <v>721</v>
      </c>
      <c r="F3" s="82">
        <f>+E8</f>
        <v>704.05649999999991</v>
      </c>
      <c r="G3" s="82">
        <f t="shared" ref="G3:J3" si="0">+F8</f>
        <v>687.51117224999985</v>
      </c>
      <c r="H3" s="82">
        <f t="shared" si="0"/>
        <v>671.35465970212476</v>
      </c>
      <c r="I3" s="82">
        <f t="shared" si="0"/>
        <v>655.57782519912485</v>
      </c>
      <c r="J3" s="82">
        <f t="shared" si="0"/>
        <v>640.17174630694547</v>
      </c>
    </row>
    <row r="4" spans="2:10" x14ac:dyDescent="0.25">
      <c r="B4" s="43" t="s">
        <v>64</v>
      </c>
      <c r="C4" s="92">
        <v>0.05</v>
      </c>
      <c r="D4" s="94" t="s">
        <v>111</v>
      </c>
      <c r="E4" s="89">
        <f>+E3*C4</f>
        <v>36.050000000000004</v>
      </c>
      <c r="F4" s="90">
        <f>+F3*$C$4</f>
        <v>35.202824999999997</v>
      </c>
      <c r="G4" s="90">
        <f>+G3*$C$4</f>
        <v>34.375558612499994</v>
      </c>
      <c r="H4" s="90">
        <f t="shared" ref="H4:I4" si="1">+H3*$C$4</f>
        <v>33.56773298510624</v>
      </c>
      <c r="I4" s="90">
        <f t="shared" si="1"/>
        <v>32.778891259956247</v>
      </c>
      <c r="J4" s="90">
        <f>+(PL!Q6-PL!P6)*FA!$C$4+J3*10%</f>
        <v>110.1796604201146</v>
      </c>
    </row>
    <row r="5" spans="2:10" x14ac:dyDescent="0.25">
      <c r="B5" s="44" t="s">
        <v>65</v>
      </c>
      <c r="C5" s="44"/>
      <c r="D5" s="44"/>
      <c r="E5" s="83">
        <f t="shared" ref="E5:J5" si="2">+E3+E4</f>
        <v>757.05</v>
      </c>
      <c r="F5" s="83">
        <f t="shared" si="2"/>
        <v>739.25932499999988</v>
      </c>
      <c r="G5" s="83">
        <f t="shared" si="2"/>
        <v>721.8867308624998</v>
      </c>
      <c r="H5" s="83">
        <f t="shared" si="2"/>
        <v>704.92239268723097</v>
      </c>
      <c r="I5" s="83">
        <f t="shared" si="2"/>
        <v>688.3567164590811</v>
      </c>
      <c r="J5" s="83">
        <f t="shared" si="2"/>
        <v>750.35140672706007</v>
      </c>
    </row>
    <row r="6" spans="2:10" x14ac:dyDescent="0.25">
      <c r="B6" s="13" t="s">
        <v>66</v>
      </c>
      <c r="C6" s="37">
        <f>BS!G36</f>
        <v>7.0000000000000007E-2</v>
      </c>
      <c r="D6" s="93" t="s">
        <v>110</v>
      </c>
      <c r="E6" s="88">
        <f>C6</f>
        <v>7.0000000000000007E-2</v>
      </c>
      <c r="F6" s="88">
        <f>E6</f>
        <v>7.0000000000000007E-2</v>
      </c>
      <c r="G6" s="88">
        <f t="shared" ref="G6:J6" si="3">F6</f>
        <v>7.0000000000000007E-2</v>
      </c>
      <c r="H6" s="88">
        <f t="shared" si="3"/>
        <v>7.0000000000000007E-2</v>
      </c>
      <c r="I6" s="88">
        <f t="shared" si="3"/>
        <v>7.0000000000000007E-2</v>
      </c>
      <c r="J6" s="88">
        <f t="shared" si="3"/>
        <v>7.0000000000000007E-2</v>
      </c>
    </row>
    <row r="7" spans="2:10" x14ac:dyDescent="0.25">
      <c r="B7" s="13" t="s">
        <v>8</v>
      </c>
      <c r="E7" s="82">
        <f t="shared" ref="E7:J7" si="4">+E5*E6</f>
        <v>52.993500000000004</v>
      </c>
      <c r="F7" s="82">
        <f t="shared" si="4"/>
        <v>51.748152749999996</v>
      </c>
      <c r="G7" s="82">
        <f t="shared" si="4"/>
        <v>50.53207116037499</v>
      </c>
      <c r="H7" s="82">
        <f t="shared" si="4"/>
        <v>49.344567488106172</v>
      </c>
      <c r="I7" s="82">
        <f t="shared" si="4"/>
        <v>48.184970152135683</v>
      </c>
      <c r="J7" s="82">
        <f t="shared" si="4"/>
        <v>52.524598470894212</v>
      </c>
    </row>
    <row r="8" spans="2:10" ht="14.4" thickBot="1" x14ac:dyDescent="0.3">
      <c r="B8" s="40" t="s">
        <v>67</v>
      </c>
      <c r="C8" s="40"/>
      <c r="D8" s="40"/>
      <c r="E8" s="84">
        <f t="shared" ref="E8:J8" si="5">+E5-E7</f>
        <v>704.05649999999991</v>
      </c>
      <c r="F8" s="84">
        <f t="shared" si="5"/>
        <v>687.51117224999985</v>
      </c>
      <c r="G8" s="84">
        <f t="shared" si="5"/>
        <v>671.35465970212476</v>
      </c>
      <c r="H8" s="84">
        <f t="shared" si="5"/>
        <v>655.57782519912485</v>
      </c>
      <c r="I8" s="84">
        <f t="shared" si="5"/>
        <v>640.17174630694547</v>
      </c>
      <c r="J8" s="84">
        <f t="shared" si="5"/>
        <v>697.8268082561658</v>
      </c>
    </row>
    <row r="9" spans="2:10" x14ac:dyDescent="0.25">
      <c r="F9" s="87"/>
      <c r="G9" s="87"/>
      <c r="H9" s="87"/>
      <c r="I9" s="87"/>
    </row>
    <row r="10" spans="2:10" x14ac:dyDescent="0.25">
      <c r="B10" s="14" t="s">
        <v>117</v>
      </c>
    </row>
    <row r="11" spans="2:10" x14ac:dyDescent="0.25">
      <c r="B11" s="13" t="s">
        <v>63</v>
      </c>
      <c r="E11" s="81">
        <f>+BS!E21</f>
        <v>6</v>
      </c>
      <c r="F11" s="81">
        <f>+E13</f>
        <v>6.3</v>
      </c>
      <c r="G11" s="102">
        <f t="shared" ref="G11:J11" si="6">+F13</f>
        <v>6.6150000000000002</v>
      </c>
      <c r="H11" s="102">
        <f t="shared" si="6"/>
        <v>6.9457500000000003</v>
      </c>
      <c r="I11" s="102">
        <f t="shared" si="6"/>
        <v>7.2930375000000005</v>
      </c>
      <c r="J11" s="102">
        <f t="shared" si="6"/>
        <v>7.6576893750000004</v>
      </c>
    </row>
    <row r="12" spans="2:10" x14ac:dyDescent="0.25">
      <c r="B12" s="43" t="s">
        <v>64</v>
      </c>
      <c r="C12" s="37">
        <v>0.05</v>
      </c>
      <c r="E12" s="81">
        <f>+E11*$C$12</f>
        <v>0.30000000000000004</v>
      </c>
      <c r="F12" s="102">
        <f t="shared" ref="F12:J12" si="7">+F11*$C$12</f>
        <v>0.315</v>
      </c>
      <c r="G12" s="102">
        <f t="shared" si="7"/>
        <v>0.33075000000000004</v>
      </c>
      <c r="H12" s="102">
        <f t="shared" si="7"/>
        <v>0.34728750000000003</v>
      </c>
      <c r="I12" s="102">
        <f t="shared" si="7"/>
        <v>0.36465187500000007</v>
      </c>
      <c r="J12" s="102">
        <f t="shared" si="7"/>
        <v>0.38288446875000004</v>
      </c>
    </row>
    <row r="13" spans="2:10" x14ac:dyDescent="0.25">
      <c r="B13" s="14" t="s">
        <v>123</v>
      </c>
      <c r="E13" s="100">
        <f>SUM(E11:E12)</f>
        <v>6.3</v>
      </c>
      <c r="F13" s="103">
        <f t="shared" ref="F13:J13" si="8">SUM(F11:F12)</f>
        <v>6.6150000000000002</v>
      </c>
      <c r="G13" s="103">
        <f t="shared" si="8"/>
        <v>6.9457500000000003</v>
      </c>
      <c r="H13" s="103">
        <f t="shared" si="8"/>
        <v>7.2930375000000005</v>
      </c>
      <c r="I13" s="103">
        <f t="shared" si="8"/>
        <v>7.6576893750000004</v>
      </c>
      <c r="J13" s="103">
        <f t="shared" si="8"/>
        <v>8.0405738437499998</v>
      </c>
    </row>
    <row r="15" spans="2:10" x14ac:dyDescent="0.25">
      <c r="B15" s="13" t="s">
        <v>124</v>
      </c>
      <c r="E15" s="102">
        <f>+E4+E12</f>
        <v>36.35</v>
      </c>
      <c r="F15" s="102">
        <f t="shared" ref="F15:J15" si="9">+F4+F12</f>
        <v>35.517824999999995</v>
      </c>
      <c r="G15" s="102">
        <f t="shared" si="9"/>
        <v>34.706308612499996</v>
      </c>
      <c r="H15" s="102">
        <f t="shared" si="9"/>
        <v>33.91502048510624</v>
      </c>
      <c r="I15" s="102">
        <f t="shared" si="9"/>
        <v>33.143543134956246</v>
      </c>
      <c r="J15" s="102">
        <f t="shared" si="9"/>
        <v>110.56254488886461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12"/>
  <sheetViews>
    <sheetView showGridLines="0" tabSelected="1" zoomScale="86" zoomScaleNormal="170" workbookViewId="0">
      <selection activeCell="C4" sqref="C4"/>
    </sheetView>
  </sheetViews>
  <sheetFormatPr defaultColWidth="9.109375" defaultRowHeight="13.8" x14ac:dyDescent="0.25"/>
  <cols>
    <col min="1" max="1" width="9.109375" style="13"/>
    <col min="2" max="2" width="31.33203125" style="13" bestFit="1" customWidth="1"/>
    <col min="3" max="4" width="9.109375" style="13"/>
    <col min="5" max="5" width="10.33203125" style="13" bestFit="1" customWidth="1"/>
    <col min="6" max="16384" width="9.109375" style="13"/>
  </cols>
  <sheetData>
    <row r="2" spans="2:5" x14ac:dyDescent="0.25">
      <c r="B2" s="14" t="s">
        <v>82</v>
      </c>
    </row>
    <row r="3" spans="2:5" ht="15.6" thickBot="1" x14ac:dyDescent="0.3">
      <c r="B3" s="78" t="s">
        <v>37</v>
      </c>
      <c r="C3" s="79" t="s">
        <v>83</v>
      </c>
    </row>
    <row r="4" spans="2:5" x14ac:dyDescent="0.25">
      <c r="B4" s="14" t="s">
        <v>84</v>
      </c>
      <c r="C4" s="67">
        <v>0.79</v>
      </c>
    </row>
    <row r="5" spans="2:5" x14ac:dyDescent="0.25">
      <c r="B5" s="13" t="s">
        <v>85</v>
      </c>
      <c r="C5" s="68">
        <v>0.25169999999999998</v>
      </c>
    </row>
    <row r="6" spans="2:5" ht="16.5" customHeight="1" x14ac:dyDescent="0.25">
      <c r="B6" s="16" t="s">
        <v>86</v>
      </c>
      <c r="C6" s="69">
        <v>0</v>
      </c>
    </row>
    <row r="7" spans="2:5" x14ac:dyDescent="0.25">
      <c r="B7" s="14" t="s">
        <v>87</v>
      </c>
      <c r="C7" s="70">
        <f>+C4*(1+(1-C5)*C6)</f>
        <v>0.79</v>
      </c>
      <c r="E7" s="37"/>
    </row>
    <row r="8" spans="2:5" x14ac:dyDescent="0.25">
      <c r="B8" s="13" t="s">
        <v>109</v>
      </c>
      <c r="C8" s="64">
        <v>7.3700000000000002E-2</v>
      </c>
      <c r="E8" s="99"/>
    </row>
    <row r="9" spans="2:5" x14ac:dyDescent="0.25">
      <c r="B9" s="71" t="s">
        <v>88</v>
      </c>
      <c r="C9" s="72">
        <f>16%-C8</f>
        <v>8.6300000000000002E-2</v>
      </c>
      <c r="D9" s="64"/>
    </row>
    <row r="10" spans="2:5" x14ac:dyDescent="0.25">
      <c r="B10" s="13" t="s">
        <v>89</v>
      </c>
      <c r="C10" s="64">
        <v>0.01</v>
      </c>
    </row>
    <row r="11" spans="2:5" x14ac:dyDescent="0.25">
      <c r="B11" s="13" t="s">
        <v>90</v>
      </c>
      <c r="C11" s="64">
        <v>0</v>
      </c>
    </row>
    <row r="12" spans="2:5" ht="14.4" thickBot="1" x14ac:dyDescent="0.3">
      <c r="B12" s="40" t="s">
        <v>91</v>
      </c>
      <c r="C12" s="73">
        <f>+ROUND(C8+C7*C9+C10+C11,3)</f>
        <v>0.152</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B1CA6-8126-46B7-B4A5-FB817CC5302B}">
  <dimension ref="A1:J32"/>
  <sheetViews>
    <sheetView topLeftCell="A2" workbookViewId="0">
      <selection activeCell="A6" sqref="A6"/>
    </sheetView>
  </sheetViews>
  <sheetFormatPr defaultRowHeight="14.4" x14ac:dyDescent="0.3"/>
  <cols>
    <col min="1" max="1" width="25.21875" bestFit="1" customWidth="1"/>
  </cols>
  <sheetData>
    <row r="1" spans="1:10" x14ac:dyDescent="0.3">
      <c r="A1" t="s">
        <v>37</v>
      </c>
      <c r="B1">
        <v>20</v>
      </c>
      <c r="C1">
        <v>21</v>
      </c>
      <c r="D1">
        <v>22</v>
      </c>
      <c r="E1">
        <v>23</v>
      </c>
      <c r="F1">
        <v>24</v>
      </c>
      <c r="G1">
        <v>25</v>
      </c>
      <c r="H1">
        <v>26</v>
      </c>
      <c r="I1">
        <v>27</v>
      </c>
      <c r="J1" t="s">
        <v>59</v>
      </c>
    </row>
    <row r="2" spans="1:10" x14ac:dyDescent="0.3">
      <c r="A2" t="s">
        <v>0</v>
      </c>
      <c r="B2">
        <v>1574</v>
      </c>
      <c r="C2">
        <v>1727</v>
      </c>
      <c r="D2">
        <v>3171</v>
      </c>
      <c r="E2">
        <v>4534.53</v>
      </c>
      <c r="F2">
        <v>5622.8171999999995</v>
      </c>
      <c r="G2">
        <v>6803.6088119999995</v>
      </c>
      <c r="H2">
        <v>8028.2583981599992</v>
      </c>
      <c r="I2">
        <v>9232.4971578839977</v>
      </c>
      <c r="J2">
        <v>10155.746873672399</v>
      </c>
    </row>
    <row r="3" spans="1:10" x14ac:dyDescent="0.3">
      <c r="A3" t="s">
        <v>18</v>
      </c>
      <c r="B3">
        <v>-0.4196165191740413</v>
      </c>
      <c r="C3">
        <v>9.7204574332909743E-2</v>
      </c>
      <c r="D3">
        <v>0.83613202084539662</v>
      </c>
    </row>
    <row r="5" spans="1:10" x14ac:dyDescent="0.3">
      <c r="A5" t="s">
        <v>1</v>
      </c>
      <c r="B5">
        <v>92</v>
      </c>
      <c r="C5">
        <v>56</v>
      </c>
      <c r="D5">
        <v>51</v>
      </c>
      <c r="E5">
        <v>154.8670570688632</v>
      </c>
      <c r="F5">
        <v>192.03515076539034</v>
      </c>
      <c r="G5">
        <v>232.36253242612233</v>
      </c>
      <c r="H5">
        <v>274.18778826282431</v>
      </c>
      <c r="I5">
        <v>315.31595650224796</v>
      </c>
      <c r="J5">
        <v>346.84755215247276</v>
      </c>
    </row>
    <row r="6" spans="1:10" x14ac:dyDescent="0.3">
      <c r="A6" t="s">
        <v>6</v>
      </c>
      <c r="B6">
        <v>1666</v>
      </c>
      <c r="C6">
        <v>1783</v>
      </c>
      <c r="D6">
        <v>3222</v>
      </c>
      <c r="E6">
        <v>4689.3970570688625</v>
      </c>
      <c r="F6">
        <v>5814.8523507653899</v>
      </c>
      <c r="G6">
        <v>7035.9713444261215</v>
      </c>
      <c r="H6">
        <v>8302.4461864228233</v>
      </c>
      <c r="I6">
        <v>9547.8131143862465</v>
      </c>
      <c r="J6">
        <v>10502.594425824871</v>
      </c>
    </row>
    <row r="8" spans="1:10" x14ac:dyDescent="0.3">
      <c r="A8" t="s">
        <v>2</v>
      </c>
    </row>
    <row r="9" spans="1:10" x14ac:dyDescent="0.3">
      <c r="A9" t="s">
        <v>103</v>
      </c>
      <c r="B9">
        <v>944.4</v>
      </c>
      <c r="C9">
        <v>1053.47</v>
      </c>
      <c r="D9">
        <v>1997.73</v>
      </c>
      <c r="E9">
        <v>2766.0632999999998</v>
      </c>
      <c r="F9">
        <v>3429.9184919999998</v>
      </c>
      <c r="G9">
        <v>4150.2013753199999</v>
      </c>
      <c r="H9">
        <v>4897.2376228775993</v>
      </c>
      <c r="I9">
        <v>5631.8232663092385</v>
      </c>
      <c r="J9">
        <v>6195.0055929401633</v>
      </c>
    </row>
    <row r="10" spans="1:10" x14ac:dyDescent="0.3">
      <c r="A10" t="s">
        <v>104</v>
      </c>
      <c r="B10">
        <v>157.4</v>
      </c>
      <c r="C10">
        <v>155.43</v>
      </c>
      <c r="D10">
        <v>285.39</v>
      </c>
      <c r="E10">
        <v>408.10769999999997</v>
      </c>
      <c r="F10">
        <v>506.05354799999992</v>
      </c>
      <c r="G10">
        <v>612.32479307999995</v>
      </c>
      <c r="H10">
        <v>722.54325583439993</v>
      </c>
      <c r="I10">
        <v>830.92474420955978</v>
      </c>
      <c r="J10">
        <v>914.0172186305158</v>
      </c>
    </row>
    <row r="11" spans="1:10" x14ac:dyDescent="0.3">
      <c r="A11" t="s">
        <v>3</v>
      </c>
      <c r="B11">
        <v>236.1</v>
      </c>
      <c r="C11">
        <v>259.05</v>
      </c>
      <c r="D11">
        <v>317.10000000000002</v>
      </c>
      <c r="E11">
        <v>453.45299999999997</v>
      </c>
      <c r="F11">
        <v>562.28171999999995</v>
      </c>
      <c r="G11">
        <v>680.36088119999999</v>
      </c>
      <c r="H11">
        <v>802.82583981599998</v>
      </c>
      <c r="I11">
        <v>923.24971578839984</v>
      </c>
      <c r="J11">
        <v>1015.5746873672399</v>
      </c>
    </row>
    <row r="12" spans="1:10" x14ac:dyDescent="0.3">
      <c r="A12" t="s">
        <v>105</v>
      </c>
      <c r="B12">
        <v>225.06</v>
      </c>
      <c r="C12">
        <v>189.07</v>
      </c>
      <c r="D12">
        <v>323.8</v>
      </c>
      <c r="E12">
        <v>453.45299999999992</v>
      </c>
      <c r="F12">
        <v>562.28171999999995</v>
      </c>
      <c r="G12">
        <v>680.36088119999988</v>
      </c>
      <c r="H12">
        <v>802.82583981599987</v>
      </c>
      <c r="I12">
        <v>923.24971578839973</v>
      </c>
      <c r="J12">
        <v>1015.5746873672398</v>
      </c>
    </row>
    <row r="13" spans="1:10" x14ac:dyDescent="0.3">
      <c r="A13" t="s">
        <v>50</v>
      </c>
      <c r="E13">
        <v>0</v>
      </c>
      <c r="F13">
        <v>0</v>
      </c>
      <c r="G13">
        <v>0</v>
      </c>
      <c r="H13">
        <v>0</v>
      </c>
      <c r="I13">
        <v>0</v>
      </c>
      <c r="J13">
        <v>0</v>
      </c>
    </row>
    <row r="14" spans="1:10" x14ac:dyDescent="0.3">
      <c r="A14" t="s">
        <v>51</v>
      </c>
      <c r="E14">
        <v>0</v>
      </c>
      <c r="F14">
        <v>0</v>
      </c>
      <c r="G14">
        <v>0</v>
      </c>
      <c r="H14">
        <v>0</v>
      </c>
      <c r="I14">
        <v>0</v>
      </c>
      <c r="J14">
        <v>0</v>
      </c>
    </row>
    <row r="15" spans="1:10" x14ac:dyDescent="0.3">
      <c r="A15" t="s">
        <v>52</v>
      </c>
      <c r="E15">
        <v>0</v>
      </c>
      <c r="F15">
        <v>0</v>
      </c>
      <c r="G15">
        <v>0</v>
      </c>
      <c r="H15">
        <v>0</v>
      </c>
      <c r="I15">
        <v>0</v>
      </c>
      <c r="J15">
        <v>0</v>
      </c>
    </row>
    <row r="16" spans="1:10" x14ac:dyDescent="0.3">
      <c r="A16" t="s">
        <v>53</v>
      </c>
      <c r="E16">
        <v>0</v>
      </c>
      <c r="F16">
        <v>0</v>
      </c>
      <c r="G16">
        <v>0</v>
      </c>
      <c r="H16">
        <v>0</v>
      </c>
      <c r="I16">
        <v>0</v>
      </c>
      <c r="J16">
        <v>0</v>
      </c>
    </row>
    <row r="18" spans="1:10" x14ac:dyDescent="0.3">
      <c r="A18" t="s">
        <v>7</v>
      </c>
      <c r="B18">
        <v>1562.9599999999998</v>
      </c>
      <c r="C18">
        <v>1657.02</v>
      </c>
      <c r="D18">
        <v>2924.02</v>
      </c>
      <c r="E18">
        <v>4081.0769999999998</v>
      </c>
      <c r="F18">
        <v>5060.5354799999996</v>
      </c>
      <c r="G18">
        <v>6123.2479308000002</v>
      </c>
      <c r="H18">
        <v>7225.4325583439986</v>
      </c>
      <c r="I18">
        <v>8309.2474420955987</v>
      </c>
      <c r="J18">
        <v>9140.1721863051589</v>
      </c>
    </row>
    <row r="20" spans="1:10" x14ac:dyDescent="0.3">
      <c r="A20" t="s">
        <v>5</v>
      </c>
      <c r="B20">
        <v>103.04000000000019</v>
      </c>
      <c r="C20">
        <v>125.98000000000002</v>
      </c>
      <c r="D20">
        <v>297.98</v>
      </c>
      <c r="E20">
        <v>453.45299999999997</v>
      </c>
      <c r="F20">
        <v>562.28171999999995</v>
      </c>
      <c r="G20">
        <v>680.36088119999931</v>
      </c>
      <c r="H20">
        <v>802.82583981600055</v>
      </c>
      <c r="I20">
        <v>923.24971578839904</v>
      </c>
      <c r="J20">
        <v>1015.5746873672397</v>
      </c>
    </row>
    <row r="22" spans="1:10" x14ac:dyDescent="0.3">
      <c r="A22" t="s">
        <v>8</v>
      </c>
      <c r="B22">
        <v>55</v>
      </c>
      <c r="C22">
        <v>56</v>
      </c>
      <c r="D22">
        <v>60</v>
      </c>
      <c r="E22">
        <v>52.993500000000004</v>
      </c>
      <c r="F22">
        <v>51.748152749999996</v>
      </c>
      <c r="G22">
        <v>50.53207116037499</v>
      </c>
      <c r="H22">
        <v>49.344567488106172</v>
      </c>
      <c r="I22">
        <v>48.184970152135683</v>
      </c>
      <c r="J22">
        <v>52.524598470894212</v>
      </c>
    </row>
    <row r="24" spans="1:10" x14ac:dyDescent="0.3">
      <c r="A24" t="s">
        <v>9</v>
      </c>
      <c r="B24">
        <v>48.040000000000191</v>
      </c>
      <c r="C24">
        <v>69.980000000000018</v>
      </c>
      <c r="D24">
        <v>237.98000000000002</v>
      </c>
      <c r="E24">
        <v>400.45949999999999</v>
      </c>
      <c r="F24">
        <v>510.53356724999998</v>
      </c>
      <c r="G24">
        <v>629.82881003962427</v>
      </c>
      <c r="H24">
        <v>753.48127232789443</v>
      </c>
      <c r="I24">
        <v>875.06474563626341</v>
      </c>
      <c r="J24">
        <v>963.05008889634541</v>
      </c>
    </row>
    <row r="26" spans="1:10" x14ac:dyDescent="0.3">
      <c r="A26" t="s">
        <v>10</v>
      </c>
      <c r="B26">
        <v>1</v>
      </c>
      <c r="C26">
        <v>0</v>
      </c>
      <c r="D26">
        <v>0</v>
      </c>
      <c r="E26">
        <v>0</v>
      </c>
      <c r="F26">
        <v>0</v>
      </c>
      <c r="G26">
        <v>0</v>
      </c>
      <c r="H26">
        <v>0</v>
      </c>
      <c r="I26">
        <v>0</v>
      </c>
      <c r="J26">
        <v>0</v>
      </c>
    </row>
    <row r="28" spans="1:10" x14ac:dyDescent="0.3">
      <c r="A28" t="s">
        <v>11</v>
      </c>
      <c r="B28">
        <v>47.040000000000191</v>
      </c>
      <c r="C28">
        <v>69.980000000000018</v>
      </c>
      <c r="D28">
        <v>237.98000000000002</v>
      </c>
      <c r="E28">
        <v>555.32655706886317</v>
      </c>
      <c r="F28">
        <v>702.56871801539035</v>
      </c>
      <c r="G28">
        <v>862.19134246574663</v>
      </c>
      <c r="H28">
        <v>1027.6690605907188</v>
      </c>
      <c r="I28">
        <v>1190.3807021385114</v>
      </c>
      <c r="J28">
        <v>1309.8976410488181</v>
      </c>
    </row>
    <row r="30" spans="1:10" x14ac:dyDescent="0.3">
      <c r="A30" t="s">
        <v>12</v>
      </c>
      <c r="B30">
        <v>19.286400000000079</v>
      </c>
      <c r="C30">
        <v>25.892600000000005</v>
      </c>
      <c r="D30">
        <v>57.115200000000002</v>
      </c>
      <c r="E30">
        <v>139.77569441423285</v>
      </c>
      <c r="F30">
        <v>176.83654632447374</v>
      </c>
      <c r="G30">
        <v>217.01356089862841</v>
      </c>
      <c r="H30">
        <v>258.66430255068389</v>
      </c>
      <c r="I30">
        <v>299.6188227282633</v>
      </c>
      <c r="J30">
        <v>329.7012362519875</v>
      </c>
    </row>
    <row r="31" spans="1:10" x14ac:dyDescent="0.3">
      <c r="B31" t="s">
        <v>14</v>
      </c>
    </row>
    <row r="32" spans="1:10" x14ac:dyDescent="0.3">
      <c r="A32" t="s">
        <v>13</v>
      </c>
      <c r="B32">
        <v>27.753600000000112</v>
      </c>
      <c r="C32">
        <v>44.087400000000017</v>
      </c>
      <c r="D32">
        <v>180.8648</v>
      </c>
      <c r="E32">
        <v>415.55086265463035</v>
      </c>
      <c r="F32">
        <v>525.73217169091663</v>
      </c>
      <c r="G32">
        <v>645.17778156711825</v>
      </c>
      <c r="H32">
        <v>769.00475804003486</v>
      </c>
      <c r="I32">
        <v>890.76187941024818</v>
      </c>
      <c r="J32">
        <v>980.19640479683062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7"/>
  <sheetViews>
    <sheetView workbookViewId="0">
      <selection activeCell="J14" sqref="J14"/>
    </sheetView>
  </sheetViews>
  <sheetFormatPr defaultRowHeight="14.4" x14ac:dyDescent="0.3"/>
  <cols>
    <col min="1" max="1" width="15" style="13" bestFit="1" customWidth="1"/>
    <col min="2" max="2" width="12.5546875" style="4" customWidth="1"/>
    <col min="3" max="3" width="10.6640625" style="4" customWidth="1"/>
    <col min="4" max="4" width="11.5546875" customWidth="1"/>
    <col min="5" max="5" width="11.5546875" bestFit="1" customWidth="1"/>
    <col min="9" max="9" width="29" bestFit="1" customWidth="1"/>
    <col min="10" max="10" width="11.5546875" style="4" customWidth="1"/>
    <col min="11" max="11" width="10.6640625" style="4" customWidth="1"/>
    <col min="12" max="12" width="11.5546875" customWidth="1"/>
  </cols>
  <sheetData>
    <row r="1" spans="1:12" x14ac:dyDescent="0.3">
      <c r="B1" s="4" t="s">
        <v>49</v>
      </c>
      <c r="K1" s="8">
        <v>53.47</v>
      </c>
      <c r="L1">
        <v>93.82</v>
      </c>
    </row>
    <row r="2" spans="1:12" x14ac:dyDescent="0.3">
      <c r="C2" s="8">
        <v>53.47</v>
      </c>
      <c r="D2">
        <v>93.82</v>
      </c>
      <c r="I2" s="19" t="s">
        <v>37</v>
      </c>
      <c r="J2" s="35" t="s">
        <v>15</v>
      </c>
      <c r="K2" s="35" t="s">
        <v>16</v>
      </c>
      <c r="L2" s="36" t="s">
        <v>17</v>
      </c>
    </row>
    <row r="3" spans="1:12" x14ac:dyDescent="0.3">
      <c r="A3" s="19" t="s">
        <v>37</v>
      </c>
      <c r="B3" s="35" t="s">
        <v>15</v>
      </c>
      <c r="C3" s="35" t="s">
        <v>16</v>
      </c>
      <c r="D3" s="36" t="s">
        <v>17</v>
      </c>
      <c r="I3" s="1" t="s">
        <v>21</v>
      </c>
      <c r="J3" s="6"/>
      <c r="K3" s="6"/>
      <c r="L3" s="7"/>
    </row>
    <row r="4" spans="1:12" x14ac:dyDescent="0.3">
      <c r="A4" s="13" t="s">
        <v>0</v>
      </c>
      <c r="B4" s="4">
        <v>122674305.89</v>
      </c>
      <c r="C4" s="4">
        <v>180547.81</v>
      </c>
      <c r="D4" s="4">
        <v>166950</v>
      </c>
      <c r="I4" t="s">
        <v>19</v>
      </c>
      <c r="J4" s="4">
        <v>100000</v>
      </c>
      <c r="K4" s="4">
        <v>1000</v>
      </c>
      <c r="L4" s="4">
        <v>2000</v>
      </c>
    </row>
    <row r="5" spans="1:12" x14ac:dyDescent="0.3">
      <c r="A5" s="15" t="s">
        <v>18</v>
      </c>
      <c r="B5" s="9"/>
      <c r="C5" s="9"/>
      <c r="D5" s="9"/>
      <c r="I5" t="s">
        <v>20</v>
      </c>
      <c r="J5" s="4">
        <f>5125382.86-100000+39157016</f>
        <v>44182398.859999999</v>
      </c>
      <c r="K5" s="4">
        <v>140106.73000000001</v>
      </c>
      <c r="L5" s="4">
        <v>162374.18</v>
      </c>
    </row>
    <row r="7" spans="1:12" x14ac:dyDescent="0.3">
      <c r="A7" s="16" t="s">
        <v>1</v>
      </c>
      <c r="B7" s="5">
        <v>1499517.9</v>
      </c>
      <c r="C7" s="5">
        <v>10.43</v>
      </c>
      <c r="D7" s="2"/>
      <c r="I7" s="1" t="s">
        <v>22</v>
      </c>
    </row>
    <row r="8" spans="1:12" x14ac:dyDescent="0.3">
      <c r="A8" s="14" t="s">
        <v>6</v>
      </c>
      <c r="B8" s="3">
        <f>SUM(B4:B7)</f>
        <v>124173823.79000001</v>
      </c>
      <c r="C8" s="3">
        <f>SUM(C4:C7)</f>
        <v>180558.24</v>
      </c>
      <c r="D8" s="3">
        <f>SUM(D4:D7)</f>
        <v>166950</v>
      </c>
      <c r="I8" t="s">
        <v>23</v>
      </c>
      <c r="J8" s="4">
        <v>0</v>
      </c>
    </row>
    <row r="10" spans="1:12" x14ac:dyDescent="0.3">
      <c r="A10" s="14" t="s">
        <v>2</v>
      </c>
      <c r="I10" s="1" t="s">
        <v>24</v>
      </c>
    </row>
    <row r="11" spans="1:12" x14ac:dyDescent="0.3">
      <c r="A11" s="13" t="s">
        <v>3</v>
      </c>
      <c r="B11" s="4">
        <f>53787837-2459471</f>
        <v>51328366</v>
      </c>
      <c r="C11" s="4">
        <v>20000</v>
      </c>
      <c r="E11" s="25">
        <f>SUM(B11,C11*C$2,D11*D$2)</f>
        <v>52397766</v>
      </c>
      <c r="I11" t="s">
        <v>25</v>
      </c>
      <c r="J11" s="4">
        <v>1148025</v>
      </c>
    </row>
    <row r="12" spans="1:12" x14ac:dyDescent="0.3">
      <c r="A12" s="15" t="s">
        <v>18</v>
      </c>
      <c r="B12" s="9"/>
      <c r="C12" s="9"/>
      <c r="D12" s="9"/>
      <c r="I12" t="s">
        <v>26</v>
      </c>
      <c r="J12" s="4">
        <f>45219.46-74</f>
        <v>45145.46</v>
      </c>
      <c r="L12" s="4">
        <v>15620</v>
      </c>
    </row>
    <row r="13" spans="1:12" x14ac:dyDescent="0.3">
      <c r="A13" s="13" t="s">
        <v>4</v>
      </c>
      <c r="B13" s="10">
        <f>31228970.37+2459471-1933190-33885</f>
        <v>31721366.370000005</v>
      </c>
      <c r="C13" s="10">
        <f>20451.51-304</f>
        <v>20147.509999999998</v>
      </c>
      <c r="D13">
        <f>4575.82-14.28</f>
        <v>4561.54</v>
      </c>
      <c r="E13" s="25">
        <f>SUM(B13,C13*C$2,D13*D$2)</f>
        <v>33226617.412500005</v>
      </c>
      <c r="I13" t="s">
        <v>27</v>
      </c>
      <c r="J13" s="4">
        <v>16473842</v>
      </c>
    </row>
    <row r="14" spans="1:12" x14ac:dyDescent="0.3">
      <c r="A14" s="17" t="s">
        <v>18</v>
      </c>
      <c r="B14" s="11"/>
      <c r="C14" s="11"/>
      <c r="D14" s="11"/>
      <c r="I14" s="2"/>
      <c r="J14" s="5"/>
      <c r="K14" s="5"/>
      <c r="L14" s="2"/>
    </row>
    <row r="15" spans="1:12" x14ac:dyDescent="0.3">
      <c r="A15" s="14" t="s">
        <v>7</v>
      </c>
      <c r="B15" s="3">
        <f>SUM(B11:B13)</f>
        <v>83049732.370000005</v>
      </c>
      <c r="C15" s="3">
        <f>SUM(C11:C13)</f>
        <v>40147.509999999995</v>
      </c>
      <c r="D15" s="3">
        <f>SUM(D11:D13)</f>
        <v>4561.54</v>
      </c>
      <c r="I15" s="1" t="s">
        <v>28</v>
      </c>
      <c r="J15" s="3">
        <f>SUM(J4:J13)</f>
        <v>61949411.32</v>
      </c>
      <c r="K15" s="3">
        <f>SUM(K4:K13)</f>
        <v>141106.73000000001</v>
      </c>
      <c r="L15" s="3">
        <f>SUM(L4:L13)</f>
        <v>179994.18</v>
      </c>
    </row>
    <row r="16" spans="1:12" x14ac:dyDescent="0.3">
      <c r="A16" s="18"/>
      <c r="B16" s="5"/>
      <c r="C16" s="5"/>
      <c r="D16" s="2"/>
    </row>
    <row r="17" spans="1:12" x14ac:dyDescent="0.3">
      <c r="A17" s="14" t="s">
        <v>5</v>
      </c>
      <c r="B17" s="3">
        <f>B8-B15</f>
        <v>41124091.420000002</v>
      </c>
      <c r="C17" s="3">
        <f>C8-C15</f>
        <v>140410.72999999998</v>
      </c>
      <c r="D17" s="3">
        <f>D8-D15</f>
        <v>162388.46</v>
      </c>
      <c r="E17" s="25">
        <f>SUM(B17,C17*C$2,D17*D$2)</f>
        <v>63867138.470299996</v>
      </c>
      <c r="I17" s="1" t="s">
        <v>29</v>
      </c>
    </row>
    <row r="18" spans="1:12" x14ac:dyDescent="0.3">
      <c r="D18" s="4"/>
      <c r="I18" t="s">
        <v>30</v>
      </c>
      <c r="J18" s="4">
        <v>14833013.970000001</v>
      </c>
      <c r="L18" s="4">
        <v>1250</v>
      </c>
    </row>
    <row r="19" spans="1:12" x14ac:dyDescent="0.3">
      <c r="A19" s="13" t="s">
        <v>8</v>
      </c>
      <c r="B19" s="4">
        <v>1933190</v>
      </c>
      <c r="C19" s="4">
        <v>0</v>
      </c>
      <c r="D19" s="4">
        <v>0</v>
      </c>
      <c r="I19" t="s">
        <v>31</v>
      </c>
      <c r="J19" s="4">
        <v>13599.3</v>
      </c>
    </row>
    <row r="20" spans="1:12" x14ac:dyDescent="0.3">
      <c r="A20" s="16"/>
      <c r="B20" s="5"/>
      <c r="C20" s="5"/>
      <c r="D20" s="5"/>
    </row>
    <row r="21" spans="1:12" x14ac:dyDescent="0.3">
      <c r="A21" s="14" t="s">
        <v>9</v>
      </c>
      <c r="B21" s="3">
        <f>B17-B19</f>
        <v>39190901.420000002</v>
      </c>
      <c r="C21" s="3">
        <f>C17-C19</f>
        <v>140410.72999999998</v>
      </c>
      <c r="D21" s="3">
        <f>D17-D19</f>
        <v>162388.46</v>
      </c>
      <c r="E21" s="25">
        <f>SUM(B21,C21*C$2,D21*D$2)</f>
        <v>61933948.470299996</v>
      </c>
      <c r="I21" s="1" t="s">
        <v>32</v>
      </c>
    </row>
    <row r="22" spans="1:12" x14ac:dyDescent="0.3">
      <c r="D22" s="4"/>
      <c r="I22" t="s">
        <v>33</v>
      </c>
      <c r="J22" s="4">
        <v>8041578.9199999999</v>
      </c>
      <c r="K22" s="4">
        <v>86551.15</v>
      </c>
      <c r="L22" s="4">
        <v>31440</v>
      </c>
    </row>
    <row r="23" spans="1:12" x14ac:dyDescent="0.3">
      <c r="A23" s="13" t="s">
        <v>10</v>
      </c>
      <c r="B23" s="4">
        <v>33885</v>
      </c>
      <c r="C23" s="4">
        <v>304</v>
      </c>
      <c r="D23" s="4">
        <v>14.28</v>
      </c>
      <c r="E23" s="25">
        <f>SUM(B23,C23*C$2,D23*D$2)</f>
        <v>51479.6296</v>
      </c>
      <c r="I23" t="s">
        <v>36</v>
      </c>
      <c r="J23" s="4">
        <f>1000000+69414+1410791.6+21265165.52</f>
        <v>23745371.120000001</v>
      </c>
      <c r="K23" s="4">
        <f>1100+53455.58</f>
        <v>54555.58</v>
      </c>
      <c r="L23" s="4">
        <f>75+147229.18</f>
        <v>147304.18</v>
      </c>
    </row>
    <row r="24" spans="1:12" x14ac:dyDescent="0.3">
      <c r="A24" s="16"/>
      <c r="B24" s="5"/>
      <c r="C24" s="5"/>
      <c r="D24" s="5"/>
      <c r="E24" s="25">
        <f>SUM(B24,C24*C$2,D24*D$2)</f>
        <v>0</v>
      </c>
      <c r="I24" t="s">
        <v>34</v>
      </c>
      <c r="J24" s="4">
        <f>24913590.52-21265165.52+1226536.49-1</f>
        <v>4874960.49</v>
      </c>
    </row>
    <row r="25" spans="1:12" x14ac:dyDescent="0.3">
      <c r="A25" s="14" t="s">
        <v>11</v>
      </c>
      <c r="B25" s="3">
        <f>B21-B23</f>
        <v>39157016.420000002</v>
      </c>
      <c r="C25" s="3">
        <f>C21-C23</f>
        <v>140106.72999999998</v>
      </c>
      <c r="D25" s="3">
        <f>D21-D23</f>
        <v>162374.18</v>
      </c>
      <c r="I25" t="s">
        <v>35</v>
      </c>
      <c r="J25" s="4">
        <v>10440887.550000001</v>
      </c>
    </row>
    <row r="26" spans="1:12" x14ac:dyDescent="0.3">
      <c r="D26" s="4"/>
      <c r="I26" s="2"/>
      <c r="J26" s="5"/>
      <c r="K26" s="5"/>
      <c r="L26" s="2"/>
    </row>
    <row r="27" spans="1:12" x14ac:dyDescent="0.3">
      <c r="A27" s="13" t="s">
        <v>12</v>
      </c>
      <c r="D27" s="4"/>
      <c r="I27" s="1" t="s">
        <v>28</v>
      </c>
      <c r="J27" s="3">
        <f>SUM(J18:J25)</f>
        <v>61949411.350000009</v>
      </c>
      <c r="K27" s="3">
        <f>SUM(K18:K25)</f>
        <v>141106.72999999998</v>
      </c>
      <c r="L27" s="3">
        <f>SUM(L18:L25)</f>
        <v>179994.18</v>
      </c>
    </row>
    <row r="28" spans="1:12" x14ac:dyDescent="0.3">
      <c r="A28" s="16"/>
      <c r="B28" s="5"/>
      <c r="C28" s="5"/>
      <c r="D28" s="5"/>
    </row>
    <row r="29" spans="1:12" x14ac:dyDescent="0.3">
      <c r="A29" s="14" t="s">
        <v>13</v>
      </c>
      <c r="B29" s="3">
        <f>B25-B27</f>
        <v>39157016.420000002</v>
      </c>
      <c r="C29" s="3">
        <f>C25-C27</f>
        <v>140106.72999999998</v>
      </c>
      <c r="D29" s="3">
        <f>D25-D27</f>
        <v>162374.18</v>
      </c>
      <c r="E29" s="25">
        <f>SUM(B29,C29*C$2,D29*D$2)</f>
        <v>61882468.840700001</v>
      </c>
    </row>
    <row r="32" spans="1:12" x14ac:dyDescent="0.3">
      <c r="D32" s="4"/>
    </row>
    <row r="33" spans="2:4" x14ac:dyDescent="0.3">
      <c r="B33" s="4">
        <f>B29</f>
        <v>39157016.420000002</v>
      </c>
      <c r="C33" s="4">
        <f>C29*C2</f>
        <v>7491506.853099999</v>
      </c>
      <c r="D33" s="4">
        <f>D29*D2</f>
        <v>15233945.567599999</v>
      </c>
    </row>
    <row r="34" spans="2:4" x14ac:dyDescent="0.3">
      <c r="D34" s="4"/>
    </row>
    <row r="35" spans="2:4" x14ac:dyDescent="0.3">
      <c r="D35" s="4"/>
    </row>
    <row r="36" spans="2:4" x14ac:dyDescent="0.3">
      <c r="D36" s="4"/>
    </row>
    <row r="37" spans="2:4" x14ac:dyDescent="0.3">
      <c r="D3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Valn</vt:lpstr>
      <vt:lpstr>PL</vt:lpstr>
      <vt:lpstr>Sheet1</vt:lpstr>
      <vt:lpstr>Expenses Analysis</vt:lpstr>
      <vt:lpstr>Professional Fees</vt:lpstr>
      <vt:lpstr>BS</vt:lpstr>
      <vt:lpstr>FA</vt:lpstr>
      <vt:lpstr>COE</vt:lpstr>
      <vt:lpstr>Graph</vt:lpstr>
      <vt:lpstr>India  SIngapore 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Ms. MORE PRIYA ATMARAM MM2224266</cp:lastModifiedBy>
  <cp:lastPrinted>2020-05-18T10:18:12Z</cp:lastPrinted>
  <dcterms:created xsi:type="dcterms:W3CDTF">2020-05-07T10:59:25Z</dcterms:created>
  <dcterms:modified xsi:type="dcterms:W3CDTF">2023-10-21T13:30:35Z</dcterms:modified>
</cp:coreProperties>
</file>