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923" documentId="11_32F529B52D6BE98CFA6CB7C5EF4E847091985DFA" xr6:coauthVersionLast="47" xr6:coauthVersionMax="47" xr10:uidLastSave="{8CAA763C-F367-446B-836E-E763BDA5FB12}"/>
  <bookViews>
    <workbookView xWindow="5100" yWindow="3920" windowWidth="28800" windowHeight="15460" activeTab="2" xr2:uid="{00000000-000D-0000-FFFF-FFFF00000000}"/>
  </bookViews>
  <sheets>
    <sheet name="Main" sheetId="1" r:id="rId1"/>
    <sheet name="Info" sheetId="2" r:id="rId2"/>
    <sheet name="Competition" sheetId="9" r:id="rId3"/>
    <sheet name="Model" sheetId="3" r:id="rId4"/>
    <sheet name="Missions" sheetId="4" r:id="rId5"/>
    <sheet name="Summary" sheetId="5" r:id="rId6"/>
    <sheet name="Income Statement" sheetId="6" r:id="rId7"/>
    <sheet name="Balance Sheet" sheetId="7" r:id="rId8"/>
    <sheet name="Cash Flow"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4" i="9" l="1"/>
  <c r="B88" i="9"/>
  <c r="D70" i="9"/>
  <c r="B70" i="9"/>
  <c r="B54" i="9"/>
  <c r="B35" i="9"/>
  <c r="B18" i="9"/>
  <c r="B144" i="2"/>
  <c r="B128" i="2"/>
  <c r="B109" i="2"/>
  <c r="B92" i="2"/>
  <c r="AI22" i="3"/>
  <c r="AJ22" i="3"/>
  <c r="AJ23" i="3" s="1"/>
  <c r="AK22" i="3"/>
  <c r="AL22" i="3"/>
  <c r="AM22" i="3"/>
  <c r="AM23" i="3" s="1"/>
  <c r="AN22" i="3"/>
  <c r="AO22" i="3"/>
  <c r="AP22" i="3"/>
  <c r="AP23" i="3" s="1"/>
  <c r="AQ22" i="3"/>
  <c r="AQ23" i="3" s="1"/>
  <c r="AR22" i="3"/>
  <c r="AR23" i="3" s="1"/>
  <c r="AO23" i="3"/>
  <c r="AI21" i="3"/>
  <c r="AI23" i="3" s="1"/>
  <c r="AJ21" i="3"/>
  <c r="AK21" i="3"/>
  <c r="AK23" i="3" s="1"/>
  <c r="AL21" i="3"/>
  <c r="AM21" i="3"/>
  <c r="AN21" i="3"/>
  <c r="AO21" i="3"/>
  <c r="AP21" i="3"/>
  <c r="AQ21" i="3"/>
  <c r="AR21" i="3"/>
  <c r="AB12" i="3"/>
  <c r="AC12" i="3"/>
  <c r="AD12" i="3"/>
  <c r="AE12" i="3"/>
  <c r="AF12" i="3"/>
  <c r="AG12" i="3"/>
  <c r="AI12" i="3"/>
  <c r="AJ12" i="3"/>
  <c r="AK12" i="3"/>
  <c r="AL12" i="3"/>
  <c r="AM12" i="3"/>
  <c r="AN12" i="3"/>
  <c r="AO12" i="3"/>
  <c r="AP12" i="3"/>
  <c r="AQ12" i="3"/>
  <c r="AR12" i="3"/>
  <c r="AA12" i="3"/>
  <c r="R39" i="3"/>
  <c r="S39" i="3"/>
  <c r="T39" i="3"/>
  <c r="U39" i="3"/>
  <c r="R23" i="3"/>
  <c r="R48" i="3" s="1"/>
  <c r="S23" i="3"/>
  <c r="T23" i="3"/>
  <c r="U23" i="3"/>
  <c r="N169" i="3"/>
  <c r="L169" i="3"/>
  <c r="N168" i="3"/>
  <c r="L168" i="3"/>
  <c r="L167" i="3"/>
  <c r="M167" i="3" s="1"/>
  <c r="N167" i="3" s="1"/>
  <c r="N166" i="3"/>
  <c r="L166" i="3"/>
  <c r="R169" i="3"/>
  <c r="R168" i="3"/>
  <c r="R166" i="3"/>
  <c r="P169" i="3"/>
  <c r="P168" i="3"/>
  <c r="P167" i="3"/>
  <c r="Q167" i="3" s="1"/>
  <c r="R167" i="3" s="1"/>
  <c r="P166" i="3"/>
  <c r="L163" i="3"/>
  <c r="L162" i="3"/>
  <c r="S164" i="3"/>
  <c r="T164" i="3"/>
  <c r="U164" i="3"/>
  <c r="P163" i="3"/>
  <c r="P162" i="3"/>
  <c r="T146" i="3"/>
  <c r="U146" i="3"/>
  <c r="R154" i="3"/>
  <c r="S154" i="3"/>
  <c r="T154" i="3"/>
  <c r="U154" i="3"/>
  <c r="M157" i="3"/>
  <c r="Q157" i="3"/>
  <c r="M153" i="3"/>
  <c r="M163" i="3" s="1"/>
  <c r="M152" i="3"/>
  <c r="M162" i="3" s="1"/>
  <c r="Q153" i="3"/>
  <c r="Q163" i="3" s="1"/>
  <c r="Q152" i="3"/>
  <c r="Q162" i="3" s="1"/>
  <c r="S85" i="3"/>
  <c r="T85" i="3"/>
  <c r="U85" i="3"/>
  <c r="S86" i="3"/>
  <c r="T86" i="3"/>
  <c r="U86" i="3"/>
  <c r="R133" i="3"/>
  <c r="S133" i="3"/>
  <c r="T133" i="3"/>
  <c r="U133" i="3"/>
  <c r="R123" i="3"/>
  <c r="S123" i="3"/>
  <c r="T123" i="3"/>
  <c r="U123" i="3"/>
  <c r="S114" i="3"/>
  <c r="S115" i="3" s="1"/>
  <c r="T114" i="3"/>
  <c r="T115" i="3" s="1"/>
  <c r="U114" i="3"/>
  <c r="U115" i="3" s="1"/>
  <c r="R100" i="3"/>
  <c r="R101" i="3" s="1"/>
  <c r="AJ183" i="3"/>
  <c r="AK183" i="3"/>
  <c r="AL183" i="3"/>
  <c r="AM183" i="3"/>
  <c r="AN183" i="3"/>
  <c r="AK184" i="3"/>
  <c r="AL184" i="3"/>
  <c r="AM184" i="3"/>
  <c r="AN184" i="3"/>
  <c r="AH183" i="3"/>
  <c r="AG183" i="3"/>
  <c r="AI183" i="3"/>
  <c r="AJ154" i="3"/>
  <c r="AK154" i="3"/>
  <c r="AL154" i="3"/>
  <c r="AM154" i="3"/>
  <c r="AN154" i="3"/>
  <c r="AJ146" i="3"/>
  <c r="AK146" i="3"/>
  <c r="AL146" i="3"/>
  <c r="AM146" i="3"/>
  <c r="AN146" i="3"/>
  <c r="AJ133" i="3"/>
  <c r="AK133" i="3"/>
  <c r="AL133" i="3"/>
  <c r="AM133" i="3"/>
  <c r="AN133" i="3"/>
  <c r="AJ123" i="3"/>
  <c r="AK123" i="3"/>
  <c r="AL123" i="3"/>
  <c r="AM123" i="3"/>
  <c r="AN123" i="3"/>
  <c r="AH114" i="3"/>
  <c r="AI114" i="3"/>
  <c r="AJ114" i="3"/>
  <c r="AK114" i="3"/>
  <c r="AL114" i="3"/>
  <c r="AM114" i="3"/>
  <c r="AN114" i="3"/>
  <c r="AG114" i="3"/>
  <c r="AH176" i="3"/>
  <c r="AH175" i="3" s="1"/>
  <c r="AG176" i="3"/>
  <c r="AG175" i="3" s="1"/>
  <c r="AI176" i="3"/>
  <c r="AI175" i="3" s="1"/>
  <c r="Q39" i="3"/>
  <c r="Q23" i="3"/>
  <c r="Q48" i="3" s="1"/>
  <c r="Q191" i="3"/>
  <c r="Q190" i="3"/>
  <c r="R146" i="3"/>
  <c r="S146" i="3"/>
  <c r="Q146" i="3"/>
  <c r="Q133" i="3"/>
  <c r="Q114" i="3"/>
  <c r="R114" i="3"/>
  <c r="Q100" i="3"/>
  <c r="Q101" i="3" s="1"/>
  <c r="P39" i="3"/>
  <c r="P23" i="3"/>
  <c r="P49" i="3" s="1"/>
  <c r="P154" i="3"/>
  <c r="P146" i="3"/>
  <c r="P133" i="3"/>
  <c r="P123" i="3"/>
  <c r="Q123" i="3"/>
  <c r="K114" i="3"/>
  <c r="J114" i="3"/>
  <c r="M114" i="3"/>
  <c r="N114" i="3"/>
  <c r="L114" i="3"/>
  <c r="P114" i="3"/>
  <c r="P100" i="3"/>
  <c r="P101" i="3" s="1"/>
  <c r="B31" i="6"/>
  <c r="AC204" i="3"/>
  <c r="AC203" i="3"/>
  <c r="AC202" i="3"/>
  <c r="AC199" i="3"/>
  <c r="AC198" i="3"/>
  <c r="AC197" i="3"/>
  <c r="AI191" i="3"/>
  <c r="AH191" i="3"/>
  <c r="AG191" i="3"/>
  <c r="N191" i="3"/>
  <c r="M191" i="3"/>
  <c r="L191" i="3"/>
  <c r="J191" i="3"/>
  <c r="I191" i="3"/>
  <c r="H191" i="3"/>
  <c r="G191" i="3"/>
  <c r="F191" i="3"/>
  <c r="AI190" i="3"/>
  <c r="AH190" i="3"/>
  <c r="AG190" i="3"/>
  <c r="N190" i="3"/>
  <c r="M190" i="3"/>
  <c r="L190" i="3"/>
  <c r="J190" i="3"/>
  <c r="I190" i="3"/>
  <c r="H190" i="3"/>
  <c r="G190" i="3"/>
  <c r="F190" i="3"/>
  <c r="AI154" i="3"/>
  <c r="AH154" i="3"/>
  <c r="AG154" i="3"/>
  <c r="AG185" i="3" s="1"/>
  <c r="N154" i="3"/>
  <c r="L154" i="3"/>
  <c r="K154" i="3"/>
  <c r="J154" i="3"/>
  <c r="I154" i="3"/>
  <c r="H154" i="3"/>
  <c r="G154" i="3"/>
  <c r="F154" i="3"/>
  <c r="AI146" i="3"/>
  <c r="AH146" i="3"/>
  <c r="AG146" i="3"/>
  <c r="N146" i="3"/>
  <c r="M146" i="3"/>
  <c r="L146" i="3"/>
  <c r="K146" i="3"/>
  <c r="J146" i="3"/>
  <c r="I146" i="3"/>
  <c r="H146" i="3"/>
  <c r="G146" i="3"/>
  <c r="F146" i="3"/>
  <c r="O145" i="3"/>
  <c r="O144" i="3"/>
  <c r="O143" i="3"/>
  <c r="O142" i="3"/>
  <c r="AG141" i="3"/>
  <c r="O141" i="3"/>
  <c r="O140" i="3"/>
  <c r="O139" i="3"/>
  <c r="O138" i="3"/>
  <c r="O137" i="3"/>
  <c r="O136" i="3"/>
  <c r="AI133" i="3"/>
  <c r="AH133" i="3"/>
  <c r="AG133" i="3"/>
  <c r="N133" i="3"/>
  <c r="M133" i="3"/>
  <c r="L133" i="3"/>
  <c r="K133" i="3"/>
  <c r="J133" i="3"/>
  <c r="I133" i="3"/>
  <c r="H133" i="3"/>
  <c r="G133" i="3"/>
  <c r="F133" i="3"/>
  <c r="O132" i="3"/>
  <c r="O131" i="3"/>
  <c r="O129" i="3"/>
  <c r="O128" i="3"/>
  <c r="O127" i="3"/>
  <c r="O126" i="3"/>
  <c r="AI123" i="3"/>
  <c r="AH123" i="3"/>
  <c r="AG123" i="3"/>
  <c r="N123" i="3"/>
  <c r="M123" i="3"/>
  <c r="L123" i="3"/>
  <c r="K123" i="3"/>
  <c r="J123" i="3"/>
  <c r="I123" i="3"/>
  <c r="H123" i="3"/>
  <c r="G123" i="3"/>
  <c r="F123" i="3"/>
  <c r="O122" i="3"/>
  <c r="O121" i="3"/>
  <c r="O120" i="3"/>
  <c r="O119" i="3"/>
  <c r="O118" i="3"/>
  <c r="O117" i="3"/>
  <c r="O113" i="3"/>
  <c r="O112" i="3"/>
  <c r="O111" i="3"/>
  <c r="O110" i="3"/>
  <c r="O109" i="3"/>
  <c r="O108" i="3"/>
  <c r="O107" i="3"/>
  <c r="O106" i="3"/>
  <c r="O105" i="3"/>
  <c r="O104" i="3"/>
  <c r="O103" i="3"/>
  <c r="AN101" i="3"/>
  <c r="AM101" i="3"/>
  <c r="AL101" i="3"/>
  <c r="AK101" i="3"/>
  <c r="AJ101" i="3"/>
  <c r="AI101" i="3"/>
  <c r="AH101" i="3"/>
  <c r="AG101" i="3"/>
  <c r="AC101" i="3"/>
  <c r="AC115" i="3" s="1"/>
  <c r="AB101" i="3"/>
  <c r="AB115" i="3" s="1"/>
  <c r="AA101" i="3"/>
  <c r="AA115" i="3" s="1"/>
  <c r="Z101" i="3"/>
  <c r="Z115" i="3" s="1"/>
  <c r="N101" i="3"/>
  <c r="M101" i="3"/>
  <c r="L101" i="3"/>
  <c r="K101" i="3"/>
  <c r="J101" i="3"/>
  <c r="I101" i="3"/>
  <c r="H101" i="3"/>
  <c r="G101" i="3"/>
  <c r="F101" i="3"/>
  <c r="F115" i="3" s="1"/>
  <c r="O100" i="3"/>
  <c r="O99" i="3"/>
  <c r="O98" i="3"/>
  <c r="O97" i="3"/>
  <c r="O96" i="3"/>
  <c r="O95" i="3"/>
  <c r="K76" i="3"/>
  <c r="K190" i="3" s="1"/>
  <c r="O73" i="3"/>
  <c r="K73" i="3"/>
  <c r="O72" i="3"/>
  <c r="K72" i="3"/>
  <c r="O70" i="3"/>
  <c r="K70" i="3"/>
  <c r="G70" i="3"/>
  <c r="O68" i="3"/>
  <c r="K68" i="3"/>
  <c r="G68" i="3"/>
  <c r="O67" i="3"/>
  <c r="K67" i="3"/>
  <c r="G67" i="3"/>
  <c r="O66" i="3"/>
  <c r="K66" i="3"/>
  <c r="G66" i="3"/>
  <c r="O65" i="3"/>
  <c r="K65" i="3"/>
  <c r="G65" i="3"/>
  <c r="AI63" i="3"/>
  <c r="AH63" i="3"/>
  <c r="AG63" i="3"/>
  <c r="R63" i="3"/>
  <c r="Q63" i="3"/>
  <c r="P63" i="3"/>
  <c r="N63" i="3"/>
  <c r="M63" i="3"/>
  <c r="L63" i="3"/>
  <c r="J63" i="3"/>
  <c r="I63" i="3"/>
  <c r="H63" i="3"/>
  <c r="F63" i="3"/>
  <c r="O62" i="3"/>
  <c r="K62" i="3"/>
  <c r="G62" i="3"/>
  <c r="O61" i="3"/>
  <c r="K61" i="3"/>
  <c r="G61" i="3"/>
  <c r="AI59" i="3"/>
  <c r="AI79" i="3" s="1"/>
  <c r="AH59" i="3"/>
  <c r="AH79" i="3" s="1"/>
  <c r="AG59" i="3"/>
  <c r="AG79" i="3" s="1"/>
  <c r="R59" i="3"/>
  <c r="R79" i="3" s="1"/>
  <c r="Q59" i="3"/>
  <c r="Q79" i="3" s="1"/>
  <c r="P59" i="3"/>
  <c r="P80" i="3" s="1"/>
  <c r="N59" i="3"/>
  <c r="N79" i="3" s="1"/>
  <c r="M59" i="3"/>
  <c r="M79" i="3" s="1"/>
  <c r="L59" i="3"/>
  <c r="L79" i="3" s="1"/>
  <c r="J59" i="3"/>
  <c r="J85" i="3" s="1"/>
  <c r="I59" i="3"/>
  <c r="I79" i="3" s="1"/>
  <c r="H59" i="3"/>
  <c r="H85" i="3" s="1"/>
  <c r="F59" i="3"/>
  <c r="O58" i="3"/>
  <c r="K58" i="3"/>
  <c r="G58" i="3"/>
  <c r="O57" i="3"/>
  <c r="K57" i="3"/>
  <c r="G57" i="3"/>
  <c r="K56" i="3"/>
  <c r="AR49" i="3"/>
  <c r="AQ49" i="3"/>
  <c r="AP49" i="3"/>
  <c r="AO49" i="3"/>
  <c r="AN49" i="3"/>
  <c r="AM49" i="3"/>
  <c r="AL49" i="3"/>
  <c r="AK49" i="3"/>
  <c r="AJ49" i="3"/>
  <c r="G49" i="3"/>
  <c r="F49" i="3"/>
  <c r="AR48" i="3"/>
  <c r="AR50" i="3" s="1"/>
  <c r="AQ48" i="3"/>
  <c r="AQ50" i="3" s="1"/>
  <c r="AP48" i="3"/>
  <c r="AP50" i="3" s="1"/>
  <c r="AO48" i="3"/>
  <c r="AO50" i="3" s="1"/>
  <c r="AN48" i="3"/>
  <c r="AN50" i="3" s="1"/>
  <c r="AM48" i="3"/>
  <c r="AM50" i="3" s="1"/>
  <c r="AL48" i="3"/>
  <c r="AL50" i="3" s="1"/>
  <c r="AK48" i="3"/>
  <c r="AK50" i="3" s="1"/>
  <c r="AJ48" i="3"/>
  <c r="AJ50" i="3" s="1"/>
  <c r="G48" i="3"/>
  <c r="G50" i="3" s="1"/>
  <c r="F48" i="3"/>
  <c r="F50" i="3" s="1"/>
  <c r="AR46" i="3"/>
  <c r="AR52" i="3" s="1"/>
  <c r="AR54" i="3" s="1"/>
  <c r="AQ46" i="3"/>
  <c r="AQ52" i="3" s="1"/>
  <c r="AQ54" i="3" s="1"/>
  <c r="AP46" i="3"/>
  <c r="AP52" i="3" s="1"/>
  <c r="AP54" i="3" s="1"/>
  <c r="AO46" i="3"/>
  <c r="AO52" i="3" s="1"/>
  <c r="AO54" i="3" s="1"/>
  <c r="AN46" i="3"/>
  <c r="AN52" i="3" s="1"/>
  <c r="AN54" i="3" s="1"/>
  <c r="AM46" i="3"/>
  <c r="AM52" i="3" s="1"/>
  <c r="AM54" i="3" s="1"/>
  <c r="AL46" i="3"/>
  <c r="AL52" i="3" s="1"/>
  <c r="AL54" i="3" s="1"/>
  <c r="AK46" i="3"/>
  <c r="AK53" i="3" s="1"/>
  <c r="AJ46" i="3"/>
  <c r="AJ52" i="3" s="1"/>
  <c r="AJ54" i="3" s="1"/>
  <c r="AI45" i="3"/>
  <c r="AH45" i="3"/>
  <c r="AG45" i="3"/>
  <c r="R45" i="3"/>
  <c r="Q45" i="3"/>
  <c r="P45" i="3"/>
  <c r="N45" i="3"/>
  <c r="M45" i="3"/>
  <c r="L45" i="3"/>
  <c r="J45" i="3"/>
  <c r="I45" i="3"/>
  <c r="H45" i="3"/>
  <c r="G45" i="3"/>
  <c r="F45" i="3"/>
  <c r="AI44" i="3"/>
  <c r="AH44" i="3"/>
  <c r="AG44" i="3"/>
  <c r="R44" i="3"/>
  <c r="Q44" i="3"/>
  <c r="P44" i="3"/>
  <c r="N44" i="3"/>
  <c r="M44" i="3"/>
  <c r="L44" i="3"/>
  <c r="J44" i="3"/>
  <c r="I44" i="3"/>
  <c r="H44" i="3"/>
  <c r="G44" i="3"/>
  <c r="F44" i="3"/>
  <c r="AH39" i="3"/>
  <c r="AH48" i="3" s="1"/>
  <c r="AG39" i="3"/>
  <c r="AG49" i="3" s="1"/>
  <c r="N39" i="3"/>
  <c r="N49" i="3" s="1"/>
  <c r="M39" i="3"/>
  <c r="M49" i="3" s="1"/>
  <c r="L39" i="3"/>
  <c r="L49" i="3" s="1"/>
  <c r="J39" i="3"/>
  <c r="J49" i="3" s="1"/>
  <c r="I39" i="3"/>
  <c r="I48" i="3" s="1"/>
  <c r="H39" i="3"/>
  <c r="H48" i="3" s="1"/>
  <c r="AR37" i="3"/>
  <c r="AR38" i="3" s="1"/>
  <c r="AQ37" i="3"/>
  <c r="AQ38" i="3" s="1"/>
  <c r="AP37" i="3"/>
  <c r="AP38" i="3" s="1"/>
  <c r="AO37" i="3"/>
  <c r="AO38" i="3" s="1"/>
  <c r="AN37" i="3"/>
  <c r="AN38" i="3" s="1"/>
  <c r="AM37" i="3"/>
  <c r="AM38" i="3" s="1"/>
  <c r="AL37" i="3"/>
  <c r="AL38" i="3" s="1"/>
  <c r="AK37" i="3"/>
  <c r="AK38" i="3" s="1"/>
  <c r="AJ37" i="3"/>
  <c r="AJ38" i="3" s="1"/>
  <c r="AH37" i="3"/>
  <c r="AH38" i="3" s="1"/>
  <c r="AG37" i="3"/>
  <c r="AG38" i="3" s="1"/>
  <c r="R37" i="3"/>
  <c r="R38" i="3" s="1"/>
  <c r="Q37" i="3"/>
  <c r="Q38" i="3" s="1"/>
  <c r="P37" i="3"/>
  <c r="P38" i="3" s="1"/>
  <c r="N37" i="3"/>
  <c r="N38" i="3" s="1"/>
  <c r="M37" i="3"/>
  <c r="M38" i="3" s="1"/>
  <c r="L37" i="3"/>
  <c r="L38" i="3" s="1"/>
  <c r="J37" i="3"/>
  <c r="I37" i="3"/>
  <c r="I38" i="3" s="1"/>
  <c r="H37" i="3"/>
  <c r="H38" i="3" s="1"/>
  <c r="G37" i="3"/>
  <c r="G38" i="3" s="1"/>
  <c r="F37" i="3"/>
  <c r="F38" i="3" s="1"/>
  <c r="O36" i="3"/>
  <c r="K36" i="3"/>
  <c r="AI35" i="3"/>
  <c r="AI37" i="3" s="1"/>
  <c r="AI38" i="3" s="1"/>
  <c r="K35" i="3"/>
  <c r="AR30" i="3"/>
  <c r="AR31" i="3" s="1"/>
  <c r="AQ30" i="3"/>
  <c r="AQ31" i="3" s="1"/>
  <c r="AP30" i="3"/>
  <c r="AP31" i="3" s="1"/>
  <c r="AO30" i="3"/>
  <c r="AO31" i="3" s="1"/>
  <c r="AN30" i="3"/>
  <c r="AN31" i="3" s="1"/>
  <c r="AM30" i="3"/>
  <c r="AM31" i="3" s="1"/>
  <c r="AL30" i="3"/>
  <c r="AL31" i="3" s="1"/>
  <c r="AK30" i="3"/>
  <c r="AK31" i="3" s="1"/>
  <c r="AJ30" i="3"/>
  <c r="AJ31" i="3" s="1"/>
  <c r="AH30" i="3"/>
  <c r="AH31" i="3" s="1"/>
  <c r="AG30" i="3"/>
  <c r="AG31" i="3" s="1"/>
  <c r="R30" i="3"/>
  <c r="R31" i="3" s="1"/>
  <c r="Q30" i="3"/>
  <c r="Q31" i="3" s="1"/>
  <c r="P30" i="3"/>
  <c r="P31" i="3" s="1"/>
  <c r="N30" i="3"/>
  <c r="N31" i="3" s="1"/>
  <c r="M30" i="3"/>
  <c r="M31" i="3" s="1"/>
  <c r="L30" i="3"/>
  <c r="L31" i="3" s="1"/>
  <c r="J30" i="3"/>
  <c r="J31" i="3" s="1"/>
  <c r="I30" i="3"/>
  <c r="I31" i="3" s="1"/>
  <c r="H30" i="3"/>
  <c r="H31" i="3" s="1"/>
  <c r="G30" i="3"/>
  <c r="G31" i="3" s="1"/>
  <c r="F30" i="3"/>
  <c r="F31" i="3" s="1"/>
  <c r="O29" i="3"/>
  <c r="K29" i="3"/>
  <c r="AI28" i="3"/>
  <c r="O28" i="3" s="1"/>
  <c r="K28" i="3"/>
  <c r="K44" i="3" s="1"/>
  <c r="N23" i="3"/>
  <c r="M23" i="3"/>
  <c r="L23" i="3"/>
  <c r="J23" i="3"/>
  <c r="I23" i="3"/>
  <c r="H23" i="3"/>
  <c r="F23" i="3"/>
  <c r="AH22" i="3"/>
  <c r="K22" i="3" s="1"/>
  <c r="AG22" i="3"/>
  <c r="AH21" i="3"/>
  <c r="K21" i="3" s="1"/>
  <c r="AG21" i="3"/>
  <c r="G21" i="3"/>
  <c r="G23" i="3" s="1"/>
  <c r="AJ3" i="3"/>
  <c r="AK3" i="3" s="1"/>
  <c r="AL3" i="3" s="1"/>
  <c r="AM3" i="3" s="1"/>
  <c r="AN3" i="3" s="1"/>
  <c r="AO3" i="3" s="1"/>
  <c r="AP3" i="3" s="1"/>
  <c r="AQ3" i="3" s="1"/>
  <c r="AR3" i="3" s="1"/>
  <c r="AF3" i="3"/>
  <c r="AE3" i="3" s="1"/>
  <c r="AD3" i="3" s="1"/>
  <c r="AC3" i="3" s="1"/>
  <c r="AB3" i="3" s="1"/>
  <c r="B6" i="1"/>
  <c r="B5" i="1"/>
  <c r="B3" i="1" a="1"/>
  <c r="B3" i="1" s="1"/>
  <c r="B2" i="1" a="1"/>
  <c r="B2" i="1" s="1"/>
  <c r="B4" i="1" s="1"/>
  <c r="B7" i="1" s="1"/>
  <c r="B8" i="1" s="1"/>
  <c r="AN23" i="3" l="1"/>
  <c r="AL23" i="3"/>
  <c r="M164" i="3"/>
  <c r="Q164" i="3"/>
  <c r="R163" i="3"/>
  <c r="L164" i="3"/>
  <c r="P164" i="3"/>
  <c r="R162" i="3"/>
  <c r="N163" i="3"/>
  <c r="S134" i="3"/>
  <c r="S147" i="3" s="1"/>
  <c r="R134" i="3"/>
  <c r="R147" i="3" s="1"/>
  <c r="R49" i="3"/>
  <c r="R50" i="3" s="1"/>
  <c r="N162" i="3"/>
  <c r="N164" i="3" s="1"/>
  <c r="AL185" i="3"/>
  <c r="U134" i="3"/>
  <c r="U147" i="3" s="1"/>
  <c r="T134" i="3"/>
  <c r="T147" i="3" s="1"/>
  <c r="AM185" i="3"/>
  <c r="Q85" i="3"/>
  <c r="AH185" i="3"/>
  <c r="R85" i="3"/>
  <c r="N115" i="3"/>
  <c r="AN185" i="3"/>
  <c r="AK115" i="3"/>
  <c r="AJ185" i="3"/>
  <c r="AG115" i="3"/>
  <c r="AI185" i="3"/>
  <c r="M115" i="3"/>
  <c r="AK185" i="3"/>
  <c r="P85" i="3"/>
  <c r="AJ115" i="3"/>
  <c r="AJ134" i="3"/>
  <c r="AJ147" i="3" s="1"/>
  <c r="AI115" i="3"/>
  <c r="AH115" i="3"/>
  <c r="AN134" i="3"/>
  <c r="AN147" i="3" s="1"/>
  <c r="AL115" i="3"/>
  <c r="AM115" i="3"/>
  <c r="AL134" i="3"/>
  <c r="AL147" i="3" s="1"/>
  <c r="AN115" i="3"/>
  <c r="AK134" i="3"/>
  <c r="AK147" i="3" s="1"/>
  <c r="AH180" i="3"/>
  <c r="AH179" i="3"/>
  <c r="AH177" i="3"/>
  <c r="AG180" i="3"/>
  <c r="AG179" i="3"/>
  <c r="AG177" i="3"/>
  <c r="AI180" i="3"/>
  <c r="AI179" i="3"/>
  <c r="AI177" i="3"/>
  <c r="Q154" i="3"/>
  <c r="Q49" i="3"/>
  <c r="Q50" i="3" s="1"/>
  <c r="P79" i="3"/>
  <c r="AM134" i="3"/>
  <c r="AM147" i="3" s="1"/>
  <c r="R80" i="3"/>
  <c r="Q149" i="3"/>
  <c r="R115" i="3"/>
  <c r="G134" i="3"/>
  <c r="G147" i="3" s="1"/>
  <c r="Q134" i="3"/>
  <c r="Q147" i="3" s="1"/>
  <c r="P115" i="3"/>
  <c r="P149" i="3"/>
  <c r="M154" i="3"/>
  <c r="Q115" i="3"/>
  <c r="Q80" i="3"/>
  <c r="P48" i="3"/>
  <c r="P50" i="3" s="1"/>
  <c r="O101" i="3"/>
  <c r="O114" i="3"/>
  <c r="L48" i="3"/>
  <c r="L50" i="3" s="1"/>
  <c r="AG149" i="3"/>
  <c r="M134" i="3"/>
  <c r="M147" i="3" s="1"/>
  <c r="J115" i="3"/>
  <c r="K115" i="3"/>
  <c r="L115" i="3"/>
  <c r="AH149" i="3"/>
  <c r="N134" i="3"/>
  <c r="N147" i="3" s="1"/>
  <c r="P134" i="3"/>
  <c r="P147" i="3" s="1"/>
  <c r="AI149" i="3"/>
  <c r="F64" i="3"/>
  <c r="F69" i="3" s="1"/>
  <c r="F71" i="3" s="1"/>
  <c r="F74" i="3" s="1"/>
  <c r="F75" i="3" s="1"/>
  <c r="AG64" i="3"/>
  <c r="AG69" i="3" s="1"/>
  <c r="AG71" i="3" s="1"/>
  <c r="AG74" i="3" s="1"/>
  <c r="I134" i="3"/>
  <c r="I147" i="3" s="1"/>
  <c r="K39" i="3"/>
  <c r="K48" i="3" s="1"/>
  <c r="O35" i="3"/>
  <c r="O39" i="3" s="1"/>
  <c r="O48" i="3" s="1"/>
  <c r="G149" i="3"/>
  <c r="J134" i="3"/>
  <c r="J147" i="3" s="1"/>
  <c r="O146" i="3"/>
  <c r="F80" i="3"/>
  <c r="I64" i="3"/>
  <c r="I69" i="3" s="1"/>
  <c r="I71" i="3" s="1"/>
  <c r="I86" i="3" s="1"/>
  <c r="H80" i="3"/>
  <c r="I149" i="3"/>
  <c r="AI46" i="3"/>
  <c r="AI53" i="3" s="1"/>
  <c r="O59" i="3"/>
  <c r="O79" i="3" s="1"/>
  <c r="I85" i="3"/>
  <c r="J149" i="3"/>
  <c r="H64" i="3"/>
  <c r="H69" i="3" s="1"/>
  <c r="H71" i="3" s="1"/>
  <c r="AL53" i="3"/>
  <c r="K149" i="3"/>
  <c r="O123" i="3"/>
  <c r="L149" i="3"/>
  <c r="AH46" i="3"/>
  <c r="AH53" i="3" s="1"/>
  <c r="R64" i="3"/>
  <c r="R69" i="3" s="1"/>
  <c r="R71" i="3" s="1"/>
  <c r="N64" i="3"/>
  <c r="N69" i="3" s="1"/>
  <c r="N71" i="3" s="1"/>
  <c r="N86" i="3" s="1"/>
  <c r="H149" i="3"/>
  <c r="AG23" i="3"/>
  <c r="J48" i="3"/>
  <c r="J50" i="3" s="1"/>
  <c r="G115" i="3"/>
  <c r="H115" i="3"/>
  <c r="Q46" i="3"/>
  <c r="Q52" i="3" s="1"/>
  <c r="I115" i="3"/>
  <c r="F134" i="3"/>
  <c r="F147" i="3" s="1"/>
  <c r="R46" i="3"/>
  <c r="R53" i="3" s="1"/>
  <c r="P64" i="3"/>
  <c r="P69" i="3" s="1"/>
  <c r="P71" i="3" s="1"/>
  <c r="AG46" i="3"/>
  <c r="AG52" i="3" s="1"/>
  <c r="K59" i="3"/>
  <c r="K85" i="3" s="1"/>
  <c r="Q64" i="3"/>
  <c r="Q69" i="3" s="1"/>
  <c r="Q71" i="3" s="1"/>
  <c r="M149" i="3"/>
  <c r="K134" i="3"/>
  <c r="K147" i="3" s="1"/>
  <c r="H134" i="3"/>
  <c r="H147" i="3" s="1"/>
  <c r="N149" i="3"/>
  <c r="K37" i="3"/>
  <c r="K38" i="3" s="1"/>
  <c r="AI39" i="3"/>
  <c r="AI48" i="3" s="1"/>
  <c r="L134" i="3"/>
  <c r="L147" i="3" s="1"/>
  <c r="AG134" i="3"/>
  <c r="AG147" i="3" s="1"/>
  <c r="G59" i="3"/>
  <c r="G85" i="3" s="1"/>
  <c r="J38" i="3"/>
  <c r="G63" i="3"/>
  <c r="O133" i="3"/>
  <c r="AH134" i="3"/>
  <c r="AH147" i="3" s="1"/>
  <c r="AI30" i="3"/>
  <c r="AI31" i="3" s="1"/>
  <c r="AJ53" i="3"/>
  <c r="J79" i="3"/>
  <c r="AI134" i="3"/>
  <c r="AI147" i="3" s="1"/>
  <c r="O44" i="3"/>
  <c r="O30" i="3"/>
  <c r="O31" i="3" s="1"/>
  <c r="F46" i="3"/>
  <c r="F53" i="3" s="1"/>
  <c r="M48" i="3"/>
  <c r="M50" i="3" s="1"/>
  <c r="AH49" i="3"/>
  <c r="AH50" i="3" s="1"/>
  <c r="AM53" i="3"/>
  <c r="J64" i="3"/>
  <c r="J69" i="3" s="1"/>
  <c r="J71" i="3" s="1"/>
  <c r="F79" i="3"/>
  <c r="I80" i="3"/>
  <c r="L85" i="3"/>
  <c r="K30" i="3"/>
  <c r="K31" i="3" s="1"/>
  <c r="G46" i="3"/>
  <c r="G53" i="3" s="1"/>
  <c r="N48" i="3"/>
  <c r="N50" i="3" s="1"/>
  <c r="AN53" i="3"/>
  <c r="K63" i="3"/>
  <c r="J80" i="3"/>
  <c r="M85" i="3"/>
  <c r="H46" i="3"/>
  <c r="H53" i="3" s="1"/>
  <c r="AO53" i="3"/>
  <c r="L64" i="3"/>
  <c r="L69" i="3" s="1"/>
  <c r="L71" i="3" s="1"/>
  <c r="H79" i="3"/>
  <c r="N85" i="3"/>
  <c r="K191" i="3"/>
  <c r="I46" i="3"/>
  <c r="I52" i="3" s="1"/>
  <c r="AP53" i="3"/>
  <c r="M64" i="3"/>
  <c r="M69" i="3" s="1"/>
  <c r="M71" i="3" s="1"/>
  <c r="L80" i="3"/>
  <c r="J46" i="3"/>
  <c r="J53" i="3" s="1"/>
  <c r="H49" i="3"/>
  <c r="H50" i="3" s="1"/>
  <c r="AQ53" i="3"/>
  <c r="M80" i="3"/>
  <c r="K45" i="3"/>
  <c r="K46" i="3" s="1"/>
  <c r="K52" i="3" s="1"/>
  <c r="I49" i="3"/>
  <c r="I50" i="3" s="1"/>
  <c r="AK52" i="3"/>
  <c r="AK54" i="3" s="1"/>
  <c r="AR53" i="3"/>
  <c r="O63" i="3"/>
  <c r="N80" i="3"/>
  <c r="AH23" i="3"/>
  <c r="K23" i="3" s="1"/>
  <c r="L46" i="3"/>
  <c r="L53" i="3" s="1"/>
  <c r="AG48" i="3"/>
  <c r="AG50" i="3" s="1"/>
  <c r="M46" i="3"/>
  <c r="M52" i="3" s="1"/>
  <c r="AG80" i="3"/>
  <c r="N46" i="3"/>
  <c r="N52" i="3" s="1"/>
  <c r="AH80" i="3"/>
  <c r="F149" i="3"/>
  <c r="AI80" i="3"/>
  <c r="P46" i="3"/>
  <c r="P53" i="3" s="1"/>
  <c r="AH64" i="3"/>
  <c r="AH69" i="3" s="1"/>
  <c r="AH71" i="3" s="1"/>
  <c r="F85" i="3"/>
  <c r="AI64" i="3"/>
  <c r="AI69" i="3" s="1"/>
  <c r="AI71" i="3" s="1"/>
  <c r="AI74" i="3" s="1"/>
  <c r="R164" i="3" l="1"/>
  <c r="Q74" i="3"/>
  <c r="Q75" i="3" s="1"/>
  <c r="Q86" i="3"/>
  <c r="R74" i="3"/>
  <c r="R75" i="3" s="1"/>
  <c r="R86" i="3"/>
  <c r="O115" i="3"/>
  <c r="P74" i="3"/>
  <c r="P75" i="3" s="1"/>
  <c r="P86" i="3"/>
  <c r="AG75" i="3"/>
  <c r="AG184" i="3"/>
  <c r="AI75" i="3"/>
  <c r="AJ184" i="3"/>
  <c r="I74" i="3"/>
  <c r="I75" i="3" s="1"/>
  <c r="AI178" i="3"/>
  <c r="AG178" i="3"/>
  <c r="O149" i="3"/>
  <c r="O49" i="3"/>
  <c r="O50" i="3" s="1"/>
  <c r="O37" i="3"/>
  <c r="O38" i="3" s="1"/>
  <c r="AH52" i="3"/>
  <c r="AH54" i="3" s="1"/>
  <c r="F86" i="3"/>
  <c r="O45" i="3"/>
  <c r="O46" i="3" s="1"/>
  <c r="O53" i="3" s="1"/>
  <c r="K49" i="3"/>
  <c r="K50" i="3" s="1"/>
  <c r="O80" i="3"/>
  <c r="AI52" i="3"/>
  <c r="AI54" i="3" s="1"/>
  <c r="H74" i="3"/>
  <c r="H75" i="3" s="1"/>
  <c r="AI49" i="3"/>
  <c r="AI50" i="3" s="1"/>
  <c r="O85" i="3"/>
  <c r="O64" i="3"/>
  <c r="O69" i="3" s="1"/>
  <c r="O71" i="3" s="1"/>
  <c r="O86" i="3" s="1"/>
  <c r="N74" i="3"/>
  <c r="N75" i="3" s="1"/>
  <c r="H86" i="3"/>
  <c r="L52" i="3"/>
  <c r="L54" i="3" s="1"/>
  <c r="O134" i="3"/>
  <c r="O147" i="3" s="1"/>
  <c r="R52" i="3"/>
  <c r="R54" i="3" s="1"/>
  <c r="N53" i="3"/>
  <c r="N54" i="3" s="1"/>
  <c r="AG53" i="3"/>
  <c r="AG54" i="3" s="1"/>
  <c r="M53" i="3"/>
  <c r="M54" i="3" s="1"/>
  <c r="J52" i="3"/>
  <c r="J54" i="3" s="1"/>
  <c r="K79" i="3"/>
  <c r="K80" i="3"/>
  <c r="G79" i="3"/>
  <c r="K64" i="3"/>
  <c r="K69" i="3" s="1"/>
  <c r="K71" i="3" s="1"/>
  <c r="F52" i="3"/>
  <c r="F54" i="3" s="1"/>
  <c r="G80" i="3"/>
  <c r="P52" i="3"/>
  <c r="P54" i="3" s="1"/>
  <c r="G64" i="3"/>
  <c r="G69" i="3" s="1"/>
  <c r="G71" i="3" s="1"/>
  <c r="Q53" i="3"/>
  <c r="Q54" i="3" s="1"/>
  <c r="G52" i="3"/>
  <c r="G54" i="3" s="1"/>
  <c r="AH74" i="3"/>
  <c r="AH184" i="3" s="1"/>
  <c r="I53" i="3"/>
  <c r="I54" i="3" s="1"/>
  <c r="L86" i="3"/>
  <c r="L74" i="3"/>
  <c r="L75" i="3" s="1"/>
  <c r="K53" i="3"/>
  <c r="K54" i="3" s="1"/>
  <c r="M86" i="3"/>
  <c r="M74" i="3"/>
  <c r="M75" i="3" s="1"/>
  <c r="J86" i="3"/>
  <c r="J74" i="3"/>
  <c r="J75" i="3" s="1"/>
  <c r="H52" i="3"/>
  <c r="H54" i="3" s="1"/>
  <c r="AI184" i="3" l="1"/>
  <c r="AH75" i="3"/>
  <c r="AH178" i="3"/>
  <c r="O74" i="3"/>
  <c r="O75" i="3" s="1"/>
  <c r="K86" i="3"/>
  <c r="K74" i="3"/>
  <c r="K75" i="3" s="1"/>
  <c r="G86" i="3"/>
  <c r="G74" i="3"/>
  <c r="G75" i="3" s="1"/>
  <c r="O52" i="3"/>
  <c r="O5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C101" authorId="0" shapeId="0" xr:uid="{E8CF2359-FD1F-45CB-BCDB-D81B96BEE577}">
      <text>
        <r>
          <rPr>
            <b/>
            <sz val="9"/>
            <color indexed="81"/>
            <rFont val="Tahoma"/>
            <family val="2"/>
          </rPr>
          <t>William:</t>
        </r>
        <r>
          <rPr>
            <sz val="9"/>
            <color indexed="81"/>
            <rFont val="Tahoma"/>
            <family val="2"/>
          </rPr>
          <t xml:space="preserve">
Cost range depends if the mission is expendable. </t>
        </r>
      </text>
    </comment>
    <comment ref="A108" authorId="0" shapeId="0" xr:uid="{0CB3D54E-4EC9-46D9-AAA6-7EDF3AD2DC2A}">
      <text>
        <r>
          <rPr>
            <b/>
            <sz val="9"/>
            <color indexed="81"/>
            <rFont val="Tahoma"/>
            <family val="2"/>
          </rPr>
          <t>William:</t>
        </r>
        <r>
          <rPr>
            <sz val="9"/>
            <color indexed="81"/>
            <rFont val="Tahoma"/>
            <family val="2"/>
          </rPr>
          <t xml:space="preserve">
Main failures were with Falcon 1.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C27" authorId="0" shapeId="0" xr:uid="{02BDD74F-0675-4A9E-8B20-20F6C814BB29}">
      <text>
        <r>
          <rPr>
            <b/>
            <sz val="9"/>
            <color indexed="81"/>
            <rFont val="Tahoma"/>
            <family val="2"/>
          </rPr>
          <t>William:</t>
        </r>
        <r>
          <rPr>
            <sz val="9"/>
            <color indexed="81"/>
            <rFont val="Tahoma"/>
            <family val="2"/>
          </rPr>
          <t xml:space="preserve">
Cost range depends if the mission is expendable. </t>
        </r>
      </text>
    </comment>
    <comment ref="A34" authorId="0" shapeId="0" xr:uid="{48711511-11E9-40FE-B7E0-8F50A9C8A544}">
      <text>
        <r>
          <rPr>
            <b/>
            <sz val="9"/>
            <color indexed="81"/>
            <rFont val="Tahoma"/>
            <family val="2"/>
          </rPr>
          <t>William:</t>
        </r>
        <r>
          <rPr>
            <sz val="9"/>
            <color indexed="81"/>
            <rFont val="Tahoma"/>
            <family val="2"/>
          </rPr>
          <t xml:space="preserve">
Main failures were with Falcon 1.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7"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18"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25" authorId="0" shapeId="0" xr:uid="{00000000-0006-0000-0200-000003000000}">
      <text>
        <r>
          <rPr>
            <sz val="11"/>
            <color theme="1"/>
            <rFont val="Calibri"/>
            <family val="2"/>
            <scheme val="minor"/>
          </rPr>
          <t>William:
Launch Services provides launch services to cusomerts on a dedicated mission or ride share basis.</t>
        </r>
      </text>
    </comment>
    <comment ref="B32"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76" authorId="0" shapeId="0" xr:uid="{00000000-0006-0000-0200-000005000000}">
      <text>
        <r>
          <rPr>
            <sz val="11"/>
            <color theme="1"/>
            <rFont val="Calibri"/>
            <family val="2"/>
            <scheme val="minor"/>
          </rPr>
          <t>William:
In thousands.
Ex: 209,895 = 209 million shares</t>
        </r>
      </text>
    </comment>
    <comment ref="B152" authorId="0" shapeId="0" xr:uid="{00000000-0006-0000-0200-000006000000}">
      <text>
        <r>
          <rPr>
            <sz val="11"/>
            <color theme="1"/>
            <rFont val="Calibri"/>
            <family val="2"/>
            <scheme val="minor"/>
          </rPr>
          <t>William:
"CASH FLOWS FROM INVESTING ACTIVITIES"</t>
        </r>
      </text>
    </comment>
    <comment ref="B153" authorId="0" shapeId="0" xr:uid="{00000000-0006-0000-0200-000007000000}">
      <text>
        <r>
          <rPr>
            <sz val="11"/>
            <color theme="1"/>
            <rFont val="Calibri"/>
            <family val="2"/>
            <scheme val="minor"/>
          </rPr>
          <t xml:space="preserve">William:
"Purchases of property, equipment, and software"
</t>
        </r>
      </text>
    </comment>
    <comment ref="B162" authorId="0" shapeId="0" xr:uid="{9DF6EF6F-6205-4E32-A85E-A62D8B38EFFC}">
      <text>
        <r>
          <rPr>
            <sz val="11"/>
            <color theme="1"/>
            <rFont val="Calibri"/>
            <family val="2"/>
            <scheme val="minor"/>
          </rPr>
          <t>William:
"CASH FLOWS FROM INVESTING ACTIVITIES"</t>
        </r>
      </text>
    </comment>
    <comment ref="B163" authorId="0" shapeId="0" xr:uid="{B7A3EB4D-E392-4EEA-8FA8-A443F927443D}">
      <text>
        <r>
          <rPr>
            <sz val="11"/>
            <color theme="1"/>
            <rFont val="Calibri"/>
            <family val="2"/>
            <scheme val="minor"/>
          </rPr>
          <t xml:space="preserve">William:
"Purchases of property, equipment, and software"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<sst xmlns="http://schemas.openxmlformats.org/spreadsheetml/2006/main" count="1557" uniqueCount="543">
  <si>
    <t>Price</t>
  </si>
  <si>
    <t>Shares</t>
  </si>
  <si>
    <t>MC</t>
  </si>
  <si>
    <t>Cash</t>
  </si>
  <si>
    <t>Debt</t>
  </si>
  <si>
    <t>EV</t>
  </si>
  <si>
    <t>EV/Share</t>
  </si>
  <si>
    <t>Company Name</t>
  </si>
  <si>
    <t>Rocket Lab USA, Inc.</t>
  </si>
  <si>
    <t xml:space="preserve">Rocket Lab USA, Inc. </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</si>
  <si>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</si>
  <si>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</si>
  <si>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</si>
  <si>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</si>
  <si>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</si>
  <si>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</si>
  <si>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</si>
  <si>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</si>
  <si>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</si>
  <si>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</si>
  <si>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</si>
  <si>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</si>
  <si>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</si>
  <si>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</si>
  <si>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</si>
  <si>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</si>
  <si>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</si>
  <si>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</si>
  <si>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</si>
  <si>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</si>
  <si>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</si>
  <si>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</si>
  <si>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</si>
  <si>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</si>
  <si>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</si>
  <si>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</si>
  <si>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</si>
  <si>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</si>
  <si>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Launches (1/8/2022)</t>
  </si>
  <si>
    <t>Satellites deployed</t>
  </si>
  <si>
    <t>Payload to LEO</t>
  </si>
  <si>
    <t>Electron</t>
  </si>
  <si>
    <t>300kg / 661lb</t>
  </si>
  <si>
    <t xml:space="preserve">Neutron </t>
  </si>
  <si>
    <t>13000kg</t>
  </si>
  <si>
    <t>Launch Sites</t>
  </si>
  <si>
    <t>Location</t>
  </si>
  <si>
    <t>Region</t>
  </si>
  <si>
    <t>Date est.</t>
  </si>
  <si>
    <t>Launch Complex 1</t>
  </si>
  <si>
    <t>New Zealand</t>
  </si>
  <si>
    <t>North Island - Māhia Peninsula</t>
  </si>
  <si>
    <t>Launch Complex 2</t>
  </si>
  <si>
    <t>Virginia</t>
  </si>
  <si>
    <t>Launches</t>
  </si>
  <si>
    <t>Date (UTC)</t>
  </si>
  <si>
    <t>Time (UTC)</t>
  </si>
  <si>
    <t>Vehicle</t>
  </si>
  <si>
    <t>Launch Site</t>
  </si>
  <si>
    <t>Payload</t>
  </si>
  <si>
    <t>Payload Mass</t>
  </si>
  <si>
    <t>Destination</t>
  </si>
  <si>
    <t>Outcome</t>
  </si>
  <si>
    <t>Boost Recovery</t>
  </si>
  <si>
    <t>Number of Customers</t>
  </si>
  <si>
    <t>Customers</t>
  </si>
  <si>
    <t>Notes</t>
  </si>
  <si>
    <t>"It's a Test"</t>
  </si>
  <si>
    <t>LC1A</t>
  </si>
  <si>
    <t>None</t>
  </si>
  <si>
    <t>LEO, 500 km, 85 deg</t>
  </si>
  <si>
    <t>Failure</t>
  </si>
  <si>
    <t>Rocket Lab (Flight test)</t>
  </si>
  <si>
    <t>"Still Testing"</t>
  </si>
  <si>
    <t>Dove Pioneer:Planet Labs, Lemur-2 x 2:Spire Global, Humanity Star:RocketLab</t>
  </si>
  <si>
    <t xml:space="preserve">LEO  </t>
  </si>
  <si>
    <t>Success</t>
  </si>
  <si>
    <t>Planet Labs, Spire Global</t>
  </si>
  <si>
    <t>"It's Business Time"</t>
  </si>
  <si>
    <t>Lemur-2 x 2:Spire Global, CICERO:GeoOptics, IRVINE01:Irvine CubeSat STEM Program,NABEO:HPS, Proxima x 2:Fleet Space Technologies</t>
  </si>
  <si>
    <t>Spire Global, GeoOptics, Irvine CubeSat STEM Program, High Performance Space Structure Systems, Fleet Space Technologies</t>
  </si>
  <si>
    <t>"This One's For Pickering"</t>
  </si>
  <si>
    <t>ALBus:NASA,CeREs:NASA,CHOMPTT:NASA,CubeSail:NASA,DaVinci:NASA,ISX:NASA,NMTSat:NASA,RSat-P:NASA,Shields-1:NASA,STF-1:NASA,SHFT 2:NASA,TOMSat:NASA,EagleScout:NASA,TOMSat R3:NASA</t>
  </si>
  <si>
    <t>NASA</t>
  </si>
  <si>
    <t xml:space="preserve">NASA's ELaNa-19 mission included the launch of many nano-satellites. </t>
  </si>
  <si>
    <t>https://www.rocketlabusa.com/launch/electron/</t>
  </si>
  <si>
    <t xml:space="preserve">Missions </t>
  </si>
  <si>
    <t>Date</t>
  </si>
  <si>
    <t>Neutron Debut Flight - Neutron</t>
  </si>
  <si>
    <t>TROPICS Flight 3 - Electron</t>
  </si>
  <si>
    <t>Q223</t>
  </si>
  <si>
    <t>TROPICS Flight 2 - Electron</t>
  </si>
  <si>
    <t>"The Beat Goes On" - Electron</t>
  </si>
  <si>
    <t>2023-03-11,05:50:05,5056970476,2,71378188,1</t>
  </si>
  <si>
    <t>2023-03-11,05:55:05,5056971406,2,71378876,2</t>
  </si>
  <si>
    <t>2023-03-11,06:00:05,5056972117,3,71379503,1</t>
  </si>
  <si>
    <t>https://en.wikipedia.org/wiki/List_of_Electron_launches</t>
  </si>
  <si>
    <t>2023-03-11,06:05:05,5056973939,9,71380203,2</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</si>
  <si>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</si>
  <si>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</si>
  <si>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</si>
  <si>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</si>
  <si>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</si>
  <si>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</si>
  <si>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</si>
  <si>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</si>
  <si>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</si>
  <si>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</si>
  <si>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</si>
  <si>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</si>
  <si>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</si>
  <si>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</si>
  <si>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</si>
  <si>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</si>
  <si>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</si>
  <si>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</si>
  <si>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</si>
  <si>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</si>
  <si>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</si>
  <si>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</si>
  <si>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</si>
  <si>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</si>
  <si>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</si>
  <si>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</si>
  <si>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</si>
  <si>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</si>
  <si>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</si>
  <si>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</si>
  <si>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</si>
  <si>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</si>
  <si>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Point-in-time</t>
  </si>
  <si>
    <t>Over-time</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</si>
  <si>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</si>
  <si>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</si>
  <si>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</si>
  <si>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</si>
  <si>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</si>
  <si>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</si>
  <si>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</si>
  <si>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</si>
  <si>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</si>
  <si>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</si>
  <si>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</si>
  <si>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</si>
  <si>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</si>
  <si>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</si>
  <si>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</si>
  <si>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</si>
  <si>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</si>
  <si>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</si>
  <si>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</si>
  <si>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</si>
  <si>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</si>
  <si>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</si>
  <si>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</si>
  <si>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</si>
  <si>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</si>
  <si>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</si>
  <si>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</si>
  <si>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</si>
  <si>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</si>
  <si>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</si>
  <si>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</si>
  <si>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</si>
  <si>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</si>
  <si>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</si>
  <si>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</si>
  <si>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</si>
  <si>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</si>
  <si>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</si>
  <si>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</si>
  <si>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</si>
  <si>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</si>
  <si>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</si>
  <si>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</si>
  <si>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</si>
  <si>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</si>
  <si>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</si>
  <si>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</si>
  <si>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</si>
  <si>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</si>
  <si>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</si>
  <si>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</si>
  <si>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</si>
  <si>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</si>
  <si>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</si>
  <si>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</si>
  <si>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</si>
  <si>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</si>
  <si>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</si>
  <si>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</si>
  <si>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</si>
  <si>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</si>
  <si>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</si>
  <si>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</si>
  <si>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</si>
  <si>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</si>
  <si>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</si>
  <si>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</si>
  <si>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</si>
  <si>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</si>
  <si>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</si>
  <si>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</si>
  <si>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</si>
  <si>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</si>
  <si>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</si>
  <si>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</si>
  <si>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</si>
  <si>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Cash Flow</t>
  </si>
  <si>
    <t>Operating Cash Flow</t>
  </si>
  <si>
    <t>CapEx</t>
  </si>
  <si>
    <t>FCF</t>
  </si>
  <si>
    <t>Stock Statistics</t>
  </si>
  <si>
    <t>Market Cap</t>
  </si>
  <si>
    <t>Cash/sh</t>
  </si>
  <si>
    <t>Debt/sh</t>
  </si>
  <si>
    <t>Sources</t>
  </si>
  <si>
    <t>Missions</t>
  </si>
  <si>
    <t>"Its's a Test"</t>
  </si>
  <si>
    <t>Payload Mass (kg)</t>
  </si>
  <si>
    <t>LEO, 500 km</t>
  </si>
  <si>
    <t>RocketLab</t>
  </si>
  <si>
    <t>Flight Test</t>
  </si>
  <si>
    <t xml:space="preserve">LEO   </t>
  </si>
  <si>
    <t>"Two Thumbs Up"</t>
  </si>
  <si>
    <t>R3D2:DARPA</t>
  </si>
  <si>
    <t>LEO, 425 km, 39.5 deg</t>
  </si>
  <si>
    <t>DARPA</t>
  </si>
  <si>
    <t>"That's a Funny Looking Cactus"</t>
  </si>
  <si>
    <t>SPARC-1:US Air Force, Falcon ODE:US Air Force, Harbringer:US Air Force</t>
  </si>
  <si>
    <t>LEO, 500 km, 40 deg</t>
  </si>
  <si>
    <t>US Air Force</t>
  </si>
  <si>
    <t>"Make it Rain</t>
  </si>
  <si>
    <t>BlackSky Global 3:BlackSky, ACRUX-1:Melbourne Space Agency, Prometheus:USSOCOM</t>
  </si>
  <si>
    <t>LEO</t>
  </si>
  <si>
    <t>BlackSky via Spaceflight Inc., USSSOCOM, Melbourne Space Program,</t>
  </si>
  <si>
    <t>Revenue per share</t>
  </si>
  <si>
    <t>- -</t>
  </si>
  <si>
    <t>0.13</t>
  </si>
  <si>
    <t>0.43</t>
  </si>
  <si>
    <t>Earnings per share</t>
  </si>
  <si>
    <t>(0.25)</t>
  </si>
  <si>
    <t>(0.60)</t>
  </si>
  <si>
    <t>FCF per share</t>
  </si>
  <si>
    <t>(0.21)</t>
  </si>
  <si>
    <t>(0.53)</t>
  </si>
  <si>
    <t>Dividends per share</t>
  </si>
  <si>
    <t>CAPEX per share</t>
  </si>
  <si>
    <t>0.06</t>
  </si>
  <si>
    <t>Book Value per sh.</t>
  </si>
  <si>
    <t>1.50</t>
  </si>
  <si>
    <t>2.05</t>
  </si>
  <si>
    <t>Comm.Shares outs.</t>
  </si>
  <si>
    <t>465</t>
  </si>
  <si>
    <t>344</t>
  </si>
  <si>
    <t>Avg. annual P/E ratio</t>
  </si>
  <si>
    <t>(53.1)</t>
  </si>
  <si>
    <t>(19.5)</t>
  </si>
  <si>
    <t>P/E to S&amp;P500</t>
  </si>
  <si>
    <t>(1.8)</t>
  </si>
  <si>
    <t>(0.9)</t>
  </si>
  <si>
    <t>Avg. annual div. yield</t>
  </si>
  <si>
    <t>Revenue (m)</t>
  </si>
  <si>
    <t>62</t>
  </si>
  <si>
    <t>148</t>
  </si>
  <si>
    <t>Operating margin</t>
  </si>
  <si>
    <t>(164.0)%</t>
  </si>
  <si>
    <t>(295.5)%</t>
  </si>
  <si>
    <t>Depreciation (m)</t>
  </si>
  <si>
    <t>11</t>
  </si>
  <si>
    <t>25</t>
  </si>
  <si>
    <t>Net profit (m)</t>
  </si>
  <si>
    <t>(117)</t>
  </si>
  <si>
    <t>(169)</t>
  </si>
  <si>
    <t>Income tax rate</t>
  </si>
  <si>
    <t>(6.0)%</t>
  </si>
  <si>
    <t>(17.6)%</t>
  </si>
  <si>
    <t>Net profit margin</t>
  </si>
  <si>
    <t>(188.5)%</t>
  </si>
  <si>
    <t>(458.3)%</t>
  </si>
  <si>
    <t>Working capital (m)</t>
  </si>
  <si>
    <t>678</t>
  </si>
  <si>
    <t>562</t>
  </si>
  <si>
    <t>Long-term debt (m)</t>
  </si>
  <si>
    <t>46</t>
  </si>
  <si>
    <t>Equity (m)</t>
  </si>
  <si>
    <t>698</t>
  </si>
  <si>
    <t>713</t>
  </si>
  <si>
    <t>ROIC</t>
  </si>
  <si>
    <t>(12.4)%</t>
  </si>
  <si>
    <t>(20.3)%</t>
  </si>
  <si>
    <t>Return on capital</t>
  </si>
  <si>
    <t>(10.6)%</t>
  </si>
  <si>
    <t>(14.8)%</t>
  </si>
  <si>
    <t>Return on equity</t>
  </si>
  <si>
    <t>(16.8)%</t>
  </si>
  <si>
    <t>(23.7)%</t>
  </si>
  <si>
    <t>Plowback ratio</t>
  </si>
  <si>
    <t>100.0%</t>
  </si>
  <si>
    <t>Div.&amp;Repurch./FCF</t>
  </si>
  <si>
    <t>2021</t>
  </si>
  <si>
    <t>COGS</t>
  </si>
  <si>
    <t>64</t>
  </si>
  <si>
    <t>(2)</t>
  </si>
  <si>
    <t>Gross Profit Ratio</t>
  </si>
  <si>
    <t>(3.04)%</t>
  </si>
  <si>
    <t>Operating Expenses</t>
  </si>
  <si>
    <t>100</t>
  </si>
  <si>
    <t>R&amp;D Expenses</t>
  </si>
  <si>
    <t>42</t>
  </si>
  <si>
    <t>Selling, G&amp;A Exp.</t>
  </si>
  <si>
    <t>58</t>
  </si>
  <si>
    <t>General and Admin. Exp.</t>
  </si>
  <si>
    <t>Selling and Marketing Exp.</t>
  </si>
  <si>
    <t>Other Expenses</t>
  </si>
  <si>
    <t>COGS and Expenses</t>
  </si>
  <si>
    <t>164</t>
  </si>
  <si>
    <t>Interest Income</t>
  </si>
  <si>
    <t>Interest Expense</t>
  </si>
  <si>
    <t>6</t>
  </si>
  <si>
    <t>Depreciation and Amortization</t>
  </si>
  <si>
    <t>EBITDA</t>
  </si>
  <si>
    <t>(93)</t>
  </si>
  <si>
    <t>EBITDA ratio</t>
  </si>
  <si>
    <t>(149.14)%</t>
  </si>
  <si>
    <t>Operating Income</t>
  </si>
  <si>
    <t>(102)</t>
  </si>
  <si>
    <t>Operating Income ratio</t>
  </si>
  <si>
    <t>(163.97)%</t>
  </si>
  <si>
    <t>Total Other Income Exp.(Gains)</t>
  </si>
  <si>
    <t>(23)</t>
  </si>
  <si>
    <t>Income Before Tax</t>
  </si>
  <si>
    <t>(125)</t>
  </si>
  <si>
    <t>Income Before Tax ratio</t>
  </si>
  <si>
    <t>(200.59)%</t>
  </si>
  <si>
    <t>Income Tax Expense (Gain)</t>
  </si>
  <si>
    <t>8</t>
  </si>
  <si>
    <t>Net Income Ratio</t>
  </si>
  <si>
    <t>(188.51)%</t>
  </si>
  <si>
    <t>(0.00)</t>
  </si>
  <si>
    <t>EPS Diluted</t>
  </si>
  <si>
    <t>Weighted Avg. Shares Outs.</t>
  </si>
  <si>
    <t>Weighted Avg. Shares Outs. Dil.</t>
  </si>
  <si>
    <t>Gross Margin</t>
  </si>
  <si>
    <t>Cash and Cash Equivalents</t>
  </si>
  <si>
    <t>691</t>
  </si>
  <si>
    <t>Short-Term Investments</t>
  </si>
  <si>
    <t>Cash &amp; Short-Term Investments</t>
  </si>
  <si>
    <t>Net Receivables</t>
  </si>
  <si>
    <t>14</t>
  </si>
  <si>
    <t>Inventory</t>
  </si>
  <si>
    <t>48</t>
  </si>
  <si>
    <t>Other Current Assets</t>
  </si>
  <si>
    <t>22</t>
  </si>
  <si>
    <t>Total Current Assets</t>
  </si>
  <si>
    <t>775</t>
  </si>
  <si>
    <t>94</t>
  </si>
  <si>
    <t>43</t>
  </si>
  <si>
    <t>Intangible Assets</t>
  </si>
  <si>
    <t>57</t>
  </si>
  <si>
    <t>Goodwill and Intangible Assets</t>
  </si>
  <si>
    <t>101</t>
  </si>
  <si>
    <t>Investments</t>
  </si>
  <si>
    <t>Tax Assets</t>
  </si>
  <si>
    <t>Other Non-Current Assets</t>
  </si>
  <si>
    <t>Total Non-Current Assets</t>
  </si>
  <si>
    <t>206</t>
  </si>
  <si>
    <t>Other Assets</t>
  </si>
  <si>
    <t>Total Assets</t>
  </si>
  <si>
    <t>981</t>
  </si>
  <si>
    <t>Accounts Payable</t>
  </si>
  <si>
    <t>3</t>
  </si>
  <si>
    <t>Short-Term Debt</t>
  </si>
  <si>
    <t>Tax Payable</t>
  </si>
  <si>
    <t>Deferred Revenue</t>
  </si>
  <si>
    <t>Other Current Liabilities</t>
  </si>
  <si>
    <t>90</t>
  </si>
  <si>
    <t>Total Current Liabilities</t>
  </si>
  <si>
    <t>96</t>
  </si>
  <si>
    <t>Long-Term Debt</t>
  </si>
  <si>
    <t>Deferred Tax Liabilities</t>
  </si>
  <si>
    <t>0</t>
  </si>
  <si>
    <t>Other Non-Current Liabilities</t>
  </si>
  <si>
    <t>186</t>
  </si>
  <si>
    <t>Total Non-Current Liabilities</t>
  </si>
  <si>
    <t>Other Liabilities</t>
  </si>
  <si>
    <t>Capital Lease Obligations</t>
  </si>
  <si>
    <t>Total Liabilities</t>
  </si>
  <si>
    <t>282</t>
  </si>
  <si>
    <t>Preferred Stock</t>
  </si>
  <si>
    <t>Retained Earnings</t>
  </si>
  <si>
    <t>(305)</t>
  </si>
  <si>
    <t>Other Compreh. Income(Loss)</t>
  </si>
  <si>
    <t>1</t>
  </si>
  <si>
    <t>Other Total Stockhold. Equity</t>
  </si>
  <si>
    <t>1,002</t>
  </si>
  <si>
    <t>Total Stockholders Equity</t>
  </si>
  <si>
    <t>Total Liab.&amp;Stockhold. Equity</t>
  </si>
  <si>
    <t>Minority Interest</t>
  </si>
  <si>
    <t>Total Liabilities &amp; Equity</t>
  </si>
  <si>
    <t>Deferred Income Tax</t>
  </si>
  <si>
    <t>(10)</t>
  </si>
  <si>
    <t>Stock Based Compensation</t>
  </si>
  <si>
    <t>33</t>
  </si>
  <si>
    <t>Change in Working Capital</t>
  </si>
  <si>
    <t>(8)</t>
  </si>
  <si>
    <t>Accounts Receivable</t>
  </si>
  <si>
    <t>(13)</t>
  </si>
  <si>
    <t>Other Working Capital</t>
  </si>
  <si>
    <t>28</t>
  </si>
  <si>
    <t>Other Non-Cash Items</t>
  </si>
  <si>
    <t>20</t>
  </si>
  <si>
    <t>Cash Provided by Operating Activities</t>
  </si>
  <si>
    <t>(72)</t>
  </si>
  <si>
    <t>CAPEX</t>
  </si>
  <si>
    <t>(26)</t>
  </si>
  <si>
    <t>Acquisitions Net</t>
  </si>
  <si>
    <t>Purchases of Investments</t>
  </si>
  <si>
    <t>Sales/Maturities of Investments</t>
  </si>
  <si>
    <t>Other Investing Activities</t>
  </si>
  <si>
    <t>(66)</t>
  </si>
  <si>
    <t>Cash Used for Investing Activities</t>
  </si>
  <si>
    <t>(92)</t>
  </si>
  <si>
    <t>Debt Repayment</t>
  </si>
  <si>
    <t>Common Stock Issued</t>
  </si>
  <si>
    <t>Common Stock Repurchased</t>
  </si>
  <si>
    <t>Dividends Paid</t>
  </si>
  <si>
    <t>Other Financing Activities</t>
  </si>
  <si>
    <t>797</t>
  </si>
  <si>
    <t>Cash Used/Provided by Financing Activities</t>
  </si>
  <si>
    <t>800</t>
  </si>
  <si>
    <t>Effect of Forex Changes on Cash</t>
  </si>
  <si>
    <t>2</t>
  </si>
  <si>
    <t>Net Change In Cash</t>
  </si>
  <si>
    <t>638</t>
  </si>
  <si>
    <t>Cash at the End of Period</t>
  </si>
  <si>
    <t>692</t>
  </si>
  <si>
    <t>Cash at the Beginning of Period</t>
  </si>
  <si>
    <t>Free Cash Flow</t>
  </si>
  <si>
    <t>(97)</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</si>
  <si>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</si>
  <si>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</si>
  <si>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</si>
  <si>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</si>
  <si>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</si>
  <si>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</si>
  <si>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</si>
  <si>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</si>
  <si>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</si>
  <si>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</si>
  <si>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</si>
  <si>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</si>
  <si>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</si>
  <si>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</si>
  <si>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</si>
  <si>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</si>
  <si>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</si>
  <si>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</si>
  <si>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Rockets   (As of 1/8/2023)</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</si>
  <si>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</si>
  <si>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</si>
  <si>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</si>
  <si>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</si>
  <si>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</si>
  <si>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</si>
  <si>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</si>
  <si>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</si>
  <si>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</si>
  <si>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</si>
  <si>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</si>
  <si>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</si>
  <si>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</si>
  <si>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</si>
  <si>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</si>
  <si>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</si>
  <si>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</si>
  <si>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</si>
  <si>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</si>
  <si>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</si>
  <si>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</si>
  <si>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</si>
  <si>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</si>
  <si>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</si>
  <si>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</si>
  <si>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</si>
  <si>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</si>
  <si>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Information</t>
  </si>
  <si>
    <t>Each column is the backlog for the period</t>
  </si>
  <si>
    <t xml:space="preserve">- Remaining Backlog totaled $582,442 as of September 30, 2023. Which approximately 57% is expted to be recognized within the next 12 months. With the remaining 43% to be recognized beyond 12 months. </t>
  </si>
  <si>
    <t xml:space="preserve">- As of 9/30/2023, these customers accounted for 10% or more of the total accounts recievable: (Dynetics, Inc. 19%),     (NASA 13%). </t>
  </si>
  <si>
    <t>- For the 9 months ended 9/30/2023, these customers accounted for 10% or more of total revenue. (Northdrop Grumman Corporation 13%),  (Capella Space Corp. 12%)</t>
  </si>
  <si>
    <t>Backlog Gross Carry</t>
  </si>
  <si>
    <t>Backlog Net Carry</t>
  </si>
  <si>
    <t>Backlog *in millions</t>
  </si>
  <si>
    <t>Launch</t>
  </si>
  <si>
    <t>Total Backlog</t>
  </si>
  <si>
    <t>Contract Type Mix</t>
  </si>
  <si>
    <t>Segment Mix</t>
  </si>
  <si>
    <t>Rocketlab</t>
  </si>
  <si>
    <t>SpaceX</t>
  </si>
  <si>
    <t>Stages</t>
  </si>
  <si>
    <t>Height (m)</t>
  </si>
  <si>
    <t>Diameter (m)</t>
  </si>
  <si>
    <t>Mass (t)</t>
  </si>
  <si>
    <t>Neutron</t>
  </si>
  <si>
    <t xml:space="preserve"> 2-3</t>
  </si>
  <si>
    <t>Failures</t>
  </si>
  <si>
    <t>Success Rate</t>
  </si>
  <si>
    <t>Falcon 9</t>
  </si>
  <si>
    <t>SSO</t>
  </si>
  <si>
    <t>-- Payloads (kg)</t>
  </si>
  <si>
    <t>Propellant Mass (t)</t>
  </si>
  <si>
    <t>Thrust (kN)</t>
  </si>
  <si>
    <t>Cost</t>
  </si>
  <si>
    <t>Cost ($million)</t>
  </si>
  <si>
    <t>~13000</t>
  </si>
  <si>
    <t>~7300</t>
  </si>
  <si>
    <t>GTO</t>
  </si>
  <si>
    <t>Mars Transit</t>
  </si>
  <si>
    <t xml:space="preserve">Falcon Heavy </t>
  </si>
  <si>
    <t xml:space="preserve"> 97-150</t>
  </si>
  <si>
    <t>Pluto</t>
  </si>
  <si>
    <t>Starship</t>
  </si>
  <si>
    <t>TBD</t>
  </si>
  <si>
    <t xml:space="preserve">Blue Origin </t>
  </si>
  <si>
    <t>New Shepard</t>
  </si>
  <si>
    <t>$1.25 million per ticket</t>
  </si>
  <si>
    <t>Status</t>
  </si>
  <si>
    <t>Active</t>
  </si>
  <si>
    <t>New Glenn</t>
  </si>
  <si>
    <t>United Launch Alliance (ULA)</t>
  </si>
  <si>
    <t>In Development</t>
  </si>
  <si>
    <t>Atlas V</t>
  </si>
  <si>
    <t xml:space="preserve"> 110-153</t>
  </si>
  <si>
    <t>GEO</t>
  </si>
  <si>
    <t>Vulcan</t>
  </si>
  <si>
    <t>~</t>
  </si>
  <si>
    <t>ISS</t>
  </si>
  <si>
    <t>Firefly Aerospace</t>
  </si>
  <si>
    <t>Firefly Alpha</t>
  </si>
  <si>
    <t xml:space="preserve"> 15-17</t>
  </si>
  <si>
    <t xml:space="preserve">Astra </t>
  </si>
  <si>
    <t xml:space="preserve">Rocket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</si>
</sst>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quot;$&quot;#,##0.00"/>
    <numFmt numFmtId="166" formatCode="h:mm;@"/>
    <numFmt numFmtId="167" formatCode="&quot;$&quot;#,##0"/>
  </numFmts>
  <fonts count="2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19">
    <xf numFmtId="0" fontId="0" fillId="0" borderId="0" xfId="0"/>
    <xf numFmtId="0" fontId="1" fillId="0" borderId="1" xfId="0" applyFont="1" applyBorder="1" applyAlignment="1">
      <alignment horizontal="center" vertical="top"/>
    </xf>
    <xf numFmtId="9" fontId="0" fillId="0" borderId="0" xfId="0" applyNumberFormat="1"/>
    <xf numFmtId="0" fontId="1" fillId="0" borderId="0" xfId="0" applyFont="1" applyAlignment="1">
      <alignment horizontal="center" vertical="top"/>
    </xf>
    <xf numFmtId="0" fontId="0" fillId="0" borderId="2" xfId="0" applyBorder="1"/>
    <xf numFmtId="14" fontId="0" fillId="0" borderId="0" xfId="0" applyNumberFormat="1"/>
    <xf numFmtId="0" fontId="2" fillId="2" borderId="0" xfId="0" applyFont="1" applyFill="1"/>
    <xf numFmtId="3" fontId="0" fillId="0" borderId="0" xfId="0" applyNumberFormat="1"/>
    <xf numFmtId="3" fontId="0" fillId="0" borderId="2"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4" xfId="0" applyFont="1" applyBorder="1"/>
    <xf numFmtId="0" fontId="1" fillId="0" borderId="5" xfId="0" applyFont="1" applyBorder="1"/>
    <xf numFmtId="0" fontId="1" fillId="0" borderId="6"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2" xfId="0" applyNumberFormat="1" applyBorder="1"/>
    <xf numFmtId="9" fontId="0" fillId="0" borderId="2"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3" xfId="0" applyFont="1" applyBorder="1"/>
    <xf numFmtId="3" fontId="1" fillId="0" borderId="3" xfId="0" applyNumberFormat="1" applyFont="1" applyBorder="1"/>
    <xf numFmtId="0" fontId="0" fillId="0" borderId="7" xfId="0" applyBorder="1"/>
    <xf numFmtId="14" fontId="0" fillId="0" borderId="7" xfId="0" applyNumberFormat="1" applyBorder="1"/>
    <xf numFmtId="3" fontId="3" fillId="2" borderId="7" xfId="0" applyNumberFormat="1" applyFont="1" applyFill="1" applyBorder="1"/>
    <xf numFmtId="3" fontId="0" fillId="0" borderId="7" xfId="0" applyNumberFormat="1" applyBorder="1"/>
    <xf numFmtId="3" fontId="0" fillId="0" borderId="8" xfId="0" applyNumberFormat="1" applyBorder="1"/>
    <xf numFmtId="3" fontId="0" fillId="3" borderId="7" xfId="0" applyNumberFormat="1" applyFill="1" applyBorder="1"/>
    <xf numFmtId="3" fontId="1" fillId="0" borderId="7" xfId="0" applyNumberFormat="1" applyFont="1" applyBorder="1"/>
    <xf numFmtId="9" fontId="0" fillId="0" borderId="7" xfId="0" applyNumberFormat="1" applyBorder="1"/>
    <xf numFmtId="10" fontId="0" fillId="0" borderId="7" xfId="0" applyNumberFormat="1" applyBorder="1"/>
    <xf numFmtId="10" fontId="0" fillId="0" borderId="8" xfId="0" applyNumberFormat="1" applyBorder="1"/>
    <xf numFmtId="9" fontId="0" fillId="0" borderId="8" xfId="0" applyNumberFormat="1" applyBorder="1"/>
    <xf numFmtId="3" fontId="2" fillId="2" borderId="7" xfId="0" applyNumberFormat="1" applyFont="1" applyFill="1" applyBorder="1"/>
    <xf numFmtId="3" fontId="1" fillId="0" borderId="9" xfId="0" applyNumberFormat="1" applyFont="1" applyBorder="1"/>
    <xf numFmtId="4" fontId="0" fillId="0" borderId="7" xfId="0" applyNumberFormat="1" applyBorder="1"/>
    <xf numFmtId="3" fontId="6" fillId="3" borderId="7" xfId="0" applyNumberFormat="1" applyFont="1" applyFill="1" applyBorder="1"/>
    <xf numFmtId="3" fontId="7" fillId="3" borderId="7" xfId="0" applyNumberFormat="1" applyFont="1" applyFill="1" applyBorder="1"/>
    <xf numFmtId="3" fontId="5" fillId="3" borderId="7" xfId="0" applyNumberFormat="1" applyFont="1" applyFill="1" applyBorder="1"/>
    <xf numFmtId="2" fontId="0" fillId="0" borderId="7" xfId="0" applyNumberFormat="1" applyBorder="1"/>
    <xf numFmtId="0" fontId="3" fillId="2" borderId="7" xfId="0" applyFont="1" applyFill="1" applyBorder="1"/>
    <xf numFmtId="0" fontId="2" fillId="2" borderId="7" xfId="0" applyFont="1" applyFill="1" applyBorder="1"/>
    <xf numFmtId="166" fontId="0" fillId="0" borderId="7" xfId="0" applyNumberFormat="1" applyBorder="1"/>
    <xf numFmtId="0" fontId="8" fillId="0" borderId="0" xfId="0" applyFont="1" applyAlignment="1">
      <alignment vertical="center"/>
    </xf>
    <xf numFmtId="17" fontId="0" fillId="0" borderId="0" xfId="0" applyNumberFormat="1"/>
    <xf numFmtId="14" fontId="2" fillId="2" borderId="0" xfId="0" applyNumberFormat="1" applyFont="1" applyFill="1"/>
    <xf numFmtId="0" fontId="4" fillId="2" borderId="0" xfId="1" applyFill="1"/>
    <xf numFmtId="0" fontId="0" fillId="0" borderId="0" xfId="0" applyAlignment="1">
      <alignment horizontal="left"/>
    </xf>
    <xf numFmtId="0" fontId="2" fillId="2" borderId="0" xfId="0" applyFont="1" applyFill="1" applyAlignment="1">
      <alignment horizontal="left"/>
    </xf>
    <xf numFmtId="0" fontId="6" fillId="3" borderId="0" xfId="0" applyFont="1" applyFill="1"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0" fillId="0" borderId="3" xfId="0" applyBorder="1"/>
    <xf numFmtId="3" fontId="0" fillId="0" borderId="3" xfId="0" applyNumberFormat="1" applyBorder="1"/>
    <xf numFmtId="3" fontId="0" fillId="0" borderId="9" xfId="0" applyNumberFormat="1" applyBorder="1"/>
    <xf numFmtId="14" fontId="2" fillId="2" borderId="7" xfId="0" applyNumberFormat="1" applyFont="1" applyFill="1" applyBorder="1"/>
    <xf numFmtId="3" fontId="1" fillId="0" borderId="10" xfId="0" applyNumberFormat="1" applyFont="1" applyBorder="1"/>
    <xf numFmtId="0" fontId="6" fillId="3" borderId="7" xfId="0" applyFont="1" applyFill="1" applyBorder="1"/>
    <xf numFmtId="165" fontId="1" fillId="0" borderId="2" xfId="0" applyNumberFormat="1" applyFont="1" applyBorder="1"/>
    <xf numFmtId="165" fontId="1" fillId="0" borderId="8" xfId="0" applyNumberFormat="1" applyFont="1" applyBorder="1"/>
    <xf numFmtId="165" fontId="0" fillId="0" borderId="0" xfId="0" applyNumberFormat="1"/>
    <xf numFmtId="167" fontId="0" fillId="0" borderId="0" xfId="0" applyNumberFormat="1"/>
    <xf numFmtId="167" fontId="0" fillId="0" borderId="7" xfId="0" applyNumberFormat="1" applyBorder="1"/>
    <xf numFmtId="0" fontId="9" fillId="0" borderId="0" xfId="0" applyFont="1"/>
    <xf numFmtId="0" fontId="11" fillId="0" borderId="0" xfId="0" applyFont="1"/>
    <xf numFmtId="0" fontId="12" fillId="0" borderId="0" xfId="0" applyFont="1"/>
    <xf numFmtId="0" fontId="14" fillId="0" borderId="0" xfId="0" applyFont="1"/>
    <xf numFmtId="0" fontId="1" fillId="0" borderId="2" xfId="0" applyFont="1" applyBorder="1"/>
    <xf numFmtId="9" fontId="1" fillId="0" borderId="2" xfId="0" applyNumberFormat="1" applyFont="1" applyBorder="1"/>
    <xf numFmtId="9" fontId="1" fillId="0" borderId="8" xfId="0" applyNumberFormat="1" applyFont="1" applyBorder="1"/>
    <xf numFmtId="3" fontId="1" fillId="0" borderId="2" xfId="0" applyNumberFormat="1" applyFont="1" applyBorder="1"/>
    <xf numFmtId="3" fontId="0" fillId="0" borderId="0" xfId="0" quotePrefix="1" applyNumberFormat="1"/>
    <xf numFmtId="3" fontId="16" fillId="0" borderId="0" xfId="0" applyNumberFormat="1" applyFont="1"/>
    <xf numFmtId="3" fontId="16" fillId="0" borderId="7" xfId="0" applyNumberFormat="1" applyFont="1" applyBorder="1"/>
    <xf numFmtId="0" fontId="16" fillId="0" borderId="0" xfId="0" applyFont="1" applyFill="1"/>
    <xf numFmtId="14" fontId="16" fillId="0" borderId="0" xfId="0" applyNumberFormat="1" applyFont="1" applyFill="1"/>
    <xf numFmtId="14" fontId="16" fillId="0" borderId="7" xfId="0" applyNumberFormat="1" applyFont="1" applyFill="1" applyBorder="1"/>
    <xf numFmtId="0" fontId="16" fillId="0" borderId="7" xfId="0" applyFont="1" applyFill="1" applyBorder="1"/>
    <xf numFmtId="14" fontId="1" fillId="0" borderId="0" xfId="0" applyNumberFormat="1" applyFont="1"/>
    <xf numFmtId="14" fontId="1" fillId="0" borderId="7" xfId="0" applyNumberFormat="1" applyFont="1" applyBorder="1"/>
    <xf numFmtId="0" fontId="1" fillId="0" borderId="7" xfId="0" applyFont="1" applyBorder="1"/>
    <xf numFmtId="0" fontId="16" fillId="0" borderId="2" xfId="0" applyFont="1" applyFill="1" applyBorder="1"/>
    <xf numFmtId="14" fontId="16" fillId="0" borderId="2" xfId="0" applyNumberFormat="1" applyFont="1" applyFill="1" applyBorder="1"/>
    <xf numFmtId="14" fontId="16" fillId="0" borderId="8" xfId="0" applyNumberFormat="1" applyFont="1" applyFill="1" applyBorder="1"/>
    <xf numFmtId="0" fontId="16" fillId="0" borderId="8" xfId="0" applyFont="1" applyFill="1" applyBorder="1"/>
    <xf numFmtId="0" fontId="6" fillId="0" borderId="7" xfId="0" applyFont="1" applyFill="1" applyBorder="1"/>
    <xf numFmtId="0" fontId="0" fillId="0" borderId="0" xfId="0" applyFont="1" applyFill="1"/>
    <xf numFmtId="0" fontId="0" fillId="0" borderId="7" xfId="0" applyFont="1" applyFill="1" applyBorder="1"/>
    <xf numFmtId="0" fontId="1" fillId="0" borderId="0" xfId="0" applyFont="1" applyFill="1"/>
    <xf numFmtId="0" fontId="1" fillId="0" borderId="7" xfId="0" applyFont="1" applyFill="1" applyBorder="1"/>
    <xf numFmtId="166" fontId="1" fillId="0" borderId="7" xfId="0" applyNumberFormat="1" applyFont="1" applyFill="1" applyBorder="1"/>
    <xf numFmtId="0" fontId="18" fillId="0" borderId="0" xfId="0" applyFont="1" applyFill="1" applyAlignment="1">
      <alignment vertical="center"/>
    </xf>
    <xf numFmtId="3" fontId="1" fillId="0" borderId="0" xfId="0" applyNumberFormat="1" applyFont="1" applyFill="1"/>
    <xf numFmtId="9" fontId="1" fillId="0" borderId="0" xfId="0" applyNumberFormat="1" applyFont="1"/>
    <xf numFmtId="9" fontId="1" fillId="0" borderId="7" xfId="0" applyNumberFormat="1" applyFont="1" applyBorder="1"/>
    <xf numFmtId="0" fontId="0" fillId="0" borderId="0" xfId="0" quotePrefix="1"/>
    <xf numFmtId="0" fontId="0" fillId="0" borderId="7" xfId="0" quotePrefix="1" applyBorder="1"/>
    <xf numFmtId="0" fontId="6" fillId="3" borderId="0" xfId="0" applyFont="1" applyFill="1" applyBorder="1"/>
    <xf numFmtId="0" fontId="6" fillId="0" borderId="0" xfId="0" applyFont="1" applyFill="1" applyBorder="1"/>
    <xf numFmtId="2" fontId="0" fillId="0" borderId="0" xfId="0" quotePrefix="1" applyNumberFormat="1" applyAlignment="1">
      <alignment horizontal="right"/>
    </xf>
    <xf numFmtId="0" fontId="0" fillId="0" borderId="0" xfId="0" applyFont="1" applyFill="1" applyBorder="1"/>
    <xf numFmtId="20" fontId="0" fillId="0" borderId="7" xfId="0" applyNumberFormat="1" applyBorder="1"/>
    <xf numFmtId="0" fontId="0" fillId="3" borderId="7" xfId="0" applyFill="1" applyBorder="1"/>
    <xf numFmtId="0" fontId="4" fillId="3" borderId="0" xfId="1" applyFill="1"/>
    <xf numFmtId="0" fontId="0" fillId="3" borderId="0" xfId="0" applyFill="1" applyBorder="1"/>
  </cellXfs>
  <cellStyles count="2">
    <cellStyle name="Hyperlink" xfId="1" builtinId="8"/>
    <cellStyle name="Normal" xfId="0" builtinId="0"/>
  </cellStyles>
  <dxfs count="99">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rocketlabusa.com/launch/electron/" TargetMode="External"/><Relationship Id="rId3" Type="http://schemas.openxmlformats.org/officeDocument/2006/relationships/hyperlink" Target="https://www.rocketlabusa.com/space-systems/space-software/" TargetMode="External"/><Relationship Id="rId7" Type="http://schemas.openxmlformats.org/officeDocument/2006/relationships/hyperlink" Target="https://www.rocketlabusa.com/space-systems/space-software/max-ground-data-systems/" TargetMode="External"/><Relationship Id="rId12" Type="http://schemas.openxmlformats.org/officeDocument/2006/relationships/comments" Target="../comments1.xm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olar/" TargetMode="External"/><Relationship Id="rId6" Type="http://schemas.openxmlformats.org/officeDocument/2006/relationships/hyperlink" Target="https://www.rocketlabusa.com/space-systems/space-software/max-flight-software/" TargetMode="External"/><Relationship Id="rId11" Type="http://schemas.openxmlformats.org/officeDocument/2006/relationships/vmlDrawing" Target="../drawings/vmlDrawing1.vml"/><Relationship Id="rId5" Type="http://schemas.openxmlformats.org/officeDocument/2006/relationships/hyperlink" Target="https://www.rocketlabusa.com/space-systems/space-software/solis/" TargetMode="External"/><Relationship Id="rId10" Type="http://schemas.openxmlformats.org/officeDocument/2006/relationships/hyperlink" Target="https://en.wikipedia.org/wiki/List_of_Electron_launches" TargetMode="External"/><Relationship Id="rId4" Type="http://schemas.openxmlformats.org/officeDocument/2006/relationships/hyperlink" Target="https://www.rocketlabusa.com/space-systems/space-software/" TargetMode="External"/><Relationship Id="rId9" Type="http://schemas.openxmlformats.org/officeDocument/2006/relationships/hyperlink" Target="https://www.rocketlabusa.com/launch/neutr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Rocket_Lab_Neutron" TargetMode="External"/><Relationship Id="rId3" Type="http://schemas.openxmlformats.org/officeDocument/2006/relationships/hyperlink" Target="https://en.wikipedia.org/wiki/New_Shepard" TargetMode="External"/><Relationship Id="rId7" Type="http://schemas.openxmlformats.org/officeDocument/2006/relationships/hyperlink" Target="https://en.wikipedia.org/wiki/SpaceX_Starship" TargetMode="External"/><Relationship Id="rId12" Type="http://schemas.openxmlformats.org/officeDocument/2006/relationships/comments" Target="../comments2.xml"/><Relationship Id="rId2" Type="http://schemas.openxmlformats.org/officeDocument/2006/relationships/hyperlink" Target="https://en.wikipedia.org/wiki/Vulcan_Centaur" TargetMode="External"/><Relationship Id="rId1" Type="http://schemas.openxmlformats.org/officeDocument/2006/relationships/hyperlink" Target="https://en.wikipedia.org/wiki/Atlas_V" TargetMode="External"/><Relationship Id="rId6" Type="http://schemas.openxmlformats.org/officeDocument/2006/relationships/hyperlink" Target="https://en.wikipedia.org/wiki/Falcon_Heavy" TargetMode="External"/><Relationship Id="rId11" Type="http://schemas.openxmlformats.org/officeDocument/2006/relationships/vmlDrawing" Target="../drawings/vmlDrawing2.vml"/><Relationship Id="rId5" Type="http://schemas.openxmlformats.org/officeDocument/2006/relationships/hyperlink" Target="https://en.wikipedia.org/wiki/Falcon_9" TargetMode="External"/><Relationship Id="rId10" Type="http://schemas.openxmlformats.org/officeDocument/2006/relationships/hyperlink" Target="https://en.wikipedia.org/wiki/Firefly_Alpha" TargetMode="External"/><Relationship Id="rId4" Type="http://schemas.openxmlformats.org/officeDocument/2006/relationships/hyperlink" Target="https://en.wikipedia.org/wiki/New_Glenn" TargetMode="External"/><Relationship Id="rId9" Type="http://schemas.openxmlformats.org/officeDocument/2006/relationships/hyperlink" Target="https://en.wikipedia.org/wiki/Rocket_Lab_Electron"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List_of_Electron_laun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21" sqref="E21"/>
    </sheetView>
  </sheetViews>
  <sheetFormatPr defaultRowHeight="14.5" x14ac:dyDescent="0.35"/>
  <cols>
    <col min="2" max="2" width="10.7265625" bestFit="1" customWidth="1"/>
  </cols>
  <sheetData>
    <row r="1" spans="1:2" ht="15" customHeight="1" thickBot="1" x14ac:dyDescent="0.4">
      <c r="A1" t="e">
        <v>#VALUE!</v>
      </c>
    </row>
    <row r="2" spans="1:2" x14ac:dyDescent="0.35">
      <c r="A2" s="15" t="s">
        <v>0</v>
      </c>
      <c r="B2" s="18" t="e" vm="1">
        <f t="array" ref="B2">_FV(A1,"Price")</f>
        <v>#VALUE!</v>
      </c>
    </row>
    <row r="3" spans="1:2" x14ac:dyDescent="0.35">
      <c r="A3" s="16" t="s">
        <v>1</v>
      </c>
      <c r="B3" s="7" t="e" vm="2">
        <f t="array" ref="B3">_FV(A1,"Shares outstanding",TRUE)/1000000</f>
        <v>#VALUE!</v>
      </c>
    </row>
    <row r="4" spans="1:2" x14ac:dyDescent="0.35">
      <c r="A4" s="16" t="s">
        <v>2</v>
      </c>
      <c r="B4" s="18" t="e" vm="3">
        <f>B2*B3</f>
        <v>#VALUE!</v>
      </c>
    </row>
    <row r="5" spans="1:2" x14ac:dyDescent="0.35">
      <c r="A5" s="16" t="s">
        <v>3</v>
      </c>
      <c r="B5" s="7">
        <f>(Model!N95+Model!N96)/1000</f>
        <v>502.70699999999999</v>
      </c>
    </row>
    <row r="6" spans="1:2" x14ac:dyDescent="0.35">
      <c r="A6" s="16" t="s">
        <v>4</v>
      </c>
      <c r="B6" s="7">
        <f>(Model!N120+Model!N127)/1000</f>
        <v>144.23699999999999</v>
      </c>
    </row>
    <row r="7" spans="1:2" ht="15" customHeight="1" thickBot="1" x14ac:dyDescent="0.4">
      <c r="A7" s="17" t="s">
        <v>5</v>
      </c>
      <c r="B7" s="18" t="e" vm="3">
        <f>B4-B5+B6</f>
        <v>#VALUE!</v>
      </c>
    </row>
    <row r="8" spans="1:2" x14ac:dyDescent="0.35">
      <c r="A8" s="14" t="s">
        <v>6</v>
      </c>
      <c r="B8" s="18" t="e" vm="3">
        <f>B7/B3</f>
        <v>#VALUE!</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8"/>
  <sheetViews>
    <sheetView topLeftCell="A122" workbookViewId="0">
      <selection activeCell="A80" sqref="A80:J149"/>
    </sheetView>
  </sheetViews>
  <sheetFormatPr defaultRowHeight="14.5" x14ac:dyDescent="0.35"/>
  <cols>
    <col min="1" max="1" width="44.90625" customWidth="1"/>
    <col min="2" max="2" width="10.6328125" customWidth="1"/>
    <col min="3" max="3" width="13.6328125" style="36" customWidth="1"/>
    <col min="4" max="4" width="10.6328125" customWidth="1"/>
    <col min="5" max="5" width="16.08984375" style="36" customWidth="1"/>
    <col min="7" max="7" width="11.26953125" customWidth="1"/>
    <col min="8" max="8" width="17" customWidth="1"/>
    <col min="9" max="9" width="15.6328125" customWidth="1"/>
  </cols>
  <sheetData>
    <row r="1" spans="1:5" x14ac:dyDescent="0.35">
      <c r="A1" t="s">
        <v>7</v>
      </c>
      <c r="B1" t="s">
        <v>8</v>
      </c>
      <c r="C1" s="36" t="s">
        <v>9</v>
      </c>
      <c r="E1"/>
    </row>
    <row r="2" spans="1:5" x14ac:dyDescent="0.35">
      <c r="A2" t="s">
        <v>10</v>
      </c>
      <c r="B2" t="s">
        <v>11</v>
      </c>
      <c r="C2" s="36" t="s">
        <v>11</v>
      </c>
      <c r="E2"/>
    </row>
    <row r="3" spans="1:5" x14ac:dyDescent="0.35">
      <c r="A3" t="s">
        <v>12</v>
      </c>
      <c r="B3" t="s">
        <v>13</v>
      </c>
      <c r="C3" s="36" t="s">
        <v>13</v>
      </c>
      <c r="E3"/>
    </row>
    <row r="4" spans="1:5" x14ac:dyDescent="0.35">
      <c r="A4" t="s">
        <v>14</v>
      </c>
      <c r="B4" t="s">
        <v>15</v>
      </c>
      <c r="C4" s="36" t="s">
        <v>15</v>
      </c>
      <c r="E4"/>
    </row>
    <row r="5" spans="1:5" x14ac:dyDescent="0.35">
      <c r="A5" t="s">
        <v>16</v>
      </c>
      <c r="B5" t="s">
        <v>17</v>
      </c>
      <c r="C5" s="36" t="s">
        <v>17</v>
      </c>
      <c r="E5"/>
    </row>
    <row r="6" spans="1:5" x14ac:dyDescent="0.35">
      <c r="A6" s="6" t="s">
        <v>18</v>
      </c>
      <c r="B6" s="6"/>
      <c r="C6" s="54" t="s">
        <v>19</v>
      </c>
      <c r="E6" s="10" t="s">
        <v>20</v>
      </c>
    </row>
    <row r="7" spans="1:5" x14ac:dyDescent="0.35">
      <c r="A7" t="s">
        <v>21</v>
      </c>
      <c r="E7"/>
    </row>
    <row r="8" spans="1:5" x14ac:dyDescent="0.35">
      <c r="A8" t="s">
        <v>22</v>
      </c>
      <c r="C8" s="36" t="s">
        <v>23</v>
      </c>
      <c r="E8" s="5">
        <v>43951</v>
      </c>
    </row>
    <row r="9" spans="1:5" x14ac:dyDescent="0.35">
      <c r="A9" s="19" t="s">
        <v>24</v>
      </c>
      <c r="B9" s="19"/>
      <c r="C9" s="36" t="s">
        <v>25</v>
      </c>
      <c r="E9" s="5">
        <v>44579</v>
      </c>
    </row>
    <row r="10" spans="1:5" x14ac:dyDescent="0.35">
      <c r="A10" s="19" t="s">
        <v>26</v>
      </c>
      <c r="B10" s="19"/>
      <c r="C10" s="36" t="s">
        <v>27</v>
      </c>
      <c r="E10" s="5">
        <v>44515</v>
      </c>
    </row>
    <row r="11" spans="1:5" x14ac:dyDescent="0.35">
      <c r="A11" s="19" t="s">
        <v>28</v>
      </c>
      <c r="B11" s="19"/>
      <c r="E11" s="5">
        <v>44481</v>
      </c>
    </row>
    <row r="12" spans="1:5" s="10" customFormat="1" x14ac:dyDescent="0.35">
      <c r="A12" s="6" t="s">
        <v>29</v>
      </c>
      <c r="B12" s="6"/>
      <c r="C12" s="54"/>
    </row>
    <row r="13" spans="1:5" x14ac:dyDescent="0.35">
      <c r="A13" t="s">
        <v>30</v>
      </c>
      <c r="E13"/>
    </row>
    <row r="14" spans="1:5" x14ac:dyDescent="0.35">
      <c r="A14" t="s">
        <v>31</v>
      </c>
      <c r="E14"/>
    </row>
    <row r="15" spans="1:5" x14ac:dyDescent="0.35">
      <c r="A15" s="19" t="s">
        <v>32</v>
      </c>
      <c r="B15" s="19"/>
      <c r="E15"/>
    </row>
    <row r="16" spans="1:5" x14ac:dyDescent="0.35">
      <c r="A16" t="s">
        <v>33</v>
      </c>
      <c r="E16"/>
    </row>
    <row r="17" spans="1:13" x14ac:dyDescent="0.35">
      <c r="A17" s="6" t="s">
        <v>34</v>
      </c>
      <c r="B17" s="6"/>
      <c r="E17"/>
    </row>
    <row r="18" spans="1:13" x14ac:dyDescent="0.35">
      <c r="A18" s="19" t="s">
        <v>35</v>
      </c>
      <c r="B18" s="19"/>
      <c r="E18"/>
    </row>
    <row r="19" spans="1:13" x14ac:dyDescent="0.35">
      <c r="A19" s="19" t="s">
        <v>36</v>
      </c>
      <c r="B19" s="19"/>
      <c r="E19"/>
    </row>
    <row r="20" spans="1:13" x14ac:dyDescent="0.35">
      <c r="A20" s="19" t="s">
        <v>37</v>
      </c>
      <c r="B20" s="19"/>
      <c r="E20"/>
    </row>
    <row r="21" spans="1:13" x14ac:dyDescent="0.35">
      <c r="A21" s="6" t="s">
        <v>458</v>
      </c>
      <c r="C21" s="55" t="s">
        <v>38</v>
      </c>
      <c r="D21" s="6" t="s">
        <v>39</v>
      </c>
      <c r="E21"/>
      <c r="F21" s="6" t="s">
        <v>40</v>
      </c>
    </row>
    <row r="22" spans="1:13" x14ac:dyDescent="0.35">
      <c r="A22" s="19" t="s">
        <v>41</v>
      </c>
      <c r="B22" s="19"/>
      <c r="C22" s="36">
        <v>32</v>
      </c>
      <c r="D22">
        <v>152</v>
      </c>
      <c r="E22"/>
      <c r="F22" t="s">
        <v>42</v>
      </c>
    </row>
    <row r="23" spans="1:13" x14ac:dyDescent="0.35">
      <c r="A23" s="19" t="s">
        <v>43</v>
      </c>
      <c r="B23" s="19"/>
      <c r="E23"/>
      <c r="F23" t="s">
        <v>44</v>
      </c>
    </row>
    <row r="24" spans="1:13" x14ac:dyDescent="0.35">
      <c r="A24" s="6" t="s">
        <v>45</v>
      </c>
      <c r="C24" s="55" t="s">
        <v>46</v>
      </c>
      <c r="D24" s="6" t="s">
        <v>47</v>
      </c>
      <c r="E24" s="6" t="s">
        <v>48</v>
      </c>
    </row>
    <row r="25" spans="1:13" x14ac:dyDescent="0.35">
      <c r="A25" t="s">
        <v>49</v>
      </c>
      <c r="C25" s="36" t="s">
        <v>50</v>
      </c>
      <c r="D25" t="s">
        <v>51</v>
      </c>
      <c r="E25" s="5">
        <v>42639</v>
      </c>
    </row>
    <row r="26" spans="1:13" x14ac:dyDescent="0.35">
      <c r="A26" t="s">
        <v>52</v>
      </c>
      <c r="C26" s="36" t="s">
        <v>13</v>
      </c>
      <c r="D26" t="s">
        <v>53</v>
      </c>
      <c r="E26" s="5">
        <v>43739</v>
      </c>
    </row>
    <row r="27" spans="1:13" x14ac:dyDescent="0.35">
      <c r="A27" s="60" t="s">
        <v>54</v>
      </c>
      <c r="B27" s="6" t="s">
        <v>55</v>
      </c>
      <c r="C27" s="55" t="s">
        <v>56</v>
      </c>
      <c r="D27" s="6" t="s">
        <v>57</v>
      </c>
      <c r="E27" s="59" t="s">
        <v>58</v>
      </c>
      <c r="F27" s="6" t="s">
        <v>59</v>
      </c>
      <c r="G27" s="6" t="s">
        <v>60</v>
      </c>
      <c r="H27" s="6" t="s">
        <v>61</v>
      </c>
      <c r="I27" s="6" t="s">
        <v>62</v>
      </c>
      <c r="J27" s="6" t="s">
        <v>63</v>
      </c>
      <c r="K27" s="6" t="s">
        <v>64</v>
      </c>
      <c r="L27" s="6" t="s">
        <v>65</v>
      </c>
      <c r="M27" s="6" t="s">
        <v>66</v>
      </c>
    </row>
    <row r="28" spans="1:13" x14ac:dyDescent="0.35">
      <c r="A28" t="s">
        <v>67</v>
      </c>
      <c r="B28" s="5">
        <v>42880</v>
      </c>
      <c r="C28" s="115">
        <v>0.18055555555555561</v>
      </c>
      <c r="D28" t="s">
        <v>41</v>
      </c>
      <c r="E28" s="5" t="s">
        <v>68</v>
      </c>
      <c r="F28" t="s">
        <v>69</v>
      </c>
      <c r="G28">
        <v>0</v>
      </c>
      <c r="H28" t="s">
        <v>70</v>
      </c>
      <c r="I28" t="s">
        <v>71</v>
      </c>
      <c r="J28" t="b">
        <v>0</v>
      </c>
      <c r="K28">
        <v>1</v>
      </c>
      <c r="L28" t="s">
        <v>72</v>
      </c>
    </row>
    <row r="29" spans="1:13" x14ac:dyDescent="0.35">
      <c r="A29" t="s">
        <v>73</v>
      </c>
      <c r="B29" s="5">
        <v>43121</v>
      </c>
      <c r="C29" s="115">
        <v>7.1527777777777773E-2</v>
      </c>
      <c r="D29" t="s">
        <v>41</v>
      </c>
      <c r="E29" s="5" t="s">
        <v>68</v>
      </c>
      <c r="F29" t="s">
        <v>74</v>
      </c>
      <c r="G29">
        <v>13</v>
      </c>
      <c r="H29" t="s">
        <v>75</v>
      </c>
      <c r="I29" t="s">
        <v>76</v>
      </c>
      <c r="J29" t="b">
        <v>0</v>
      </c>
      <c r="K29">
        <v>2</v>
      </c>
      <c r="L29" t="s">
        <v>77</v>
      </c>
    </row>
    <row r="30" spans="1:13" x14ac:dyDescent="0.35">
      <c r="A30" t="s">
        <v>78</v>
      </c>
      <c r="B30" s="5">
        <v>43415</v>
      </c>
      <c r="C30" s="115">
        <v>0.15972222222222221</v>
      </c>
      <c r="D30" t="s">
        <v>41</v>
      </c>
      <c r="E30" s="5" t="s">
        <v>68</v>
      </c>
      <c r="F30" t="s">
        <v>79</v>
      </c>
      <c r="G30">
        <v>45</v>
      </c>
      <c r="H30" t="s">
        <v>70</v>
      </c>
      <c r="I30" t="s">
        <v>76</v>
      </c>
      <c r="J30" t="b">
        <v>0</v>
      </c>
      <c r="K30">
        <v>4</v>
      </c>
      <c r="L30" t="s">
        <v>80</v>
      </c>
    </row>
    <row r="31" spans="1:13" x14ac:dyDescent="0.35">
      <c r="A31" t="s">
        <v>81</v>
      </c>
      <c r="B31" s="5">
        <v>43450</v>
      </c>
      <c r="C31" s="115">
        <v>0.27291666666666659</v>
      </c>
      <c r="D31" t="s">
        <v>41</v>
      </c>
      <c r="E31" s="5" t="s">
        <v>68</v>
      </c>
      <c r="F31" t="s">
        <v>82</v>
      </c>
      <c r="G31">
        <v>78</v>
      </c>
      <c r="H31" t="s">
        <v>70</v>
      </c>
      <c r="I31" t="s">
        <v>76</v>
      </c>
      <c r="J31" t="b">
        <v>0</v>
      </c>
      <c r="K31">
        <v>1</v>
      </c>
      <c r="L31" t="s">
        <v>83</v>
      </c>
      <c r="M31" t="s">
        <v>84</v>
      </c>
    </row>
    <row r="32" spans="1:13" x14ac:dyDescent="0.35">
      <c r="D32" t="s">
        <v>41</v>
      </c>
      <c r="E32" s="5"/>
    </row>
    <row r="33" spans="1:5" s="6" customFormat="1" x14ac:dyDescent="0.35">
      <c r="C33" s="55"/>
      <c r="D33" t="s">
        <v>41</v>
      </c>
      <c r="E33" s="5"/>
    </row>
    <row r="34" spans="1:5" x14ac:dyDescent="0.35">
      <c r="A34" t="s">
        <v>85</v>
      </c>
      <c r="D34" t="s">
        <v>41</v>
      </c>
      <c r="E34" s="5"/>
    </row>
    <row r="35" spans="1:5" x14ac:dyDescent="0.35">
      <c r="A35" s="6" t="s">
        <v>86</v>
      </c>
      <c r="B35" s="6" t="s">
        <v>87</v>
      </c>
      <c r="C35" s="55" t="s">
        <v>58</v>
      </c>
      <c r="E35"/>
    </row>
    <row r="36" spans="1:5" x14ac:dyDescent="0.35">
      <c r="A36" t="s">
        <v>88</v>
      </c>
      <c r="B36">
        <v>2024</v>
      </c>
      <c r="C36" s="36" t="s">
        <v>53</v>
      </c>
      <c r="E36"/>
    </row>
    <row r="37" spans="1:5" x14ac:dyDescent="0.35">
      <c r="A37" t="s">
        <v>89</v>
      </c>
      <c r="B37" t="s">
        <v>90</v>
      </c>
      <c r="C37" s="36" t="s">
        <v>53</v>
      </c>
      <c r="E37"/>
    </row>
    <row r="38" spans="1:5" s="6" customFormat="1" x14ac:dyDescent="0.35">
      <c r="A38" t="s">
        <v>91</v>
      </c>
      <c r="B38" s="58">
        <v>45047</v>
      </c>
      <c r="C38" s="36" t="s">
        <v>53</v>
      </c>
    </row>
    <row r="39" spans="1:5" x14ac:dyDescent="0.35">
      <c r="A39" t="s">
        <v>92</v>
      </c>
      <c r="B39" s="58">
        <v>44986</v>
      </c>
      <c r="C39" s="36" t="s">
        <v>50</v>
      </c>
      <c r="E39"/>
    </row>
    <row r="40" spans="1:5" x14ac:dyDescent="0.35">
      <c r="D40" s="57" t="s">
        <v>93</v>
      </c>
      <c r="E40"/>
    </row>
    <row r="41" spans="1:5" x14ac:dyDescent="0.35">
      <c r="D41" s="57" t="s">
        <v>94</v>
      </c>
      <c r="E41"/>
    </row>
    <row r="42" spans="1:5" x14ac:dyDescent="0.35">
      <c r="D42" s="57" t="s">
        <v>95</v>
      </c>
      <c r="E42"/>
    </row>
    <row r="43" spans="1:5" s="6" customFormat="1" x14ac:dyDescent="0.35">
      <c r="A43" t="s">
        <v>96</v>
      </c>
      <c r="C43" s="55"/>
      <c r="D43" s="57" t="s">
        <v>97</v>
      </c>
    </row>
    <row r="44" spans="1:5" x14ac:dyDescent="0.35">
      <c r="E44"/>
    </row>
    <row r="45" spans="1:5" x14ac:dyDescent="0.35">
      <c r="E45"/>
    </row>
    <row r="46" spans="1:5" x14ac:dyDescent="0.35">
      <c r="E46"/>
    </row>
    <row r="47" spans="1:5" s="6" customFormat="1" x14ac:dyDescent="0.35">
      <c r="A47" s="6" t="s">
        <v>459</v>
      </c>
      <c r="C47" s="55"/>
    </row>
    <row r="48" spans="1:5" x14ac:dyDescent="0.35">
      <c r="A48" s="77" t="s">
        <v>460</v>
      </c>
      <c r="E48"/>
    </row>
    <row r="49" spans="1:3" customFormat="1" x14ac:dyDescent="0.35">
      <c r="A49" s="77" t="s">
        <v>461</v>
      </c>
      <c r="C49" s="36"/>
    </row>
    <row r="50" spans="1:3" customFormat="1" x14ac:dyDescent="0.35">
      <c r="A50" s="77" t="s">
        <v>462</v>
      </c>
      <c r="C50" s="36"/>
    </row>
    <row r="51" spans="1:3" customFormat="1" x14ac:dyDescent="0.35">
      <c r="A51" s="77" t="s">
        <v>463</v>
      </c>
      <c r="C51" s="36"/>
    </row>
    <row r="52" spans="1:3" customFormat="1" x14ac:dyDescent="0.35">
      <c r="C52" s="36"/>
    </row>
    <row r="53" spans="1:3" s="6" customFormat="1" x14ac:dyDescent="0.35">
      <c r="A53" s="6" t="s">
        <v>464</v>
      </c>
      <c r="C53" s="55"/>
    </row>
    <row r="54" spans="1:3" customFormat="1" x14ac:dyDescent="0.35">
      <c r="A54" s="79" t="s">
        <v>467</v>
      </c>
      <c r="C54" s="36"/>
    </row>
    <row r="55" spans="1:3" customFormat="1" x14ac:dyDescent="0.35">
      <c r="A55" s="79" t="s">
        <v>468</v>
      </c>
      <c r="C55" s="36"/>
    </row>
    <row r="56" spans="1:3" customFormat="1" x14ac:dyDescent="0.35">
      <c r="A56" s="79" t="s">
        <v>469</v>
      </c>
      <c r="C56" s="36"/>
    </row>
    <row r="57" spans="1:3" customFormat="1" x14ac:dyDescent="0.35">
      <c r="A57" s="79" t="s">
        <v>470</v>
      </c>
      <c r="C57" s="36"/>
    </row>
    <row r="58" spans="1:3" customFormat="1" x14ac:dyDescent="0.35">
      <c r="A58" s="79" t="s">
        <v>471</v>
      </c>
      <c r="C58" s="36"/>
    </row>
    <row r="59" spans="1:3" customFormat="1" x14ac:dyDescent="0.35">
      <c r="A59" s="79" t="s">
        <v>472</v>
      </c>
      <c r="C59" s="36"/>
    </row>
    <row r="60" spans="1:3" customFormat="1" x14ac:dyDescent="0.35">
      <c r="A60" s="79" t="s">
        <v>473</v>
      </c>
      <c r="C60" s="36"/>
    </row>
    <row r="61" spans="1:3" customFormat="1" x14ac:dyDescent="0.35">
      <c r="A61" s="79" t="s">
        <v>474</v>
      </c>
      <c r="C61" s="36"/>
    </row>
    <row r="62" spans="1:3" customFormat="1" x14ac:dyDescent="0.35">
      <c r="A62" s="79" t="s">
        <v>475</v>
      </c>
      <c r="C62" s="36"/>
    </row>
    <row r="63" spans="1:3" customFormat="1" x14ac:dyDescent="0.35">
      <c r="A63" s="79" t="s">
        <v>476</v>
      </c>
      <c r="C63" s="36"/>
    </row>
    <row r="64" spans="1:3" customFormat="1" x14ac:dyDescent="0.35">
      <c r="A64" s="79" t="s">
        <v>477</v>
      </c>
      <c r="C64" s="36"/>
    </row>
    <row r="65" spans="1:3" customFormat="1" x14ac:dyDescent="0.35">
      <c r="A65" s="79" t="s">
        <v>478</v>
      </c>
      <c r="C65" s="36"/>
    </row>
    <row r="66" spans="1:3" customFormat="1" x14ac:dyDescent="0.35">
      <c r="A66" s="79" t="s">
        <v>479</v>
      </c>
      <c r="C66" s="36"/>
    </row>
    <row r="67" spans="1:3" customFormat="1" x14ac:dyDescent="0.35">
      <c r="A67" s="79" t="s">
        <v>480</v>
      </c>
      <c r="C67" s="36"/>
    </row>
    <row r="68" spans="1:3" customFormat="1" x14ac:dyDescent="0.35">
      <c r="A68" s="80" t="s">
        <v>481</v>
      </c>
      <c r="C68" s="36"/>
    </row>
    <row r="69" spans="1:3" customFormat="1" x14ac:dyDescent="0.35">
      <c r="A69" s="79" t="s">
        <v>482</v>
      </c>
      <c r="C69" s="36"/>
    </row>
    <row r="70" spans="1:3" customFormat="1" x14ac:dyDescent="0.35">
      <c r="A70" s="79" t="s">
        <v>483</v>
      </c>
      <c r="C70" s="36"/>
    </row>
    <row r="71" spans="1:3" customFormat="1" x14ac:dyDescent="0.35">
      <c r="A71" s="79" t="s">
        <v>465</v>
      </c>
      <c r="C71" s="36"/>
    </row>
    <row r="72" spans="1:3" customFormat="1" x14ac:dyDescent="0.35">
      <c r="A72" s="79" t="s">
        <v>466</v>
      </c>
      <c r="C72" s="36"/>
    </row>
    <row r="73" spans="1:3" customFormat="1" x14ac:dyDescent="0.35">
      <c r="A73" s="79" t="s">
        <v>484</v>
      </c>
      <c r="C73" s="36"/>
    </row>
    <row r="74" spans="1:3" customFormat="1" x14ac:dyDescent="0.35">
      <c r="A74" s="78"/>
      <c r="C74" s="36"/>
    </row>
    <row r="75" spans="1:3" customFormat="1" x14ac:dyDescent="0.35">
      <c r="C75" s="36"/>
    </row>
    <row r="76" spans="1:3" s="6" customFormat="1" x14ac:dyDescent="0.35">
      <c r="C76" s="55"/>
    </row>
    <row r="77" spans="1:3" customFormat="1" x14ac:dyDescent="0.35">
      <c r="C77" s="36"/>
    </row>
    <row r="78" spans="1:3" customFormat="1" x14ac:dyDescent="0.35">
      <c r="C78" s="36"/>
    </row>
    <row r="79" spans="1:3" customFormat="1" x14ac:dyDescent="0.35">
      <c r="C79" s="36"/>
    </row>
    <row r="80" spans="1:3" s="6" customFormat="1" x14ac:dyDescent="0.35">
      <c r="A80" s="6" t="s">
        <v>459</v>
      </c>
      <c r="C80" s="55"/>
    </row>
    <row r="81" spans="1:5" s="6" customFormat="1" x14ac:dyDescent="0.35">
      <c r="A81" s="6" t="s">
        <v>498</v>
      </c>
      <c r="C81" s="55"/>
    </row>
    <row r="82" spans="1:5" s="112" customFormat="1" x14ac:dyDescent="0.35">
      <c r="A82" s="30" t="s">
        <v>41</v>
      </c>
      <c r="B82" s="30"/>
      <c r="C82" s="71" t="s">
        <v>504</v>
      </c>
      <c r="D82" s="30"/>
      <c r="E82" s="99"/>
    </row>
    <row r="83" spans="1:5" s="114" customFormat="1" x14ac:dyDescent="0.35">
      <c r="A83" s="100" t="s">
        <v>527</v>
      </c>
      <c r="B83" s="100" t="s">
        <v>528</v>
      </c>
      <c r="C83" s="100" t="s">
        <v>527</v>
      </c>
      <c r="D83" s="100" t="s">
        <v>531</v>
      </c>
      <c r="E83" s="101"/>
    </row>
    <row r="84" spans="1:5" s="114" customFormat="1" x14ac:dyDescent="0.35">
      <c r="A84" s="100" t="s">
        <v>514</v>
      </c>
      <c r="B84" s="100">
        <v>7.5</v>
      </c>
      <c r="C84" s="101" t="s">
        <v>513</v>
      </c>
      <c r="D84" s="100"/>
      <c r="E84" s="101"/>
    </row>
    <row r="85" spans="1:5" x14ac:dyDescent="0.35">
      <c r="A85" t="s">
        <v>501</v>
      </c>
      <c r="B85">
        <v>18</v>
      </c>
      <c r="C85" s="36" t="s">
        <v>501</v>
      </c>
      <c r="D85">
        <v>42.8</v>
      </c>
    </row>
    <row r="86" spans="1:5" x14ac:dyDescent="0.35">
      <c r="A86" t="s">
        <v>502</v>
      </c>
      <c r="B86">
        <v>1.2</v>
      </c>
      <c r="C86" s="36" t="s">
        <v>502</v>
      </c>
      <c r="D86">
        <v>7</v>
      </c>
    </row>
    <row r="87" spans="1:5" x14ac:dyDescent="0.35">
      <c r="A87" t="s">
        <v>503</v>
      </c>
      <c r="B87">
        <v>12.5</v>
      </c>
      <c r="C87" s="36" t="s">
        <v>503</v>
      </c>
      <c r="D87">
        <v>480</v>
      </c>
    </row>
    <row r="88" spans="1:5" x14ac:dyDescent="0.35">
      <c r="A88" t="s">
        <v>511</v>
      </c>
      <c r="B88">
        <v>11.3</v>
      </c>
      <c r="C88" s="36" t="s">
        <v>511</v>
      </c>
      <c r="D88" t="s">
        <v>523</v>
      </c>
    </row>
    <row r="89" spans="1:5" x14ac:dyDescent="0.35">
      <c r="A89" t="s">
        <v>500</v>
      </c>
      <c r="B89" s="113" t="s">
        <v>505</v>
      </c>
      <c r="C89" s="36" t="s">
        <v>500</v>
      </c>
      <c r="D89" t="s">
        <v>523</v>
      </c>
    </row>
    <row r="90" spans="1:5" x14ac:dyDescent="0.35">
      <c r="A90" t="s">
        <v>54</v>
      </c>
      <c r="B90">
        <v>42</v>
      </c>
      <c r="C90" s="36" t="s">
        <v>54</v>
      </c>
      <c r="D90" t="s">
        <v>523</v>
      </c>
    </row>
    <row r="91" spans="1:5" x14ac:dyDescent="0.35">
      <c r="A91" t="s">
        <v>506</v>
      </c>
      <c r="B91">
        <v>4</v>
      </c>
      <c r="C91" s="36" t="s">
        <v>506</v>
      </c>
      <c r="D91" t="s">
        <v>523</v>
      </c>
    </row>
    <row r="92" spans="1:5" x14ac:dyDescent="0.35">
      <c r="A92" t="s">
        <v>507</v>
      </c>
      <c r="B92" s="13">
        <f>(B90-B91)/B90</f>
        <v>0.90476190476190477</v>
      </c>
      <c r="C92" s="36" t="s">
        <v>507</v>
      </c>
      <c r="D92" t="s">
        <v>523</v>
      </c>
    </row>
    <row r="93" spans="1:5" x14ac:dyDescent="0.35">
      <c r="A93" t="s">
        <v>512</v>
      </c>
      <c r="B93" s="27">
        <v>224.3</v>
      </c>
      <c r="C93" s="36" t="s">
        <v>512</v>
      </c>
      <c r="D93" t="s">
        <v>516</v>
      </c>
    </row>
    <row r="94" spans="1:5" x14ac:dyDescent="0.35">
      <c r="A94" s="109" t="s">
        <v>510</v>
      </c>
      <c r="C94" s="110" t="s">
        <v>510</v>
      </c>
    </row>
    <row r="95" spans="1:5" s="7" customFormat="1" x14ac:dyDescent="0.35">
      <c r="A95" s="7" t="s">
        <v>234</v>
      </c>
      <c r="B95" s="7">
        <v>300</v>
      </c>
      <c r="C95" s="39" t="s">
        <v>234</v>
      </c>
      <c r="D95" s="7" t="s">
        <v>515</v>
      </c>
      <c r="E95" s="39"/>
    </row>
    <row r="96" spans="1:5" s="7" customFormat="1" x14ac:dyDescent="0.35">
      <c r="A96" s="7" t="s">
        <v>509</v>
      </c>
      <c r="B96" s="7">
        <v>200</v>
      </c>
      <c r="C96" s="39" t="s">
        <v>509</v>
      </c>
      <c r="D96" s="7" t="s">
        <v>523</v>
      </c>
      <c r="E96" s="39"/>
    </row>
    <row r="98" spans="1:7" s="6" customFormat="1" x14ac:dyDescent="0.35">
      <c r="A98" s="6" t="s">
        <v>499</v>
      </c>
      <c r="C98" s="55"/>
      <c r="E98" s="55"/>
    </row>
    <row r="99" spans="1:7" x14ac:dyDescent="0.35">
      <c r="A99" s="30" t="s">
        <v>508</v>
      </c>
      <c r="B99" s="30"/>
      <c r="C99" s="71" t="s">
        <v>519</v>
      </c>
      <c r="D99" s="21"/>
      <c r="E99" s="116" t="s">
        <v>522</v>
      </c>
      <c r="F99" s="21"/>
      <c r="G99" s="21"/>
    </row>
    <row r="100" spans="1:7" s="100" customFormat="1" x14ac:dyDescent="0.35">
      <c r="A100" s="100" t="s">
        <v>527</v>
      </c>
      <c r="B100" s="100" t="s">
        <v>528</v>
      </c>
      <c r="C100" s="100" t="s">
        <v>527</v>
      </c>
      <c r="D100" s="100" t="s">
        <v>528</v>
      </c>
      <c r="E100" s="100" t="s">
        <v>527</v>
      </c>
      <c r="F100" s="100" t="s">
        <v>531</v>
      </c>
    </row>
    <row r="101" spans="1:7" x14ac:dyDescent="0.35">
      <c r="A101" s="100" t="s">
        <v>514</v>
      </c>
      <c r="B101">
        <v>67</v>
      </c>
      <c r="C101" s="101" t="s">
        <v>514</v>
      </c>
      <c r="D101" s="109" t="s">
        <v>520</v>
      </c>
      <c r="E101" s="101" t="s">
        <v>514</v>
      </c>
      <c r="F101">
        <v>5000</v>
      </c>
    </row>
    <row r="102" spans="1:7" x14ac:dyDescent="0.35">
      <c r="A102" t="s">
        <v>501</v>
      </c>
      <c r="B102">
        <v>70</v>
      </c>
      <c r="C102" s="36" t="s">
        <v>501</v>
      </c>
      <c r="D102">
        <v>70</v>
      </c>
      <c r="E102" s="36" t="s">
        <v>501</v>
      </c>
      <c r="F102">
        <v>121</v>
      </c>
    </row>
    <row r="103" spans="1:7" x14ac:dyDescent="0.35">
      <c r="A103" t="s">
        <v>502</v>
      </c>
      <c r="B103">
        <v>3.7</v>
      </c>
      <c r="C103" s="36" t="s">
        <v>502</v>
      </c>
      <c r="D103">
        <v>3.66</v>
      </c>
      <c r="E103" s="36" t="s">
        <v>502</v>
      </c>
      <c r="F103">
        <v>9</v>
      </c>
    </row>
    <row r="104" spans="1:7" x14ac:dyDescent="0.35">
      <c r="A104" t="s">
        <v>503</v>
      </c>
      <c r="B104">
        <v>549</v>
      </c>
      <c r="C104" s="36" t="s">
        <v>503</v>
      </c>
      <c r="D104">
        <v>1420</v>
      </c>
      <c r="E104" s="36" t="s">
        <v>503</v>
      </c>
      <c r="F104">
        <v>5000</v>
      </c>
    </row>
    <row r="105" spans="1:7" x14ac:dyDescent="0.35">
      <c r="A105" t="s">
        <v>511</v>
      </c>
      <c r="C105" s="36" t="s">
        <v>511</v>
      </c>
      <c r="E105" s="36" t="s">
        <v>511</v>
      </c>
    </row>
    <row r="106" spans="1:7" x14ac:dyDescent="0.35">
      <c r="A106" t="s">
        <v>500</v>
      </c>
      <c r="B106">
        <v>2</v>
      </c>
      <c r="C106" s="36" t="s">
        <v>500</v>
      </c>
      <c r="D106">
        <v>2.5</v>
      </c>
      <c r="E106" s="36" t="s">
        <v>500</v>
      </c>
      <c r="F106" t="s">
        <v>523</v>
      </c>
    </row>
    <row r="107" spans="1:7" x14ac:dyDescent="0.35">
      <c r="A107" t="s">
        <v>54</v>
      </c>
      <c r="B107">
        <v>295</v>
      </c>
      <c r="C107" s="36" t="s">
        <v>54</v>
      </c>
      <c r="E107" s="36" t="s">
        <v>54</v>
      </c>
      <c r="F107" t="s">
        <v>523</v>
      </c>
    </row>
    <row r="108" spans="1:7" x14ac:dyDescent="0.35">
      <c r="A108" t="s">
        <v>506</v>
      </c>
      <c r="B108">
        <v>1</v>
      </c>
      <c r="C108" s="36" t="s">
        <v>506</v>
      </c>
      <c r="E108" s="36" t="s">
        <v>506</v>
      </c>
      <c r="F108" t="s">
        <v>523</v>
      </c>
    </row>
    <row r="109" spans="1:7" x14ac:dyDescent="0.35">
      <c r="A109" t="s">
        <v>507</v>
      </c>
      <c r="B109" s="13">
        <f>(B107-B108)/B107</f>
        <v>0.99661016949152548</v>
      </c>
      <c r="C109" s="36" t="s">
        <v>507</v>
      </c>
      <c r="E109" s="36" t="s">
        <v>507</v>
      </c>
      <c r="F109" t="s">
        <v>523</v>
      </c>
    </row>
    <row r="110" spans="1:7" x14ac:dyDescent="0.35">
      <c r="A110" t="s">
        <v>512</v>
      </c>
      <c r="B110">
        <v>7607</v>
      </c>
      <c r="C110" s="36" t="s">
        <v>512</v>
      </c>
      <c r="E110" s="36" t="s">
        <v>512</v>
      </c>
      <c r="F110">
        <v>74400</v>
      </c>
    </row>
    <row r="111" spans="1:7" x14ac:dyDescent="0.35">
      <c r="A111" s="109" t="s">
        <v>510</v>
      </c>
      <c r="C111" s="110" t="s">
        <v>510</v>
      </c>
      <c r="E111" s="110" t="s">
        <v>510</v>
      </c>
    </row>
    <row r="112" spans="1:7" s="7" customFormat="1" x14ac:dyDescent="0.35">
      <c r="A112" s="7" t="s">
        <v>234</v>
      </c>
      <c r="B112" s="7">
        <v>22800</v>
      </c>
      <c r="C112" s="39" t="s">
        <v>234</v>
      </c>
      <c r="D112" s="7">
        <v>63800</v>
      </c>
      <c r="E112" s="39" t="s">
        <v>234</v>
      </c>
      <c r="F112" s="7" t="s">
        <v>523</v>
      </c>
    </row>
    <row r="113" spans="1:8" s="7" customFormat="1" x14ac:dyDescent="0.35">
      <c r="A113" s="7" t="s">
        <v>517</v>
      </c>
      <c r="B113" s="7">
        <v>8300</v>
      </c>
      <c r="C113" s="39" t="s">
        <v>517</v>
      </c>
      <c r="D113" s="7">
        <v>26700</v>
      </c>
      <c r="E113" s="39" t="s">
        <v>517</v>
      </c>
      <c r="F113" s="7" t="s">
        <v>523</v>
      </c>
    </row>
    <row r="114" spans="1:8" s="7" customFormat="1" x14ac:dyDescent="0.35">
      <c r="A114" s="7" t="s">
        <v>518</v>
      </c>
      <c r="B114" s="7">
        <v>4020</v>
      </c>
      <c r="C114" s="39" t="s">
        <v>518</v>
      </c>
      <c r="D114" s="7">
        <v>16800</v>
      </c>
      <c r="E114" s="39" t="s">
        <v>518</v>
      </c>
      <c r="F114" s="7" t="s">
        <v>523</v>
      </c>
    </row>
    <row r="115" spans="1:8" x14ac:dyDescent="0.35">
      <c r="C115" s="36" t="s">
        <v>521</v>
      </c>
      <c r="D115" s="7">
        <v>3500</v>
      </c>
    </row>
    <row r="117" spans="1:8" s="6" customFormat="1" x14ac:dyDescent="0.35">
      <c r="A117" s="6" t="s">
        <v>524</v>
      </c>
      <c r="C117" s="55"/>
      <c r="E117" s="55"/>
    </row>
    <row r="118" spans="1:8" x14ac:dyDescent="0.35">
      <c r="A118" s="30" t="s">
        <v>525</v>
      </c>
      <c r="B118" s="30"/>
      <c r="C118" s="71" t="s">
        <v>529</v>
      </c>
      <c r="D118" s="30"/>
      <c r="E118" s="71"/>
      <c r="F118" s="30"/>
      <c r="G118" s="30"/>
      <c r="H118" s="30"/>
    </row>
    <row r="119" spans="1:8" s="100" customFormat="1" x14ac:dyDescent="0.35">
      <c r="A119" s="100" t="s">
        <v>527</v>
      </c>
      <c r="B119" s="100" t="s">
        <v>528</v>
      </c>
      <c r="C119" s="101" t="s">
        <v>527</v>
      </c>
      <c r="D119" s="100" t="s">
        <v>531</v>
      </c>
      <c r="E119" s="101"/>
    </row>
    <row r="120" spans="1:8" x14ac:dyDescent="0.35">
      <c r="A120" s="100" t="s">
        <v>514</v>
      </c>
      <c r="B120" t="s">
        <v>526</v>
      </c>
      <c r="C120" s="101" t="s">
        <v>514</v>
      </c>
      <c r="D120" s="100" t="s">
        <v>523</v>
      </c>
    </row>
    <row r="121" spans="1:8" x14ac:dyDescent="0.35">
      <c r="A121" t="s">
        <v>501</v>
      </c>
      <c r="B121">
        <v>18</v>
      </c>
      <c r="C121" s="36" t="s">
        <v>501</v>
      </c>
      <c r="D121">
        <v>98</v>
      </c>
    </row>
    <row r="122" spans="1:8" x14ac:dyDescent="0.35">
      <c r="A122" t="s">
        <v>502</v>
      </c>
      <c r="B122">
        <v>3.7</v>
      </c>
      <c r="C122" s="36" t="s">
        <v>502</v>
      </c>
      <c r="D122">
        <v>7</v>
      </c>
    </row>
    <row r="123" spans="1:8" x14ac:dyDescent="0.35">
      <c r="A123" t="s">
        <v>503</v>
      </c>
      <c r="B123">
        <v>75</v>
      </c>
      <c r="C123" s="36" t="s">
        <v>503</v>
      </c>
      <c r="D123" t="s">
        <v>523</v>
      </c>
    </row>
    <row r="124" spans="1:8" x14ac:dyDescent="0.35">
      <c r="A124" t="s">
        <v>511</v>
      </c>
      <c r="C124" s="36" t="s">
        <v>511</v>
      </c>
    </row>
    <row r="125" spans="1:8" x14ac:dyDescent="0.35">
      <c r="A125" t="s">
        <v>500</v>
      </c>
      <c r="B125">
        <v>1</v>
      </c>
      <c r="C125" s="36" t="s">
        <v>500</v>
      </c>
      <c r="D125">
        <v>2</v>
      </c>
    </row>
    <row r="126" spans="1:8" x14ac:dyDescent="0.35">
      <c r="A126" t="s">
        <v>54</v>
      </c>
      <c r="B126">
        <v>24</v>
      </c>
      <c r="C126" s="36" t="s">
        <v>54</v>
      </c>
      <c r="D126" t="s">
        <v>523</v>
      </c>
    </row>
    <row r="127" spans="1:8" x14ac:dyDescent="0.35">
      <c r="A127" t="s">
        <v>506</v>
      </c>
      <c r="B127">
        <v>1</v>
      </c>
      <c r="C127" s="36" t="s">
        <v>506</v>
      </c>
      <c r="D127" t="s">
        <v>523</v>
      </c>
    </row>
    <row r="128" spans="1:8" x14ac:dyDescent="0.35">
      <c r="A128" t="s">
        <v>507</v>
      </c>
      <c r="B128" s="13">
        <f>(B126-B127)/B126</f>
        <v>0.95833333333333337</v>
      </c>
      <c r="C128" s="36" t="s">
        <v>507</v>
      </c>
      <c r="D128" t="s">
        <v>523</v>
      </c>
    </row>
    <row r="129" spans="1:8" x14ac:dyDescent="0.35">
      <c r="A129" t="s">
        <v>512</v>
      </c>
      <c r="B129">
        <v>490</v>
      </c>
      <c r="C129" s="36" t="s">
        <v>512</v>
      </c>
      <c r="D129">
        <v>17100</v>
      </c>
    </row>
    <row r="130" spans="1:8" x14ac:dyDescent="0.35">
      <c r="A130" s="109" t="s">
        <v>510</v>
      </c>
      <c r="C130" s="110" t="s">
        <v>510</v>
      </c>
    </row>
    <row r="133" spans="1:8" s="6" customFormat="1" x14ac:dyDescent="0.35">
      <c r="A133" s="6" t="s">
        <v>530</v>
      </c>
      <c r="C133" s="55"/>
      <c r="E133" s="55"/>
    </row>
    <row r="134" spans="1:8" x14ac:dyDescent="0.35">
      <c r="A134" s="30" t="s">
        <v>532</v>
      </c>
      <c r="B134" s="21"/>
      <c r="C134" s="116"/>
      <c r="D134" s="21"/>
      <c r="E134" s="116"/>
      <c r="F134" s="21"/>
      <c r="G134" s="21"/>
      <c r="H134" s="21"/>
    </row>
    <row r="135" spans="1:8" x14ac:dyDescent="0.35">
      <c r="A135" s="100" t="s">
        <v>527</v>
      </c>
      <c r="B135" s="100" t="s">
        <v>528</v>
      </c>
    </row>
    <row r="136" spans="1:8" x14ac:dyDescent="0.35">
      <c r="A136" s="100" t="s">
        <v>514</v>
      </c>
      <c r="B136" s="109" t="s">
        <v>533</v>
      </c>
    </row>
    <row r="137" spans="1:8" x14ac:dyDescent="0.35">
      <c r="A137" t="s">
        <v>501</v>
      </c>
      <c r="B137">
        <v>58.3</v>
      </c>
    </row>
    <row r="138" spans="1:8" x14ac:dyDescent="0.35">
      <c r="A138" t="s">
        <v>502</v>
      </c>
      <c r="B138">
        <v>3.81</v>
      </c>
    </row>
    <row r="139" spans="1:8" x14ac:dyDescent="0.35">
      <c r="A139" t="s">
        <v>503</v>
      </c>
      <c r="B139">
        <v>590</v>
      </c>
    </row>
    <row r="140" spans="1:8" x14ac:dyDescent="0.35">
      <c r="A140" t="s">
        <v>511</v>
      </c>
      <c r="B140">
        <v>43.63</v>
      </c>
    </row>
    <row r="141" spans="1:8" x14ac:dyDescent="0.35">
      <c r="A141" t="s">
        <v>500</v>
      </c>
      <c r="B141">
        <v>2</v>
      </c>
    </row>
    <row r="142" spans="1:8" x14ac:dyDescent="0.35">
      <c r="A142" t="s">
        <v>54</v>
      </c>
      <c r="B142">
        <v>99</v>
      </c>
    </row>
    <row r="143" spans="1:8" x14ac:dyDescent="0.35">
      <c r="A143" t="s">
        <v>506</v>
      </c>
      <c r="B143">
        <v>1</v>
      </c>
    </row>
    <row r="144" spans="1:8" x14ac:dyDescent="0.35">
      <c r="A144" t="s">
        <v>507</v>
      </c>
      <c r="B144" s="13">
        <f>(B142-B143)/B142</f>
        <v>0.98989898989898994</v>
      </c>
    </row>
    <row r="145" spans="1:2" x14ac:dyDescent="0.35">
      <c r="A145" t="s">
        <v>512</v>
      </c>
      <c r="B145">
        <v>1688.4</v>
      </c>
    </row>
    <row r="146" spans="1:2" x14ac:dyDescent="0.35">
      <c r="A146" s="109" t="s">
        <v>510</v>
      </c>
    </row>
    <row r="147" spans="1:2" x14ac:dyDescent="0.35">
      <c r="A147" t="s">
        <v>234</v>
      </c>
    </row>
    <row r="148" spans="1:2" x14ac:dyDescent="0.35">
      <c r="A148" t="s">
        <v>534</v>
      </c>
    </row>
  </sheetData>
  <conditionalFormatting sqref="D119">
    <cfRule type="containsText" dxfId="79" priority="28" operator="containsText" text="Retired">
      <formula>NOT(ISERROR(SEARCH("Retired",D119)))</formula>
    </cfRule>
    <cfRule type="containsText" dxfId="83" priority="29" operator="containsText" text="Active">
      <formula>NOT(ISERROR(SEARCH("Active",D119)))</formula>
    </cfRule>
    <cfRule type="containsText" dxfId="78" priority="30" operator="containsText" text="In Development">
      <formula>NOT(ISERROR(SEARCH("In Development",D119)))</formula>
    </cfRule>
  </conditionalFormatting>
  <conditionalFormatting sqref="B119">
    <cfRule type="containsText" dxfId="77" priority="19" operator="containsText" text="Retired">
      <formula>NOT(ISERROR(SEARCH("Retired",B119)))</formula>
    </cfRule>
    <cfRule type="containsText" dxfId="76" priority="20" operator="containsText" text="Active">
      <formula>NOT(ISERROR(SEARCH("Active",B119)))</formula>
    </cfRule>
    <cfRule type="containsText" dxfId="75" priority="21" operator="containsText" text="In Development">
      <formula>NOT(ISERROR(SEARCH("In Development",B119)))</formula>
    </cfRule>
  </conditionalFormatting>
  <conditionalFormatting sqref="B100">
    <cfRule type="containsText" dxfId="74" priority="16" operator="containsText" text="Retired">
      <formula>NOT(ISERROR(SEARCH("Retired",B100)))</formula>
    </cfRule>
    <cfRule type="containsText" dxfId="73" priority="17" operator="containsText" text="Active">
      <formula>NOT(ISERROR(SEARCH("Active",B100)))</formula>
    </cfRule>
    <cfRule type="containsText" dxfId="72" priority="18" operator="containsText" text="In Development">
      <formula>NOT(ISERROR(SEARCH("In Development",B100)))</formula>
    </cfRule>
  </conditionalFormatting>
  <conditionalFormatting sqref="D100">
    <cfRule type="containsText" dxfId="71" priority="13" operator="containsText" text="Retired">
      <formula>NOT(ISERROR(SEARCH("Retired",D100)))</formula>
    </cfRule>
    <cfRule type="containsText" dxfId="70" priority="14" operator="containsText" text="Active">
      <formula>NOT(ISERROR(SEARCH("Active",D100)))</formula>
    </cfRule>
    <cfRule type="containsText" dxfId="69" priority="15" operator="containsText" text="In Development">
      <formula>NOT(ISERROR(SEARCH("In Development",D100)))</formula>
    </cfRule>
  </conditionalFormatting>
  <conditionalFormatting sqref="F100">
    <cfRule type="containsText" dxfId="68" priority="10" operator="containsText" text="Retired">
      <formula>NOT(ISERROR(SEARCH("Retired",F100)))</formula>
    </cfRule>
    <cfRule type="containsText" dxfId="67" priority="11" operator="containsText" text="Active">
      <formula>NOT(ISERROR(SEARCH("Active",F100)))</formula>
    </cfRule>
    <cfRule type="containsText" dxfId="66" priority="12" operator="containsText" text="In Development">
      <formula>NOT(ISERROR(SEARCH("In Development",F100)))</formula>
    </cfRule>
  </conditionalFormatting>
  <conditionalFormatting sqref="B83">
    <cfRule type="containsText" dxfId="65" priority="7" operator="containsText" text="Retired">
      <formula>NOT(ISERROR(SEARCH("Retired",B83)))</formula>
    </cfRule>
    <cfRule type="containsText" dxfId="64" priority="8" operator="containsText" text="Active">
      <formula>NOT(ISERROR(SEARCH("Active",B83)))</formula>
    </cfRule>
    <cfRule type="containsText" dxfId="63" priority="9" operator="containsText" text="In Development">
      <formula>NOT(ISERROR(SEARCH("In Development",B83)))</formula>
    </cfRule>
  </conditionalFormatting>
  <conditionalFormatting sqref="D83">
    <cfRule type="containsText" dxfId="62" priority="4" operator="containsText" text="Retired">
      <formula>NOT(ISERROR(SEARCH("Retired",D83)))</formula>
    </cfRule>
    <cfRule type="containsText" dxfId="61" priority="5" operator="containsText" text="Active">
      <formula>NOT(ISERROR(SEARCH("Active",D83)))</formula>
    </cfRule>
    <cfRule type="containsText" dxfId="60" priority="6" operator="containsText" text="In Development">
      <formula>NOT(ISERROR(SEARCH("In Development",D83)))</formula>
    </cfRule>
  </conditionalFormatting>
  <conditionalFormatting sqref="B135">
    <cfRule type="containsText" dxfId="59" priority="1" operator="containsText" text="Retired">
      <formula>NOT(ISERROR(SEARCH("Retired",B135)))</formula>
    </cfRule>
    <cfRule type="containsText" dxfId="58" priority="2" operator="containsText" text="Active">
      <formula>NOT(ISERROR(SEARCH("Active",B135)))</formula>
    </cfRule>
    <cfRule type="containsText" dxfId="57" priority="3" operator="containsText" text="In Development">
      <formula>NOT(ISERROR(SEARCH("In Development",B135)))</formula>
    </cfRule>
  </conditionalFormatting>
  <hyperlinks>
    <hyperlink ref="A15" r:id="rId1" xr:uid="{00000000-0004-0000-0100-000000000000}"/>
    <hyperlink ref="A16" r:id="rId2" xr:uid="{00000000-0004-0000-0100-000001000000}"/>
    <hyperlink ref="A17" r:id="rId3" xr:uid="{00000000-0004-0000-0100-000002000000}"/>
    <hyperlink ref="A23" r:id="rId4" display="Rocketlab's space software has been used for an accumulative 176 years, 251 days. (2022-12-22)" xr:uid="{00000000-0004-0000-0100-000003000000}"/>
    <hyperlink ref="A29" r:id="rId5" xr:uid="{00000000-0004-0000-0100-000004000000}"/>
    <hyperlink ref="A30" r:id="rId6" xr:uid="{00000000-0004-0000-0100-000005000000}"/>
    <hyperlink ref="A31" r:id="rId7" xr:uid="{00000000-0004-0000-0100-000006000000}"/>
    <hyperlink ref="A34" r:id="rId8" xr:uid="{00000000-0004-0000-0100-000007000000}"/>
    <hyperlink ref="A35" r:id="rId9" xr:uid="{00000000-0004-0000-0100-000008000000}"/>
    <hyperlink ref="A43" r:id="rId10" xr:uid="{00000000-0004-0000-0100-000009000000}"/>
  </hyperlinks>
  <pageMargins left="0.7" right="0.7" top="0.75" bottom="0.75" header="0.3" footer="0.3"/>
  <pageSetup orientation="portrait"/>
  <legacyDrawing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6:J108"/>
  <sheetViews>
    <sheetView tabSelected="1" topLeftCell="A79" workbookViewId="0">
      <selection activeCell="E109" sqref="E109"/>
    </sheetView>
  </sheetViews>
  <sheetFormatPr defaultRowHeight="14.5" x14ac:dyDescent="0.35"/>
  <cols>
    <col min="3" max="3" width="8.7265625" style="36"/>
  </cols>
  <sheetData>
    <row r="6" spans="1:10" x14ac:dyDescent="0.35">
      <c r="A6" s="6" t="s">
        <v>459</v>
      </c>
      <c r="B6" s="6"/>
      <c r="C6" s="55"/>
      <c r="D6" s="6"/>
      <c r="E6" s="6"/>
      <c r="F6" s="6"/>
      <c r="G6" s="6"/>
      <c r="H6" s="6"/>
      <c r="I6" s="6"/>
      <c r="J6" s="6"/>
    </row>
    <row r="7" spans="1:10" x14ac:dyDescent="0.35">
      <c r="A7" s="6" t="s">
        <v>498</v>
      </c>
      <c r="B7" s="6"/>
      <c r="C7" s="55"/>
      <c r="D7" s="6"/>
      <c r="E7" s="6"/>
      <c r="F7" s="6"/>
      <c r="G7" s="6"/>
      <c r="H7" s="6"/>
      <c r="I7" s="6"/>
      <c r="J7" s="6"/>
    </row>
    <row r="8" spans="1:10" s="21" customFormat="1" x14ac:dyDescent="0.35">
      <c r="A8" s="117" t="s">
        <v>41</v>
      </c>
      <c r="B8" s="30"/>
      <c r="C8" s="117" t="s">
        <v>504</v>
      </c>
      <c r="D8" s="30"/>
      <c r="E8" s="71"/>
      <c r="F8" s="111"/>
      <c r="G8" s="111"/>
      <c r="H8" s="111"/>
      <c r="I8" s="111"/>
      <c r="J8" s="111"/>
    </row>
    <row r="9" spans="1:10" x14ac:dyDescent="0.35">
      <c r="A9" s="100" t="s">
        <v>527</v>
      </c>
      <c r="B9" s="100" t="s">
        <v>528</v>
      </c>
      <c r="C9" s="101" t="s">
        <v>527</v>
      </c>
      <c r="D9" s="100" t="s">
        <v>531</v>
      </c>
      <c r="E9" s="101"/>
      <c r="F9" s="114"/>
      <c r="G9" s="114"/>
      <c r="H9" s="114"/>
      <c r="I9" s="114"/>
      <c r="J9" s="114"/>
    </row>
    <row r="10" spans="1:10" x14ac:dyDescent="0.35">
      <c r="A10" s="100" t="s">
        <v>514</v>
      </c>
      <c r="B10" s="100">
        <v>7.5</v>
      </c>
      <c r="C10" s="101" t="s">
        <v>513</v>
      </c>
      <c r="D10" s="100"/>
      <c r="E10" s="101"/>
      <c r="F10" s="114"/>
      <c r="G10" s="114"/>
      <c r="H10" s="114"/>
      <c r="I10" s="114"/>
      <c r="J10" s="114"/>
    </row>
    <row r="11" spans="1:10" x14ac:dyDescent="0.35">
      <c r="A11" t="s">
        <v>501</v>
      </c>
      <c r="B11">
        <v>18</v>
      </c>
      <c r="C11" s="36" t="s">
        <v>501</v>
      </c>
      <c r="D11">
        <v>42.8</v>
      </c>
      <c r="E11" s="36"/>
    </row>
    <row r="12" spans="1:10" x14ac:dyDescent="0.35">
      <c r="A12" t="s">
        <v>502</v>
      </c>
      <c r="B12">
        <v>1.2</v>
      </c>
      <c r="C12" s="36" t="s">
        <v>502</v>
      </c>
      <c r="D12">
        <v>7</v>
      </c>
      <c r="E12" s="36"/>
    </row>
    <row r="13" spans="1:10" x14ac:dyDescent="0.35">
      <c r="A13" t="s">
        <v>503</v>
      </c>
      <c r="B13">
        <v>12.5</v>
      </c>
      <c r="C13" s="36" t="s">
        <v>503</v>
      </c>
      <c r="D13">
        <v>480</v>
      </c>
      <c r="E13" s="36"/>
    </row>
    <row r="14" spans="1:10" x14ac:dyDescent="0.35">
      <c r="A14" t="s">
        <v>511</v>
      </c>
      <c r="B14">
        <v>11.3</v>
      </c>
      <c r="C14" s="36" t="s">
        <v>511</v>
      </c>
      <c r="D14" t="s">
        <v>523</v>
      </c>
      <c r="E14" s="36"/>
    </row>
    <row r="15" spans="1:10" x14ac:dyDescent="0.35">
      <c r="A15" t="s">
        <v>500</v>
      </c>
      <c r="B15" s="113" t="s">
        <v>505</v>
      </c>
      <c r="C15" s="36" t="s">
        <v>500</v>
      </c>
      <c r="D15" t="s">
        <v>523</v>
      </c>
      <c r="E15" s="36"/>
    </row>
    <row r="16" spans="1:10" x14ac:dyDescent="0.35">
      <c r="A16" t="s">
        <v>54</v>
      </c>
      <c r="B16">
        <v>42</v>
      </c>
      <c r="C16" s="36" t="s">
        <v>54</v>
      </c>
      <c r="D16" t="s">
        <v>523</v>
      </c>
      <c r="E16" s="36"/>
    </row>
    <row r="17" spans="1:10" x14ac:dyDescent="0.35">
      <c r="A17" t="s">
        <v>506</v>
      </c>
      <c r="B17">
        <v>4</v>
      </c>
      <c r="C17" s="36" t="s">
        <v>506</v>
      </c>
      <c r="D17" t="s">
        <v>523</v>
      </c>
      <c r="E17" s="36"/>
    </row>
    <row r="18" spans="1:10" x14ac:dyDescent="0.35">
      <c r="A18" t="s">
        <v>507</v>
      </c>
      <c r="B18" s="13">
        <f>(B16-B17)/B16</f>
        <v>0.90476190476190477</v>
      </c>
      <c r="C18" s="36" t="s">
        <v>507</v>
      </c>
      <c r="D18" t="s">
        <v>523</v>
      </c>
      <c r="E18" s="36"/>
    </row>
    <row r="19" spans="1:10" x14ac:dyDescent="0.35">
      <c r="A19" t="s">
        <v>512</v>
      </c>
      <c r="B19" s="27">
        <v>224.3</v>
      </c>
      <c r="C19" s="36" t="s">
        <v>512</v>
      </c>
      <c r="D19" t="s">
        <v>516</v>
      </c>
      <c r="E19" s="36"/>
    </row>
    <row r="20" spans="1:10" x14ac:dyDescent="0.35">
      <c r="A20" s="109" t="s">
        <v>510</v>
      </c>
      <c r="C20" s="110" t="s">
        <v>510</v>
      </c>
      <c r="E20" s="36"/>
    </row>
    <row r="21" spans="1:10" x14ac:dyDescent="0.35">
      <c r="A21" s="7" t="s">
        <v>234</v>
      </c>
      <c r="B21" s="7">
        <v>300</v>
      </c>
      <c r="C21" s="39" t="s">
        <v>234</v>
      </c>
      <c r="D21" s="7" t="s">
        <v>515</v>
      </c>
      <c r="E21" s="39"/>
      <c r="F21" s="7"/>
      <c r="G21" s="7"/>
      <c r="H21" s="7"/>
      <c r="I21" s="7"/>
      <c r="J21" s="7"/>
    </row>
    <row r="22" spans="1:10" x14ac:dyDescent="0.35">
      <c r="A22" s="7" t="s">
        <v>509</v>
      </c>
      <c r="B22" s="7">
        <v>200</v>
      </c>
      <c r="C22" s="39" t="s">
        <v>509</v>
      </c>
      <c r="D22" s="7" t="s">
        <v>523</v>
      </c>
      <c r="E22" s="39"/>
      <c r="F22" s="7"/>
      <c r="G22" s="7"/>
      <c r="H22" s="7"/>
      <c r="I22" s="7"/>
      <c r="J22" s="7"/>
    </row>
    <row r="23" spans="1:10" x14ac:dyDescent="0.35">
      <c r="E23" s="36"/>
    </row>
    <row r="24" spans="1:10" x14ac:dyDescent="0.35">
      <c r="A24" s="6" t="s">
        <v>499</v>
      </c>
      <c r="B24" s="6"/>
      <c r="C24" s="55"/>
      <c r="D24" s="6"/>
      <c r="E24" s="55"/>
      <c r="F24" s="6"/>
      <c r="G24" s="6"/>
      <c r="H24" s="6"/>
      <c r="I24" s="6"/>
      <c r="J24" s="6"/>
    </row>
    <row r="25" spans="1:10" s="21" customFormat="1" x14ac:dyDescent="0.35">
      <c r="A25" s="117" t="s">
        <v>508</v>
      </c>
      <c r="B25" s="30"/>
      <c r="C25" s="117" t="s">
        <v>519</v>
      </c>
      <c r="E25" s="117" t="s">
        <v>522</v>
      </c>
    </row>
    <row r="26" spans="1:10" x14ac:dyDescent="0.35">
      <c r="A26" s="100" t="s">
        <v>527</v>
      </c>
      <c r="B26" s="100" t="s">
        <v>528</v>
      </c>
      <c r="C26" s="101" t="s">
        <v>527</v>
      </c>
      <c r="D26" s="100" t="s">
        <v>528</v>
      </c>
      <c r="E26" s="100" t="s">
        <v>527</v>
      </c>
      <c r="F26" s="100" t="s">
        <v>531</v>
      </c>
      <c r="G26" s="100"/>
      <c r="H26" s="100"/>
      <c r="I26" s="100"/>
      <c r="J26" s="100"/>
    </row>
    <row r="27" spans="1:10" x14ac:dyDescent="0.35">
      <c r="A27" s="100" t="s">
        <v>514</v>
      </c>
      <c r="B27">
        <v>67</v>
      </c>
      <c r="C27" s="101" t="s">
        <v>514</v>
      </c>
      <c r="D27" s="109" t="s">
        <v>520</v>
      </c>
      <c r="E27" s="101" t="s">
        <v>514</v>
      </c>
      <c r="F27">
        <v>5000</v>
      </c>
    </row>
    <row r="28" spans="1:10" x14ac:dyDescent="0.35">
      <c r="A28" t="s">
        <v>501</v>
      </c>
      <c r="B28">
        <v>70</v>
      </c>
      <c r="C28" s="36" t="s">
        <v>501</v>
      </c>
      <c r="D28">
        <v>70</v>
      </c>
      <c r="E28" s="36" t="s">
        <v>501</v>
      </c>
      <c r="F28">
        <v>121</v>
      </c>
    </row>
    <row r="29" spans="1:10" x14ac:dyDescent="0.35">
      <c r="A29" t="s">
        <v>502</v>
      </c>
      <c r="B29">
        <v>3.7</v>
      </c>
      <c r="C29" s="36" t="s">
        <v>502</v>
      </c>
      <c r="D29">
        <v>3.66</v>
      </c>
      <c r="E29" s="36" t="s">
        <v>502</v>
      </c>
      <c r="F29">
        <v>9</v>
      </c>
    </row>
    <row r="30" spans="1:10" x14ac:dyDescent="0.35">
      <c r="A30" t="s">
        <v>503</v>
      </c>
      <c r="B30">
        <v>549</v>
      </c>
      <c r="C30" s="36" t="s">
        <v>503</v>
      </c>
      <c r="D30">
        <v>1420</v>
      </c>
      <c r="E30" s="36" t="s">
        <v>503</v>
      </c>
      <c r="F30">
        <v>5000</v>
      </c>
    </row>
    <row r="31" spans="1:10" x14ac:dyDescent="0.35">
      <c r="A31" t="s">
        <v>511</v>
      </c>
      <c r="C31" s="36" t="s">
        <v>511</v>
      </c>
      <c r="E31" s="36" t="s">
        <v>511</v>
      </c>
    </row>
    <row r="32" spans="1:10" x14ac:dyDescent="0.35">
      <c r="A32" t="s">
        <v>500</v>
      </c>
      <c r="B32">
        <v>2</v>
      </c>
      <c r="C32" s="36" t="s">
        <v>500</v>
      </c>
      <c r="D32">
        <v>2.5</v>
      </c>
      <c r="E32" s="36" t="s">
        <v>500</v>
      </c>
      <c r="F32" t="s">
        <v>523</v>
      </c>
    </row>
    <row r="33" spans="1:10" x14ac:dyDescent="0.35">
      <c r="A33" t="s">
        <v>54</v>
      </c>
      <c r="B33">
        <v>295</v>
      </c>
      <c r="C33" s="36" t="s">
        <v>54</v>
      </c>
      <c r="E33" s="36" t="s">
        <v>54</v>
      </c>
      <c r="F33" t="s">
        <v>523</v>
      </c>
    </row>
    <row r="34" spans="1:10" x14ac:dyDescent="0.35">
      <c r="A34" t="s">
        <v>506</v>
      </c>
      <c r="B34">
        <v>1</v>
      </c>
      <c r="C34" s="36" t="s">
        <v>506</v>
      </c>
      <c r="E34" s="36" t="s">
        <v>506</v>
      </c>
      <c r="F34" t="s">
        <v>523</v>
      </c>
    </row>
    <row r="35" spans="1:10" x14ac:dyDescent="0.35">
      <c r="A35" t="s">
        <v>507</v>
      </c>
      <c r="B35" s="13">
        <f>(B33-B34)/B33</f>
        <v>0.99661016949152548</v>
      </c>
      <c r="C35" s="36" t="s">
        <v>507</v>
      </c>
      <c r="E35" s="36" t="s">
        <v>507</v>
      </c>
      <c r="F35" t="s">
        <v>523</v>
      </c>
    </row>
    <row r="36" spans="1:10" x14ac:dyDescent="0.35">
      <c r="A36" t="s">
        <v>512</v>
      </c>
      <c r="B36">
        <v>7607</v>
      </c>
      <c r="C36" s="36" t="s">
        <v>512</v>
      </c>
      <c r="E36" s="36" t="s">
        <v>512</v>
      </c>
      <c r="F36">
        <v>74400</v>
      </c>
    </row>
    <row r="37" spans="1:10" x14ac:dyDescent="0.35">
      <c r="A37" s="109" t="s">
        <v>510</v>
      </c>
      <c r="C37" s="110" t="s">
        <v>510</v>
      </c>
      <c r="E37" s="110" t="s">
        <v>510</v>
      </c>
    </row>
    <row r="38" spans="1:10" x14ac:dyDescent="0.35">
      <c r="A38" s="7" t="s">
        <v>234</v>
      </c>
      <c r="B38" s="7">
        <v>22800</v>
      </c>
      <c r="C38" s="39" t="s">
        <v>234</v>
      </c>
      <c r="D38" s="7">
        <v>63800</v>
      </c>
      <c r="E38" s="39" t="s">
        <v>234</v>
      </c>
      <c r="F38" s="7" t="s">
        <v>523</v>
      </c>
      <c r="G38" s="7"/>
      <c r="H38" s="7"/>
      <c r="I38" s="7"/>
      <c r="J38" s="7"/>
    </row>
    <row r="39" spans="1:10" x14ac:dyDescent="0.35">
      <c r="A39" s="7" t="s">
        <v>517</v>
      </c>
      <c r="B39" s="7">
        <v>8300</v>
      </c>
      <c r="C39" s="39" t="s">
        <v>517</v>
      </c>
      <c r="D39" s="7">
        <v>26700</v>
      </c>
      <c r="E39" s="39" t="s">
        <v>517</v>
      </c>
      <c r="F39" s="7" t="s">
        <v>523</v>
      </c>
      <c r="G39" s="7"/>
      <c r="H39" s="7"/>
      <c r="I39" s="7"/>
      <c r="J39" s="7"/>
    </row>
    <row r="40" spans="1:10" x14ac:dyDescent="0.35">
      <c r="A40" s="7" t="s">
        <v>518</v>
      </c>
      <c r="B40" s="7">
        <v>4020</v>
      </c>
      <c r="C40" s="39" t="s">
        <v>518</v>
      </c>
      <c r="D40" s="7">
        <v>16800</v>
      </c>
      <c r="E40" s="39" t="s">
        <v>518</v>
      </c>
      <c r="F40" s="7" t="s">
        <v>523</v>
      </c>
      <c r="G40" s="7"/>
      <c r="H40" s="7"/>
      <c r="I40" s="7"/>
      <c r="J40" s="7"/>
    </row>
    <row r="41" spans="1:10" x14ac:dyDescent="0.35">
      <c r="C41" s="36" t="s">
        <v>521</v>
      </c>
      <c r="D41" s="7">
        <v>3500</v>
      </c>
      <c r="E41" s="36"/>
    </row>
    <row r="42" spans="1:10" x14ac:dyDescent="0.35">
      <c r="E42" s="36"/>
    </row>
    <row r="43" spans="1:10" x14ac:dyDescent="0.35">
      <c r="A43" s="6" t="s">
        <v>524</v>
      </c>
      <c r="B43" s="6"/>
      <c r="C43" s="55"/>
      <c r="D43" s="6"/>
      <c r="E43" s="55"/>
      <c r="F43" s="6"/>
      <c r="G43" s="6"/>
      <c r="H43" s="6"/>
      <c r="I43" s="6"/>
      <c r="J43" s="6"/>
    </row>
    <row r="44" spans="1:10" s="21" customFormat="1" x14ac:dyDescent="0.35">
      <c r="A44" s="117" t="s">
        <v>525</v>
      </c>
      <c r="B44" s="30"/>
      <c r="C44" s="117" t="s">
        <v>529</v>
      </c>
      <c r="D44" s="30"/>
      <c r="E44" s="71"/>
      <c r="F44" s="30"/>
      <c r="G44" s="30"/>
      <c r="H44" s="30"/>
    </row>
    <row r="45" spans="1:10" x14ac:dyDescent="0.35">
      <c r="A45" s="100" t="s">
        <v>527</v>
      </c>
      <c r="B45" s="100" t="s">
        <v>528</v>
      </c>
      <c r="C45" s="101" t="s">
        <v>527</v>
      </c>
      <c r="D45" s="100" t="s">
        <v>531</v>
      </c>
      <c r="E45" s="101"/>
      <c r="F45" s="100"/>
      <c r="G45" s="100"/>
      <c r="H45" s="100"/>
      <c r="I45" s="100"/>
      <c r="J45" s="100"/>
    </row>
    <row r="46" spans="1:10" x14ac:dyDescent="0.35">
      <c r="A46" s="100" t="s">
        <v>514</v>
      </c>
      <c r="B46" t="s">
        <v>526</v>
      </c>
      <c r="C46" s="101" t="s">
        <v>514</v>
      </c>
      <c r="D46" s="100" t="s">
        <v>523</v>
      </c>
      <c r="E46" s="36"/>
    </row>
    <row r="47" spans="1:10" x14ac:dyDescent="0.35">
      <c r="A47" t="s">
        <v>501</v>
      </c>
      <c r="B47">
        <v>18</v>
      </c>
      <c r="C47" s="36" t="s">
        <v>501</v>
      </c>
      <c r="D47">
        <v>98</v>
      </c>
      <c r="E47" s="36"/>
    </row>
    <row r="48" spans="1:10" x14ac:dyDescent="0.35">
      <c r="A48" t="s">
        <v>502</v>
      </c>
      <c r="B48">
        <v>3.7</v>
      </c>
      <c r="C48" s="36" t="s">
        <v>502</v>
      </c>
      <c r="D48">
        <v>7</v>
      </c>
      <c r="E48" s="36"/>
    </row>
    <row r="49" spans="1:10" x14ac:dyDescent="0.35">
      <c r="A49" t="s">
        <v>503</v>
      </c>
      <c r="B49">
        <v>75</v>
      </c>
      <c r="C49" s="36" t="s">
        <v>503</v>
      </c>
      <c r="D49" t="s">
        <v>523</v>
      </c>
      <c r="E49" s="36"/>
    </row>
    <row r="50" spans="1:10" x14ac:dyDescent="0.35">
      <c r="A50" t="s">
        <v>511</v>
      </c>
      <c r="C50" s="36" t="s">
        <v>511</v>
      </c>
      <c r="E50" s="36"/>
    </row>
    <row r="51" spans="1:10" x14ac:dyDescent="0.35">
      <c r="A51" t="s">
        <v>500</v>
      </c>
      <c r="B51">
        <v>1</v>
      </c>
      <c r="C51" s="36" t="s">
        <v>500</v>
      </c>
      <c r="D51">
        <v>2</v>
      </c>
      <c r="E51" s="36"/>
    </row>
    <row r="52" spans="1:10" x14ac:dyDescent="0.35">
      <c r="A52" t="s">
        <v>54</v>
      </c>
      <c r="B52">
        <v>24</v>
      </c>
      <c r="C52" s="36" t="s">
        <v>54</v>
      </c>
      <c r="D52" t="s">
        <v>523</v>
      </c>
      <c r="E52" s="36"/>
    </row>
    <row r="53" spans="1:10" x14ac:dyDescent="0.35">
      <c r="A53" t="s">
        <v>506</v>
      </c>
      <c r="B53">
        <v>1</v>
      </c>
      <c r="C53" s="36" t="s">
        <v>506</v>
      </c>
      <c r="D53" t="s">
        <v>523</v>
      </c>
      <c r="E53" s="36"/>
    </row>
    <row r="54" spans="1:10" x14ac:dyDescent="0.35">
      <c r="A54" t="s">
        <v>507</v>
      </c>
      <c r="B54" s="13">
        <f>(B52-B53)/B52</f>
        <v>0.95833333333333337</v>
      </c>
      <c r="C54" s="36" t="s">
        <v>507</v>
      </c>
      <c r="D54" t="s">
        <v>523</v>
      </c>
      <c r="E54" s="36"/>
    </row>
    <row r="55" spans="1:10" x14ac:dyDescent="0.35">
      <c r="A55" t="s">
        <v>512</v>
      </c>
      <c r="B55">
        <v>490</v>
      </c>
      <c r="C55" s="36" t="s">
        <v>512</v>
      </c>
      <c r="D55">
        <v>17100</v>
      </c>
      <c r="E55" s="36"/>
    </row>
    <row r="56" spans="1:10" x14ac:dyDescent="0.35">
      <c r="A56" s="109" t="s">
        <v>510</v>
      </c>
      <c r="C56" s="110" t="s">
        <v>510</v>
      </c>
      <c r="E56" s="36"/>
    </row>
    <row r="57" spans="1:10" x14ac:dyDescent="0.35">
      <c r="E57" s="36"/>
    </row>
    <row r="58" spans="1:10" x14ac:dyDescent="0.35">
      <c r="E58" s="36"/>
    </row>
    <row r="59" spans="1:10" x14ac:dyDescent="0.35">
      <c r="A59" s="6" t="s">
        <v>530</v>
      </c>
      <c r="B59" s="6"/>
      <c r="C59" s="55"/>
      <c r="D59" s="6"/>
      <c r="E59" s="55"/>
      <c r="F59" s="6"/>
      <c r="G59" s="6"/>
      <c r="H59" s="6"/>
      <c r="I59" s="6"/>
      <c r="J59" s="6"/>
    </row>
    <row r="60" spans="1:10" s="21" customFormat="1" x14ac:dyDescent="0.35">
      <c r="A60" s="117" t="s">
        <v>532</v>
      </c>
      <c r="C60" s="117" t="s">
        <v>535</v>
      </c>
      <c r="E60" s="116"/>
    </row>
    <row r="61" spans="1:10" x14ac:dyDescent="0.35">
      <c r="A61" s="100" t="s">
        <v>527</v>
      </c>
      <c r="B61" s="100" t="s">
        <v>528</v>
      </c>
      <c r="C61" s="101" t="s">
        <v>527</v>
      </c>
      <c r="D61" s="100" t="s">
        <v>528</v>
      </c>
      <c r="E61" s="36"/>
    </row>
    <row r="62" spans="1:10" x14ac:dyDescent="0.35">
      <c r="A62" s="100" t="s">
        <v>514</v>
      </c>
      <c r="B62" s="109" t="s">
        <v>533</v>
      </c>
      <c r="C62" s="101" t="s">
        <v>514</v>
      </c>
      <c r="D62">
        <v>200</v>
      </c>
      <c r="E62" s="36"/>
    </row>
    <row r="63" spans="1:10" x14ac:dyDescent="0.35">
      <c r="A63" t="s">
        <v>501</v>
      </c>
      <c r="B63">
        <v>58.3</v>
      </c>
      <c r="C63" s="36" t="s">
        <v>501</v>
      </c>
      <c r="D63">
        <v>61.6</v>
      </c>
      <c r="E63" s="36"/>
    </row>
    <row r="64" spans="1:10" x14ac:dyDescent="0.35">
      <c r="A64" t="s">
        <v>502</v>
      </c>
      <c r="B64">
        <v>3.81</v>
      </c>
      <c r="C64" s="36" t="s">
        <v>502</v>
      </c>
      <c r="D64">
        <v>5.4</v>
      </c>
      <c r="E64" s="36"/>
    </row>
    <row r="65" spans="1:10" x14ac:dyDescent="0.35">
      <c r="A65" t="s">
        <v>503</v>
      </c>
      <c r="B65">
        <v>590</v>
      </c>
      <c r="C65" s="36" t="s">
        <v>503</v>
      </c>
      <c r="D65">
        <v>546.70000000000005</v>
      </c>
      <c r="E65" s="36"/>
    </row>
    <row r="66" spans="1:10" x14ac:dyDescent="0.35">
      <c r="A66" t="s">
        <v>511</v>
      </c>
      <c r="B66">
        <v>43.63</v>
      </c>
      <c r="C66" s="36" t="s">
        <v>511</v>
      </c>
      <c r="D66" t="s">
        <v>536</v>
      </c>
      <c r="E66" s="36"/>
    </row>
    <row r="67" spans="1:10" x14ac:dyDescent="0.35">
      <c r="A67" t="s">
        <v>500</v>
      </c>
      <c r="B67">
        <v>2</v>
      </c>
      <c r="C67" s="36" t="s">
        <v>500</v>
      </c>
      <c r="D67">
        <v>2</v>
      </c>
      <c r="E67" s="36"/>
    </row>
    <row r="68" spans="1:10" x14ac:dyDescent="0.35">
      <c r="A68" t="s">
        <v>54</v>
      </c>
      <c r="B68">
        <v>99</v>
      </c>
      <c r="C68" s="36" t="s">
        <v>54</v>
      </c>
      <c r="D68">
        <v>1</v>
      </c>
      <c r="E68" s="36"/>
    </row>
    <row r="69" spans="1:10" x14ac:dyDescent="0.35">
      <c r="A69" t="s">
        <v>506</v>
      </c>
      <c r="B69">
        <v>1</v>
      </c>
      <c r="C69" s="36" t="s">
        <v>506</v>
      </c>
      <c r="D69">
        <v>0</v>
      </c>
      <c r="E69" s="36"/>
    </row>
    <row r="70" spans="1:10" x14ac:dyDescent="0.35">
      <c r="A70" t="s">
        <v>507</v>
      </c>
      <c r="B70" s="13">
        <f>(B68-B69)/B68</f>
        <v>0.98989898989898994</v>
      </c>
      <c r="C70" s="36" t="s">
        <v>507</v>
      </c>
      <c r="D70" s="13">
        <f>(D68-D69)/D68</f>
        <v>1</v>
      </c>
      <c r="E70" s="36"/>
    </row>
    <row r="71" spans="1:10" x14ac:dyDescent="0.35">
      <c r="A71" t="s">
        <v>512</v>
      </c>
      <c r="B71">
        <v>1688.4</v>
      </c>
      <c r="C71" s="36" t="s">
        <v>512</v>
      </c>
      <c r="D71">
        <v>2201.6999999999998</v>
      </c>
      <c r="E71" s="36"/>
    </row>
    <row r="72" spans="1:10" x14ac:dyDescent="0.35">
      <c r="A72" s="109" t="s">
        <v>510</v>
      </c>
      <c r="C72" s="110" t="s">
        <v>510</v>
      </c>
      <c r="E72" s="36"/>
    </row>
    <row r="73" spans="1:10" x14ac:dyDescent="0.35">
      <c r="A73" t="s">
        <v>234</v>
      </c>
      <c r="B73">
        <v>18814</v>
      </c>
      <c r="C73" s="36" t="s">
        <v>234</v>
      </c>
      <c r="D73">
        <v>27200</v>
      </c>
      <c r="E73" s="36"/>
    </row>
    <row r="74" spans="1:10" x14ac:dyDescent="0.35">
      <c r="A74" t="s">
        <v>534</v>
      </c>
      <c r="B74" t="s">
        <v>536</v>
      </c>
      <c r="C74" s="36" t="s">
        <v>534</v>
      </c>
      <c r="D74">
        <v>6500</v>
      </c>
      <c r="E74" s="36"/>
    </row>
    <row r="75" spans="1:10" x14ac:dyDescent="0.35">
      <c r="B75">
        <v>8900</v>
      </c>
      <c r="C75" s="36" t="s">
        <v>517</v>
      </c>
      <c r="D75">
        <v>14500</v>
      </c>
      <c r="E75" s="36"/>
    </row>
    <row r="76" spans="1:10" x14ac:dyDescent="0.35">
      <c r="C76" s="36" t="s">
        <v>537</v>
      </c>
      <c r="D76">
        <v>25800</v>
      </c>
    </row>
    <row r="77" spans="1:10" x14ac:dyDescent="0.35">
      <c r="A77" s="6" t="s">
        <v>538</v>
      </c>
      <c r="B77" s="6"/>
      <c r="C77" s="55"/>
      <c r="D77" s="6"/>
      <c r="E77" s="55"/>
      <c r="F77" s="6"/>
      <c r="G77" s="6"/>
      <c r="H77" s="6"/>
      <c r="I77" s="6"/>
      <c r="J77" s="6"/>
    </row>
    <row r="78" spans="1:10" s="21" customFormat="1" x14ac:dyDescent="0.35">
      <c r="A78" s="117" t="s">
        <v>539</v>
      </c>
      <c r="C78" s="116"/>
      <c r="E78" s="118"/>
    </row>
    <row r="79" spans="1:10" x14ac:dyDescent="0.35">
      <c r="A79" s="100" t="s">
        <v>527</v>
      </c>
      <c r="B79" s="100" t="s">
        <v>528</v>
      </c>
    </row>
    <row r="80" spans="1:10" x14ac:dyDescent="0.35">
      <c r="A80" s="100" t="s">
        <v>514</v>
      </c>
      <c r="B80" s="109" t="s">
        <v>540</v>
      </c>
    </row>
    <row r="81" spans="1:10" x14ac:dyDescent="0.35">
      <c r="A81" t="s">
        <v>501</v>
      </c>
      <c r="B81">
        <v>29</v>
      </c>
    </row>
    <row r="82" spans="1:10" x14ac:dyDescent="0.35">
      <c r="A82" t="s">
        <v>502</v>
      </c>
      <c r="B82">
        <v>1.82</v>
      </c>
    </row>
    <row r="83" spans="1:10" x14ac:dyDescent="0.35">
      <c r="A83" t="s">
        <v>503</v>
      </c>
      <c r="B83">
        <v>54</v>
      </c>
    </row>
    <row r="84" spans="1:10" x14ac:dyDescent="0.35">
      <c r="A84" t="s">
        <v>511</v>
      </c>
    </row>
    <row r="85" spans="1:10" x14ac:dyDescent="0.35">
      <c r="A85" t="s">
        <v>500</v>
      </c>
      <c r="B85">
        <v>2</v>
      </c>
    </row>
    <row r="86" spans="1:10" x14ac:dyDescent="0.35">
      <c r="A86" t="s">
        <v>54</v>
      </c>
      <c r="B86">
        <v>4</v>
      </c>
    </row>
    <row r="87" spans="1:10" x14ac:dyDescent="0.35">
      <c r="A87" t="s">
        <v>506</v>
      </c>
      <c r="B87">
        <v>3</v>
      </c>
    </row>
    <row r="88" spans="1:10" x14ac:dyDescent="0.35">
      <c r="A88" t="s">
        <v>507</v>
      </c>
      <c r="B88" s="13">
        <f>(B86-B87)/B86</f>
        <v>0.25</v>
      </c>
    </row>
    <row r="89" spans="1:10" x14ac:dyDescent="0.35">
      <c r="A89" t="s">
        <v>512</v>
      </c>
      <c r="B89">
        <v>736.1</v>
      </c>
    </row>
    <row r="90" spans="1:10" x14ac:dyDescent="0.35">
      <c r="A90" s="109" t="s">
        <v>510</v>
      </c>
    </row>
    <row r="93" spans="1:10" x14ac:dyDescent="0.35">
      <c r="A93" s="6" t="s">
        <v>541</v>
      </c>
      <c r="B93" s="6"/>
      <c r="C93" s="55"/>
      <c r="D93" s="6"/>
      <c r="E93" s="55"/>
      <c r="F93" s="6"/>
      <c r="G93" s="6"/>
      <c r="H93" s="6"/>
      <c r="I93" s="6"/>
      <c r="J93" s="6"/>
    </row>
    <row r="94" spans="1:10" x14ac:dyDescent="0.35">
      <c r="A94" s="30" t="s">
        <v>542</v>
      </c>
      <c r="B94" s="21"/>
      <c r="C94" s="116" t="s">
        <v>535</v>
      </c>
      <c r="D94" s="21"/>
      <c r="E94" s="116"/>
      <c r="F94" s="21"/>
      <c r="G94" s="21"/>
      <c r="H94" s="21"/>
    </row>
    <row r="95" spans="1:10" x14ac:dyDescent="0.35">
      <c r="A95" s="100" t="s">
        <v>527</v>
      </c>
      <c r="B95" s="100" t="s">
        <v>528</v>
      </c>
    </row>
    <row r="96" spans="1:10" x14ac:dyDescent="0.35">
      <c r="A96" s="100" t="s">
        <v>514</v>
      </c>
      <c r="B96">
        <v>2.5</v>
      </c>
    </row>
    <row r="97" spans="1:2" x14ac:dyDescent="0.35">
      <c r="A97" t="s">
        <v>501</v>
      </c>
      <c r="B97">
        <v>11.6</v>
      </c>
    </row>
    <row r="98" spans="1:2" x14ac:dyDescent="0.35">
      <c r="A98" t="s">
        <v>502</v>
      </c>
    </row>
    <row r="99" spans="1:2" x14ac:dyDescent="0.35">
      <c r="A99" t="s">
        <v>503</v>
      </c>
    </row>
    <row r="100" spans="1:2" x14ac:dyDescent="0.35">
      <c r="A100" t="s">
        <v>511</v>
      </c>
    </row>
    <row r="101" spans="1:2" x14ac:dyDescent="0.35">
      <c r="A101" t="s">
        <v>500</v>
      </c>
    </row>
    <row r="102" spans="1:2" x14ac:dyDescent="0.35">
      <c r="A102" t="s">
        <v>54</v>
      </c>
      <c r="B102">
        <v>9</v>
      </c>
    </row>
    <row r="103" spans="1:2" x14ac:dyDescent="0.35">
      <c r="A103" t="s">
        <v>506</v>
      </c>
      <c r="B103">
        <v>7</v>
      </c>
    </row>
    <row r="104" spans="1:2" x14ac:dyDescent="0.35">
      <c r="A104" t="s">
        <v>507</v>
      </c>
      <c r="B104" s="13">
        <f>(B102-B103)/B102</f>
        <v>0.22222222222222221</v>
      </c>
    </row>
    <row r="105" spans="1:2" x14ac:dyDescent="0.35">
      <c r="A105" t="s">
        <v>512</v>
      </c>
      <c r="B105">
        <v>145</v>
      </c>
    </row>
    <row r="106" spans="1:2" x14ac:dyDescent="0.35">
      <c r="A106" s="109" t="s">
        <v>510</v>
      </c>
    </row>
    <row r="107" spans="1:2" x14ac:dyDescent="0.35">
      <c r="A107" t="s">
        <v>509</v>
      </c>
      <c r="B107">
        <v>40</v>
      </c>
    </row>
    <row r="108" spans="1:2" x14ac:dyDescent="0.35">
      <c r="B108" t="s">
        <v>21</v>
      </c>
    </row>
  </sheetData>
  <conditionalFormatting sqref="D45">
    <cfRule type="containsText" dxfId="32" priority="31" operator="containsText" text="Retired">
      <formula>NOT(ISERROR(SEARCH("Retired",D45)))</formula>
    </cfRule>
    <cfRule type="containsText" dxfId="31" priority="32" operator="containsText" text="Active">
      <formula>NOT(ISERROR(SEARCH("Active",D45)))</formula>
    </cfRule>
    <cfRule type="containsText" dxfId="30" priority="33" operator="containsText" text="In Development">
      <formula>NOT(ISERROR(SEARCH("In Development",D45)))</formula>
    </cfRule>
  </conditionalFormatting>
  <conditionalFormatting sqref="B45">
    <cfRule type="containsText" dxfId="29" priority="28" operator="containsText" text="Retired">
      <formula>NOT(ISERROR(SEARCH("Retired",B45)))</formula>
    </cfRule>
    <cfRule type="containsText" dxfId="28" priority="29" operator="containsText" text="Active">
      <formula>NOT(ISERROR(SEARCH("Active",B45)))</formula>
    </cfRule>
    <cfRule type="containsText" dxfId="27" priority="30" operator="containsText" text="In Development">
      <formula>NOT(ISERROR(SEARCH("In Development",B45)))</formula>
    </cfRule>
  </conditionalFormatting>
  <conditionalFormatting sqref="B26">
    <cfRule type="containsText" dxfId="26" priority="25" operator="containsText" text="Retired">
      <formula>NOT(ISERROR(SEARCH("Retired",B26)))</formula>
    </cfRule>
    <cfRule type="containsText" dxfId="25" priority="26" operator="containsText" text="Active">
      <formula>NOT(ISERROR(SEARCH("Active",B26)))</formula>
    </cfRule>
    <cfRule type="containsText" dxfId="24" priority="27" operator="containsText" text="In Development">
      <formula>NOT(ISERROR(SEARCH("In Development",B26)))</formula>
    </cfRule>
  </conditionalFormatting>
  <conditionalFormatting sqref="D26">
    <cfRule type="containsText" dxfId="23" priority="22" operator="containsText" text="Retired">
      <formula>NOT(ISERROR(SEARCH("Retired",D26)))</formula>
    </cfRule>
    <cfRule type="containsText" dxfId="22" priority="23" operator="containsText" text="Active">
      <formula>NOT(ISERROR(SEARCH("Active",D26)))</formula>
    </cfRule>
    <cfRule type="containsText" dxfId="21" priority="24" operator="containsText" text="In Development">
      <formula>NOT(ISERROR(SEARCH("In Development",D26)))</formula>
    </cfRule>
  </conditionalFormatting>
  <conditionalFormatting sqref="F26">
    <cfRule type="containsText" dxfId="20" priority="19" operator="containsText" text="Retired">
      <formula>NOT(ISERROR(SEARCH("Retired",F26)))</formula>
    </cfRule>
    <cfRule type="containsText" dxfId="19" priority="20" operator="containsText" text="Active">
      <formula>NOT(ISERROR(SEARCH("Active",F26)))</formula>
    </cfRule>
    <cfRule type="containsText" dxfId="18" priority="21" operator="containsText" text="In Development">
      <formula>NOT(ISERROR(SEARCH("In Development",F26)))</formula>
    </cfRule>
  </conditionalFormatting>
  <conditionalFormatting sqref="B9">
    <cfRule type="containsText" dxfId="17" priority="16" operator="containsText" text="Retired">
      <formula>NOT(ISERROR(SEARCH("Retired",B9)))</formula>
    </cfRule>
    <cfRule type="containsText" dxfId="16" priority="17" operator="containsText" text="Active">
      <formula>NOT(ISERROR(SEARCH("Active",B9)))</formula>
    </cfRule>
    <cfRule type="containsText" dxfId="15" priority="18" operator="containsText" text="In Development">
      <formula>NOT(ISERROR(SEARCH("In Development",B9)))</formula>
    </cfRule>
  </conditionalFormatting>
  <conditionalFormatting sqref="D9">
    <cfRule type="containsText" dxfId="14" priority="13" operator="containsText" text="Retired">
      <formula>NOT(ISERROR(SEARCH("Retired",D9)))</formula>
    </cfRule>
    <cfRule type="containsText" dxfId="13" priority="14" operator="containsText" text="Active">
      <formula>NOT(ISERROR(SEARCH("Active",D9)))</formula>
    </cfRule>
    <cfRule type="containsText" dxfId="12" priority="15" operator="containsText" text="In Development">
      <formula>NOT(ISERROR(SEARCH("In Development",D9)))</formula>
    </cfRule>
  </conditionalFormatting>
  <conditionalFormatting sqref="B61">
    <cfRule type="containsText" dxfId="11" priority="10" operator="containsText" text="Retired">
      <formula>NOT(ISERROR(SEARCH("Retired",B61)))</formula>
    </cfRule>
    <cfRule type="containsText" dxfId="10" priority="11" operator="containsText" text="Active">
      <formula>NOT(ISERROR(SEARCH("Active",B61)))</formula>
    </cfRule>
    <cfRule type="containsText" dxfId="9" priority="12" operator="containsText" text="In Development">
      <formula>NOT(ISERROR(SEARCH("In Development",B61)))</formula>
    </cfRule>
  </conditionalFormatting>
  <conditionalFormatting sqref="D61">
    <cfRule type="containsText" dxfId="8" priority="7" operator="containsText" text="Retired">
      <formula>NOT(ISERROR(SEARCH("Retired",D61)))</formula>
    </cfRule>
    <cfRule type="containsText" dxfId="7" priority="8" operator="containsText" text="Active">
      <formula>NOT(ISERROR(SEARCH("Active",D61)))</formula>
    </cfRule>
    <cfRule type="containsText" dxfId="6" priority="9" operator="containsText" text="In Development">
      <formula>NOT(ISERROR(SEARCH("In Development",D61)))</formula>
    </cfRule>
  </conditionalFormatting>
  <conditionalFormatting sqref="B79">
    <cfRule type="containsText" dxfId="5" priority="4" operator="containsText" text="Retired">
      <formula>NOT(ISERROR(SEARCH("Retired",B79)))</formula>
    </cfRule>
    <cfRule type="containsText" dxfId="4" priority="5" operator="containsText" text="Active">
      <formula>NOT(ISERROR(SEARCH("Active",B79)))</formula>
    </cfRule>
    <cfRule type="containsText" dxfId="3" priority="6" operator="containsText" text="In Development">
      <formula>NOT(ISERROR(SEARCH("In Development",B79)))</formula>
    </cfRule>
  </conditionalFormatting>
  <conditionalFormatting sqref="B95">
    <cfRule type="containsText" dxfId="2" priority="1" operator="containsText" text="Retired">
      <formula>NOT(ISERROR(SEARCH("Retired",B95)))</formula>
    </cfRule>
    <cfRule type="containsText" dxfId="1" priority="2" operator="containsText" text="Active">
      <formula>NOT(ISERROR(SEARCH("Active",B95)))</formula>
    </cfRule>
    <cfRule type="containsText" dxfId="0" priority="3" operator="containsText" text="In Development">
      <formula>NOT(ISERROR(SEARCH("In Development",B95)))</formula>
    </cfRule>
  </conditionalFormatting>
  <hyperlinks>
    <hyperlink ref="A60" r:id="rId1" xr:uid="{E44746BA-C7E0-4274-A9FA-AA49E3A70F14}"/>
    <hyperlink ref="C60" r:id="rId2" xr:uid="{75165838-7025-4DCF-B909-C56D5096797F}"/>
    <hyperlink ref="A44" r:id="rId3" xr:uid="{9780EE9B-95C4-4DAE-B1E0-51F78951059F}"/>
    <hyperlink ref="C44" r:id="rId4" xr:uid="{40F590DD-6F2A-4AAC-BDAD-14038AD5E90C}"/>
    <hyperlink ref="A25" r:id="rId5" xr:uid="{24E39645-11DA-4CBF-9C62-9EE5678540DF}"/>
    <hyperlink ref="C25" r:id="rId6" xr:uid="{35F29CBB-92F4-4CC4-9554-E761DA16D03E}"/>
    <hyperlink ref="E25" r:id="rId7" xr:uid="{8F1FB1A7-39FF-4612-982E-3F574605F929}"/>
    <hyperlink ref="C8" r:id="rId8" xr:uid="{A07D5DA9-BBA8-49D9-A9E4-A99803EA61A3}"/>
    <hyperlink ref="A8" r:id="rId9" xr:uid="{B7CD88E3-B1E7-4DE7-BD02-8E9030985DFC}"/>
    <hyperlink ref="A78" r:id="rId10" xr:uid="{3CE51900-8DF8-4982-ACE2-A1793395B14A}"/>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05"/>
  <sheetViews>
    <sheetView zoomScale="85" zoomScaleNormal="85" workbookViewId="0">
      <pane xSplit="2" ySplit="7" topLeftCell="C38" activePane="bottomRight" state="frozen"/>
      <selection pane="topRight" activeCell="C1" sqref="C1"/>
      <selection pane="bottomLeft" activeCell="A4" sqref="A4"/>
      <selection pane="bottomRight" activeCell="Q53" sqref="Q53"/>
    </sheetView>
  </sheetViews>
  <sheetFormatPr defaultRowHeight="14.5" x14ac:dyDescent="0.35"/>
  <cols>
    <col min="2" max="2" width="19.08984375" customWidth="1"/>
    <col min="3" max="7" width="12.6328125" customWidth="1"/>
    <col min="8" max="8" width="12.6328125" style="36" customWidth="1"/>
    <col min="9" max="11" width="12.6328125" customWidth="1"/>
    <col min="12" max="12" width="12.6328125" style="36" customWidth="1"/>
    <col min="13" max="15" width="12.6328125" customWidth="1"/>
    <col min="16" max="16" width="12.6328125" style="36" customWidth="1"/>
    <col min="17" max="46" width="12.6328125" customWidth="1"/>
  </cols>
  <sheetData>
    <row r="1" spans="2:44" x14ac:dyDescent="0.35">
      <c r="B1" t="s">
        <v>98</v>
      </c>
      <c r="F1" t="s">
        <v>99</v>
      </c>
      <c r="G1" t="s">
        <v>100</v>
      </c>
      <c r="H1" s="36" t="s">
        <v>101</v>
      </c>
      <c r="I1" t="s">
        <v>102</v>
      </c>
      <c r="J1" t="s">
        <v>103</v>
      </c>
      <c r="K1" t="s">
        <v>104</v>
      </c>
      <c r="L1" s="36" t="s">
        <v>105</v>
      </c>
      <c r="M1" t="s">
        <v>106</v>
      </c>
      <c r="N1" t="s">
        <v>107</v>
      </c>
    </row>
    <row r="2" spans="2:44" x14ac:dyDescent="0.35">
      <c r="B2" t="s">
        <v>108</v>
      </c>
      <c r="F2" s="5">
        <v>44151</v>
      </c>
      <c r="G2" s="5">
        <v>43921</v>
      </c>
      <c r="H2" s="37">
        <v>44340</v>
      </c>
      <c r="I2" s="5">
        <v>44411</v>
      </c>
      <c r="J2" s="5">
        <v>44515</v>
      </c>
      <c r="K2" s="5">
        <v>44644</v>
      </c>
      <c r="L2" s="37">
        <v>44697</v>
      </c>
      <c r="M2" s="5">
        <v>44784</v>
      </c>
      <c r="N2" s="5">
        <v>44874</v>
      </c>
      <c r="P2" s="37">
        <v>45055</v>
      </c>
      <c r="Q2" s="5">
        <v>45146</v>
      </c>
      <c r="R2" s="5">
        <v>45238</v>
      </c>
      <c r="AG2" s="5">
        <v>44286</v>
      </c>
      <c r="AH2" s="5">
        <v>44644</v>
      </c>
      <c r="AI2" s="5">
        <v>44992</v>
      </c>
    </row>
    <row r="3" spans="2:44" x14ac:dyDescent="0.35">
      <c r="B3" t="s">
        <v>109</v>
      </c>
      <c r="F3" s="5">
        <v>44104</v>
      </c>
      <c r="G3" s="5">
        <v>44196</v>
      </c>
      <c r="H3" s="5">
        <v>44286</v>
      </c>
      <c r="I3" s="5">
        <v>44377</v>
      </c>
      <c r="J3" s="5">
        <v>44469</v>
      </c>
      <c r="K3" s="5">
        <v>44561</v>
      </c>
      <c r="L3" s="37">
        <v>44651</v>
      </c>
      <c r="M3" s="5">
        <v>44742</v>
      </c>
      <c r="N3" s="5">
        <v>44834</v>
      </c>
      <c r="O3" s="5">
        <v>44926</v>
      </c>
      <c r="P3" s="37">
        <v>45016</v>
      </c>
      <c r="Q3" s="5">
        <v>45107</v>
      </c>
      <c r="R3" s="5">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6" customFormat="1" x14ac:dyDescent="0.35">
      <c r="B4" s="6" t="s">
        <v>440</v>
      </c>
      <c r="F4" s="59"/>
      <c r="G4" s="59"/>
      <c r="H4" s="59"/>
      <c r="I4" s="59"/>
      <c r="J4" s="59"/>
      <c r="K4" s="59"/>
      <c r="L4" s="69"/>
      <c r="M4" s="59"/>
      <c r="N4" s="59"/>
      <c r="O4" s="59"/>
      <c r="P4" s="55"/>
    </row>
    <row r="5" spans="2:44" x14ac:dyDescent="0.35">
      <c r="B5" t="s">
        <v>441</v>
      </c>
      <c r="F5" s="5"/>
      <c r="G5" s="5"/>
      <c r="H5" s="5"/>
      <c r="I5" s="5"/>
      <c r="J5" s="5"/>
      <c r="K5" s="5"/>
      <c r="L5" s="37"/>
      <c r="M5" s="5"/>
      <c r="N5" s="5"/>
      <c r="O5" s="5"/>
      <c r="AG5">
        <v>11.39</v>
      </c>
      <c r="AH5">
        <v>21.34</v>
      </c>
      <c r="AI5">
        <v>8.74</v>
      </c>
    </row>
    <row r="6" spans="2:44" x14ac:dyDescent="0.35">
      <c r="B6" t="s">
        <v>442</v>
      </c>
      <c r="F6" s="5"/>
      <c r="G6" s="5"/>
      <c r="H6" s="5"/>
      <c r="I6" s="5"/>
      <c r="J6" s="5"/>
      <c r="K6" s="5"/>
      <c r="L6" s="37"/>
      <c r="M6" s="5"/>
      <c r="N6" s="5"/>
      <c r="O6" s="5"/>
      <c r="AG6">
        <v>9.7200000000000006</v>
      </c>
      <c r="AH6">
        <v>9.5</v>
      </c>
      <c r="AI6">
        <v>3.48</v>
      </c>
    </row>
    <row r="7" spans="2:44" s="72" customFormat="1" x14ac:dyDescent="0.35">
      <c r="B7" s="72" t="s">
        <v>443</v>
      </c>
      <c r="H7" s="73">
        <v>10.46</v>
      </c>
      <c r="I7" s="72">
        <v>10.17</v>
      </c>
      <c r="J7" s="72">
        <v>14.05</v>
      </c>
      <c r="K7" s="72">
        <v>9.0399999999999991</v>
      </c>
      <c r="L7" s="73">
        <v>7.38</v>
      </c>
      <c r="M7" s="72">
        <v>4.67</v>
      </c>
      <c r="N7" s="72">
        <v>5.09</v>
      </c>
      <c r="O7" s="72">
        <v>4.97</v>
      </c>
      <c r="P7" s="73"/>
      <c r="AG7" s="72">
        <v>10.18</v>
      </c>
      <c r="AH7" s="72">
        <v>12.06</v>
      </c>
      <c r="AI7" s="72">
        <v>5.07</v>
      </c>
    </row>
    <row r="8" spans="2:44" x14ac:dyDescent="0.35">
      <c r="F8" s="5"/>
      <c r="G8" s="5"/>
      <c r="H8" s="37"/>
      <c r="I8" s="5"/>
      <c r="J8" s="5"/>
      <c r="K8" s="5"/>
      <c r="L8" s="37"/>
      <c r="M8" s="5"/>
      <c r="N8" s="5"/>
    </row>
    <row r="9" spans="2:44" s="6" customFormat="1" x14ac:dyDescent="0.35">
      <c r="B9" s="6" t="s">
        <v>493</v>
      </c>
      <c r="F9" s="59"/>
      <c r="G9" s="59"/>
      <c r="H9" s="69"/>
      <c r="I9" s="59"/>
      <c r="J9" s="59"/>
      <c r="K9" s="59"/>
      <c r="L9" s="69"/>
      <c r="M9" s="59"/>
      <c r="N9" s="59"/>
      <c r="P9" s="55"/>
    </row>
    <row r="10" spans="2:44" s="88" customFormat="1" x14ac:dyDescent="0.35">
      <c r="B10" s="88" t="s">
        <v>494</v>
      </c>
      <c r="F10" s="89"/>
      <c r="G10" s="89"/>
      <c r="H10" s="90"/>
      <c r="I10" s="89"/>
      <c r="J10" s="89"/>
      <c r="K10" s="89"/>
      <c r="L10" s="90"/>
      <c r="M10" s="89"/>
      <c r="N10" s="89"/>
      <c r="P10" s="91"/>
      <c r="AG10" s="88">
        <v>0</v>
      </c>
      <c r="AH10" s="88" t="s">
        <v>196</v>
      </c>
      <c r="AI10" s="88">
        <v>116.2</v>
      </c>
    </row>
    <row r="11" spans="2:44" s="95" customFormat="1" x14ac:dyDescent="0.35">
      <c r="B11" s="95" t="s">
        <v>34</v>
      </c>
      <c r="F11" s="96"/>
      <c r="G11" s="96"/>
      <c r="H11" s="97"/>
      <c r="I11" s="96"/>
      <c r="J11" s="96"/>
      <c r="K11" s="96"/>
      <c r="L11" s="97"/>
      <c r="M11" s="96"/>
      <c r="N11" s="96"/>
      <c r="P11" s="98"/>
      <c r="AG11" s="95">
        <v>0</v>
      </c>
      <c r="AH11" s="95" t="s">
        <v>196</v>
      </c>
      <c r="AI11" s="95">
        <v>387.4</v>
      </c>
    </row>
    <row r="12" spans="2:44" s="14" customFormat="1" x14ac:dyDescent="0.35">
      <c r="B12" s="14" t="s">
        <v>495</v>
      </c>
      <c r="F12" s="92"/>
      <c r="G12" s="92"/>
      <c r="H12" s="93"/>
      <c r="I12" s="92"/>
      <c r="J12" s="92"/>
      <c r="K12" s="92"/>
      <c r="L12" s="93"/>
      <c r="M12" s="92"/>
      <c r="N12" s="92"/>
      <c r="P12" s="94"/>
      <c r="R12" s="14">
        <v>582.44200000000001</v>
      </c>
      <c r="AA12" s="14">
        <f>SUM(AA10:AA11)</f>
        <v>0</v>
      </c>
      <c r="AB12" s="14">
        <f t="shared" ref="AB12:AR12" si="2">SUM(AB10:AB11)</f>
        <v>0</v>
      </c>
      <c r="AC12" s="14">
        <f t="shared" si="2"/>
        <v>0</v>
      </c>
      <c r="AD12" s="14">
        <f t="shared" si="2"/>
        <v>0</v>
      </c>
      <c r="AE12" s="14">
        <f t="shared" si="2"/>
        <v>0</v>
      </c>
      <c r="AF12" s="14">
        <f t="shared" si="2"/>
        <v>0</v>
      </c>
      <c r="AG12" s="14">
        <f t="shared" si="2"/>
        <v>0</v>
      </c>
      <c r="AH12" s="14">
        <v>241.5</v>
      </c>
      <c r="AI12" s="14">
        <f t="shared" si="2"/>
        <v>503.59999999999997</v>
      </c>
      <c r="AJ12" s="14">
        <f t="shared" si="2"/>
        <v>0</v>
      </c>
      <c r="AK12" s="14">
        <f t="shared" si="2"/>
        <v>0</v>
      </c>
      <c r="AL12" s="14">
        <f t="shared" si="2"/>
        <v>0</v>
      </c>
      <c r="AM12" s="14">
        <f t="shared" si="2"/>
        <v>0</v>
      </c>
      <c r="AN12" s="14">
        <f t="shared" si="2"/>
        <v>0</v>
      </c>
      <c r="AO12" s="14">
        <f t="shared" si="2"/>
        <v>0</v>
      </c>
      <c r="AP12" s="14">
        <f t="shared" si="2"/>
        <v>0</v>
      </c>
      <c r="AQ12" s="14">
        <f t="shared" si="2"/>
        <v>0</v>
      </c>
      <c r="AR12" s="14">
        <f t="shared" si="2"/>
        <v>0</v>
      </c>
    </row>
    <row r="13" spans="2:44" x14ac:dyDescent="0.35">
      <c r="F13" s="5"/>
      <c r="G13" s="5"/>
      <c r="H13" s="37"/>
      <c r="I13" s="5"/>
      <c r="J13" s="5"/>
      <c r="K13" s="5"/>
      <c r="L13" s="37"/>
      <c r="M13" s="5"/>
      <c r="N13" s="5"/>
    </row>
    <row r="14" spans="2:44" x14ac:dyDescent="0.35">
      <c r="F14" s="5"/>
      <c r="G14" s="5"/>
      <c r="H14" s="37"/>
      <c r="I14" s="5"/>
      <c r="J14" s="5"/>
      <c r="K14" s="5"/>
      <c r="L14" s="37"/>
      <c r="M14" s="5"/>
      <c r="N14" s="5"/>
    </row>
    <row r="15" spans="2:44" x14ac:dyDescent="0.35">
      <c r="F15" s="5"/>
      <c r="G15" s="5"/>
      <c r="H15" s="37"/>
      <c r="I15" s="5"/>
      <c r="J15" s="5"/>
      <c r="K15" s="5"/>
      <c r="L15" s="37"/>
      <c r="M15" s="5"/>
      <c r="N15" s="5"/>
    </row>
    <row r="16" spans="2:44" s="10" customFormat="1" x14ac:dyDescent="0.35">
      <c r="B16" s="10" t="s">
        <v>110</v>
      </c>
      <c r="H16" s="38"/>
      <c r="I16" s="20"/>
      <c r="J16" s="20"/>
      <c r="K16" s="20"/>
      <c r="L16" s="38"/>
      <c r="M16" s="20"/>
      <c r="N16" s="20"/>
      <c r="O16" s="20"/>
      <c r="P16" s="38"/>
      <c r="Q16" s="20"/>
      <c r="R16" s="20"/>
      <c r="S16" s="20"/>
      <c r="T16" s="20"/>
      <c r="U16" s="20"/>
      <c r="V16" s="20"/>
      <c r="W16" s="20"/>
      <c r="X16" s="20"/>
      <c r="Y16" s="20"/>
      <c r="Z16" s="20"/>
      <c r="AA16" s="20"/>
      <c r="AB16" s="20"/>
      <c r="AC16" s="20"/>
      <c r="AD16" s="20"/>
      <c r="AE16" s="20"/>
      <c r="AF16" s="20"/>
      <c r="AG16" s="20"/>
      <c r="AH16" s="20"/>
      <c r="AI16" s="20"/>
      <c r="AJ16" s="20"/>
      <c r="AK16" s="20"/>
    </row>
    <row r="17" spans="2:44" x14ac:dyDescent="0.35">
      <c r="B17" t="s">
        <v>111</v>
      </c>
      <c r="G17" t="s">
        <v>112</v>
      </c>
      <c r="H17" s="39"/>
      <c r="I17" s="7"/>
      <c r="J17" s="7"/>
      <c r="K17" s="7"/>
      <c r="L17" s="39"/>
      <c r="M17" s="7"/>
      <c r="N17" s="7"/>
      <c r="O17" s="7"/>
      <c r="P17" s="39"/>
      <c r="Q17" s="7"/>
      <c r="R17" s="7"/>
      <c r="S17" s="7"/>
      <c r="T17" s="7"/>
      <c r="U17" s="7"/>
      <c r="V17" s="7"/>
      <c r="W17" s="7"/>
      <c r="X17" s="7"/>
      <c r="Y17" s="7"/>
      <c r="Z17" s="7"/>
      <c r="AA17" s="7"/>
      <c r="AB17" s="7"/>
      <c r="AC17" s="7"/>
      <c r="AD17" s="7"/>
      <c r="AE17" s="7"/>
      <c r="AF17" s="7"/>
      <c r="AG17" s="7">
        <v>31993</v>
      </c>
      <c r="AH17" s="7">
        <v>36576</v>
      </c>
      <c r="AI17" s="7">
        <v>60200</v>
      </c>
      <c r="AJ17" s="7"/>
      <c r="AK17" s="7"/>
    </row>
    <row r="18" spans="2:44" x14ac:dyDescent="0.35">
      <c r="B18" t="s">
        <v>113</v>
      </c>
      <c r="H18" s="39"/>
      <c r="I18" s="7"/>
      <c r="J18" s="7"/>
      <c r="K18" s="7"/>
      <c r="L18" s="39"/>
      <c r="M18" s="7"/>
      <c r="N18" s="7"/>
      <c r="O18" s="7"/>
      <c r="P18" s="39"/>
      <c r="Q18" s="7"/>
      <c r="R18" s="7"/>
      <c r="S18" s="7"/>
      <c r="T18" s="7"/>
      <c r="U18" s="7"/>
      <c r="V18" s="7"/>
      <c r="W18" s="7"/>
      <c r="X18" s="7"/>
      <c r="Y18" s="7"/>
      <c r="Z18" s="7"/>
      <c r="AA18" s="7"/>
      <c r="AB18" s="7"/>
      <c r="AC18" s="7"/>
      <c r="AD18" s="7"/>
      <c r="AE18" s="7"/>
      <c r="AF18" s="7"/>
      <c r="AG18" s="7">
        <v>1092</v>
      </c>
      <c r="AH18" s="7">
        <v>2395</v>
      </c>
      <c r="AI18" s="7">
        <v>485</v>
      </c>
      <c r="AJ18" s="7"/>
      <c r="AK18" s="7"/>
    </row>
    <row r="19" spans="2:44" x14ac:dyDescent="0.35">
      <c r="B19" t="s">
        <v>114</v>
      </c>
      <c r="H19" s="39"/>
      <c r="I19" s="7"/>
      <c r="J19" s="7"/>
      <c r="K19" s="7"/>
      <c r="L19" s="39"/>
      <c r="M19" s="7"/>
      <c r="N19" s="7"/>
      <c r="O19" s="7"/>
      <c r="P19" s="39"/>
      <c r="Q19" s="7"/>
      <c r="R19" s="7"/>
      <c r="S19" s="7"/>
      <c r="T19" s="7"/>
      <c r="U19" s="7"/>
      <c r="V19" s="7"/>
      <c r="W19" s="7"/>
      <c r="X19" s="7"/>
      <c r="Y19" s="7"/>
      <c r="Z19" s="7"/>
      <c r="AA19" s="7"/>
      <c r="AB19" s="7"/>
      <c r="AC19" s="7"/>
      <c r="AD19" s="7"/>
      <c r="AE19" s="7"/>
      <c r="AF19" s="7"/>
      <c r="AG19" s="7">
        <v>1910</v>
      </c>
      <c r="AH19" s="7">
        <v>12578</v>
      </c>
      <c r="AI19" s="7">
        <v>61141</v>
      </c>
      <c r="AJ19" s="7"/>
      <c r="AK19" s="7"/>
    </row>
    <row r="20" spans="2:44" s="4" customFormat="1" x14ac:dyDescent="0.35">
      <c r="B20" s="4" t="s">
        <v>115</v>
      </c>
      <c r="H20" s="40"/>
      <c r="I20" s="8"/>
      <c r="J20" s="8"/>
      <c r="K20" s="8"/>
      <c r="L20" s="40"/>
      <c r="M20" s="8"/>
      <c r="N20" s="8"/>
      <c r="O20" s="8"/>
      <c r="P20" s="40"/>
      <c r="Q20" s="8"/>
      <c r="R20" s="8"/>
      <c r="S20" s="8"/>
      <c r="T20" s="8"/>
      <c r="U20" s="8"/>
      <c r="V20" s="8"/>
      <c r="W20" s="8"/>
      <c r="X20" s="8"/>
      <c r="Y20" s="8"/>
      <c r="Z20" s="8"/>
      <c r="AA20" s="8"/>
      <c r="AB20" s="8"/>
      <c r="AC20" s="8"/>
      <c r="AD20" s="8"/>
      <c r="AE20" s="8"/>
      <c r="AF20" s="8"/>
      <c r="AG20" s="8">
        <v>165</v>
      </c>
      <c r="AH20" s="8">
        <v>10688</v>
      </c>
      <c r="AI20" s="8">
        <v>89170</v>
      </c>
      <c r="AJ20" s="8"/>
      <c r="AK20" s="8"/>
    </row>
    <row r="21" spans="2:44" x14ac:dyDescent="0.35">
      <c r="B21" t="s">
        <v>116</v>
      </c>
      <c r="F21">
        <v>10670</v>
      </c>
      <c r="G21" s="7">
        <f>33903-F21</f>
        <v>23233</v>
      </c>
      <c r="H21" s="39">
        <v>17035</v>
      </c>
      <c r="I21" s="7">
        <v>9780</v>
      </c>
      <c r="J21" s="7">
        <v>1988</v>
      </c>
      <c r="K21" s="7">
        <f>AH21-J21-I21-H21</f>
        <v>20351</v>
      </c>
      <c r="L21" s="39">
        <v>28237</v>
      </c>
      <c r="M21" s="7">
        <v>37107</v>
      </c>
      <c r="N21" s="7">
        <v>31312</v>
      </c>
      <c r="O21" s="7"/>
      <c r="P21" s="39">
        <v>28662</v>
      </c>
      <c r="Q21" s="7">
        <v>35670</v>
      </c>
      <c r="R21" s="7">
        <v>30226</v>
      </c>
      <c r="S21" s="7"/>
      <c r="T21" s="7"/>
      <c r="U21" s="7"/>
      <c r="V21" s="7"/>
      <c r="W21" s="7"/>
      <c r="X21" s="7"/>
      <c r="Y21" s="7"/>
      <c r="Z21" s="7"/>
      <c r="AA21" s="7"/>
      <c r="AB21" s="7"/>
      <c r="AC21" s="7"/>
      <c r="AD21" s="7"/>
      <c r="AE21" s="7"/>
      <c r="AF21" s="7"/>
      <c r="AG21" s="7">
        <f>+AG19+AG17</f>
        <v>33903</v>
      </c>
      <c r="AH21" s="7">
        <f>+AH19+AH17</f>
        <v>49154</v>
      </c>
      <c r="AI21" s="7">
        <f t="shared" ref="AI21:AR21" si="3">+AI19+AI17</f>
        <v>121341</v>
      </c>
      <c r="AJ21" s="7">
        <f t="shared" si="3"/>
        <v>0</v>
      </c>
      <c r="AK21" s="7">
        <f t="shared" si="3"/>
        <v>0</v>
      </c>
      <c r="AL21" s="7">
        <f t="shared" si="3"/>
        <v>0</v>
      </c>
      <c r="AM21" s="7">
        <f t="shared" si="3"/>
        <v>0</v>
      </c>
      <c r="AN21" s="7">
        <f t="shared" si="3"/>
        <v>0</v>
      </c>
      <c r="AO21" s="7">
        <f t="shared" si="3"/>
        <v>0</v>
      </c>
      <c r="AP21" s="7">
        <f t="shared" si="3"/>
        <v>0</v>
      </c>
      <c r="AQ21" s="7">
        <f t="shared" si="3"/>
        <v>0</v>
      </c>
      <c r="AR21" s="7">
        <f t="shared" si="3"/>
        <v>0</v>
      </c>
    </row>
    <row r="22" spans="2:44" s="4" customFormat="1" x14ac:dyDescent="0.35">
      <c r="B22" s="4" t="s">
        <v>117</v>
      </c>
      <c r="F22" s="4">
        <v>0</v>
      </c>
      <c r="G22" s="8">
        <v>1257</v>
      </c>
      <c r="H22" s="40">
        <v>1157</v>
      </c>
      <c r="I22" s="8">
        <v>1500</v>
      </c>
      <c r="J22" s="8">
        <v>3299</v>
      </c>
      <c r="K22" s="8">
        <f>AH22-J22-I22-H22</f>
        <v>7127</v>
      </c>
      <c r="L22" s="40">
        <v>12466</v>
      </c>
      <c r="M22" s="8">
        <v>18367</v>
      </c>
      <c r="N22" s="8">
        <v>31745</v>
      </c>
      <c r="O22" s="8"/>
      <c r="P22" s="40">
        <v>26233</v>
      </c>
      <c r="Q22" s="8">
        <v>26375</v>
      </c>
      <c r="R22" s="8">
        <v>37435</v>
      </c>
      <c r="S22" s="8"/>
      <c r="T22" s="8"/>
      <c r="U22" s="8"/>
      <c r="V22" s="8"/>
      <c r="W22" s="8"/>
      <c r="X22" s="8"/>
      <c r="Y22" s="8"/>
      <c r="Z22" s="8"/>
      <c r="AA22" s="8"/>
      <c r="AB22" s="8"/>
      <c r="AC22" s="8"/>
      <c r="AD22" s="8"/>
      <c r="AE22" s="8"/>
      <c r="AF22" s="8"/>
      <c r="AG22" s="8">
        <f>+AG20+AG18</f>
        <v>1257</v>
      </c>
      <c r="AH22" s="8">
        <f>+AH20+AH18</f>
        <v>13083</v>
      </c>
      <c r="AI22" s="8">
        <f t="shared" ref="AI22:AR22" si="4">+AI20+AI18</f>
        <v>89655</v>
      </c>
      <c r="AJ22" s="8">
        <f t="shared" si="4"/>
        <v>0</v>
      </c>
      <c r="AK22" s="8">
        <f t="shared" si="4"/>
        <v>0</v>
      </c>
      <c r="AL22" s="8">
        <f t="shared" si="4"/>
        <v>0</v>
      </c>
      <c r="AM22" s="8">
        <f t="shared" si="4"/>
        <v>0</v>
      </c>
      <c r="AN22" s="8">
        <f t="shared" si="4"/>
        <v>0</v>
      </c>
      <c r="AO22" s="8">
        <f t="shared" si="4"/>
        <v>0</v>
      </c>
      <c r="AP22" s="8">
        <f t="shared" si="4"/>
        <v>0</v>
      </c>
      <c r="AQ22" s="8">
        <f t="shared" si="4"/>
        <v>0</v>
      </c>
      <c r="AR22" s="8">
        <f t="shared" si="4"/>
        <v>0</v>
      </c>
    </row>
    <row r="23" spans="2:44" s="14" customFormat="1" x14ac:dyDescent="0.35">
      <c r="B23" s="14" t="s">
        <v>118</v>
      </c>
      <c r="F23" s="26">
        <f>SUM(F21:F22)</f>
        <v>10670</v>
      </c>
      <c r="G23" s="26">
        <f>G21+G22</f>
        <v>24490</v>
      </c>
      <c r="H23" s="42">
        <f>SUM(H21:H22)</f>
        <v>18192</v>
      </c>
      <c r="I23" s="26">
        <f>SUM(I21:I22)</f>
        <v>11280</v>
      </c>
      <c r="J23" s="26">
        <f>SUM(J21:J22)</f>
        <v>5287</v>
      </c>
      <c r="K23" s="26">
        <f>AH23-J23-I23-H23</f>
        <v>27478</v>
      </c>
      <c r="L23" s="42">
        <f>SUM(L21:L22)</f>
        <v>40703</v>
      </c>
      <c r="M23" s="26">
        <f>SUM(M21:M22)</f>
        <v>55474</v>
      </c>
      <c r="N23" s="26">
        <f>SUM(N21:N22)</f>
        <v>63057</v>
      </c>
      <c r="O23" s="26"/>
      <c r="P23" s="42">
        <f>SUM(P21:P22)</f>
        <v>54895</v>
      </c>
      <c r="Q23" s="26">
        <f>SUM(Q21:Q22)</f>
        <v>62045</v>
      </c>
      <c r="R23" s="26">
        <f t="shared" ref="R23:U23" si="5">SUM(R21:R22)</f>
        <v>67661</v>
      </c>
      <c r="S23" s="26">
        <f t="shared" si="5"/>
        <v>0</v>
      </c>
      <c r="T23" s="26">
        <f t="shared" si="5"/>
        <v>0</v>
      </c>
      <c r="U23" s="26">
        <f t="shared" si="5"/>
        <v>0</v>
      </c>
      <c r="V23" s="26"/>
      <c r="W23" s="26"/>
      <c r="X23" s="26"/>
      <c r="Y23" s="26"/>
      <c r="Z23" s="26"/>
      <c r="AA23" s="26"/>
      <c r="AB23" s="26"/>
      <c r="AC23" s="26"/>
      <c r="AD23" s="26"/>
      <c r="AE23" s="26"/>
      <c r="AF23" s="26"/>
      <c r="AG23" s="26">
        <f>AG21+AG22</f>
        <v>35160</v>
      </c>
      <c r="AH23" s="26">
        <f>AH21+AH22</f>
        <v>62237</v>
      </c>
      <c r="AI23" s="26">
        <f t="shared" ref="AI23:AR23" si="6">AI21+AI22</f>
        <v>210996</v>
      </c>
      <c r="AJ23" s="26">
        <f t="shared" si="6"/>
        <v>0</v>
      </c>
      <c r="AK23" s="26">
        <f t="shared" si="6"/>
        <v>0</v>
      </c>
      <c r="AL23" s="26">
        <f t="shared" si="6"/>
        <v>0</v>
      </c>
      <c r="AM23" s="26">
        <f t="shared" si="6"/>
        <v>0</v>
      </c>
      <c r="AN23" s="26">
        <f t="shared" si="6"/>
        <v>0</v>
      </c>
      <c r="AO23" s="26">
        <f t="shared" si="6"/>
        <v>0</v>
      </c>
      <c r="AP23" s="26">
        <f t="shared" si="6"/>
        <v>0</v>
      </c>
      <c r="AQ23" s="26">
        <f t="shared" si="6"/>
        <v>0</v>
      </c>
      <c r="AR23" s="26">
        <f t="shared" si="6"/>
        <v>0</v>
      </c>
    </row>
    <row r="24" spans="2:44" x14ac:dyDescent="0.35">
      <c r="F24" s="7"/>
      <c r="G24" s="7"/>
      <c r="H24" s="39"/>
      <c r="I24" s="7"/>
      <c r="J24" s="7"/>
      <c r="K24" s="7"/>
      <c r="L24" s="39"/>
      <c r="M24" s="7"/>
      <c r="N24" s="7"/>
      <c r="O24" s="7"/>
      <c r="P24" s="39"/>
      <c r="Q24" s="7"/>
      <c r="R24" s="7"/>
      <c r="S24" s="7"/>
      <c r="T24" s="7"/>
      <c r="U24" s="7"/>
      <c r="V24" s="7"/>
      <c r="W24" s="7"/>
      <c r="X24" s="7"/>
      <c r="Y24" s="7"/>
      <c r="Z24" s="7"/>
      <c r="AA24" s="7"/>
      <c r="AB24" s="7"/>
      <c r="AC24" s="7"/>
      <c r="AD24" s="7"/>
      <c r="AE24" s="7"/>
      <c r="AF24" s="7"/>
      <c r="AG24" s="7"/>
      <c r="AH24" s="7"/>
      <c r="AI24" s="7"/>
      <c r="AJ24" s="7"/>
      <c r="AK24" s="7"/>
    </row>
    <row r="25" spans="2:44" s="30" customFormat="1" x14ac:dyDescent="0.35">
      <c r="B25" s="30" t="s">
        <v>119</v>
      </c>
      <c r="F25" s="31"/>
      <c r="G25" s="31"/>
      <c r="H25" s="50"/>
      <c r="I25" s="31"/>
      <c r="J25" s="31"/>
      <c r="K25" s="31"/>
      <c r="L25" s="50"/>
      <c r="M25" s="31"/>
      <c r="N25" s="31"/>
      <c r="O25" s="31"/>
      <c r="P25" s="50"/>
      <c r="Q25" s="31"/>
      <c r="R25" s="31"/>
      <c r="S25" s="31"/>
      <c r="T25" s="31"/>
      <c r="U25" s="31"/>
      <c r="V25" s="31"/>
      <c r="W25" s="31"/>
      <c r="X25" s="31"/>
      <c r="Y25" s="31"/>
      <c r="Z25" s="31"/>
      <c r="AA25" s="31"/>
      <c r="AB25" s="31"/>
      <c r="AC25" s="31"/>
      <c r="AD25" s="31"/>
      <c r="AE25" s="31"/>
      <c r="AF25" s="31"/>
      <c r="AG25" s="31"/>
      <c r="AH25" s="31"/>
      <c r="AI25" s="31"/>
      <c r="AJ25" s="31"/>
      <c r="AK25" s="31"/>
    </row>
    <row r="26" spans="2:44" x14ac:dyDescent="0.35">
      <c r="B26" t="s">
        <v>120</v>
      </c>
      <c r="F26" s="7"/>
      <c r="G26" s="7"/>
      <c r="H26" s="39"/>
      <c r="I26" s="7"/>
      <c r="J26" s="7"/>
      <c r="K26" s="7"/>
      <c r="L26" s="39"/>
      <c r="M26" s="7"/>
      <c r="N26" s="7"/>
      <c r="O26" s="7"/>
      <c r="P26" s="39"/>
      <c r="Q26" s="7"/>
      <c r="R26" s="7"/>
      <c r="S26" s="7"/>
      <c r="T26" s="7"/>
      <c r="U26" s="7"/>
      <c r="V26" s="7"/>
      <c r="W26" s="7"/>
      <c r="X26" s="7"/>
      <c r="Y26" s="7"/>
      <c r="Z26" s="7"/>
      <c r="AA26" s="7"/>
      <c r="AB26" s="7"/>
      <c r="AC26" s="7"/>
      <c r="AD26" s="7"/>
      <c r="AE26" s="7"/>
      <c r="AF26" s="7"/>
      <c r="AG26" s="7">
        <v>31993</v>
      </c>
      <c r="AH26" s="7">
        <v>36576</v>
      </c>
      <c r="AI26" s="7">
        <v>60200</v>
      </c>
      <c r="AJ26" s="7"/>
      <c r="AK26" s="7"/>
    </row>
    <row r="27" spans="2:44" s="4" customFormat="1" x14ac:dyDescent="0.35">
      <c r="B27" s="4" t="s">
        <v>121</v>
      </c>
      <c r="F27" s="8"/>
      <c r="G27" s="8"/>
      <c r="H27" s="40"/>
      <c r="I27" s="8"/>
      <c r="J27" s="8"/>
      <c r="K27" s="8"/>
      <c r="L27" s="40"/>
      <c r="M27" s="8"/>
      <c r="N27" s="8"/>
      <c r="O27" s="8"/>
      <c r="P27" s="40"/>
      <c r="Q27" s="8"/>
      <c r="R27" s="8"/>
      <c r="S27" s="8"/>
      <c r="T27" s="8"/>
      <c r="U27" s="8"/>
      <c r="V27" s="8"/>
      <c r="W27" s="8"/>
      <c r="X27" s="8"/>
      <c r="Y27" s="8"/>
      <c r="Z27" s="8"/>
      <c r="AA27" s="8"/>
      <c r="AB27" s="8"/>
      <c r="AC27" s="8"/>
      <c r="AD27" s="8"/>
      <c r="AE27" s="8"/>
      <c r="AF27" s="8"/>
      <c r="AG27" s="8">
        <v>1092</v>
      </c>
      <c r="AH27" s="8">
        <v>2395</v>
      </c>
      <c r="AI27" s="8">
        <v>485</v>
      </c>
      <c r="AJ27" s="8"/>
      <c r="AK27" s="8"/>
    </row>
    <row r="28" spans="2:44" s="14" customFormat="1" x14ac:dyDescent="0.35">
      <c r="B28" s="14" t="s">
        <v>122</v>
      </c>
      <c r="F28" s="26"/>
      <c r="G28" s="26"/>
      <c r="H28" s="42">
        <v>16462</v>
      </c>
      <c r="I28" s="26">
        <v>7618</v>
      </c>
      <c r="J28" s="26">
        <v>1123</v>
      </c>
      <c r="K28" s="26">
        <f>AH28-J28-I28-H28</f>
        <v>13768</v>
      </c>
      <c r="L28" s="42">
        <v>6576</v>
      </c>
      <c r="M28" s="26">
        <v>19109</v>
      </c>
      <c r="N28" s="26">
        <v>22983</v>
      </c>
      <c r="O28" s="26">
        <f>AI28-N28-M28-L28</f>
        <v>12017</v>
      </c>
      <c r="P28" s="42">
        <v>19621</v>
      </c>
      <c r="Q28" s="26">
        <v>22495</v>
      </c>
      <c r="R28" s="26">
        <v>21316</v>
      </c>
      <c r="S28" s="26"/>
      <c r="T28" s="26"/>
      <c r="U28" s="26"/>
      <c r="V28" s="26"/>
      <c r="W28" s="26"/>
      <c r="X28" s="26"/>
      <c r="Y28" s="26"/>
      <c r="Z28" s="26"/>
      <c r="AA28" s="26"/>
      <c r="AB28" s="26"/>
      <c r="AC28" s="26"/>
      <c r="AD28" s="26"/>
      <c r="AE28" s="26"/>
      <c r="AF28" s="26"/>
      <c r="AG28" s="26">
        <v>33085</v>
      </c>
      <c r="AH28" s="26">
        <v>38971</v>
      </c>
      <c r="AI28" s="26">
        <f>SUM(AI26:AI27)</f>
        <v>60685</v>
      </c>
      <c r="AJ28" s="26"/>
      <c r="AK28" s="26"/>
    </row>
    <row r="29" spans="2:44" s="4" customFormat="1" x14ac:dyDescent="0.35">
      <c r="B29" s="4" t="s">
        <v>123</v>
      </c>
      <c r="F29" s="8"/>
      <c r="G29" s="8"/>
      <c r="H29" s="40">
        <v>15866</v>
      </c>
      <c r="I29" s="8">
        <v>7829</v>
      </c>
      <c r="J29" s="8">
        <v>16521</v>
      </c>
      <c r="K29" s="8">
        <f>AH29-J29-I29-H29</f>
        <v>13611</v>
      </c>
      <c r="L29" s="40">
        <v>7344</v>
      </c>
      <c r="M29" s="8">
        <v>21421</v>
      </c>
      <c r="N29" s="8">
        <v>23818</v>
      </c>
      <c r="O29" s="8">
        <f>AI29-N29-M29-L29</f>
        <v>15057</v>
      </c>
      <c r="P29" s="40">
        <v>20379</v>
      </c>
      <c r="Q29" s="8">
        <v>17454</v>
      </c>
      <c r="R29" s="8">
        <v>15531</v>
      </c>
      <c r="S29" s="8"/>
      <c r="T29" s="8"/>
      <c r="U29" s="8"/>
      <c r="V29" s="8"/>
      <c r="W29" s="8"/>
      <c r="X29" s="8"/>
      <c r="Y29" s="8"/>
      <c r="Z29" s="8"/>
      <c r="AA29" s="8"/>
      <c r="AB29" s="8"/>
      <c r="AC29" s="8"/>
      <c r="AD29" s="8"/>
      <c r="AE29" s="8"/>
      <c r="AF29" s="8"/>
      <c r="AG29" s="8">
        <v>45872</v>
      </c>
      <c r="AH29" s="8">
        <v>53827</v>
      </c>
      <c r="AI29" s="8">
        <v>67640</v>
      </c>
      <c r="AJ29" s="8"/>
      <c r="AK29" s="8"/>
    </row>
    <row r="30" spans="2:44" s="14" customFormat="1" x14ac:dyDescent="0.35">
      <c r="B30" s="14" t="s">
        <v>124</v>
      </c>
      <c r="F30" s="26">
        <f>F28-F29</f>
        <v>0</v>
      </c>
      <c r="G30" s="26">
        <f>G28-G29</f>
        <v>0</v>
      </c>
      <c r="H30" s="42">
        <f>H28-H29</f>
        <v>596</v>
      </c>
      <c r="I30" s="26">
        <f>I28-I29</f>
        <v>-211</v>
      </c>
      <c r="J30" s="26">
        <f>J28-J29</f>
        <v>-15398</v>
      </c>
      <c r="K30" s="7">
        <f>AH30-J30-I30-H30</f>
        <v>157</v>
      </c>
      <c r="L30" s="42">
        <f t="shared" ref="L30:R30" si="7">L28-L29</f>
        <v>-768</v>
      </c>
      <c r="M30" s="26">
        <f t="shared" si="7"/>
        <v>-2312</v>
      </c>
      <c r="N30" s="26">
        <f t="shared" si="7"/>
        <v>-835</v>
      </c>
      <c r="O30" s="26">
        <f t="shared" si="7"/>
        <v>-3040</v>
      </c>
      <c r="P30" s="42">
        <f t="shared" si="7"/>
        <v>-758</v>
      </c>
      <c r="Q30" s="26">
        <f t="shared" si="7"/>
        <v>5041</v>
      </c>
      <c r="R30" s="26">
        <f t="shared" si="7"/>
        <v>5785</v>
      </c>
      <c r="S30" s="26"/>
      <c r="T30" s="26"/>
      <c r="U30" s="26"/>
      <c r="V30" s="26"/>
      <c r="W30" s="26"/>
      <c r="X30" s="26"/>
      <c r="Y30" s="26"/>
      <c r="Z30" s="26"/>
      <c r="AA30" s="26"/>
      <c r="AB30" s="26"/>
      <c r="AC30" s="26"/>
      <c r="AD30" s="26"/>
      <c r="AE30" s="26"/>
      <c r="AF30" s="26"/>
      <c r="AG30" s="26">
        <f t="shared" ref="AG30:AR30" si="8">AG28-AG29</f>
        <v>-12787</v>
      </c>
      <c r="AH30" s="26">
        <f t="shared" si="8"/>
        <v>-14856</v>
      </c>
      <c r="AI30" s="26">
        <f t="shared" si="8"/>
        <v>-6955</v>
      </c>
      <c r="AJ30" s="26">
        <f t="shared" si="8"/>
        <v>0</v>
      </c>
      <c r="AK30" s="26">
        <f t="shared" si="8"/>
        <v>0</v>
      </c>
      <c r="AL30" s="26">
        <f t="shared" si="8"/>
        <v>0</v>
      </c>
      <c r="AM30" s="26">
        <f t="shared" si="8"/>
        <v>0</v>
      </c>
      <c r="AN30" s="26">
        <f t="shared" si="8"/>
        <v>0</v>
      </c>
      <c r="AO30" s="26">
        <f t="shared" si="8"/>
        <v>0</v>
      </c>
      <c r="AP30" s="26">
        <f t="shared" si="8"/>
        <v>0</v>
      </c>
      <c r="AQ30" s="26">
        <f t="shared" si="8"/>
        <v>0</v>
      </c>
      <c r="AR30" s="26">
        <f t="shared" si="8"/>
        <v>0</v>
      </c>
    </row>
    <row r="31" spans="2:44" x14ac:dyDescent="0.35">
      <c r="B31" t="s">
        <v>125</v>
      </c>
      <c r="F31" s="2" t="e">
        <f t="shared" ref="F31:R31" si="9">F30/F28</f>
        <v>#DIV/0!</v>
      </c>
      <c r="G31" s="2" t="e">
        <f t="shared" si="9"/>
        <v>#DIV/0!</v>
      </c>
      <c r="H31" s="43">
        <f t="shared" si="9"/>
        <v>3.6204592394605759E-2</v>
      </c>
      <c r="I31" s="2">
        <f t="shared" si="9"/>
        <v>-2.7697558414281963E-2</v>
      </c>
      <c r="J31" s="2">
        <f t="shared" si="9"/>
        <v>-13.711487088156723</v>
      </c>
      <c r="K31" s="2">
        <f t="shared" si="9"/>
        <v>1.1403253922138291E-2</v>
      </c>
      <c r="L31" s="43">
        <f t="shared" si="9"/>
        <v>-0.11678832116788321</v>
      </c>
      <c r="M31" s="2">
        <f t="shared" si="9"/>
        <v>-0.12099010937254696</v>
      </c>
      <c r="N31" s="2">
        <f t="shared" si="9"/>
        <v>-3.6331201322716791E-2</v>
      </c>
      <c r="O31" s="2">
        <f t="shared" si="9"/>
        <v>-0.25297495215111926</v>
      </c>
      <c r="P31" s="43">
        <f t="shared" si="9"/>
        <v>-3.8632077875745373E-2</v>
      </c>
      <c r="Q31" s="2">
        <f t="shared" si="9"/>
        <v>0.22409424316514781</v>
      </c>
      <c r="R31" s="2">
        <f t="shared" si="9"/>
        <v>0.27139238130981425</v>
      </c>
      <c r="S31" s="2"/>
      <c r="T31" s="2"/>
      <c r="U31" s="2"/>
      <c r="V31" s="2"/>
      <c r="W31" s="2"/>
      <c r="X31" s="2"/>
      <c r="Y31" s="2"/>
      <c r="Z31" s="7"/>
      <c r="AA31" s="7"/>
      <c r="AB31" s="7"/>
      <c r="AC31" s="7"/>
      <c r="AD31" s="7"/>
      <c r="AE31" s="7"/>
      <c r="AF31" s="7"/>
      <c r="AG31" s="2">
        <f t="shared" ref="AG31:AR31" si="10">AG30/AG28</f>
        <v>-0.38648934562490556</v>
      </c>
      <c r="AH31" s="2">
        <f t="shared" si="10"/>
        <v>-0.38120653819506811</v>
      </c>
      <c r="AI31" s="2">
        <f t="shared" si="10"/>
        <v>-0.11460822278981626</v>
      </c>
      <c r="AJ31" s="2" t="e">
        <f t="shared" si="10"/>
        <v>#DIV/0!</v>
      </c>
      <c r="AK31" s="2" t="e">
        <f t="shared" si="10"/>
        <v>#DIV/0!</v>
      </c>
      <c r="AL31" s="2" t="e">
        <f t="shared" si="10"/>
        <v>#DIV/0!</v>
      </c>
      <c r="AM31" s="2" t="e">
        <f t="shared" si="10"/>
        <v>#DIV/0!</v>
      </c>
      <c r="AN31" s="2" t="e">
        <f t="shared" si="10"/>
        <v>#DIV/0!</v>
      </c>
      <c r="AO31" s="2" t="e">
        <f t="shared" si="10"/>
        <v>#DIV/0!</v>
      </c>
      <c r="AP31" s="2" t="e">
        <f t="shared" si="10"/>
        <v>#DIV/0!</v>
      </c>
      <c r="AQ31" s="2" t="e">
        <f t="shared" si="10"/>
        <v>#DIV/0!</v>
      </c>
      <c r="AR31" s="2" t="e">
        <f t="shared" si="10"/>
        <v>#DIV/0!</v>
      </c>
    </row>
    <row r="32" spans="2:44" s="30" customFormat="1" x14ac:dyDescent="0.35">
      <c r="B32" s="30" t="s">
        <v>34</v>
      </c>
      <c r="F32" s="31"/>
      <c r="G32" s="31"/>
      <c r="H32" s="50"/>
      <c r="I32" s="31"/>
      <c r="J32" s="31"/>
      <c r="K32" s="31"/>
      <c r="L32" s="50"/>
      <c r="M32" s="31"/>
      <c r="N32" s="31"/>
      <c r="O32" s="31"/>
      <c r="P32" s="50"/>
      <c r="Q32" s="31"/>
      <c r="R32" s="31"/>
      <c r="S32" s="31"/>
      <c r="T32" s="31"/>
      <c r="U32" s="31"/>
      <c r="V32" s="31"/>
      <c r="W32" s="31"/>
      <c r="X32" s="31"/>
      <c r="Y32" s="31"/>
      <c r="Z32" s="31"/>
      <c r="AA32" s="31"/>
      <c r="AB32" s="31"/>
      <c r="AC32" s="31"/>
      <c r="AD32" s="31"/>
      <c r="AE32" s="31"/>
      <c r="AF32" s="31"/>
      <c r="AG32" s="31"/>
      <c r="AH32" s="31"/>
      <c r="AI32" s="31"/>
      <c r="AJ32" s="31"/>
      <c r="AK32" s="31"/>
    </row>
    <row r="33" spans="2:44" x14ac:dyDescent="0.35">
      <c r="B33" t="s">
        <v>120</v>
      </c>
      <c r="F33" s="7"/>
      <c r="G33" s="7"/>
      <c r="H33" s="39"/>
      <c r="I33" s="7"/>
      <c r="J33" s="7"/>
      <c r="K33" s="7"/>
      <c r="L33" s="39"/>
      <c r="M33" s="7"/>
      <c r="N33" s="7"/>
      <c r="O33" s="7"/>
      <c r="P33" s="39"/>
      <c r="Q33" s="7"/>
      <c r="R33" s="7"/>
      <c r="S33" s="7"/>
      <c r="T33" s="7"/>
      <c r="U33" s="7"/>
      <c r="V33" s="7"/>
      <c r="W33" s="7"/>
      <c r="X33" s="7"/>
      <c r="Y33" s="7"/>
      <c r="Z33" s="7"/>
      <c r="AA33" s="7"/>
      <c r="AB33" s="7"/>
      <c r="AC33" s="7"/>
      <c r="AD33" s="7"/>
      <c r="AE33" s="7"/>
      <c r="AF33" s="7"/>
      <c r="AG33" s="7">
        <v>1910</v>
      </c>
      <c r="AH33" s="7">
        <v>12578</v>
      </c>
      <c r="AI33" s="7">
        <v>61141</v>
      </c>
      <c r="AJ33" s="7"/>
      <c r="AK33" s="7"/>
    </row>
    <row r="34" spans="2:44" s="4" customFormat="1" x14ac:dyDescent="0.35">
      <c r="B34" s="4" t="s">
        <v>121</v>
      </c>
      <c r="F34" s="8"/>
      <c r="G34" s="8"/>
      <c r="H34" s="40"/>
      <c r="I34" s="8"/>
      <c r="J34" s="8"/>
      <c r="K34" s="8"/>
      <c r="L34" s="40"/>
      <c r="M34" s="8"/>
      <c r="N34" s="8"/>
      <c r="O34" s="8"/>
      <c r="P34" s="40"/>
      <c r="Q34" s="8"/>
      <c r="R34" s="8"/>
      <c r="S34" s="8"/>
      <c r="T34" s="8"/>
      <c r="U34" s="8"/>
      <c r="V34" s="8"/>
      <c r="W34" s="8"/>
      <c r="X34" s="8"/>
      <c r="Y34" s="8"/>
      <c r="Z34" s="8"/>
      <c r="AA34" s="8"/>
      <c r="AB34" s="8"/>
      <c r="AC34" s="8"/>
      <c r="AD34" s="8"/>
      <c r="AE34" s="8"/>
      <c r="AF34" s="8"/>
      <c r="AG34" s="8">
        <v>165</v>
      </c>
      <c r="AH34" s="8">
        <v>10688</v>
      </c>
      <c r="AI34" s="8">
        <v>89170</v>
      </c>
      <c r="AJ34" s="8"/>
      <c r="AK34" s="8"/>
    </row>
    <row r="35" spans="2:44" s="14" customFormat="1" x14ac:dyDescent="0.35">
      <c r="B35" s="14" t="s">
        <v>126</v>
      </c>
      <c r="F35" s="26"/>
      <c r="G35" s="26"/>
      <c r="H35" s="42">
        <v>1730</v>
      </c>
      <c r="I35" s="26">
        <v>3662</v>
      </c>
      <c r="J35" s="26">
        <v>4164</v>
      </c>
      <c r="K35" s="26">
        <f>+AH35-J35-I35-H35</f>
        <v>13710</v>
      </c>
      <c r="L35" s="42">
        <v>34127</v>
      </c>
      <c r="M35" s="26">
        <v>36365</v>
      </c>
      <c r="N35" s="26">
        <v>40074</v>
      </c>
      <c r="O35" s="26">
        <f>AI35-N35-M35-L35</f>
        <v>39745</v>
      </c>
      <c r="P35" s="42">
        <v>35274</v>
      </c>
      <c r="Q35" s="26">
        <v>39550</v>
      </c>
      <c r="R35" s="26">
        <v>46345</v>
      </c>
      <c r="S35" s="26"/>
      <c r="T35" s="26"/>
      <c r="U35" s="26"/>
      <c r="V35" s="26"/>
      <c r="W35" s="26"/>
      <c r="X35" s="26"/>
      <c r="Y35" s="26"/>
      <c r="Z35" s="26"/>
      <c r="AA35" s="26"/>
      <c r="AB35" s="26"/>
      <c r="AC35" s="26"/>
      <c r="AD35" s="26"/>
      <c r="AE35" s="26"/>
      <c r="AF35" s="26"/>
      <c r="AG35" s="26">
        <v>2075</v>
      </c>
      <c r="AH35" s="26">
        <v>23266</v>
      </c>
      <c r="AI35" s="26">
        <f>SUM(AI33:AI34)</f>
        <v>150311</v>
      </c>
      <c r="AJ35" s="26"/>
      <c r="AK35" s="26"/>
    </row>
    <row r="36" spans="2:44" s="4" customFormat="1" x14ac:dyDescent="0.35">
      <c r="B36" s="4" t="s">
        <v>123</v>
      </c>
      <c r="F36" s="8"/>
      <c r="G36" s="8"/>
      <c r="H36" s="40">
        <v>915</v>
      </c>
      <c r="I36" s="8">
        <v>988</v>
      </c>
      <c r="J36" s="8">
        <v>1217</v>
      </c>
      <c r="K36" s="8">
        <f>+AH36-J36-I36-H36</f>
        <v>7183</v>
      </c>
      <c r="L36" s="40">
        <v>29624</v>
      </c>
      <c r="M36" s="8">
        <v>29095</v>
      </c>
      <c r="N36" s="8">
        <v>30772</v>
      </c>
      <c r="O36" s="8">
        <f>AI36-N36-M36-L36</f>
        <v>34875</v>
      </c>
      <c r="P36" s="40">
        <v>28159</v>
      </c>
      <c r="Q36" s="8">
        <v>29998</v>
      </c>
      <c r="R36" s="8">
        <v>37163</v>
      </c>
      <c r="S36" s="8"/>
      <c r="T36" s="8"/>
      <c r="U36" s="8"/>
      <c r="V36" s="8"/>
      <c r="W36" s="8"/>
      <c r="X36" s="8"/>
      <c r="Y36" s="8"/>
      <c r="Z36" s="8"/>
      <c r="AA36" s="8"/>
      <c r="AB36" s="8"/>
      <c r="AC36" s="8"/>
      <c r="AD36" s="8"/>
      <c r="AE36" s="8"/>
      <c r="AF36" s="8"/>
      <c r="AG36" s="8">
        <v>1105</v>
      </c>
      <c r="AH36" s="8">
        <v>10303</v>
      </c>
      <c r="AI36" s="8">
        <v>124366</v>
      </c>
      <c r="AJ36" s="8"/>
      <c r="AK36" s="8"/>
    </row>
    <row r="37" spans="2:44" s="14" customFormat="1" x14ac:dyDescent="0.35">
      <c r="B37" s="14" t="s">
        <v>127</v>
      </c>
      <c r="F37" s="26">
        <f>F35-F36</f>
        <v>0</v>
      </c>
      <c r="G37" s="26">
        <f>G35-G36</f>
        <v>0</v>
      </c>
      <c r="H37" s="42">
        <f>H35-H36</f>
        <v>815</v>
      </c>
      <c r="I37" s="26">
        <f>I35-I36</f>
        <v>2674</v>
      </c>
      <c r="J37" s="26">
        <f>J35-J36</f>
        <v>2947</v>
      </c>
      <c r="K37" s="7">
        <f>+AH37-J37-I37-H37</f>
        <v>6527</v>
      </c>
      <c r="L37" s="42">
        <f t="shared" ref="L37:R37" si="11">L35-L36</f>
        <v>4503</v>
      </c>
      <c r="M37" s="26">
        <f t="shared" si="11"/>
        <v>7270</v>
      </c>
      <c r="N37" s="26">
        <f t="shared" si="11"/>
        <v>9302</v>
      </c>
      <c r="O37" s="26">
        <f t="shared" si="11"/>
        <v>4870</v>
      </c>
      <c r="P37" s="42">
        <f t="shared" si="11"/>
        <v>7115</v>
      </c>
      <c r="Q37" s="26">
        <f t="shared" si="11"/>
        <v>9552</v>
      </c>
      <c r="R37" s="26">
        <f t="shared" si="11"/>
        <v>9182</v>
      </c>
      <c r="S37" s="26"/>
      <c r="T37" s="26"/>
      <c r="U37" s="26"/>
      <c r="V37" s="26"/>
      <c r="W37" s="26"/>
      <c r="X37" s="26"/>
      <c r="Y37" s="26"/>
      <c r="Z37" s="26"/>
      <c r="AA37" s="26"/>
      <c r="AB37" s="26"/>
      <c r="AC37" s="26"/>
      <c r="AD37" s="26"/>
      <c r="AE37" s="26"/>
      <c r="AF37" s="26"/>
      <c r="AG37" s="26">
        <f t="shared" ref="AG37:AR37" si="12">AG35-AG36</f>
        <v>970</v>
      </c>
      <c r="AH37" s="26">
        <f t="shared" si="12"/>
        <v>12963</v>
      </c>
      <c r="AI37" s="26">
        <f t="shared" si="12"/>
        <v>25945</v>
      </c>
      <c r="AJ37" s="26">
        <f t="shared" si="12"/>
        <v>0</v>
      </c>
      <c r="AK37" s="26">
        <f t="shared" si="12"/>
        <v>0</v>
      </c>
      <c r="AL37" s="26">
        <f t="shared" si="12"/>
        <v>0</v>
      </c>
      <c r="AM37" s="26">
        <f t="shared" si="12"/>
        <v>0</v>
      </c>
      <c r="AN37" s="26">
        <f t="shared" si="12"/>
        <v>0</v>
      </c>
      <c r="AO37" s="26">
        <f t="shared" si="12"/>
        <v>0</v>
      </c>
      <c r="AP37" s="26">
        <f t="shared" si="12"/>
        <v>0</v>
      </c>
      <c r="AQ37" s="26">
        <f t="shared" si="12"/>
        <v>0</v>
      </c>
      <c r="AR37" s="26">
        <f t="shared" si="12"/>
        <v>0</v>
      </c>
    </row>
    <row r="38" spans="2:44" s="4" customFormat="1" x14ac:dyDescent="0.35">
      <c r="B38" s="4" t="s">
        <v>125</v>
      </c>
      <c r="F38" s="24" t="e">
        <f t="shared" ref="F38:R38" si="13">F37/F35</f>
        <v>#DIV/0!</v>
      </c>
      <c r="G38" s="24" t="e">
        <f t="shared" si="13"/>
        <v>#DIV/0!</v>
      </c>
      <c r="H38" s="46">
        <f t="shared" si="13"/>
        <v>0.47109826589595377</v>
      </c>
      <c r="I38" s="24">
        <f t="shared" si="13"/>
        <v>0.730202075368651</v>
      </c>
      <c r="J38" s="24">
        <f t="shared" si="13"/>
        <v>0.70773294908741591</v>
      </c>
      <c r="K38" s="24">
        <f t="shared" si="13"/>
        <v>0.4760758570386579</v>
      </c>
      <c r="L38" s="46">
        <f t="shared" si="13"/>
        <v>0.13194831072171595</v>
      </c>
      <c r="M38" s="24">
        <f t="shared" si="13"/>
        <v>0.19991750309363399</v>
      </c>
      <c r="N38" s="24">
        <f t="shared" si="13"/>
        <v>0.23212057693267454</v>
      </c>
      <c r="O38" s="24">
        <f t="shared" si="13"/>
        <v>0.12253113599194868</v>
      </c>
      <c r="P38" s="46">
        <f t="shared" si="13"/>
        <v>0.20170663945115383</v>
      </c>
      <c r="Q38" s="24">
        <f t="shared" si="13"/>
        <v>0.24151706700379266</v>
      </c>
      <c r="R38" s="24">
        <f t="shared" si="13"/>
        <v>0.1981227748408674</v>
      </c>
      <c r="S38" s="24"/>
      <c r="T38" s="24"/>
      <c r="U38" s="24"/>
      <c r="V38" s="24"/>
      <c r="W38" s="24"/>
      <c r="X38" s="24"/>
      <c r="Y38" s="24"/>
      <c r="Z38" s="8"/>
      <c r="AA38" s="8"/>
      <c r="AB38" s="8"/>
      <c r="AC38" s="8"/>
      <c r="AD38" s="8"/>
      <c r="AE38" s="8"/>
      <c r="AF38" s="8"/>
      <c r="AG38" s="24">
        <f t="shared" ref="AG38:AR38" si="14">AG37/AG35</f>
        <v>0.46746987951807228</v>
      </c>
      <c r="AH38" s="24">
        <f t="shared" si="14"/>
        <v>0.55716496174675489</v>
      </c>
      <c r="AI38" s="24">
        <f t="shared" si="14"/>
        <v>0.17260879110643931</v>
      </c>
      <c r="AJ38" s="24" t="e">
        <f t="shared" si="14"/>
        <v>#DIV/0!</v>
      </c>
      <c r="AK38" s="24" t="e">
        <f t="shared" si="14"/>
        <v>#DIV/0!</v>
      </c>
      <c r="AL38" s="24" t="e">
        <f t="shared" si="14"/>
        <v>#DIV/0!</v>
      </c>
      <c r="AM38" s="24" t="e">
        <f t="shared" si="14"/>
        <v>#DIV/0!</v>
      </c>
      <c r="AN38" s="24" t="e">
        <f t="shared" si="14"/>
        <v>#DIV/0!</v>
      </c>
      <c r="AO38" s="24" t="e">
        <f t="shared" si="14"/>
        <v>#DIV/0!</v>
      </c>
      <c r="AP38" s="24" t="e">
        <f t="shared" si="14"/>
        <v>#DIV/0!</v>
      </c>
      <c r="AQ38" s="24" t="e">
        <f t="shared" si="14"/>
        <v>#DIV/0!</v>
      </c>
      <c r="AR38" s="24" t="e">
        <f t="shared" si="14"/>
        <v>#DIV/0!</v>
      </c>
    </row>
    <row r="39" spans="2:44" s="26" customFormat="1" x14ac:dyDescent="0.35">
      <c r="B39" s="26" t="s">
        <v>128</v>
      </c>
      <c r="H39" s="42">
        <f t="shared" ref="H39:U39" si="15">H35+H28</f>
        <v>18192</v>
      </c>
      <c r="I39" s="26">
        <f t="shared" si="15"/>
        <v>11280</v>
      </c>
      <c r="J39" s="26">
        <f t="shared" si="15"/>
        <v>5287</v>
      </c>
      <c r="K39" s="26">
        <f t="shared" si="15"/>
        <v>27478</v>
      </c>
      <c r="L39" s="42">
        <f t="shared" si="15"/>
        <v>40703</v>
      </c>
      <c r="M39" s="26">
        <f t="shared" si="15"/>
        <v>55474</v>
      </c>
      <c r="N39" s="26">
        <f t="shared" si="15"/>
        <v>63057</v>
      </c>
      <c r="O39" s="26">
        <f t="shared" si="15"/>
        <v>51762</v>
      </c>
      <c r="P39" s="42">
        <f t="shared" si="15"/>
        <v>54895</v>
      </c>
      <c r="Q39" s="26">
        <f t="shared" si="15"/>
        <v>62045</v>
      </c>
      <c r="R39" s="26">
        <f t="shared" si="15"/>
        <v>67661</v>
      </c>
      <c r="S39" s="26">
        <f t="shared" si="15"/>
        <v>0</v>
      </c>
      <c r="T39" s="26">
        <f t="shared" si="15"/>
        <v>0</v>
      </c>
      <c r="U39" s="26">
        <f t="shared" si="15"/>
        <v>0</v>
      </c>
      <c r="AG39" s="26">
        <f>AG35+AG28</f>
        <v>35160</v>
      </c>
      <c r="AH39" s="26">
        <f>AH35+AH28</f>
        <v>62237</v>
      </c>
      <c r="AI39" s="26">
        <f>AI35+AI28</f>
        <v>210996</v>
      </c>
    </row>
    <row r="40" spans="2:44" x14ac:dyDescent="0.35">
      <c r="F40" s="2"/>
      <c r="G40" s="2"/>
      <c r="H40" s="43"/>
      <c r="I40" s="2"/>
      <c r="J40" s="2"/>
      <c r="K40" s="2"/>
      <c r="L40" s="43"/>
      <c r="M40" s="2"/>
      <c r="N40" s="2"/>
      <c r="O40" s="2"/>
      <c r="P40" s="43"/>
      <c r="Q40" s="2"/>
      <c r="R40" s="2"/>
      <c r="S40" s="2"/>
      <c r="T40" s="2"/>
      <c r="U40" s="2"/>
      <c r="V40" s="2"/>
      <c r="W40" s="2"/>
      <c r="X40" s="2"/>
      <c r="Y40" s="2"/>
      <c r="Z40" s="7"/>
      <c r="AA40" s="7"/>
      <c r="AB40" s="7"/>
      <c r="AC40" s="7"/>
      <c r="AD40" s="7"/>
      <c r="AE40" s="7"/>
      <c r="AF40" s="7"/>
      <c r="AG40" s="2"/>
      <c r="AH40" s="2"/>
      <c r="AI40" s="2"/>
      <c r="AJ40" s="2"/>
      <c r="AK40" s="2"/>
      <c r="AL40" s="2"/>
      <c r="AM40" s="2"/>
      <c r="AN40" s="2"/>
      <c r="AO40" s="2"/>
      <c r="AP40" s="2"/>
      <c r="AQ40" s="2"/>
      <c r="AR40" s="2"/>
    </row>
    <row r="41" spans="2:44" x14ac:dyDescent="0.35">
      <c r="F41" s="2"/>
      <c r="G41" s="2"/>
      <c r="H41" s="43"/>
      <c r="I41" s="2"/>
      <c r="J41" s="2"/>
      <c r="K41" s="2"/>
      <c r="L41" s="43"/>
      <c r="M41" s="2"/>
      <c r="N41" s="2"/>
      <c r="O41" s="7"/>
      <c r="P41" s="39"/>
      <c r="Q41" s="7"/>
      <c r="R41" s="7"/>
      <c r="S41" s="7"/>
      <c r="T41" s="7"/>
      <c r="U41" s="7"/>
      <c r="V41" s="7"/>
      <c r="W41" s="7"/>
      <c r="X41" s="7"/>
      <c r="Y41" s="7"/>
      <c r="Z41" s="7"/>
      <c r="AA41" s="7"/>
      <c r="AB41" s="7"/>
      <c r="AC41" s="7"/>
      <c r="AD41" s="7"/>
      <c r="AE41" s="7"/>
      <c r="AF41" s="7"/>
      <c r="AG41" s="2"/>
      <c r="AH41" s="2"/>
      <c r="AI41" s="7"/>
      <c r="AJ41" s="7"/>
      <c r="AK41" s="7"/>
    </row>
    <row r="42" spans="2:44" x14ac:dyDescent="0.35">
      <c r="F42" s="2"/>
      <c r="G42" s="2"/>
      <c r="H42" s="43"/>
      <c r="I42" s="2"/>
      <c r="J42" s="2"/>
      <c r="K42" s="2"/>
      <c r="L42" s="43"/>
      <c r="M42" s="2"/>
      <c r="N42" s="2"/>
      <c r="O42" s="7"/>
      <c r="P42" s="39"/>
      <c r="Q42" s="7"/>
      <c r="R42" s="7"/>
      <c r="S42" s="7"/>
      <c r="T42" s="7"/>
      <c r="U42" s="7"/>
      <c r="V42" s="7"/>
      <c r="W42" s="7"/>
      <c r="X42" s="7"/>
      <c r="Y42" s="7"/>
      <c r="Z42" s="7"/>
      <c r="AA42" s="7"/>
      <c r="AB42" s="7"/>
      <c r="AC42" s="7"/>
      <c r="AD42" s="7"/>
      <c r="AE42" s="7"/>
      <c r="AF42" s="7"/>
      <c r="AG42" s="2"/>
      <c r="AH42" s="2"/>
      <c r="AI42" s="7"/>
      <c r="AJ42" s="7"/>
      <c r="AK42" s="7"/>
    </row>
    <row r="43" spans="2:44" s="21" customFormat="1" x14ac:dyDescent="0.35">
      <c r="B43" s="25" t="s">
        <v>129</v>
      </c>
      <c r="C43" s="25"/>
      <c r="D43" s="25"/>
      <c r="E43" s="25"/>
      <c r="F43" s="22"/>
      <c r="G43" s="22"/>
      <c r="H43" s="41"/>
      <c r="I43" s="22"/>
      <c r="J43" s="22"/>
      <c r="K43" s="22"/>
      <c r="L43" s="41"/>
      <c r="M43" s="22"/>
      <c r="N43" s="22"/>
      <c r="O43" s="22"/>
      <c r="P43" s="41"/>
      <c r="Q43" s="22"/>
      <c r="R43" s="22"/>
      <c r="S43" s="22"/>
      <c r="T43" s="22"/>
      <c r="U43" s="22"/>
      <c r="V43" s="22"/>
      <c r="W43" s="22"/>
      <c r="X43" s="22"/>
      <c r="Y43" s="22"/>
      <c r="Z43" s="22"/>
      <c r="AA43" s="22"/>
      <c r="AB43" s="22"/>
      <c r="AC43" s="22"/>
      <c r="AD43" s="22"/>
      <c r="AE43" s="22"/>
      <c r="AF43" s="22"/>
      <c r="AG43" s="22"/>
      <c r="AH43" s="22"/>
      <c r="AI43" s="22"/>
      <c r="AJ43" s="22"/>
      <c r="AK43" s="22"/>
    </row>
    <row r="44" spans="2:44" x14ac:dyDescent="0.35">
      <c r="B44" t="s">
        <v>119</v>
      </c>
      <c r="F44" s="7">
        <f t="shared" ref="F44:R44" si="16">F28</f>
        <v>0</v>
      </c>
      <c r="G44" s="7">
        <f t="shared" si="16"/>
        <v>0</v>
      </c>
      <c r="H44" s="39">
        <f t="shared" si="16"/>
        <v>16462</v>
      </c>
      <c r="I44" s="7">
        <f t="shared" si="16"/>
        <v>7618</v>
      </c>
      <c r="J44" s="7">
        <f t="shared" si="16"/>
        <v>1123</v>
      </c>
      <c r="K44" s="7">
        <f t="shared" si="16"/>
        <v>13768</v>
      </c>
      <c r="L44" s="39">
        <f t="shared" si="16"/>
        <v>6576</v>
      </c>
      <c r="M44" s="7">
        <f t="shared" si="16"/>
        <v>19109</v>
      </c>
      <c r="N44" s="7">
        <f t="shared" si="16"/>
        <v>22983</v>
      </c>
      <c r="O44" s="7">
        <f t="shared" si="16"/>
        <v>12017</v>
      </c>
      <c r="P44" s="39">
        <f t="shared" si="16"/>
        <v>19621</v>
      </c>
      <c r="Q44" s="7">
        <f t="shared" si="16"/>
        <v>22495</v>
      </c>
      <c r="R44" s="7">
        <f t="shared" si="16"/>
        <v>21316</v>
      </c>
      <c r="S44" s="7"/>
      <c r="T44" s="7"/>
      <c r="U44" s="7"/>
      <c r="V44" s="7"/>
      <c r="W44" s="7"/>
      <c r="X44" s="7"/>
      <c r="Y44" s="7"/>
      <c r="Z44" s="7"/>
      <c r="AA44" s="7"/>
      <c r="AB44" s="7"/>
      <c r="AC44" s="7"/>
      <c r="AD44" s="7"/>
      <c r="AE44" s="7"/>
      <c r="AF44" s="7"/>
      <c r="AG44" s="7">
        <f>SUM(AG26:AG27)</f>
        <v>33085</v>
      </c>
      <c r="AH44" s="7">
        <f>SUM(AH26:AH27)</f>
        <v>38971</v>
      </c>
      <c r="AI44" s="7">
        <f>SUM(AI26:AI27)</f>
        <v>60685</v>
      </c>
      <c r="AJ44" s="7"/>
      <c r="AK44" s="7"/>
    </row>
    <row r="45" spans="2:44" s="4" customFormat="1" x14ac:dyDescent="0.35">
      <c r="B45" s="4" t="s">
        <v>34</v>
      </c>
      <c r="F45" s="8">
        <f t="shared" ref="F45:R45" si="17">F35</f>
        <v>0</v>
      </c>
      <c r="G45" s="8">
        <f t="shared" si="17"/>
        <v>0</v>
      </c>
      <c r="H45" s="40">
        <f t="shared" si="17"/>
        <v>1730</v>
      </c>
      <c r="I45" s="8">
        <f t="shared" si="17"/>
        <v>3662</v>
      </c>
      <c r="J45" s="8">
        <f t="shared" si="17"/>
        <v>4164</v>
      </c>
      <c r="K45" s="8">
        <f t="shared" si="17"/>
        <v>13710</v>
      </c>
      <c r="L45" s="40">
        <f t="shared" si="17"/>
        <v>34127</v>
      </c>
      <c r="M45" s="8">
        <f t="shared" si="17"/>
        <v>36365</v>
      </c>
      <c r="N45" s="8">
        <f t="shared" si="17"/>
        <v>40074</v>
      </c>
      <c r="O45" s="8">
        <f t="shared" si="17"/>
        <v>39745</v>
      </c>
      <c r="P45" s="40">
        <f t="shared" si="17"/>
        <v>35274</v>
      </c>
      <c r="Q45" s="8">
        <f t="shared" si="17"/>
        <v>39550</v>
      </c>
      <c r="R45" s="8">
        <f t="shared" si="17"/>
        <v>46345</v>
      </c>
      <c r="S45" s="8"/>
      <c r="T45" s="8"/>
      <c r="U45" s="8"/>
      <c r="V45" s="8"/>
      <c r="W45" s="8"/>
      <c r="X45" s="8"/>
      <c r="Y45" s="8"/>
      <c r="Z45" s="8"/>
      <c r="AA45" s="8"/>
      <c r="AB45" s="8"/>
      <c r="AC45" s="8"/>
      <c r="AD45" s="8"/>
      <c r="AE45" s="8"/>
      <c r="AF45" s="8"/>
      <c r="AG45" s="8">
        <f>SUM(AG33:AG34)</f>
        <v>2075</v>
      </c>
      <c r="AH45" s="8">
        <f>SUM(AH33:AH34)</f>
        <v>23266</v>
      </c>
      <c r="AI45" s="8">
        <f>SUM(AI33:AI34)</f>
        <v>150311</v>
      </c>
      <c r="AJ45" s="8"/>
      <c r="AK45" s="8"/>
    </row>
    <row r="46" spans="2:44" s="14" customFormat="1" x14ac:dyDescent="0.35">
      <c r="B46" s="14" t="s">
        <v>118</v>
      </c>
      <c r="F46" s="26">
        <f t="shared" ref="F46:R46" si="18">SUM(F44:F45)</f>
        <v>0</v>
      </c>
      <c r="G46" s="26">
        <f t="shared" si="18"/>
        <v>0</v>
      </c>
      <c r="H46" s="42">
        <f t="shared" si="18"/>
        <v>18192</v>
      </c>
      <c r="I46" s="26">
        <f t="shared" si="18"/>
        <v>11280</v>
      </c>
      <c r="J46" s="26">
        <f t="shared" si="18"/>
        <v>5287</v>
      </c>
      <c r="K46" s="26">
        <f t="shared" si="18"/>
        <v>27478</v>
      </c>
      <c r="L46" s="42">
        <f t="shared" si="18"/>
        <v>40703</v>
      </c>
      <c r="M46" s="26">
        <f t="shared" si="18"/>
        <v>55474</v>
      </c>
      <c r="N46" s="26">
        <f t="shared" si="18"/>
        <v>63057</v>
      </c>
      <c r="O46" s="26">
        <f t="shared" si="18"/>
        <v>51762</v>
      </c>
      <c r="P46" s="42">
        <f t="shared" si="18"/>
        <v>54895</v>
      </c>
      <c r="Q46" s="26">
        <f t="shared" si="18"/>
        <v>62045</v>
      </c>
      <c r="R46" s="26">
        <f t="shared" si="18"/>
        <v>67661</v>
      </c>
      <c r="S46" s="26"/>
      <c r="T46" s="26"/>
      <c r="U46" s="26"/>
      <c r="V46" s="26"/>
      <c r="W46" s="26"/>
      <c r="X46" s="26"/>
      <c r="Y46" s="26"/>
      <c r="Z46" s="26"/>
      <c r="AA46" s="26"/>
      <c r="AB46" s="26"/>
      <c r="AC46" s="26"/>
      <c r="AD46" s="26"/>
      <c r="AE46" s="26"/>
      <c r="AF46" s="26"/>
      <c r="AG46" s="26">
        <f t="shared" ref="AG46:AR46" si="19">SUM(AG44:AG45)</f>
        <v>35160</v>
      </c>
      <c r="AH46" s="26">
        <f t="shared" si="19"/>
        <v>62237</v>
      </c>
      <c r="AI46" s="26">
        <f t="shared" si="19"/>
        <v>210996</v>
      </c>
      <c r="AJ46" s="26">
        <f t="shared" si="19"/>
        <v>0</v>
      </c>
      <c r="AK46" s="26">
        <f t="shared" si="19"/>
        <v>0</v>
      </c>
      <c r="AL46" s="26">
        <f t="shared" si="19"/>
        <v>0</v>
      </c>
      <c r="AM46" s="26">
        <f t="shared" si="19"/>
        <v>0</v>
      </c>
      <c r="AN46" s="26">
        <f t="shared" si="19"/>
        <v>0</v>
      </c>
      <c r="AO46" s="26">
        <f t="shared" si="19"/>
        <v>0</v>
      </c>
      <c r="AP46" s="26">
        <f t="shared" si="19"/>
        <v>0</v>
      </c>
      <c r="AQ46" s="26">
        <f t="shared" si="19"/>
        <v>0</v>
      </c>
      <c r="AR46" s="26">
        <f t="shared" si="19"/>
        <v>0</v>
      </c>
    </row>
    <row r="47" spans="2:44" s="14" customFormat="1" x14ac:dyDescent="0.35">
      <c r="B47" s="14" t="s">
        <v>496</v>
      </c>
      <c r="G47" s="26"/>
      <c r="H47" s="42"/>
      <c r="I47" s="26"/>
      <c r="J47" s="26"/>
      <c r="K47" s="26"/>
      <c r="L47" s="42"/>
      <c r="M47" s="26"/>
      <c r="N47" s="26"/>
      <c r="O47" s="26"/>
      <c r="P47" s="42"/>
      <c r="Q47" s="26"/>
      <c r="R47" s="26"/>
      <c r="S47" s="26"/>
      <c r="T47" s="26"/>
      <c r="U47" s="26"/>
      <c r="V47" s="26"/>
      <c r="W47" s="26"/>
      <c r="X47" s="26"/>
      <c r="Y47" s="26"/>
      <c r="Z47" s="26"/>
      <c r="AA47" s="26"/>
      <c r="AB47" s="26"/>
      <c r="AC47" s="26"/>
      <c r="AD47" s="26"/>
      <c r="AE47" s="26"/>
      <c r="AF47" s="26"/>
      <c r="AG47" s="26"/>
      <c r="AH47" s="26"/>
      <c r="AI47" s="26"/>
      <c r="AJ47" s="26"/>
      <c r="AK47" s="26"/>
    </row>
    <row r="48" spans="2:44" x14ac:dyDescent="0.35">
      <c r="B48" t="s">
        <v>130</v>
      </c>
      <c r="F48" s="13" t="e">
        <f>(F26+F33)/F39</f>
        <v>#DIV/0!</v>
      </c>
      <c r="G48" s="13" t="e">
        <f>(G26+G33)/G39</f>
        <v>#DIV/0!</v>
      </c>
      <c r="H48" s="44">
        <f>(H26+H33)/H39</f>
        <v>0</v>
      </c>
      <c r="I48" s="13">
        <f>(I26+I33)/I39</f>
        <v>0</v>
      </c>
      <c r="J48" s="13">
        <f>(J26+J33)/J39</f>
        <v>0</v>
      </c>
      <c r="K48" s="13">
        <f>(K26+K33)/K39</f>
        <v>0</v>
      </c>
      <c r="L48" s="44">
        <f>(L26+L33)/L39</f>
        <v>0</v>
      </c>
      <c r="M48" s="13">
        <f>(M26+M33)/M39</f>
        <v>0</v>
      </c>
      <c r="N48" s="13">
        <f>(N26+N33)/N39</f>
        <v>0</v>
      </c>
      <c r="O48" s="13">
        <f>(O26+O33)/O39</f>
        <v>0</v>
      </c>
      <c r="P48" s="44">
        <f>P21/P23</f>
        <v>0.52212405501411785</v>
      </c>
      <c r="Q48" s="13">
        <f>Q21/Q23</f>
        <v>0.57490531066161654</v>
      </c>
      <c r="R48" s="13">
        <f>R21/R23</f>
        <v>0.44672706581339322</v>
      </c>
      <c r="S48" s="13"/>
      <c r="T48" s="13"/>
      <c r="U48" s="13"/>
      <c r="V48" s="13"/>
      <c r="W48" s="13"/>
      <c r="X48" s="13"/>
      <c r="Y48" s="13"/>
      <c r="Z48" s="7"/>
      <c r="AA48" s="7"/>
      <c r="AB48" s="7"/>
      <c r="AC48" s="7"/>
      <c r="AD48" s="7"/>
      <c r="AE48" s="7"/>
      <c r="AF48" s="7"/>
      <c r="AG48" s="13">
        <f>(AG26+AG33)/AG39</f>
        <v>0.96424914675767914</v>
      </c>
      <c r="AH48" s="13">
        <f>(AH26+AH33)/AH39</f>
        <v>0.78978742548644698</v>
      </c>
      <c r="AI48" s="13">
        <f>(AI26+AI33)/AI39</f>
        <v>0.57508673150201894</v>
      </c>
      <c r="AJ48" s="13" t="e">
        <f>(AJ26+AJ33)/AJ39</f>
        <v>#DIV/0!</v>
      </c>
      <c r="AK48" s="13" t="e">
        <f>(AK26+AK33)/AK39</f>
        <v>#DIV/0!</v>
      </c>
      <c r="AL48" s="13" t="e">
        <f>(AL26+AL33)/AL39</f>
        <v>#DIV/0!</v>
      </c>
      <c r="AM48" s="13" t="e">
        <f>(AM26+AM33)/AM39</f>
        <v>#DIV/0!</v>
      </c>
      <c r="AN48" s="13" t="e">
        <f>(AN26+AN33)/AN39</f>
        <v>#DIV/0!</v>
      </c>
      <c r="AO48" s="13" t="e">
        <f>(AO26+AO33)/AO39</f>
        <v>#DIV/0!</v>
      </c>
      <c r="AP48" s="13" t="e">
        <f>(AP26+AP33)/AP39</f>
        <v>#DIV/0!</v>
      </c>
      <c r="AQ48" s="13" t="e">
        <f>(AQ26+AQ33)/AQ39</f>
        <v>#DIV/0!</v>
      </c>
      <c r="AR48" s="13" t="e">
        <f>(AR26+AR33)/AR39</f>
        <v>#DIV/0!</v>
      </c>
    </row>
    <row r="49" spans="2:44" s="4" customFormat="1" x14ac:dyDescent="0.35">
      <c r="B49" s="4" t="s">
        <v>131</v>
      </c>
      <c r="F49" s="23" t="e">
        <f>(F27+F34)/F39</f>
        <v>#DIV/0!</v>
      </c>
      <c r="G49" s="23" t="e">
        <f>(G27+G34)/G39</f>
        <v>#DIV/0!</v>
      </c>
      <c r="H49" s="45">
        <f>(H27+H34)/H39</f>
        <v>0</v>
      </c>
      <c r="I49" s="23">
        <f>(I27+I34)/I39</f>
        <v>0</v>
      </c>
      <c r="J49" s="23">
        <f>(J27+J34)/J39</f>
        <v>0</v>
      </c>
      <c r="K49" s="23">
        <f>(K27+K34)/K39</f>
        <v>0</v>
      </c>
      <c r="L49" s="45">
        <f>(L27+L34)/L39</f>
        <v>0</v>
      </c>
      <c r="M49" s="23">
        <f>(M27+M34)/M39</f>
        <v>0</v>
      </c>
      <c r="N49" s="23">
        <f>(N27+N34)/N39</f>
        <v>0</v>
      </c>
      <c r="O49" s="23">
        <f>(O27+O34)/O39</f>
        <v>0</v>
      </c>
      <c r="P49" s="45">
        <f>P22/P23</f>
        <v>0.47787594498588215</v>
      </c>
      <c r="Q49" s="23">
        <f>Q22/Q23</f>
        <v>0.42509468933838346</v>
      </c>
      <c r="R49" s="23">
        <f>R22/R23</f>
        <v>0.55327293418660672</v>
      </c>
      <c r="S49" s="23"/>
      <c r="T49" s="23"/>
      <c r="U49" s="23"/>
      <c r="V49" s="23"/>
      <c r="W49" s="23"/>
      <c r="X49" s="23"/>
      <c r="Y49" s="23"/>
      <c r="Z49" s="8"/>
      <c r="AA49" s="8"/>
      <c r="AB49" s="8"/>
      <c r="AC49" s="8"/>
      <c r="AD49" s="8"/>
      <c r="AE49" s="8"/>
      <c r="AF49" s="8"/>
      <c r="AG49" s="23">
        <f>(AG27+AG34)/AG39</f>
        <v>3.5750853242320822E-2</v>
      </c>
      <c r="AH49" s="23">
        <f>(AH27+AH34)/AH39</f>
        <v>0.21021257451355302</v>
      </c>
      <c r="AI49" s="23">
        <f>(AI27+AI34)/AI39</f>
        <v>0.424913268497981</v>
      </c>
      <c r="AJ49" s="23" t="e">
        <f>(AJ27+AJ34)/AJ39</f>
        <v>#DIV/0!</v>
      </c>
      <c r="AK49" s="23" t="e">
        <f>(AK27+AK34)/AK39</f>
        <v>#DIV/0!</v>
      </c>
      <c r="AL49" s="23" t="e">
        <f>(AL27+AL34)/AL39</f>
        <v>#DIV/0!</v>
      </c>
      <c r="AM49" s="23" t="e">
        <f>(AM27+AM34)/AM39</f>
        <v>#DIV/0!</v>
      </c>
      <c r="AN49" s="23" t="e">
        <f>(AN27+AN34)/AN39</f>
        <v>#DIV/0!</v>
      </c>
      <c r="AO49" s="23" t="e">
        <f>(AO27+AO34)/AO39</f>
        <v>#DIV/0!</v>
      </c>
      <c r="AP49" s="23" t="e">
        <f>(AP27+AP34)/AP39</f>
        <v>#DIV/0!</v>
      </c>
      <c r="AQ49" s="23" t="e">
        <f>(AQ27+AQ34)/AQ39</f>
        <v>#DIV/0!</v>
      </c>
      <c r="AR49" s="23" t="e">
        <f>(AR27+AR34)/AR39</f>
        <v>#DIV/0!</v>
      </c>
    </row>
    <row r="50" spans="2:44" x14ac:dyDescent="0.35">
      <c r="B50" t="s">
        <v>118</v>
      </c>
      <c r="F50" s="2" t="e">
        <f t="shared" ref="F50:R50" si="20">SUM(F48:F49)</f>
        <v>#DIV/0!</v>
      </c>
      <c r="G50" s="2" t="e">
        <f t="shared" si="20"/>
        <v>#DIV/0!</v>
      </c>
      <c r="H50" s="43">
        <f t="shared" si="20"/>
        <v>0</v>
      </c>
      <c r="I50" s="2">
        <f t="shared" si="20"/>
        <v>0</v>
      </c>
      <c r="J50" s="2">
        <f t="shared" si="20"/>
        <v>0</v>
      </c>
      <c r="K50" s="2">
        <f t="shared" si="20"/>
        <v>0</v>
      </c>
      <c r="L50" s="43">
        <f t="shared" si="20"/>
        <v>0</v>
      </c>
      <c r="M50" s="2">
        <f t="shared" si="20"/>
        <v>0</v>
      </c>
      <c r="N50" s="2">
        <f t="shared" si="20"/>
        <v>0</v>
      </c>
      <c r="O50" s="2">
        <f t="shared" si="20"/>
        <v>0</v>
      </c>
      <c r="P50" s="43">
        <f t="shared" si="20"/>
        <v>1</v>
      </c>
      <c r="Q50" s="2">
        <f t="shared" si="20"/>
        <v>1</v>
      </c>
      <c r="R50" s="2">
        <f t="shared" si="20"/>
        <v>1</v>
      </c>
      <c r="S50" s="2"/>
      <c r="T50" s="2"/>
      <c r="U50" s="2"/>
      <c r="V50" s="2"/>
      <c r="W50" s="2"/>
      <c r="X50" s="2"/>
      <c r="Y50" s="2"/>
      <c r="Z50" s="7"/>
      <c r="AA50" s="7"/>
      <c r="AB50" s="7"/>
      <c r="AC50" s="7"/>
      <c r="AD50" s="7"/>
      <c r="AE50" s="7"/>
      <c r="AF50" s="7"/>
      <c r="AG50" s="2">
        <f t="shared" ref="AG50:AR50" si="21">SUM(AG48:AG49)</f>
        <v>1</v>
      </c>
      <c r="AH50" s="2">
        <f t="shared" si="21"/>
        <v>1</v>
      </c>
      <c r="AI50" s="2">
        <f t="shared" si="21"/>
        <v>1</v>
      </c>
      <c r="AJ50" s="2" t="e">
        <f t="shared" si="21"/>
        <v>#DIV/0!</v>
      </c>
      <c r="AK50" s="2" t="e">
        <f t="shared" si="21"/>
        <v>#DIV/0!</v>
      </c>
      <c r="AL50" s="2" t="e">
        <f t="shared" si="21"/>
        <v>#DIV/0!</v>
      </c>
      <c r="AM50" s="2" t="e">
        <f t="shared" si="21"/>
        <v>#DIV/0!</v>
      </c>
      <c r="AN50" s="2" t="e">
        <f t="shared" si="21"/>
        <v>#DIV/0!</v>
      </c>
      <c r="AO50" s="2" t="e">
        <f t="shared" si="21"/>
        <v>#DIV/0!</v>
      </c>
      <c r="AP50" s="2" t="e">
        <f t="shared" si="21"/>
        <v>#DIV/0!</v>
      </c>
      <c r="AQ50" s="2" t="e">
        <f t="shared" si="21"/>
        <v>#DIV/0!</v>
      </c>
      <c r="AR50" s="2" t="e">
        <f t="shared" si="21"/>
        <v>#DIV/0!</v>
      </c>
    </row>
    <row r="51" spans="2:44" s="14" customFormat="1" x14ac:dyDescent="0.35">
      <c r="B51" s="14" t="s">
        <v>497</v>
      </c>
      <c r="F51" s="107"/>
      <c r="G51" s="107"/>
      <c r="H51" s="108"/>
      <c r="I51" s="107"/>
      <c r="J51" s="107"/>
      <c r="K51" s="107"/>
      <c r="L51" s="108"/>
      <c r="M51" s="107"/>
      <c r="N51" s="107"/>
      <c r="O51" s="107"/>
      <c r="P51" s="108"/>
      <c r="Q51" s="107"/>
      <c r="R51" s="107"/>
      <c r="S51" s="107"/>
      <c r="T51" s="107"/>
      <c r="U51" s="107"/>
      <c r="V51" s="107"/>
      <c r="W51" s="107"/>
      <c r="X51" s="107"/>
      <c r="Y51" s="107"/>
      <c r="Z51" s="26"/>
      <c r="AA51" s="26"/>
      <c r="AB51" s="26"/>
      <c r="AC51" s="26"/>
      <c r="AD51" s="26"/>
      <c r="AE51" s="26"/>
      <c r="AF51" s="26"/>
      <c r="AG51" s="107"/>
      <c r="AH51" s="107"/>
      <c r="AI51" s="107"/>
      <c r="AJ51" s="26"/>
      <c r="AK51" s="26"/>
    </row>
    <row r="52" spans="2:44" x14ac:dyDescent="0.35">
      <c r="B52" t="s">
        <v>119</v>
      </c>
      <c r="F52" s="2" t="e">
        <f>F44/F46</f>
        <v>#DIV/0!</v>
      </c>
      <c r="G52" s="2" t="e">
        <f>G44/G46</f>
        <v>#DIV/0!</v>
      </c>
      <c r="H52" s="43">
        <f>H44/H46</f>
        <v>0.90490325417766049</v>
      </c>
      <c r="I52" s="2">
        <f>I44/I46</f>
        <v>0.67535460992907803</v>
      </c>
      <c r="J52" s="2">
        <f>J44/J46</f>
        <v>0.2124077926990732</v>
      </c>
      <c r="K52" s="2">
        <f>K44/K46</f>
        <v>0.50105538976635855</v>
      </c>
      <c r="L52" s="43">
        <f>L44/L46</f>
        <v>0.16156057293074222</v>
      </c>
      <c r="M52" s="2">
        <f>M44/M46</f>
        <v>0.34446767855211452</v>
      </c>
      <c r="N52" s="2">
        <f>N44/N46</f>
        <v>0.36447975641086638</v>
      </c>
      <c r="O52" s="2">
        <f>O44/O46</f>
        <v>0.23215872647888414</v>
      </c>
      <c r="P52" s="43">
        <f>P44/P46</f>
        <v>0.35742781674105112</v>
      </c>
      <c r="Q52" s="2">
        <f>Q44/Q46</f>
        <v>0.36255943266983642</v>
      </c>
      <c r="R52" s="2">
        <f>R44/R46</f>
        <v>0.31504116108245517</v>
      </c>
      <c r="S52" s="2"/>
      <c r="T52" s="2"/>
      <c r="U52" s="2"/>
      <c r="V52" s="2"/>
      <c r="W52" s="2"/>
      <c r="X52" s="2"/>
      <c r="Y52" s="2"/>
      <c r="Z52" s="7"/>
      <c r="AA52" s="7"/>
      <c r="AB52" s="7"/>
      <c r="AC52" s="7"/>
      <c r="AD52" s="7"/>
      <c r="AE52" s="7"/>
      <c r="AF52" s="7"/>
      <c r="AG52" s="2">
        <f>AG44/AG46</f>
        <v>0.9409840728100114</v>
      </c>
      <c r="AH52" s="2">
        <f>AH44/AH46</f>
        <v>0.62617092726191814</v>
      </c>
      <c r="AI52" s="2">
        <f>AI44/AI46</f>
        <v>0.28761208743293709</v>
      </c>
      <c r="AJ52" s="2" t="e">
        <f>AJ44/AJ46</f>
        <v>#DIV/0!</v>
      </c>
      <c r="AK52" s="2" t="e">
        <f>AK44/AK46</f>
        <v>#DIV/0!</v>
      </c>
      <c r="AL52" s="2" t="e">
        <f>AL44/AL46</f>
        <v>#DIV/0!</v>
      </c>
      <c r="AM52" s="2" t="e">
        <f>AM44/AM46</f>
        <v>#DIV/0!</v>
      </c>
      <c r="AN52" s="2" t="e">
        <f>AN44/AN46</f>
        <v>#DIV/0!</v>
      </c>
      <c r="AO52" s="2" t="e">
        <f>AO44/AO46</f>
        <v>#DIV/0!</v>
      </c>
      <c r="AP52" s="2" t="e">
        <f>AP44/AP46</f>
        <v>#DIV/0!</v>
      </c>
      <c r="AQ52" s="2" t="e">
        <f>AQ44/AQ46</f>
        <v>#DIV/0!</v>
      </c>
      <c r="AR52" s="2" t="e">
        <f>AR44/AR46</f>
        <v>#DIV/0!</v>
      </c>
    </row>
    <row r="53" spans="2:44" s="81" customFormat="1" x14ac:dyDescent="0.35">
      <c r="B53" s="81" t="s">
        <v>34</v>
      </c>
      <c r="F53" s="82" t="e">
        <f>F45/F46</f>
        <v>#DIV/0!</v>
      </c>
      <c r="G53" s="82" t="e">
        <f>G45/G46</f>
        <v>#DIV/0!</v>
      </c>
      <c r="H53" s="83">
        <f>H45/H46</f>
        <v>9.5096745822339485E-2</v>
      </c>
      <c r="I53" s="82">
        <f>I45/I46</f>
        <v>0.32464539007092197</v>
      </c>
      <c r="J53" s="82">
        <f>J45/J46</f>
        <v>0.78759220730092683</v>
      </c>
      <c r="K53" s="82">
        <f>K45/K46</f>
        <v>0.49894461023364145</v>
      </c>
      <c r="L53" s="83">
        <f>L45/L46</f>
        <v>0.83843942706925778</v>
      </c>
      <c r="M53" s="82">
        <f>M45/M46</f>
        <v>0.65553232144788554</v>
      </c>
      <c r="N53" s="82">
        <f>N45/N46</f>
        <v>0.63552024358913362</v>
      </c>
      <c r="O53" s="82">
        <f>O45/O46</f>
        <v>0.76784127352111586</v>
      </c>
      <c r="P53" s="83">
        <f>P45/P46</f>
        <v>0.64257218325894894</v>
      </c>
      <c r="Q53" s="82">
        <f>Q45/Q46</f>
        <v>0.63744056733016363</v>
      </c>
      <c r="R53" s="82">
        <f>R45/R46</f>
        <v>0.68495883891754483</v>
      </c>
      <c r="S53" s="82"/>
      <c r="T53" s="82"/>
      <c r="U53" s="82"/>
      <c r="V53" s="82"/>
      <c r="W53" s="82"/>
      <c r="X53" s="82"/>
      <c r="Y53" s="82"/>
      <c r="Z53" s="84"/>
      <c r="AA53" s="84"/>
      <c r="AB53" s="84"/>
      <c r="AC53" s="84"/>
      <c r="AD53" s="84"/>
      <c r="AE53" s="84"/>
      <c r="AF53" s="84"/>
      <c r="AG53" s="82">
        <f>AG45/AG46</f>
        <v>5.9015927189988625E-2</v>
      </c>
      <c r="AH53" s="82">
        <f>AH45/AH46</f>
        <v>0.37382907273808186</v>
      </c>
      <c r="AI53" s="82">
        <f>AI45/AI46</f>
        <v>0.71238791256706291</v>
      </c>
      <c r="AJ53" s="82" t="e">
        <f>AJ45/AJ46</f>
        <v>#DIV/0!</v>
      </c>
      <c r="AK53" s="82" t="e">
        <f>AK45/AK46</f>
        <v>#DIV/0!</v>
      </c>
      <c r="AL53" s="82" t="e">
        <f>AL45/AL46</f>
        <v>#DIV/0!</v>
      </c>
      <c r="AM53" s="82" t="e">
        <f>AM45/AM46</f>
        <v>#DIV/0!</v>
      </c>
      <c r="AN53" s="82" t="e">
        <f>AN45/AN46</f>
        <v>#DIV/0!</v>
      </c>
      <c r="AO53" s="82" t="e">
        <f>AO45/AO46</f>
        <v>#DIV/0!</v>
      </c>
      <c r="AP53" s="82" t="e">
        <f>AP45/AP46</f>
        <v>#DIV/0!</v>
      </c>
      <c r="AQ53" s="82" t="e">
        <f>AQ45/AQ46</f>
        <v>#DIV/0!</v>
      </c>
      <c r="AR53" s="82" t="e">
        <f>AR45/AR46</f>
        <v>#DIV/0!</v>
      </c>
    </row>
    <row r="54" spans="2:44" x14ac:dyDescent="0.35">
      <c r="B54" t="s">
        <v>118</v>
      </c>
      <c r="F54" s="13" t="e">
        <f t="shared" ref="F54:R54" si="22">SUM(F52:F53)</f>
        <v>#DIV/0!</v>
      </c>
      <c r="G54" s="13" t="e">
        <f t="shared" si="22"/>
        <v>#DIV/0!</v>
      </c>
      <c r="H54" s="44">
        <f t="shared" si="22"/>
        <v>1</v>
      </c>
      <c r="I54" s="13">
        <f t="shared" si="22"/>
        <v>1</v>
      </c>
      <c r="J54" s="13">
        <f t="shared" si="22"/>
        <v>1</v>
      </c>
      <c r="K54" s="13">
        <f t="shared" si="22"/>
        <v>1</v>
      </c>
      <c r="L54" s="44">
        <f t="shared" si="22"/>
        <v>1</v>
      </c>
      <c r="M54" s="13">
        <f t="shared" si="22"/>
        <v>1</v>
      </c>
      <c r="N54" s="13">
        <f t="shared" si="22"/>
        <v>1</v>
      </c>
      <c r="O54" s="13">
        <f t="shared" si="22"/>
        <v>1</v>
      </c>
      <c r="P54" s="44">
        <f t="shared" si="22"/>
        <v>1</v>
      </c>
      <c r="Q54" s="13">
        <f t="shared" si="22"/>
        <v>1</v>
      </c>
      <c r="R54" s="13">
        <f t="shared" si="22"/>
        <v>1</v>
      </c>
      <c r="S54" s="13"/>
      <c r="T54" s="13"/>
      <c r="U54" s="13"/>
      <c r="V54" s="13"/>
      <c r="W54" s="13"/>
      <c r="X54" s="13"/>
      <c r="Y54" s="13"/>
      <c r="Z54" s="7"/>
      <c r="AA54" s="7"/>
      <c r="AB54" s="7"/>
      <c r="AC54" s="7"/>
      <c r="AD54" s="7"/>
      <c r="AE54" s="7"/>
      <c r="AF54" s="7"/>
      <c r="AG54" s="13">
        <f t="shared" ref="AG54:AR54" si="23">SUM(AG52:AG53)</f>
        <v>1</v>
      </c>
      <c r="AH54" s="13">
        <f t="shared" si="23"/>
        <v>1</v>
      </c>
      <c r="AI54" s="13">
        <f t="shared" si="23"/>
        <v>1</v>
      </c>
      <c r="AJ54" s="13" t="e">
        <f t="shared" si="23"/>
        <v>#DIV/0!</v>
      </c>
      <c r="AK54" s="13" t="e">
        <f t="shared" si="23"/>
        <v>#DIV/0!</v>
      </c>
      <c r="AL54" s="13" t="e">
        <f t="shared" si="23"/>
        <v>#DIV/0!</v>
      </c>
      <c r="AM54" s="13" t="e">
        <f t="shared" si="23"/>
        <v>#DIV/0!</v>
      </c>
      <c r="AN54" s="13" t="e">
        <f t="shared" si="23"/>
        <v>#DIV/0!</v>
      </c>
      <c r="AO54" s="13" t="e">
        <f t="shared" si="23"/>
        <v>#DIV/0!</v>
      </c>
      <c r="AP54" s="13" t="e">
        <f t="shared" si="23"/>
        <v>#DIV/0!</v>
      </c>
      <c r="AQ54" s="13" t="e">
        <f t="shared" si="23"/>
        <v>#DIV/0!</v>
      </c>
      <c r="AR54" s="13" t="e">
        <f t="shared" si="23"/>
        <v>#DIV/0!</v>
      </c>
    </row>
    <row r="55" spans="2:44" x14ac:dyDescent="0.35">
      <c r="G55" s="7"/>
      <c r="H55" s="39"/>
      <c r="I55" s="7"/>
      <c r="J55" s="7"/>
      <c r="K55" s="7"/>
      <c r="L55" s="39"/>
      <c r="M55" s="7"/>
      <c r="N55" s="7"/>
      <c r="O55" s="7"/>
      <c r="P55" s="39"/>
      <c r="Q55" s="7"/>
      <c r="R55" s="7"/>
      <c r="S55" s="7"/>
      <c r="T55" s="7"/>
      <c r="U55" s="7"/>
      <c r="V55" s="7"/>
      <c r="W55" s="7"/>
      <c r="X55" s="7"/>
      <c r="Y55" s="7"/>
      <c r="Z55" s="7"/>
      <c r="AA55" s="7"/>
      <c r="AB55" s="7"/>
      <c r="AC55" s="7"/>
      <c r="AD55" s="7"/>
      <c r="AE55" s="7"/>
      <c r="AF55" s="7"/>
      <c r="AG55" s="7"/>
      <c r="AH55" s="7"/>
      <c r="AI55" s="7"/>
      <c r="AJ55" s="7"/>
      <c r="AK55" s="7"/>
    </row>
    <row r="56" spans="2:44" s="6" customFormat="1" x14ac:dyDescent="0.35">
      <c r="B56" s="6" t="s">
        <v>450</v>
      </c>
      <c r="G56" s="9"/>
      <c r="H56" s="47"/>
      <c r="I56" s="9"/>
      <c r="J56" s="9"/>
      <c r="K56" s="12">
        <f>AH56-J56-I56-H56</f>
        <v>0</v>
      </c>
      <c r="L56" s="47"/>
      <c r="M56" s="9"/>
      <c r="N56" s="9"/>
      <c r="O56" s="9"/>
      <c r="P56" s="47"/>
      <c r="Q56" s="9"/>
      <c r="R56" s="9"/>
      <c r="S56" s="9"/>
      <c r="T56" s="9"/>
      <c r="U56" s="9"/>
      <c r="V56" s="9"/>
      <c r="W56" s="9"/>
      <c r="X56" s="9"/>
      <c r="Y56" s="9"/>
      <c r="Z56" s="9"/>
      <c r="AA56" s="9"/>
      <c r="AB56" s="9"/>
      <c r="AC56" s="9"/>
      <c r="AD56" s="9"/>
      <c r="AE56" s="9"/>
      <c r="AF56" s="9"/>
      <c r="AG56" s="9"/>
      <c r="AH56" s="9"/>
      <c r="AI56" s="9"/>
      <c r="AJ56" s="9"/>
      <c r="AK56" s="9"/>
    </row>
    <row r="57" spans="2:44" s="14" customFormat="1" x14ac:dyDescent="0.35">
      <c r="B57" s="14" t="s">
        <v>132</v>
      </c>
      <c r="F57" s="14">
        <v>10670</v>
      </c>
      <c r="G57" s="26">
        <f>35160-F57</f>
        <v>24490</v>
      </c>
      <c r="H57" s="42">
        <v>18192</v>
      </c>
      <c r="I57" s="26">
        <v>11280</v>
      </c>
      <c r="J57" s="26">
        <v>5287</v>
      </c>
      <c r="K57" s="26">
        <f>AH57-J57-I57-H57</f>
        <v>27478</v>
      </c>
      <c r="L57" s="42">
        <v>40703</v>
      </c>
      <c r="M57" s="26">
        <v>55474</v>
      </c>
      <c r="N57" s="26">
        <v>63057</v>
      </c>
      <c r="O57" s="26">
        <f>AI57-N57-M57-L57</f>
        <v>51762</v>
      </c>
      <c r="P57" s="42">
        <v>54895</v>
      </c>
      <c r="Q57" s="26">
        <v>62045</v>
      </c>
      <c r="R57" s="26">
        <v>67661</v>
      </c>
      <c r="S57" s="26"/>
      <c r="T57" s="26"/>
      <c r="U57" s="26"/>
      <c r="V57" s="26"/>
      <c r="W57" s="26"/>
      <c r="X57" s="26"/>
      <c r="Y57" s="26"/>
      <c r="Z57" s="26"/>
      <c r="AA57" s="26"/>
      <c r="AB57" s="26"/>
      <c r="AC57" s="26"/>
      <c r="AD57" s="26"/>
      <c r="AE57" s="26"/>
      <c r="AF57" s="26"/>
      <c r="AG57" s="26">
        <v>35160</v>
      </c>
      <c r="AH57" s="26">
        <v>62237</v>
      </c>
      <c r="AI57" s="26">
        <v>210996</v>
      </c>
      <c r="AJ57" s="26"/>
      <c r="AK57" s="26"/>
    </row>
    <row r="58" spans="2:44" s="4" customFormat="1" x14ac:dyDescent="0.35">
      <c r="B58" s="4" t="s">
        <v>133</v>
      </c>
      <c r="F58" s="4">
        <v>12555</v>
      </c>
      <c r="G58" s="8">
        <f>46977-F58</f>
        <v>34422</v>
      </c>
      <c r="H58" s="40">
        <v>16781</v>
      </c>
      <c r="I58" s="8">
        <v>8817</v>
      </c>
      <c r="J58" s="8">
        <v>17738</v>
      </c>
      <c r="K58" s="8">
        <f>AH58-J58-I58-H58</f>
        <v>20794</v>
      </c>
      <c r="L58" s="40">
        <v>36968</v>
      </c>
      <c r="M58" s="8">
        <v>50516</v>
      </c>
      <c r="N58" s="8">
        <v>54590</v>
      </c>
      <c r="O58" s="8">
        <f>AI58-N58-M58-L58</f>
        <v>49932</v>
      </c>
      <c r="P58" s="40">
        <v>48538</v>
      </c>
      <c r="Q58" s="8">
        <v>47452</v>
      </c>
      <c r="R58" s="8">
        <v>52694</v>
      </c>
      <c r="S58" s="8"/>
      <c r="T58" s="8"/>
      <c r="U58" s="8"/>
      <c r="V58" s="8"/>
      <c r="W58" s="8"/>
      <c r="X58" s="8"/>
      <c r="Y58" s="8"/>
      <c r="Z58" s="8"/>
      <c r="AA58" s="8"/>
      <c r="AB58" s="8"/>
      <c r="AC58" s="8"/>
      <c r="AD58" s="8"/>
      <c r="AE58" s="8"/>
      <c r="AF58" s="8"/>
      <c r="AG58" s="8">
        <v>46977</v>
      </c>
      <c r="AH58" s="8">
        <v>64130</v>
      </c>
      <c r="AI58" s="8">
        <v>192006</v>
      </c>
      <c r="AJ58" s="8"/>
      <c r="AK58" s="8"/>
    </row>
    <row r="59" spans="2:44" s="14" customFormat="1" x14ac:dyDescent="0.35">
      <c r="B59" s="14" t="s">
        <v>134</v>
      </c>
      <c r="F59" s="26">
        <f t="shared" ref="F59:R59" si="24">F57-F58</f>
        <v>-1885</v>
      </c>
      <c r="G59" s="26">
        <f t="shared" si="24"/>
        <v>-9932</v>
      </c>
      <c r="H59" s="42">
        <f t="shared" si="24"/>
        <v>1411</v>
      </c>
      <c r="I59" s="26">
        <f t="shared" si="24"/>
        <v>2463</v>
      </c>
      <c r="J59" s="26">
        <f t="shared" si="24"/>
        <v>-12451</v>
      </c>
      <c r="K59" s="26">
        <f t="shared" si="24"/>
        <v>6684</v>
      </c>
      <c r="L59" s="42">
        <f t="shared" si="24"/>
        <v>3735</v>
      </c>
      <c r="M59" s="26">
        <f t="shared" si="24"/>
        <v>4958</v>
      </c>
      <c r="N59" s="26">
        <f t="shared" si="24"/>
        <v>8467</v>
      </c>
      <c r="O59" s="26">
        <f t="shared" si="24"/>
        <v>1830</v>
      </c>
      <c r="P59" s="42">
        <f t="shared" si="24"/>
        <v>6357</v>
      </c>
      <c r="Q59" s="26">
        <f t="shared" si="24"/>
        <v>14593</v>
      </c>
      <c r="R59" s="26">
        <f t="shared" si="24"/>
        <v>14967</v>
      </c>
      <c r="S59" s="26"/>
      <c r="T59" s="26"/>
      <c r="U59" s="26"/>
      <c r="V59" s="26"/>
      <c r="W59" s="26"/>
      <c r="X59" s="26"/>
      <c r="Y59" s="26"/>
      <c r="Z59" s="26"/>
      <c r="AA59" s="26"/>
      <c r="AB59" s="26"/>
      <c r="AC59" s="26"/>
      <c r="AD59" s="26"/>
      <c r="AE59" s="26"/>
      <c r="AF59" s="26"/>
      <c r="AG59" s="26">
        <f>AG57-AG58</f>
        <v>-11817</v>
      </c>
      <c r="AH59" s="26">
        <f>AH57-AH58</f>
        <v>-1893</v>
      </c>
      <c r="AI59" s="26">
        <f>AI57-AI58</f>
        <v>18990</v>
      </c>
      <c r="AJ59" s="26"/>
      <c r="AK59" s="26"/>
    </row>
    <row r="60" spans="2:44" s="21" customFormat="1" x14ac:dyDescent="0.35">
      <c r="B60" s="30" t="s">
        <v>135</v>
      </c>
      <c r="C60" s="30"/>
      <c r="D60" s="30"/>
      <c r="E60" s="30"/>
      <c r="F60" s="22"/>
      <c r="G60" s="22"/>
      <c r="H60" s="41"/>
      <c r="I60" s="22"/>
      <c r="J60" s="22"/>
      <c r="K60" s="22"/>
      <c r="L60" s="41"/>
      <c r="M60" s="22"/>
      <c r="N60" s="22"/>
      <c r="O60" s="22"/>
      <c r="P60" s="41"/>
      <c r="Q60" s="22"/>
      <c r="R60" s="22"/>
      <c r="S60" s="22"/>
      <c r="T60" s="22"/>
      <c r="U60" s="22"/>
      <c r="V60" s="22"/>
      <c r="W60" s="22"/>
      <c r="X60" s="22"/>
      <c r="Y60" s="22"/>
      <c r="Z60" s="22"/>
      <c r="AA60" s="22"/>
      <c r="AB60" s="22"/>
      <c r="AC60" s="22"/>
      <c r="AD60" s="22"/>
      <c r="AE60" s="22"/>
      <c r="AF60" s="22"/>
      <c r="AG60" s="22"/>
      <c r="AH60" s="22"/>
      <c r="AI60" s="22"/>
      <c r="AJ60" s="22"/>
      <c r="AK60" s="22"/>
    </row>
    <row r="61" spans="2:44" x14ac:dyDescent="0.35">
      <c r="B61" t="s">
        <v>136</v>
      </c>
      <c r="F61">
        <v>4903</v>
      </c>
      <c r="G61" s="7">
        <f>19142-F61</f>
        <v>14239</v>
      </c>
      <c r="H61" s="39">
        <v>7078</v>
      </c>
      <c r="I61" s="7">
        <v>8529</v>
      </c>
      <c r="J61" s="7">
        <v>14189</v>
      </c>
      <c r="K61" s="7">
        <f>AH61-J61-I61-H61</f>
        <v>11969</v>
      </c>
      <c r="L61" s="39">
        <v>13477</v>
      </c>
      <c r="M61" s="7">
        <v>19165</v>
      </c>
      <c r="N61" s="7">
        <v>17508</v>
      </c>
      <c r="O61" s="7">
        <f>AI61-N61-M61-L61</f>
        <v>15018</v>
      </c>
      <c r="P61" s="39">
        <v>23905</v>
      </c>
      <c r="Q61" s="7">
        <v>31035</v>
      </c>
      <c r="R61" s="7">
        <v>26626</v>
      </c>
      <c r="S61" s="7"/>
      <c r="T61" s="7"/>
      <c r="U61" s="7"/>
      <c r="V61" s="7"/>
      <c r="W61" s="7"/>
      <c r="X61" s="7"/>
      <c r="Y61" s="7"/>
      <c r="Z61" s="7"/>
      <c r="AA61" s="7"/>
      <c r="AB61" s="7"/>
      <c r="AC61" s="7"/>
      <c r="AD61" s="7"/>
      <c r="AE61" s="7"/>
      <c r="AF61" s="7"/>
      <c r="AG61" s="7">
        <v>19142</v>
      </c>
      <c r="AH61" s="7">
        <v>41765</v>
      </c>
      <c r="AI61" s="7">
        <v>65168</v>
      </c>
      <c r="AJ61" s="7"/>
      <c r="AK61" s="7"/>
    </row>
    <row r="62" spans="2:44" s="4" customFormat="1" x14ac:dyDescent="0.35">
      <c r="B62" s="4" t="s">
        <v>137</v>
      </c>
      <c r="F62" s="4">
        <v>6057</v>
      </c>
      <c r="G62" s="8">
        <f>23993-F62</f>
        <v>17936</v>
      </c>
      <c r="H62" s="40">
        <v>6624</v>
      </c>
      <c r="I62" s="8">
        <v>7068</v>
      </c>
      <c r="J62" s="8">
        <v>25655</v>
      </c>
      <c r="K62" s="8">
        <f>AH62-J62-I62-H62</f>
        <v>19048</v>
      </c>
      <c r="L62" s="40">
        <v>23078</v>
      </c>
      <c r="M62" s="8">
        <v>18952</v>
      </c>
      <c r="N62" s="8">
        <v>22961</v>
      </c>
      <c r="O62" s="8">
        <f>AI62-N62-M62-L62</f>
        <v>24035</v>
      </c>
      <c r="P62" s="40">
        <v>28469</v>
      </c>
      <c r="Q62" s="8">
        <v>28717</v>
      </c>
      <c r="R62" s="8">
        <v>27200</v>
      </c>
      <c r="S62" s="8"/>
      <c r="T62" s="8"/>
      <c r="U62" s="8"/>
      <c r="V62" s="8"/>
      <c r="W62" s="8"/>
      <c r="X62" s="8"/>
      <c r="Y62" s="8"/>
      <c r="Z62" s="8"/>
      <c r="AA62" s="8"/>
      <c r="AB62" s="8"/>
      <c r="AC62" s="8"/>
      <c r="AD62" s="8"/>
      <c r="AE62" s="8"/>
      <c r="AF62" s="8"/>
      <c r="AG62" s="8">
        <v>23993</v>
      </c>
      <c r="AH62" s="8">
        <v>58395</v>
      </c>
      <c r="AI62" s="8">
        <v>89026</v>
      </c>
      <c r="AJ62" s="8"/>
      <c r="AK62" s="8"/>
    </row>
    <row r="63" spans="2:44" s="34" customFormat="1" x14ac:dyDescent="0.35">
      <c r="B63" s="34" t="s">
        <v>138</v>
      </c>
      <c r="F63" s="35">
        <f t="shared" ref="F63:R63" si="25">F61+F62</f>
        <v>10960</v>
      </c>
      <c r="G63" s="35">
        <f t="shared" si="25"/>
        <v>32175</v>
      </c>
      <c r="H63" s="48">
        <f t="shared" si="25"/>
        <v>13702</v>
      </c>
      <c r="I63" s="35">
        <f t="shared" si="25"/>
        <v>15597</v>
      </c>
      <c r="J63" s="35">
        <f t="shared" si="25"/>
        <v>39844</v>
      </c>
      <c r="K63" s="35">
        <f t="shared" si="25"/>
        <v>31017</v>
      </c>
      <c r="L63" s="48">
        <f t="shared" si="25"/>
        <v>36555</v>
      </c>
      <c r="M63" s="35">
        <f t="shared" si="25"/>
        <v>38117</v>
      </c>
      <c r="N63" s="35">
        <f t="shared" si="25"/>
        <v>40469</v>
      </c>
      <c r="O63" s="35">
        <f t="shared" si="25"/>
        <v>39053</v>
      </c>
      <c r="P63" s="48">
        <f t="shared" si="25"/>
        <v>52374</v>
      </c>
      <c r="Q63" s="35">
        <f t="shared" si="25"/>
        <v>59752</v>
      </c>
      <c r="R63" s="35">
        <f t="shared" si="25"/>
        <v>53826</v>
      </c>
      <c r="S63" s="35"/>
      <c r="T63" s="35"/>
      <c r="U63" s="35"/>
      <c r="V63" s="35"/>
      <c r="W63" s="35"/>
      <c r="X63" s="35"/>
      <c r="Y63" s="35"/>
      <c r="Z63" s="35"/>
      <c r="AA63" s="35"/>
      <c r="AB63" s="35"/>
      <c r="AC63" s="35"/>
      <c r="AD63" s="35"/>
      <c r="AE63" s="35"/>
      <c r="AF63" s="35"/>
      <c r="AG63" s="35">
        <f>+AG61+AG62</f>
        <v>43135</v>
      </c>
      <c r="AH63" s="35">
        <f>+AH61+AH62</f>
        <v>100160</v>
      </c>
      <c r="AI63" s="35">
        <f>+AI61+AI62</f>
        <v>154194</v>
      </c>
      <c r="AJ63" s="35"/>
      <c r="AK63" s="35"/>
    </row>
    <row r="64" spans="2:44" s="14" customFormat="1" x14ac:dyDescent="0.35">
      <c r="B64" s="14" t="s">
        <v>139</v>
      </c>
      <c r="F64" s="26">
        <f t="shared" ref="F64:R64" si="26">F59-F63</f>
        <v>-12845</v>
      </c>
      <c r="G64" s="26">
        <f t="shared" si="26"/>
        <v>-42107</v>
      </c>
      <c r="H64" s="42">
        <f t="shared" si="26"/>
        <v>-12291</v>
      </c>
      <c r="I64" s="26">
        <f t="shared" si="26"/>
        <v>-13134</v>
      </c>
      <c r="J64" s="26">
        <f t="shared" si="26"/>
        <v>-52295</v>
      </c>
      <c r="K64" s="26">
        <f t="shared" si="26"/>
        <v>-24333</v>
      </c>
      <c r="L64" s="42">
        <f t="shared" si="26"/>
        <v>-32820</v>
      </c>
      <c r="M64" s="26">
        <f t="shared" si="26"/>
        <v>-33159</v>
      </c>
      <c r="N64" s="26">
        <f t="shared" si="26"/>
        <v>-32002</v>
      </c>
      <c r="O64" s="26">
        <f t="shared" si="26"/>
        <v>-37223</v>
      </c>
      <c r="P64" s="42">
        <f t="shared" si="26"/>
        <v>-46017</v>
      </c>
      <c r="Q64" s="26">
        <f t="shared" si="26"/>
        <v>-45159</v>
      </c>
      <c r="R64" s="26">
        <f t="shared" si="26"/>
        <v>-38859</v>
      </c>
      <c r="S64" s="26"/>
      <c r="T64" s="26"/>
      <c r="U64" s="26"/>
      <c r="V64" s="26"/>
      <c r="W64" s="26"/>
      <c r="X64" s="26"/>
      <c r="Y64" s="26"/>
      <c r="Z64" s="26"/>
      <c r="AA64" s="26"/>
      <c r="AB64" s="26"/>
      <c r="AC64" s="26"/>
      <c r="AD64" s="26"/>
      <c r="AE64" s="26"/>
      <c r="AF64" s="26"/>
      <c r="AG64" s="26">
        <f>AG59-AG63</f>
        <v>-54952</v>
      </c>
      <c r="AH64" s="26">
        <f>AH59-AH63</f>
        <v>-102053</v>
      </c>
      <c r="AI64" s="26">
        <f>AI59-AI63</f>
        <v>-135204</v>
      </c>
      <c r="AJ64" s="26"/>
      <c r="AK64" s="26"/>
    </row>
    <row r="65" spans="2:37" x14ac:dyDescent="0.35">
      <c r="B65" t="s">
        <v>140</v>
      </c>
      <c r="F65">
        <v>-29</v>
      </c>
      <c r="G65" s="7">
        <f>224-F65</f>
        <v>253</v>
      </c>
      <c r="H65" s="39">
        <v>-127</v>
      </c>
      <c r="I65" s="7">
        <v>-275</v>
      </c>
      <c r="J65" s="7">
        <v>-2977</v>
      </c>
      <c r="K65" s="7">
        <f>AH65-J65-I65-H65</f>
        <v>-2749</v>
      </c>
      <c r="L65" s="39">
        <v>-2989</v>
      </c>
      <c r="M65" s="7">
        <v>-2432</v>
      </c>
      <c r="N65" s="7">
        <v>-1486</v>
      </c>
      <c r="O65" s="7">
        <f>AI65-N65-M65-L65</f>
        <v>-892</v>
      </c>
      <c r="P65" s="39">
        <v>-685</v>
      </c>
      <c r="Q65" s="7">
        <v>-745</v>
      </c>
      <c r="R65" s="7">
        <v>-1413</v>
      </c>
      <c r="S65" s="7"/>
      <c r="T65" s="7"/>
      <c r="U65" s="7"/>
      <c r="V65" s="7"/>
      <c r="W65" s="7"/>
      <c r="X65" s="7"/>
      <c r="Y65" s="7"/>
      <c r="Z65" s="7"/>
      <c r="AA65" s="7"/>
      <c r="AB65" s="7"/>
      <c r="AC65" s="7"/>
      <c r="AD65" s="7"/>
      <c r="AE65" s="7"/>
      <c r="AF65" s="7"/>
      <c r="AG65" s="7">
        <v>224</v>
      </c>
      <c r="AH65" s="7">
        <v>-6128</v>
      </c>
      <c r="AI65" s="7">
        <v>-7799</v>
      </c>
      <c r="AJ65" s="7"/>
      <c r="AK65" s="7"/>
    </row>
    <row r="66" spans="2:37" x14ac:dyDescent="0.35">
      <c r="B66" t="s">
        <v>141</v>
      </c>
      <c r="F66">
        <v>-129</v>
      </c>
      <c r="G66" s="7">
        <f>2420-F66</f>
        <v>2549</v>
      </c>
      <c r="H66" s="39">
        <v>-279</v>
      </c>
      <c r="I66" s="7">
        <v>-126</v>
      </c>
      <c r="J66" s="7">
        <v>16</v>
      </c>
      <c r="K66" s="7">
        <f>AH66-J66-I66-H66</f>
        <v>-178</v>
      </c>
      <c r="L66" s="39">
        <v>-20</v>
      </c>
      <c r="M66" s="7">
        <v>-3876</v>
      </c>
      <c r="N66" s="7">
        <v>-51</v>
      </c>
      <c r="O66" s="7">
        <f>AI66-N66-M66-L66</f>
        <v>-488</v>
      </c>
      <c r="P66" s="39">
        <v>134</v>
      </c>
      <c r="Q66" s="7">
        <v>-90</v>
      </c>
      <c r="R66" s="7">
        <v>-120</v>
      </c>
      <c r="S66" s="7"/>
      <c r="T66" s="7"/>
      <c r="U66" s="7"/>
      <c r="V66" s="7"/>
      <c r="W66" s="7"/>
      <c r="X66" s="7"/>
      <c r="Y66" s="7"/>
      <c r="Z66" s="7"/>
      <c r="AA66" s="7"/>
      <c r="AB66" s="7"/>
      <c r="AC66" s="7"/>
      <c r="AD66" s="7"/>
      <c r="AE66" s="7"/>
      <c r="AF66" s="7"/>
      <c r="AG66" s="7">
        <v>2420</v>
      </c>
      <c r="AH66" s="7">
        <v>-567</v>
      </c>
      <c r="AI66" s="7">
        <v>-4435</v>
      </c>
      <c r="AJ66" s="7"/>
      <c r="AK66" s="7"/>
    </row>
    <row r="67" spans="2:37" x14ac:dyDescent="0.35">
      <c r="B67" t="s">
        <v>142</v>
      </c>
      <c r="F67">
        <v>-562</v>
      </c>
      <c r="G67" s="7">
        <f>-2417-F67</f>
        <v>-1855</v>
      </c>
      <c r="H67" s="39">
        <v>-3030</v>
      </c>
      <c r="I67" s="7">
        <v>-2448</v>
      </c>
      <c r="J67" s="7">
        <v>-33947</v>
      </c>
      <c r="K67" s="7">
        <f>AH67-J67-I67-H67</f>
        <v>24131</v>
      </c>
      <c r="L67" s="39">
        <v>13482</v>
      </c>
      <c r="M67" s="7">
        <v>0</v>
      </c>
      <c r="N67" s="7">
        <v>0</v>
      </c>
      <c r="O67" s="7">
        <f>AI67-N67-M67-L67</f>
        <v>0</v>
      </c>
      <c r="P67" s="39">
        <v>0</v>
      </c>
      <c r="Q67" s="7">
        <v>0</v>
      </c>
      <c r="R67" s="7">
        <v>0</v>
      </c>
      <c r="S67" s="7"/>
      <c r="T67" s="7"/>
      <c r="U67" s="7"/>
      <c r="V67" s="7"/>
      <c r="W67" s="7"/>
      <c r="X67" s="7"/>
      <c r="Y67" s="7"/>
      <c r="Z67" s="7"/>
      <c r="AA67" s="7"/>
      <c r="AB67" s="7"/>
      <c r="AC67" s="7"/>
      <c r="AD67" s="7"/>
      <c r="AE67" s="7"/>
      <c r="AF67" s="7"/>
      <c r="AG67" s="7">
        <v>-2417</v>
      </c>
      <c r="AH67" s="7">
        <v>-15294</v>
      </c>
      <c r="AI67" s="7">
        <v>13482</v>
      </c>
      <c r="AJ67" s="7"/>
      <c r="AK67" s="7"/>
    </row>
    <row r="68" spans="2:37" s="4" customFormat="1" x14ac:dyDescent="0.35">
      <c r="B68" s="4" t="s">
        <v>143</v>
      </c>
      <c r="F68" s="4">
        <v>-40</v>
      </c>
      <c r="G68" s="8">
        <f>187-F68</f>
        <v>227</v>
      </c>
      <c r="H68" s="40">
        <v>109</v>
      </c>
      <c r="I68" s="8">
        <v>-242</v>
      </c>
      <c r="J68" s="8">
        <v>-450</v>
      </c>
      <c r="K68" s="8">
        <f>AH68-J68-I68-H68</f>
        <v>-215</v>
      </c>
      <c r="L68" s="40">
        <v>26</v>
      </c>
      <c r="M68" s="8">
        <v>-23</v>
      </c>
      <c r="N68" s="8">
        <v>622</v>
      </c>
      <c r="O68" s="8">
        <f>AI68-N68-M68-L68</f>
        <v>385</v>
      </c>
      <c r="P68" s="40">
        <v>1477</v>
      </c>
      <c r="Q68" s="8">
        <v>866</v>
      </c>
      <c r="R68" s="8">
        <v>1176</v>
      </c>
      <c r="S68" s="8"/>
      <c r="T68" s="8"/>
      <c r="U68" s="8"/>
      <c r="V68" s="8"/>
      <c r="W68" s="8"/>
      <c r="X68" s="8"/>
      <c r="Y68" s="8"/>
      <c r="Z68" s="8"/>
      <c r="AA68" s="8"/>
      <c r="AB68" s="8"/>
      <c r="AC68" s="8"/>
      <c r="AD68" s="8"/>
      <c r="AE68" s="8"/>
      <c r="AF68" s="8"/>
      <c r="AG68" s="8">
        <v>187</v>
      </c>
      <c r="AH68" s="8">
        <v>-798</v>
      </c>
      <c r="AI68" s="8">
        <v>1010</v>
      </c>
      <c r="AJ68" s="8"/>
      <c r="AK68" s="8"/>
    </row>
    <row r="69" spans="2:37" s="14" customFormat="1" x14ac:dyDescent="0.35">
      <c r="B69" s="14" t="s">
        <v>144</v>
      </c>
      <c r="F69" s="26">
        <f t="shared" ref="F69:R69" si="27">SUM(F64:F68)</f>
        <v>-13605</v>
      </c>
      <c r="G69" s="26">
        <f t="shared" si="27"/>
        <v>-40933</v>
      </c>
      <c r="H69" s="42">
        <f t="shared" si="27"/>
        <v>-15618</v>
      </c>
      <c r="I69" s="26">
        <f t="shared" si="27"/>
        <v>-16225</v>
      </c>
      <c r="J69" s="26">
        <f t="shared" si="27"/>
        <v>-89653</v>
      </c>
      <c r="K69" s="26">
        <f t="shared" si="27"/>
        <v>-3344</v>
      </c>
      <c r="L69" s="42">
        <f t="shared" si="27"/>
        <v>-22321</v>
      </c>
      <c r="M69" s="26">
        <f t="shared" si="27"/>
        <v>-39490</v>
      </c>
      <c r="N69" s="26">
        <f t="shared" si="27"/>
        <v>-32917</v>
      </c>
      <c r="O69" s="26">
        <f t="shared" si="27"/>
        <v>-38218</v>
      </c>
      <c r="P69" s="42">
        <f t="shared" si="27"/>
        <v>-45091</v>
      </c>
      <c r="Q69" s="26">
        <f t="shared" si="27"/>
        <v>-45128</v>
      </c>
      <c r="R69" s="26">
        <f t="shared" si="27"/>
        <v>-39216</v>
      </c>
      <c r="S69" s="26"/>
      <c r="T69" s="26"/>
      <c r="U69" s="26"/>
      <c r="V69" s="26"/>
      <c r="W69" s="26"/>
      <c r="X69" s="26"/>
      <c r="Y69" s="26"/>
      <c r="Z69" s="26"/>
      <c r="AA69" s="26"/>
      <c r="AB69" s="26"/>
      <c r="AC69" s="26"/>
      <c r="AD69" s="26"/>
      <c r="AE69" s="26"/>
      <c r="AF69" s="26"/>
      <c r="AG69" s="26">
        <f>SUM(AG64:AG68)</f>
        <v>-54538</v>
      </c>
      <c r="AH69" s="26">
        <f>SUM(AH64:AH68)</f>
        <v>-124840</v>
      </c>
      <c r="AI69" s="26">
        <f>SUM(AI64:AI68)</f>
        <v>-132946</v>
      </c>
      <c r="AJ69" s="26"/>
      <c r="AK69" s="26"/>
    </row>
    <row r="70" spans="2:37" s="4" customFormat="1" x14ac:dyDescent="0.35">
      <c r="B70" s="4" t="s">
        <v>145</v>
      </c>
      <c r="F70" s="4">
        <v>1000</v>
      </c>
      <c r="G70" s="8">
        <f>-467-F70</f>
        <v>-1467</v>
      </c>
      <c r="H70" s="40">
        <v>-264</v>
      </c>
      <c r="I70" s="8">
        <v>-440</v>
      </c>
      <c r="J70" s="8">
        <v>1684</v>
      </c>
      <c r="K70" s="8">
        <f>AH70-J70-I70-H70</f>
        <v>6540</v>
      </c>
      <c r="L70" s="40">
        <v>-4388</v>
      </c>
      <c r="M70" s="8">
        <v>2073</v>
      </c>
      <c r="N70" s="8">
        <v>-1693</v>
      </c>
      <c r="O70" s="8">
        <f>AI70-N70-M70-L70</f>
        <v>1010</v>
      </c>
      <c r="P70" s="40">
        <v>-526</v>
      </c>
      <c r="Q70" s="8">
        <v>-761</v>
      </c>
      <c r="R70" s="8">
        <v>-1352</v>
      </c>
      <c r="S70" s="8"/>
      <c r="T70" s="8"/>
      <c r="U70" s="8"/>
      <c r="V70" s="8"/>
      <c r="W70" s="8"/>
      <c r="X70" s="8"/>
      <c r="Y70" s="8"/>
      <c r="Z70" s="8"/>
      <c r="AA70" s="8"/>
      <c r="AB70" s="8"/>
      <c r="AC70" s="8"/>
      <c r="AD70" s="8"/>
      <c r="AE70" s="8"/>
      <c r="AF70" s="8"/>
      <c r="AG70" s="8">
        <v>-467</v>
      </c>
      <c r="AH70" s="8">
        <v>7520</v>
      </c>
      <c r="AI70" s="8">
        <v>-2998</v>
      </c>
      <c r="AJ70" s="8"/>
      <c r="AK70" s="8"/>
    </row>
    <row r="71" spans="2:37" s="14" customFormat="1" x14ac:dyDescent="0.35">
      <c r="B71" s="14" t="s">
        <v>146</v>
      </c>
      <c r="F71" s="26">
        <f t="shared" ref="F71:R71" si="28">SUM(F69:F70)</f>
        <v>-12605</v>
      </c>
      <c r="G71" s="26">
        <f t="shared" si="28"/>
        <v>-42400</v>
      </c>
      <c r="H71" s="42">
        <f t="shared" si="28"/>
        <v>-15882</v>
      </c>
      <c r="I71" s="26">
        <f t="shared" si="28"/>
        <v>-16665</v>
      </c>
      <c r="J71" s="26">
        <f t="shared" si="28"/>
        <v>-87969</v>
      </c>
      <c r="K71" s="26">
        <f t="shared" si="28"/>
        <v>3196</v>
      </c>
      <c r="L71" s="42">
        <f t="shared" si="28"/>
        <v>-26709</v>
      </c>
      <c r="M71" s="26">
        <f t="shared" si="28"/>
        <v>-37417</v>
      </c>
      <c r="N71" s="26">
        <f t="shared" si="28"/>
        <v>-34610</v>
      </c>
      <c r="O71" s="26">
        <f t="shared" si="28"/>
        <v>-37208</v>
      </c>
      <c r="P71" s="42">
        <f t="shared" si="28"/>
        <v>-45617</v>
      </c>
      <c r="Q71" s="26">
        <f t="shared" si="28"/>
        <v>-45889</v>
      </c>
      <c r="R71" s="26">
        <f t="shared" si="28"/>
        <v>-40568</v>
      </c>
      <c r="S71" s="26"/>
      <c r="T71" s="26"/>
      <c r="U71" s="26"/>
      <c r="V71" s="26"/>
      <c r="W71" s="26"/>
      <c r="X71" s="26"/>
      <c r="Y71" s="26"/>
      <c r="Z71" s="26"/>
      <c r="AA71" s="26"/>
      <c r="AB71" s="26"/>
      <c r="AC71" s="26"/>
      <c r="AD71" s="26"/>
      <c r="AE71" s="26"/>
      <c r="AF71" s="26"/>
      <c r="AG71" s="26">
        <f>AG69+AG70</f>
        <v>-55005</v>
      </c>
      <c r="AH71" s="26">
        <f>AH69+AH70</f>
        <v>-117320</v>
      </c>
      <c r="AI71" s="26">
        <f>AI69+AI70</f>
        <v>-135944</v>
      </c>
      <c r="AJ71" s="26"/>
      <c r="AK71" s="26"/>
    </row>
    <row r="72" spans="2:37" x14ac:dyDescent="0.35">
      <c r="B72" t="s">
        <v>147</v>
      </c>
      <c r="F72">
        <v>0</v>
      </c>
      <c r="G72" s="7">
        <v>1134</v>
      </c>
      <c r="H72" s="39">
        <v>741</v>
      </c>
      <c r="I72" s="7">
        <v>333</v>
      </c>
      <c r="J72" s="7">
        <v>-1008</v>
      </c>
      <c r="K72" s="7">
        <f>AH72-J72-I72-H72</f>
        <v>187</v>
      </c>
      <c r="L72" s="39">
        <v>876</v>
      </c>
      <c r="M72" s="7">
        <v>-1030</v>
      </c>
      <c r="N72" s="7">
        <v>-4655</v>
      </c>
      <c r="O72" s="7">
        <f>AI72-N72-M72-L72</f>
        <v>5409</v>
      </c>
      <c r="P72" s="39">
        <v>-938</v>
      </c>
      <c r="Q72" s="7">
        <v>-1516</v>
      </c>
      <c r="R72" s="7">
        <v>-736</v>
      </c>
      <c r="S72" s="7"/>
      <c r="T72" s="7"/>
      <c r="U72" s="7"/>
      <c r="V72" s="7"/>
      <c r="W72" s="7"/>
      <c r="X72" s="7"/>
      <c r="Y72" s="7"/>
      <c r="Z72" s="7"/>
      <c r="AA72" s="7"/>
      <c r="AB72" s="7"/>
      <c r="AC72" s="7"/>
      <c r="AD72" s="7"/>
      <c r="AE72" s="7"/>
      <c r="AF72" s="7"/>
      <c r="AG72" s="7">
        <v>1134</v>
      </c>
      <c r="AH72" s="7">
        <v>253</v>
      </c>
      <c r="AI72" s="7">
        <v>600</v>
      </c>
      <c r="AJ72" s="7"/>
      <c r="AK72" s="7"/>
    </row>
    <row r="73" spans="2:37" s="4" customFormat="1" x14ac:dyDescent="0.35">
      <c r="B73" s="4" t="s">
        <v>148</v>
      </c>
      <c r="F73" s="4">
        <v>0</v>
      </c>
      <c r="G73" s="8">
        <v>0</v>
      </c>
      <c r="H73" s="40">
        <v>0</v>
      </c>
      <c r="I73" s="8">
        <v>0</v>
      </c>
      <c r="J73" s="8">
        <v>0</v>
      </c>
      <c r="K73" s="8">
        <f>AH73-J73-I73-H73</f>
        <v>0</v>
      </c>
      <c r="L73" s="40">
        <v>0</v>
      </c>
      <c r="M73" s="8">
        <v>0</v>
      </c>
      <c r="N73" s="8">
        <v>-855</v>
      </c>
      <c r="O73" s="8">
        <f>AI73-N73-M73-L73</f>
        <v>83</v>
      </c>
      <c r="P73" s="40">
        <v>368</v>
      </c>
      <c r="Q73" s="8">
        <v>-814</v>
      </c>
      <c r="R73" s="8">
        <v>117</v>
      </c>
      <c r="S73" s="8"/>
      <c r="T73" s="8"/>
      <c r="U73" s="8"/>
      <c r="V73" s="8"/>
      <c r="W73" s="8"/>
      <c r="X73" s="8"/>
      <c r="Y73" s="8"/>
      <c r="Z73" s="8"/>
      <c r="AA73" s="8"/>
      <c r="AB73" s="8"/>
      <c r="AC73" s="8"/>
      <c r="AD73" s="8"/>
      <c r="AE73" s="8"/>
      <c r="AF73" s="8"/>
      <c r="AG73" s="8">
        <v>0</v>
      </c>
      <c r="AH73" s="8">
        <v>0</v>
      </c>
      <c r="AI73" s="8">
        <v>-772</v>
      </c>
      <c r="AJ73" s="8"/>
      <c r="AK73" s="8"/>
    </row>
    <row r="74" spans="2:37" s="14" customFormat="1" x14ac:dyDescent="0.35">
      <c r="B74" s="14" t="s">
        <v>149</v>
      </c>
      <c r="F74" s="26">
        <f t="shared" ref="F74:R74" si="29">SUM(F71:F73)</f>
        <v>-12605</v>
      </c>
      <c r="G74" s="26">
        <f t="shared" si="29"/>
        <v>-41266</v>
      </c>
      <c r="H74" s="42">
        <f t="shared" si="29"/>
        <v>-15141</v>
      </c>
      <c r="I74" s="26">
        <f t="shared" si="29"/>
        <v>-16332</v>
      </c>
      <c r="J74" s="26">
        <f t="shared" si="29"/>
        <v>-88977</v>
      </c>
      <c r="K74" s="26">
        <f t="shared" si="29"/>
        <v>3383</v>
      </c>
      <c r="L74" s="42">
        <f t="shared" si="29"/>
        <v>-25833</v>
      </c>
      <c r="M74" s="26">
        <f t="shared" si="29"/>
        <v>-38447</v>
      </c>
      <c r="N74" s="26">
        <f t="shared" si="29"/>
        <v>-40120</v>
      </c>
      <c r="O74" s="26">
        <f t="shared" si="29"/>
        <v>-31716</v>
      </c>
      <c r="P74" s="42">
        <f t="shared" si="29"/>
        <v>-46187</v>
      </c>
      <c r="Q74" s="26">
        <f t="shared" si="29"/>
        <v>-48219</v>
      </c>
      <c r="R74" s="26">
        <f t="shared" si="29"/>
        <v>-41187</v>
      </c>
      <c r="S74" s="26"/>
      <c r="T74" s="26"/>
      <c r="U74" s="26"/>
      <c r="V74" s="26"/>
      <c r="W74" s="26"/>
      <c r="X74" s="26"/>
      <c r="Y74" s="26"/>
      <c r="Z74" s="26"/>
      <c r="AA74" s="26"/>
      <c r="AB74" s="26"/>
      <c r="AC74" s="26"/>
      <c r="AD74" s="26"/>
      <c r="AE74" s="26"/>
      <c r="AF74" s="26"/>
      <c r="AG74" s="26">
        <f>AG71+AG72</f>
        <v>-53871</v>
      </c>
      <c r="AH74" s="26">
        <f>AH71+AH72</f>
        <v>-117067</v>
      </c>
      <c r="AI74" s="26">
        <f>AI71+AI72</f>
        <v>-135344</v>
      </c>
      <c r="AJ74" s="26"/>
      <c r="AK74" s="26"/>
    </row>
    <row r="75" spans="2:37" x14ac:dyDescent="0.35">
      <c r="B75" t="s">
        <v>150</v>
      </c>
      <c r="F75" s="11" t="e">
        <f t="shared" ref="F75:R75" si="30">F74/F76</f>
        <v>#DIV/0!</v>
      </c>
      <c r="G75" s="11">
        <f t="shared" si="30"/>
        <v>-0.54718638579692647</v>
      </c>
      <c r="H75" s="49">
        <f t="shared" si="30"/>
        <v>-0.19208111021638463</v>
      </c>
      <c r="I75" s="11">
        <f t="shared" si="30"/>
        <v>-0.20683603479870644</v>
      </c>
      <c r="J75" s="11">
        <f t="shared" si="30"/>
        <v>-0.38979413405060442</v>
      </c>
      <c r="K75" s="11">
        <f t="shared" si="30"/>
        <v>-1.9204261463652644E-2</v>
      </c>
      <c r="L75" s="49">
        <f t="shared" si="30"/>
        <v>-5.6589850276833525E-2</v>
      </c>
      <c r="M75" s="11">
        <f t="shared" si="30"/>
        <v>-8.2731550799616679E-2</v>
      </c>
      <c r="N75" s="11">
        <f t="shared" si="30"/>
        <v>-8.5403714031692057E-2</v>
      </c>
      <c r="O75" s="11">
        <f t="shared" si="30"/>
        <v>-6.8028845122626094E-2</v>
      </c>
      <c r="P75" s="49">
        <f t="shared" si="30"/>
        <v>-9.6990819251023902E-2</v>
      </c>
      <c r="Q75" s="11">
        <f t="shared" si="30"/>
        <v>-0.10051156109327146</v>
      </c>
      <c r="R75" s="11">
        <f t="shared" si="30"/>
        <v>-8.5091117480446954E-2</v>
      </c>
      <c r="S75" s="11"/>
      <c r="T75" s="11"/>
      <c r="U75" s="11"/>
      <c r="V75" s="11"/>
      <c r="W75" s="11"/>
      <c r="X75" s="11"/>
      <c r="Y75" s="11"/>
      <c r="Z75" s="7"/>
      <c r="AA75" s="7"/>
      <c r="AB75" s="7"/>
      <c r="AC75" s="7"/>
      <c r="AD75" s="7"/>
      <c r="AE75" s="7"/>
      <c r="AF75" s="7"/>
      <c r="AG75" s="11">
        <f>AG74/AG76</f>
        <v>-0.71432844931096362</v>
      </c>
      <c r="AH75" s="11">
        <f>AH74/AH76</f>
        <v>-0.55774077514947951</v>
      </c>
      <c r="AI75" s="11">
        <f>AI74/AI76</f>
        <v>-0.29030439330668456</v>
      </c>
      <c r="AJ75" s="7"/>
      <c r="AK75" s="7"/>
    </row>
    <row r="76" spans="2:37" x14ac:dyDescent="0.35">
      <c r="B76" t="s">
        <v>1</v>
      </c>
      <c r="G76" s="7">
        <v>75414.888000000006</v>
      </c>
      <c r="H76" s="39">
        <v>78826.074999999997</v>
      </c>
      <c r="I76" s="7">
        <v>78961.096000000005</v>
      </c>
      <c r="J76" s="7">
        <v>228266.647</v>
      </c>
      <c r="K76" s="7">
        <f>AH76-J76-I76-H76</f>
        <v>-176158.818</v>
      </c>
      <c r="L76" s="39">
        <v>456495.288</v>
      </c>
      <c r="M76" s="7">
        <v>464719.924</v>
      </c>
      <c r="N76" s="7">
        <v>469768.79700000002</v>
      </c>
      <c r="O76" s="7">
        <v>466214</v>
      </c>
      <c r="P76" s="39">
        <v>476199.71</v>
      </c>
      <c r="Q76" s="7">
        <v>479735.85800000001</v>
      </c>
      <c r="R76" s="7">
        <v>484034.071</v>
      </c>
      <c r="S76" s="7"/>
      <c r="T76" s="7"/>
      <c r="U76" s="7"/>
      <c r="V76" s="7"/>
      <c r="W76" s="7"/>
      <c r="X76" s="7"/>
      <c r="Y76" s="7"/>
      <c r="Z76" s="7"/>
      <c r="AA76" s="7"/>
      <c r="AB76" s="7"/>
      <c r="AC76" s="7"/>
      <c r="AD76" s="7"/>
      <c r="AE76" s="7"/>
      <c r="AF76" s="7"/>
      <c r="AG76" s="7">
        <v>75414.888000000006</v>
      </c>
      <c r="AH76" s="7">
        <v>209895</v>
      </c>
      <c r="AI76" s="7">
        <v>466214.09499999997</v>
      </c>
      <c r="AJ76" s="7"/>
      <c r="AK76" s="7"/>
    </row>
    <row r="77" spans="2:37" x14ac:dyDescent="0.35">
      <c r="G77" s="7"/>
      <c r="H77" s="39"/>
      <c r="I77" s="7"/>
      <c r="J77" s="7"/>
      <c r="K77" s="7"/>
      <c r="L77" s="39"/>
      <c r="M77" s="7"/>
      <c r="N77" s="7"/>
      <c r="O77" s="7"/>
      <c r="P77" s="39"/>
      <c r="Q77" s="7"/>
      <c r="R77" s="7"/>
      <c r="S77" s="7"/>
      <c r="T77" s="7"/>
      <c r="U77" s="7"/>
      <c r="V77" s="7"/>
      <c r="W77" s="7"/>
      <c r="X77" s="7"/>
      <c r="Y77" s="7"/>
      <c r="Z77" s="7"/>
      <c r="AA77" s="7"/>
      <c r="AB77" s="7"/>
      <c r="AC77" s="7"/>
      <c r="AD77" s="7"/>
      <c r="AE77" s="7"/>
      <c r="AF77" s="7"/>
      <c r="AG77" s="7"/>
      <c r="AH77" s="7"/>
      <c r="AI77" s="7"/>
      <c r="AJ77" s="7"/>
      <c r="AK77" s="7"/>
    </row>
    <row r="78" spans="2:37" s="30" customFormat="1" x14ac:dyDescent="0.35">
      <c r="B78" s="30" t="s">
        <v>151</v>
      </c>
      <c r="G78" s="31"/>
      <c r="H78" s="50"/>
      <c r="I78" s="31"/>
      <c r="J78" s="31"/>
      <c r="K78" s="31"/>
      <c r="L78" s="50"/>
      <c r="M78" s="31"/>
      <c r="N78" s="31"/>
      <c r="O78" s="31"/>
      <c r="P78" s="50"/>
      <c r="Q78" s="31"/>
      <c r="R78" s="31"/>
      <c r="S78" s="31"/>
      <c r="T78" s="31"/>
      <c r="U78" s="31"/>
      <c r="V78" s="31"/>
      <c r="W78" s="31"/>
      <c r="X78" s="31"/>
      <c r="Y78" s="31"/>
      <c r="Z78" s="31"/>
      <c r="AA78" s="31"/>
      <c r="AB78" s="31"/>
      <c r="AC78" s="31"/>
      <c r="AD78" s="31"/>
      <c r="AE78" s="31"/>
      <c r="AF78" s="31"/>
      <c r="AG78" s="31"/>
      <c r="AH78" s="31"/>
      <c r="AI78" s="31"/>
      <c r="AJ78" s="31"/>
      <c r="AK78" s="31"/>
    </row>
    <row r="79" spans="2:37" s="2" customFormat="1" x14ac:dyDescent="0.35">
      <c r="B79" s="2" t="s">
        <v>152</v>
      </c>
      <c r="F79" s="2">
        <f t="shared" ref="F79:O79" si="31">F61/F59</f>
        <v>-2.6010610079575596</v>
      </c>
      <c r="G79" s="2">
        <f t="shared" si="31"/>
        <v>-1.4336488119210633</v>
      </c>
      <c r="H79" s="43">
        <f t="shared" si="31"/>
        <v>5.0163004961020556</v>
      </c>
      <c r="I79" s="2">
        <f t="shared" si="31"/>
        <v>3.4628501827040195</v>
      </c>
      <c r="J79" s="2">
        <f t="shared" si="31"/>
        <v>-1.1395871817524696</v>
      </c>
      <c r="K79" s="2">
        <f t="shared" si="31"/>
        <v>1.7906941950927588</v>
      </c>
      <c r="L79" s="43">
        <f t="shared" si="31"/>
        <v>3.6082998661311914</v>
      </c>
      <c r="M79" s="2">
        <f t="shared" si="31"/>
        <v>3.8654699475594998</v>
      </c>
      <c r="N79" s="2">
        <f t="shared" si="31"/>
        <v>2.0677926065902916</v>
      </c>
      <c r="O79" s="2">
        <f t="shared" si="31"/>
        <v>8.2065573770491795</v>
      </c>
      <c r="P79" s="43">
        <f t="shared" ref="P79:R79" si="32">P61/P59</f>
        <v>3.760421582507472</v>
      </c>
      <c r="Q79" s="2">
        <f t="shared" si="32"/>
        <v>2.1267045843897758</v>
      </c>
      <c r="R79" s="2">
        <f t="shared" si="32"/>
        <v>1.7789804235985835</v>
      </c>
      <c r="AG79" s="2">
        <f>AG61/AG59</f>
        <v>-1.61986967927562</v>
      </c>
      <c r="AH79" s="2">
        <f>AH61/AH59</f>
        <v>-22.062863180137349</v>
      </c>
      <c r="AI79" s="2">
        <f>AI61/AI59</f>
        <v>3.4317008952080044</v>
      </c>
    </row>
    <row r="80" spans="2:37" s="2" customFormat="1" x14ac:dyDescent="0.35">
      <c r="B80" s="2" t="s">
        <v>153</v>
      </c>
      <c r="F80" s="2">
        <f t="shared" ref="F80:O80" si="33">F62/F59</f>
        <v>-3.2132625994694961</v>
      </c>
      <c r="G80" s="2">
        <f t="shared" si="33"/>
        <v>-1.8058799838904551</v>
      </c>
      <c r="H80" s="43">
        <f t="shared" si="33"/>
        <v>4.6945428773919202</v>
      </c>
      <c r="I80" s="2">
        <f t="shared" si="33"/>
        <v>2.8696711327649207</v>
      </c>
      <c r="J80" s="2">
        <f t="shared" si="33"/>
        <v>-2.06047707011485</v>
      </c>
      <c r="K80" s="2">
        <f t="shared" si="33"/>
        <v>2.8497905445840814</v>
      </c>
      <c r="L80" s="43">
        <f t="shared" si="33"/>
        <v>6.1788487282463187</v>
      </c>
      <c r="M80" s="2">
        <f t="shared" si="33"/>
        <v>3.8225090762404195</v>
      </c>
      <c r="N80" s="2">
        <f t="shared" si="33"/>
        <v>2.711822369198063</v>
      </c>
      <c r="O80" s="2">
        <f t="shared" si="33"/>
        <v>13.133879781420765</v>
      </c>
      <c r="P80" s="43">
        <f t="shared" ref="P80:R80" si="34">P62/P59</f>
        <v>4.4783703004561897</v>
      </c>
      <c r="Q80" s="2">
        <f t="shared" si="34"/>
        <v>1.9678613033646268</v>
      </c>
      <c r="R80" s="2">
        <f t="shared" si="34"/>
        <v>1.8173314625509454</v>
      </c>
      <c r="AG80" s="2">
        <f>AG62/AG59</f>
        <v>-2.0303799610730304</v>
      </c>
      <c r="AH80" s="2">
        <f>AH62/AH59</f>
        <v>-30.847860538827259</v>
      </c>
      <c r="AI80" s="2">
        <f>AI62/AI59</f>
        <v>4.6880463401790413</v>
      </c>
    </row>
    <row r="81" spans="2:37" s="2" customFormat="1" x14ac:dyDescent="0.35">
      <c r="H81" s="43"/>
      <c r="L81" s="43"/>
      <c r="P81" s="43"/>
    </row>
    <row r="82" spans="2:37" x14ac:dyDescent="0.35">
      <c r="G82" s="7"/>
      <c r="H82" s="39"/>
      <c r="I82" s="7"/>
      <c r="J82" s="7"/>
      <c r="K82" s="7"/>
      <c r="L82" s="39"/>
      <c r="M82" s="7"/>
      <c r="N82" s="7"/>
      <c r="O82" s="7"/>
      <c r="P82" s="39"/>
      <c r="Q82" s="7"/>
      <c r="R82" s="7"/>
      <c r="S82" s="7"/>
      <c r="T82" s="7"/>
      <c r="U82" s="7"/>
      <c r="V82" s="7"/>
      <c r="W82" s="7"/>
      <c r="X82" s="7"/>
      <c r="Y82" s="7"/>
      <c r="Z82" s="7"/>
      <c r="AA82" s="7"/>
      <c r="AB82" s="7"/>
      <c r="AC82" s="7"/>
      <c r="AD82" s="7"/>
      <c r="AE82" s="7"/>
      <c r="AF82" s="7"/>
      <c r="AG82" s="7"/>
      <c r="AH82" s="7"/>
      <c r="AI82" s="7"/>
      <c r="AJ82" s="7"/>
      <c r="AK82" s="7"/>
    </row>
    <row r="83" spans="2:37" x14ac:dyDescent="0.35">
      <c r="G83" s="7"/>
      <c r="H83" s="39"/>
      <c r="I83" s="7"/>
      <c r="J83" s="7"/>
      <c r="K83" s="7"/>
      <c r="L83" s="39"/>
      <c r="M83" s="7"/>
      <c r="N83" s="7"/>
      <c r="O83" s="7"/>
      <c r="P83" s="39"/>
      <c r="Q83" s="7"/>
      <c r="R83" s="7"/>
      <c r="S83" s="7"/>
      <c r="T83" s="7"/>
      <c r="U83" s="7"/>
      <c r="V83" s="7"/>
      <c r="W83" s="7"/>
      <c r="X83" s="7"/>
      <c r="Y83" s="7"/>
      <c r="Z83" s="7"/>
      <c r="AA83" s="7"/>
      <c r="AB83" s="7"/>
      <c r="AC83" s="7"/>
      <c r="AD83" s="7"/>
      <c r="AE83" s="7"/>
      <c r="AF83" s="7"/>
      <c r="AG83" s="7"/>
      <c r="AH83" s="7"/>
      <c r="AI83" s="7"/>
      <c r="AJ83" s="7"/>
      <c r="AK83" s="7"/>
    </row>
    <row r="84" spans="2:37" x14ac:dyDescent="0.35">
      <c r="B84" t="s">
        <v>154</v>
      </c>
      <c r="G84" s="7"/>
      <c r="H84" s="39"/>
      <c r="I84" s="7"/>
      <c r="J84" s="7"/>
      <c r="K84" s="7"/>
      <c r="L84" s="39"/>
      <c r="M84" s="7"/>
      <c r="N84" s="7"/>
      <c r="O84" s="7"/>
      <c r="P84" s="39"/>
      <c r="Q84" s="7"/>
      <c r="R84" s="7"/>
      <c r="S84" s="7"/>
      <c r="T84" s="7"/>
      <c r="U84" s="7"/>
      <c r="V84" s="7"/>
      <c r="W84" s="7"/>
      <c r="X84" s="7"/>
      <c r="Y84" s="7"/>
      <c r="Z84" s="7"/>
      <c r="AA84" s="7"/>
      <c r="AB84" s="7"/>
      <c r="AC84" s="7"/>
      <c r="AD84" s="7"/>
      <c r="AE84" s="7"/>
      <c r="AF84" s="7"/>
      <c r="AG84" s="7"/>
      <c r="AH84" s="7"/>
      <c r="AI84" s="7"/>
      <c r="AJ84" s="7"/>
      <c r="AK84" s="7"/>
    </row>
    <row r="85" spans="2:37" x14ac:dyDescent="0.35">
      <c r="B85" t="s">
        <v>155</v>
      </c>
      <c r="F85" s="13">
        <f t="shared" ref="F85:O85" si="35">F59/F57</f>
        <v>-0.17666354264292408</v>
      </c>
      <c r="G85" s="13">
        <f t="shared" si="35"/>
        <v>-0.40555328705594118</v>
      </c>
      <c r="H85" s="44">
        <f t="shared" si="35"/>
        <v>7.7561565523306952E-2</v>
      </c>
      <c r="I85" s="13">
        <f t="shared" si="35"/>
        <v>0.21835106382978722</v>
      </c>
      <c r="J85" s="13">
        <f t="shared" si="35"/>
        <v>-2.3550217514658596</v>
      </c>
      <c r="K85" s="13">
        <f t="shared" si="35"/>
        <v>0.24324914477036175</v>
      </c>
      <c r="L85" s="44">
        <f t="shared" si="35"/>
        <v>9.1762277964769184E-2</v>
      </c>
      <c r="M85" s="13">
        <f t="shared" si="35"/>
        <v>8.937520279770704E-2</v>
      </c>
      <c r="N85" s="13">
        <f t="shared" si="35"/>
        <v>0.13427533818608561</v>
      </c>
      <c r="O85" s="13">
        <f t="shared" si="35"/>
        <v>3.5354120783586414E-2</v>
      </c>
      <c r="P85" s="44">
        <f t="shared" ref="P85:Q85" si="36">P59/P57</f>
        <v>0.11580289643865561</v>
      </c>
      <c r="Q85" s="13">
        <f t="shared" si="36"/>
        <v>0.23520025787734708</v>
      </c>
      <c r="R85" s="13">
        <f t="shared" ref="R85:U85" si="37">R59/R57</f>
        <v>0.22120571673489897</v>
      </c>
      <c r="S85" s="13" t="e">
        <f t="shared" si="37"/>
        <v>#DIV/0!</v>
      </c>
      <c r="T85" s="13" t="e">
        <f t="shared" si="37"/>
        <v>#DIV/0!</v>
      </c>
      <c r="U85" s="13" t="e">
        <f t="shared" si="37"/>
        <v>#DIV/0!</v>
      </c>
      <c r="V85" s="7"/>
      <c r="W85" s="7"/>
      <c r="X85" s="7"/>
      <c r="Y85" s="7"/>
      <c r="Z85" s="7"/>
      <c r="AA85" s="7"/>
      <c r="AB85" s="7"/>
      <c r="AC85" s="7"/>
      <c r="AD85" s="7"/>
      <c r="AE85" s="7"/>
      <c r="AF85" s="7"/>
      <c r="AG85" s="7"/>
      <c r="AH85" s="7"/>
      <c r="AI85" s="7"/>
      <c r="AJ85" s="7"/>
      <c r="AK85" s="7"/>
    </row>
    <row r="86" spans="2:37" x14ac:dyDescent="0.35">
      <c r="B86" t="s">
        <v>156</v>
      </c>
      <c r="F86" s="13">
        <f t="shared" ref="F86:O86" si="38">F71/F57</f>
        <v>-1.1813495782567947</v>
      </c>
      <c r="G86" s="13">
        <f t="shared" si="38"/>
        <v>-1.7313189056757861</v>
      </c>
      <c r="H86" s="44">
        <f t="shared" si="38"/>
        <v>-0.87302110817941958</v>
      </c>
      <c r="I86" s="13">
        <f t="shared" si="38"/>
        <v>-1.4773936170212767</v>
      </c>
      <c r="J86" s="13">
        <f t="shared" si="38"/>
        <v>-16.638736523548324</v>
      </c>
      <c r="K86" s="13">
        <f t="shared" si="38"/>
        <v>0.11631123080282407</v>
      </c>
      <c r="L86" s="44">
        <f t="shared" si="38"/>
        <v>-0.6561924182492691</v>
      </c>
      <c r="M86" s="13">
        <f t="shared" si="38"/>
        <v>-0.67449616036341353</v>
      </c>
      <c r="N86" s="13">
        <f t="shared" si="38"/>
        <v>-0.54886848406996847</v>
      </c>
      <c r="O86" s="13">
        <f t="shared" si="38"/>
        <v>-0.71882848421622036</v>
      </c>
      <c r="P86" s="44">
        <f t="shared" ref="P86:Q86" si="39">P71/P57</f>
        <v>-0.83098642863648786</v>
      </c>
      <c r="Q86" s="13">
        <f t="shared" si="39"/>
        <v>-0.73960834877911197</v>
      </c>
      <c r="R86" s="13">
        <f t="shared" ref="R86:U86" si="40">R71/R57</f>
        <v>-0.5995773045033328</v>
      </c>
      <c r="S86" s="13" t="e">
        <f t="shared" si="40"/>
        <v>#DIV/0!</v>
      </c>
      <c r="T86" s="13" t="e">
        <f t="shared" si="40"/>
        <v>#DIV/0!</v>
      </c>
      <c r="U86" s="13" t="e">
        <f t="shared" si="40"/>
        <v>#DIV/0!</v>
      </c>
      <c r="V86" s="7"/>
      <c r="W86" s="7"/>
      <c r="X86" s="7"/>
      <c r="Y86" s="7"/>
      <c r="Z86" s="7"/>
      <c r="AA86" s="7"/>
      <c r="AB86" s="7"/>
      <c r="AC86" s="7"/>
      <c r="AD86" s="7"/>
      <c r="AE86" s="7"/>
      <c r="AF86" s="7"/>
      <c r="AG86" s="7"/>
      <c r="AH86" s="7"/>
      <c r="AI86" s="7"/>
      <c r="AJ86" s="7"/>
      <c r="AK86" s="7"/>
    </row>
    <row r="87" spans="2:37" x14ac:dyDescent="0.35">
      <c r="F87" s="13"/>
      <c r="G87" s="13"/>
      <c r="H87" s="44"/>
      <c r="I87" s="13"/>
      <c r="J87" s="13"/>
      <c r="K87" s="13"/>
      <c r="L87" s="44"/>
      <c r="M87" s="13"/>
      <c r="N87" s="13"/>
      <c r="O87" s="13"/>
      <c r="P87" s="44"/>
      <c r="Q87" s="7"/>
      <c r="R87" s="7"/>
      <c r="S87" s="7"/>
      <c r="T87" s="7"/>
      <c r="U87" s="7"/>
      <c r="V87" s="7"/>
      <c r="W87" s="7"/>
      <c r="X87" s="7"/>
      <c r="Y87" s="7"/>
      <c r="Z87" s="7"/>
      <c r="AA87" s="7"/>
      <c r="AB87" s="7"/>
      <c r="AC87" s="7"/>
      <c r="AD87" s="7"/>
      <c r="AE87" s="7"/>
      <c r="AF87" s="7"/>
      <c r="AG87" s="7"/>
      <c r="AH87" s="7"/>
      <c r="AI87" s="7"/>
      <c r="AJ87" s="7"/>
      <c r="AK87" s="7"/>
    </row>
    <row r="88" spans="2:37" x14ac:dyDescent="0.35">
      <c r="F88" s="13"/>
      <c r="G88" s="13"/>
      <c r="H88" s="44"/>
      <c r="I88" s="13"/>
      <c r="J88" s="13"/>
      <c r="K88" s="13"/>
      <c r="L88" s="44"/>
      <c r="M88" s="13"/>
      <c r="N88" s="13"/>
      <c r="O88" s="13"/>
      <c r="P88" s="44"/>
      <c r="Q88" s="7"/>
      <c r="R88" s="7"/>
      <c r="S88" s="7"/>
      <c r="T88" s="7"/>
      <c r="U88" s="7"/>
      <c r="V88" s="7"/>
      <c r="W88" s="7"/>
      <c r="X88" s="7"/>
      <c r="Y88" s="7"/>
      <c r="Z88" s="7"/>
      <c r="AA88" s="7"/>
      <c r="AB88" s="7"/>
      <c r="AC88" s="7"/>
      <c r="AD88" s="7"/>
      <c r="AE88" s="7"/>
      <c r="AF88" s="7"/>
      <c r="AG88" s="13"/>
      <c r="AH88" s="7"/>
      <c r="AI88" s="7"/>
      <c r="AJ88" s="7"/>
      <c r="AK88" s="7"/>
    </row>
    <row r="89" spans="2:37" x14ac:dyDescent="0.35">
      <c r="G89" s="7"/>
      <c r="H89" s="39"/>
      <c r="I89" s="7"/>
      <c r="J89" s="7"/>
      <c r="K89" s="7"/>
      <c r="L89" s="39"/>
      <c r="M89" s="7"/>
      <c r="N89" s="7"/>
      <c r="O89" s="7"/>
      <c r="P89" s="39"/>
      <c r="Q89" s="7"/>
      <c r="R89" s="7"/>
      <c r="S89" s="7"/>
      <c r="T89" s="7"/>
      <c r="U89" s="7"/>
      <c r="V89" s="7"/>
      <c r="W89" s="7"/>
      <c r="X89" s="7"/>
      <c r="Y89" s="7"/>
      <c r="Z89" s="7"/>
      <c r="AA89" s="7"/>
      <c r="AB89" s="7"/>
      <c r="AC89" s="7"/>
      <c r="AD89" s="7"/>
      <c r="AE89" s="7"/>
      <c r="AF89" s="7"/>
      <c r="AG89" s="7"/>
      <c r="AH89" s="7"/>
      <c r="AI89" s="7"/>
      <c r="AJ89" s="7"/>
      <c r="AK89" s="7"/>
    </row>
    <row r="90" spans="2:37" x14ac:dyDescent="0.35">
      <c r="G90" s="7"/>
      <c r="H90" s="39"/>
      <c r="I90" s="7"/>
      <c r="J90" s="7"/>
      <c r="K90" s="7"/>
      <c r="L90" s="39"/>
      <c r="M90" s="7"/>
      <c r="N90" s="7"/>
      <c r="O90" s="7"/>
      <c r="P90" s="39"/>
      <c r="Q90" s="7"/>
      <c r="R90" s="7"/>
      <c r="S90" s="7"/>
      <c r="T90" s="7"/>
      <c r="U90" s="7"/>
      <c r="V90" s="7"/>
      <c r="W90" s="7"/>
      <c r="X90" s="7"/>
      <c r="Y90" s="7"/>
      <c r="Z90" s="7"/>
      <c r="AA90" s="7"/>
      <c r="AB90" s="7"/>
      <c r="AC90" s="7"/>
      <c r="AD90" s="7"/>
      <c r="AE90" s="7"/>
      <c r="AF90" s="7"/>
      <c r="AG90" s="7"/>
      <c r="AH90" s="7"/>
      <c r="AI90" s="7"/>
      <c r="AJ90" s="7"/>
      <c r="AK90" s="7"/>
    </row>
    <row r="91" spans="2:37" x14ac:dyDescent="0.35">
      <c r="G91" s="7"/>
      <c r="H91" s="39"/>
      <c r="I91" s="7"/>
      <c r="J91" s="7"/>
      <c r="K91" s="7"/>
      <c r="L91" s="39"/>
      <c r="M91" s="7"/>
      <c r="N91" s="7"/>
      <c r="O91" s="7"/>
      <c r="P91" s="39"/>
      <c r="Q91" s="7"/>
      <c r="R91" s="7"/>
      <c r="S91" s="7"/>
      <c r="T91" s="7"/>
      <c r="U91" s="7"/>
      <c r="V91" s="7"/>
      <c r="W91" s="7"/>
      <c r="X91" s="7"/>
      <c r="Y91" s="7"/>
      <c r="Z91" s="7"/>
      <c r="AA91" s="7"/>
      <c r="AB91" s="7"/>
      <c r="AC91" s="7"/>
      <c r="AD91" s="7"/>
      <c r="AE91" s="7"/>
      <c r="AF91" s="7"/>
      <c r="AG91" s="7"/>
      <c r="AH91" s="7"/>
      <c r="AI91" s="7"/>
      <c r="AJ91" s="7"/>
      <c r="AK91" s="7"/>
    </row>
    <row r="92" spans="2:37" x14ac:dyDescent="0.35">
      <c r="F92" s="7"/>
      <c r="H92" s="39"/>
      <c r="I92" s="7"/>
      <c r="J92" s="7"/>
      <c r="K92" s="7"/>
      <c r="L92" s="39"/>
      <c r="M92" s="7"/>
      <c r="N92" s="7"/>
      <c r="O92" s="7"/>
      <c r="P92" s="39"/>
      <c r="Q92" s="7"/>
      <c r="R92" s="7"/>
      <c r="S92" s="7"/>
      <c r="T92" s="7"/>
      <c r="U92" s="7"/>
      <c r="V92" s="7"/>
      <c r="W92" s="7"/>
      <c r="X92" s="7"/>
      <c r="Y92" s="7"/>
      <c r="Z92" s="7"/>
      <c r="AA92" s="7"/>
      <c r="AB92" s="7"/>
      <c r="AC92" s="7"/>
      <c r="AD92" s="7"/>
      <c r="AE92" s="7"/>
      <c r="AF92" s="7"/>
      <c r="AG92" s="7"/>
      <c r="AH92" s="7"/>
      <c r="AI92" s="7"/>
      <c r="AJ92" s="7"/>
      <c r="AK92" s="7"/>
    </row>
    <row r="93" spans="2:37" s="6" customFormat="1" x14ac:dyDescent="0.35">
      <c r="B93" s="6" t="s">
        <v>449</v>
      </c>
      <c r="H93" s="47"/>
      <c r="I93" s="9"/>
      <c r="J93" s="9"/>
      <c r="K93" s="9"/>
      <c r="L93" s="47"/>
      <c r="M93" s="9"/>
      <c r="N93" s="9"/>
      <c r="O93" s="9"/>
      <c r="P93" s="47"/>
      <c r="Q93" s="9"/>
      <c r="R93" s="9"/>
      <c r="S93" s="9"/>
      <c r="T93" s="9"/>
      <c r="U93" s="9"/>
      <c r="V93" s="9"/>
      <c r="W93" s="9"/>
      <c r="X93" s="9"/>
      <c r="Y93" s="9"/>
      <c r="Z93" s="9"/>
      <c r="AA93" s="9"/>
      <c r="AB93" s="9"/>
      <c r="AC93" s="9"/>
      <c r="AD93" s="9"/>
      <c r="AE93" s="9"/>
      <c r="AF93" s="9"/>
      <c r="AG93" s="9"/>
      <c r="AH93" s="9"/>
      <c r="AI93" s="9"/>
      <c r="AJ93" s="9"/>
      <c r="AK93" s="9"/>
    </row>
    <row r="94" spans="2:37" s="32" customFormat="1" x14ac:dyDescent="0.35">
      <c r="B94" s="30" t="s">
        <v>157</v>
      </c>
      <c r="C94" s="30"/>
      <c r="D94" s="30"/>
      <c r="E94" s="30"/>
      <c r="H94" s="51"/>
      <c r="I94" s="33"/>
      <c r="J94" s="33"/>
      <c r="K94" s="33"/>
      <c r="L94" s="51"/>
      <c r="M94" s="33"/>
      <c r="N94" s="33"/>
      <c r="O94" s="33"/>
      <c r="P94" s="51"/>
      <c r="Q94" s="33"/>
      <c r="R94" s="33"/>
      <c r="S94" s="33"/>
      <c r="T94" s="33"/>
      <c r="U94" s="33"/>
      <c r="V94" s="33"/>
      <c r="W94" s="33"/>
      <c r="X94" s="33"/>
      <c r="Y94" s="33"/>
      <c r="Z94" s="33"/>
      <c r="AA94" s="33"/>
      <c r="AB94" s="33"/>
      <c r="AC94" s="33"/>
      <c r="AD94" s="33"/>
      <c r="AE94" s="33"/>
      <c r="AF94" s="33"/>
      <c r="AG94" s="33"/>
      <c r="AH94" s="33"/>
      <c r="AI94" s="33"/>
      <c r="AJ94" s="33"/>
      <c r="AK94" s="33"/>
    </row>
    <row r="95" spans="2:37" x14ac:dyDescent="0.35">
      <c r="B95" t="s">
        <v>158</v>
      </c>
      <c r="F95" s="7">
        <v>924370</v>
      </c>
      <c r="G95" s="7">
        <v>865903</v>
      </c>
      <c r="H95" s="39">
        <v>425453</v>
      </c>
      <c r="I95" s="7">
        <v>44846</v>
      </c>
      <c r="J95" s="7">
        <v>792660</v>
      </c>
      <c r="K95" s="7">
        <v>690959</v>
      </c>
      <c r="L95" s="39">
        <v>603144</v>
      </c>
      <c r="M95" s="7">
        <v>542511</v>
      </c>
      <c r="N95" s="7">
        <v>333279</v>
      </c>
      <c r="O95" s="7">
        <f t="shared" ref="O95:O100" si="41">AI95</f>
        <v>242515</v>
      </c>
      <c r="P95" s="39">
        <v>208365</v>
      </c>
      <c r="Q95" s="7">
        <v>197160</v>
      </c>
      <c r="R95" s="7">
        <v>140904</v>
      </c>
      <c r="S95" s="7"/>
      <c r="T95" s="7"/>
      <c r="U95" s="7"/>
      <c r="V95" s="7"/>
      <c r="W95" s="7"/>
      <c r="X95" s="7"/>
      <c r="Y95" s="7"/>
      <c r="Z95" s="7"/>
      <c r="AA95" s="7"/>
      <c r="AB95" s="7"/>
      <c r="AC95" s="7"/>
      <c r="AD95" s="7"/>
      <c r="AE95" s="7"/>
      <c r="AF95" s="7"/>
      <c r="AG95" s="7">
        <v>52792</v>
      </c>
      <c r="AH95" s="7">
        <v>690959</v>
      </c>
      <c r="AI95" s="7">
        <v>242515</v>
      </c>
      <c r="AJ95" s="7"/>
      <c r="AK95" s="7"/>
    </row>
    <row r="96" spans="2:37" x14ac:dyDescent="0.35">
      <c r="B96" t="s">
        <v>159</v>
      </c>
      <c r="F96" s="7">
        <v>0</v>
      </c>
      <c r="G96" s="7">
        <v>0</v>
      </c>
      <c r="H96" s="39">
        <v>0</v>
      </c>
      <c r="I96" s="7">
        <v>0</v>
      </c>
      <c r="J96" s="7">
        <v>0</v>
      </c>
      <c r="K96" s="7">
        <v>0</v>
      </c>
      <c r="L96" s="39">
        <v>0</v>
      </c>
      <c r="M96" s="7">
        <v>0</v>
      </c>
      <c r="N96" s="7">
        <v>169428</v>
      </c>
      <c r="O96" s="7">
        <f t="shared" si="41"/>
        <v>229276</v>
      </c>
      <c r="P96" s="39">
        <v>190357</v>
      </c>
      <c r="Q96" s="7">
        <v>144018</v>
      </c>
      <c r="R96" s="7">
        <v>147513</v>
      </c>
      <c r="S96" s="7"/>
      <c r="T96" s="7"/>
      <c r="U96" s="7"/>
      <c r="V96" s="7"/>
      <c r="W96" s="7"/>
      <c r="X96" s="7"/>
      <c r="Y96" s="7"/>
      <c r="Z96" s="7"/>
      <c r="AA96" s="7"/>
      <c r="AB96" s="7"/>
      <c r="AC96" s="7"/>
      <c r="AD96" s="7"/>
      <c r="AE96" s="7"/>
      <c r="AF96" s="7"/>
      <c r="AG96" s="7">
        <v>0</v>
      </c>
      <c r="AH96" s="7">
        <v>0</v>
      </c>
      <c r="AI96" s="7">
        <v>229276</v>
      </c>
      <c r="AJ96" s="7"/>
      <c r="AK96" s="7"/>
    </row>
    <row r="97" spans="2:40" x14ac:dyDescent="0.35">
      <c r="B97" t="s">
        <v>160</v>
      </c>
      <c r="F97" s="7">
        <v>0</v>
      </c>
      <c r="G97" s="7">
        <v>0</v>
      </c>
      <c r="H97" s="39">
        <v>0</v>
      </c>
      <c r="I97" s="7">
        <v>0</v>
      </c>
      <c r="J97" s="7">
        <v>13336</v>
      </c>
      <c r="K97" s="7">
        <v>13957</v>
      </c>
      <c r="L97" s="39">
        <v>32990</v>
      </c>
      <c r="M97" s="7">
        <v>40183</v>
      </c>
      <c r="N97" s="7">
        <v>57732</v>
      </c>
      <c r="O97" s="7">
        <f t="shared" si="41"/>
        <v>36572</v>
      </c>
      <c r="P97" s="39">
        <v>50690</v>
      </c>
      <c r="Q97" s="7">
        <v>25175</v>
      </c>
      <c r="R97" s="7">
        <v>22787</v>
      </c>
      <c r="S97" s="7"/>
      <c r="T97" s="7"/>
      <c r="U97" s="7"/>
      <c r="V97" s="7"/>
      <c r="W97" s="7"/>
      <c r="X97" s="7"/>
      <c r="Y97" s="7"/>
      <c r="Z97" s="7"/>
      <c r="AA97" s="7"/>
      <c r="AB97" s="7"/>
      <c r="AC97" s="7"/>
      <c r="AD97" s="7"/>
      <c r="AE97" s="7"/>
      <c r="AF97" s="7"/>
      <c r="AG97" s="7">
        <v>2730</v>
      </c>
      <c r="AH97" s="7">
        <v>13957</v>
      </c>
      <c r="AI97" s="7">
        <v>36572</v>
      </c>
      <c r="AJ97" s="7"/>
      <c r="AK97" s="7"/>
    </row>
    <row r="98" spans="2:40" x14ac:dyDescent="0.35">
      <c r="B98" t="s">
        <v>161</v>
      </c>
      <c r="F98" s="7">
        <v>0</v>
      </c>
      <c r="G98" s="7">
        <v>0</v>
      </c>
      <c r="H98" s="39">
        <v>0</v>
      </c>
      <c r="I98" s="7">
        <v>0</v>
      </c>
      <c r="J98" s="7">
        <v>73</v>
      </c>
      <c r="K98" s="7">
        <v>2490</v>
      </c>
      <c r="L98" s="39">
        <v>5853</v>
      </c>
      <c r="M98" s="7">
        <v>4393</v>
      </c>
      <c r="N98" s="7">
        <v>9063</v>
      </c>
      <c r="O98" s="7">
        <f t="shared" si="41"/>
        <v>9451</v>
      </c>
      <c r="P98" s="39">
        <v>12558</v>
      </c>
      <c r="Q98" s="7">
        <v>16714</v>
      </c>
      <c r="R98" s="7">
        <v>13042</v>
      </c>
      <c r="S98" s="7"/>
      <c r="T98" s="7"/>
      <c r="U98" s="7"/>
      <c r="V98" s="7"/>
      <c r="W98" s="7"/>
      <c r="X98" s="7"/>
      <c r="Y98" s="7"/>
      <c r="Z98" s="7"/>
      <c r="AA98" s="7"/>
      <c r="AB98" s="7"/>
      <c r="AC98" s="7"/>
      <c r="AD98" s="7"/>
      <c r="AE98" s="7"/>
      <c r="AF98" s="7"/>
      <c r="AG98" s="7">
        <v>2045</v>
      </c>
      <c r="AH98" s="7">
        <v>2490</v>
      </c>
      <c r="AI98" s="7">
        <v>9451</v>
      </c>
      <c r="AJ98" s="7"/>
      <c r="AK98" s="7"/>
    </row>
    <row r="99" spans="2:40" x14ac:dyDescent="0.35">
      <c r="B99" t="s">
        <v>162</v>
      </c>
      <c r="F99" s="7">
        <v>0</v>
      </c>
      <c r="G99" s="7">
        <v>0</v>
      </c>
      <c r="H99" s="39">
        <v>0</v>
      </c>
      <c r="I99" s="7">
        <v>0</v>
      </c>
      <c r="J99" s="7">
        <v>38365</v>
      </c>
      <c r="K99" s="7">
        <v>47904</v>
      </c>
      <c r="L99" s="39">
        <v>77888</v>
      </c>
      <c r="M99" s="7">
        <v>85683</v>
      </c>
      <c r="N99" s="7">
        <v>86138</v>
      </c>
      <c r="O99" s="7">
        <f t="shared" si="41"/>
        <v>92279</v>
      </c>
      <c r="P99" s="39">
        <v>98453</v>
      </c>
      <c r="Q99" s="7">
        <v>102234</v>
      </c>
      <c r="R99" s="7">
        <v>102394</v>
      </c>
      <c r="S99" s="7"/>
      <c r="T99" s="7"/>
      <c r="U99" s="7"/>
      <c r="V99" s="7"/>
      <c r="W99" s="7"/>
      <c r="X99" s="7"/>
      <c r="Y99" s="7"/>
      <c r="Z99" s="7"/>
      <c r="AA99" s="7"/>
      <c r="AB99" s="7"/>
      <c r="AC99" s="7"/>
      <c r="AD99" s="7"/>
      <c r="AE99" s="7"/>
      <c r="AF99" s="7"/>
      <c r="AG99" s="7">
        <v>26135</v>
      </c>
      <c r="AH99" s="7">
        <v>47904</v>
      </c>
      <c r="AI99" s="7">
        <v>92279</v>
      </c>
      <c r="AJ99" s="7"/>
      <c r="AK99" s="7"/>
    </row>
    <row r="100" spans="2:40" s="4" customFormat="1" x14ac:dyDescent="0.35">
      <c r="B100" s="4" t="s">
        <v>163</v>
      </c>
      <c r="F100" s="8">
        <v>428150</v>
      </c>
      <c r="G100" s="8">
        <v>366647</v>
      </c>
      <c r="H100" s="40">
        <v>352250</v>
      </c>
      <c r="I100" s="8">
        <v>284625</v>
      </c>
      <c r="J100" s="8">
        <v>10582</v>
      </c>
      <c r="K100" s="8">
        <v>19454</v>
      </c>
      <c r="L100" s="40">
        <v>26307</v>
      </c>
      <c r="M100" s="8">
        <v>33646</v>
      </c>
      <c r="N100" s="8">
        <v>43810</v>
      </c>
      <c r="O100" s="8">
        <f t="shared" si="41"/>
        <v>52201</v>
      </c>
      <c r="P100" s="40">
        <f>63203+11630</f>
        <v>74833</v>
      </c>
      <c r="Q100" s="8">
        <f>63520+11384</f>
        <v>74904</v>
      </c>
      <c r="R100" s="8">
        <f>68341+11259</f>
        <v>79600</v>
      </c>
      <c r="S100" s="8"/>
      <c r="T100" s="8"/>
      <c r="U100" s="8"/>
      <c r="V100" s="8"/>
      <c r="W100" s="8"/>
      <c r="X100" s="8"/>
      <c r="Y100" s="8"/>
      <c r="Z100" s="8"/>
      <c r="AA100" s="8"/>
      <c r="AB100" s="8"/>
      <c r="AC100" s="8"/>
      <c r="AD100" s="8"/>
      <c r="AE100" s="8"/>
      <c r="AF100" s="8"/>
      <c r="AG100" s="8">
        <v>9412</v>
      </c>
      <c r="AH100" s="8">
        <v>19454</v>
      </c>
      <c r="AI100" s="8">
        <v>52201</v>
      </c>
      <c r="AJ100" s="8"/>
      <c r="AK100" s="8"/>
    </row>
    <row r="101" spans="2:40" s="14" customFormat="1" x14ac:dyDescent="0.35">
      <c r="B101" s="14" t="s">
        <v>164</v>
      </c>
      <c r="F101" s="26">
        <f t="shared" ref="F101:AC101" si="42">SUM(F95:F100)</f>
        <v>1352520</v>
      </c>
      <c r="G101" s="26">
        <f t="shared" si="42"/>
        <v>1232550</v>
      </c>
      <c r="H101" s="42">
        <f t="shared" si="42"/>
        <v>777703</v>
      </c>
      <c r="I101" s="26">
        <f t="shared" si="42"/>
        <v>329471</v>
      </c>
      <c r="J101" s="26">
        <f t="shared" si="42"/>
        <v>855016</v>
      </c>
      <c r="K101" s="26">
        <f t="shared" si="42"/>
        <v>774764</v>
      </c>
      <c r="L101" s="42">
        <f t="shared" si="42"/>
        <v>746182</v>
      </c>
      <c r="M101" s="26">
        <f t="shared" si="42"/>
        <v>706416</v>
      </c>
      <c r="N101" s="26">
        <f t="shared" si="42"/>
        <v>699450</v>
      </c>
      <c r="O101" s="26">
        <f t="shared" si="42"/>
        <v>662294</v>
      </c>
      <c r="P101" s="42">
        <f t="shared" si="42"/>
        <v>635256</v>
      </c>
      <c r="Q101" s="26">
        <f t="shared" si="42"/>
        <v>560205</v>
      </c>
      <c r="R101" s="26">
        <f t="shared" si="42"/>
        <v>506240</v>
      </c>
      <c r="S101" s="26"/>
      <c r="T101" s="26"/>
      <c r="U101" s="26"/>
      <c r="V101" s="26"/>
      <c r="W101" s="26"/>
      <c r="X101" s="26"/>
      <c r="Y101" s="26"/>
      <c r="Z101" s="26">
        <f t="shared" si="42"/>
        <v>0</v>
      </c>
      <c r="AA101" s="26">
        <f t="shared" si="42"/>
        <v>0</v>
      </c>
      <c r="AB101" s="26">
        <f t="shared" si="42"/>
        <v>0</v>
      </c>
      <c r="AC101" s="26">
        <f t="shared" si="42"/>
        <v>0</v>
      </c>
      <c r="AD101" s="26"/>
      <c r="AE101" s="26"/>
      <c r="AF101" s="26"/>
      <c r="AG101" s="26">
        <f t="shared" ref="AG101:AN101" si="43">SUM(AG95:AG100)</f>
        <v>93114</v>
      </c>
      <c r="AH101" s="26">
        <f t="shared" si="43"/>
        <v>774764</v>
      </c>
      <c r="AI101" s="26">
        <f t="shared" si="43"/>
        <v>662294</v>
      </c>
      <c r="AJ101" s="26">
        <f t="shared" si="43"/>
        <v>0</v>
      </c>
      <c r="AK101" s="26">
        <f t="shared" si="43"/>
        <v>0</v>
      </c>
      <c r="AL101" s="26">
        <f t="shared" si="43"/>
        <v>0</v>
      </c>
      <c r="AM101" s="26">
        <f t="shared" si="43"/>
        <v>0</v>
      </c>
      <c r="AN101" s="26">
        <f t="shared" si="43"/>
        <v>0</v>
      </c>
    </row>
    <row r="102" spans="2:40" s="30" customFormat="1" x14ac:dyDescent="0.35">
      <c r="B102" s="30" t="s">
        <v>165</v>
      </c>
      <c r="F102" s="31"/>
      <c r="G102" s="31"/>
      <c r="H102" s="50"/>
      <c r="I102" s="31"/>
      <c r="J102" s="31"/>
      <c r="K102" s="31"/>
      <c r="L102" s="50"/>
      <c r="M102" s="31"/>
      <c r="N102" s="31"/>
      <c r="O102" s="31"/>
      <c r="P102" s="50"/>
      <c r="Q102" s="31"/>
      <c r="R102" s="31"/>
      <c r="S102" s="31"/>
      <c r="T102" s="31"/>
      <c r="U102" s="31"/>
      <c r="V102" s="31"/>
      <c r="W102" s="31"/>
      <c r="X102" s="31"/>
      <c r="Y102" s="31"/>
      <c r="Z102" s="31"/>
      <c r="AA102" s="31"/>
      <c r="AB102" s="31"/>
      <c r="AC102" s="31"/>
      <c r="AD102" s="31"/>
      <c r="AE102" s="31"/>
      <c r="AF102" s="31"/>
      <c r="AG102" s="31"/>
      <c r="AH102" s="31"/>
      <c r="AI102" s="31"/>
      <c r="AJ102" s="31"/>
      <c r="AK102" s="31"/>
    </row>
    <row r="103" spans="2:40" x14ac:dyDescent="0.35">
      <c r="B103" t="s">
        <v>166</v>
      </c>
      <c r="F103" s="7">
        <v>300000</v>
      </c>
      <c r="G103" s="7">
        <v>321327.39600000001</v>
      </c>
      <c r="H103" s="39">
        <v>3200009.656</v>
      </c>
      <c r="I103" s="7">
        <v>0</v>
      </c>
      <c r="J103" s="7">
        <v>0</v>
      </c>
      <c r="K103" s="7">
        <v>0</v>
      </c>
      <c r="L103" s="39">
        <v>0</v>
      </c>
      <c r="M103" s="7">
        <v>0</v>
      </c>
      <c r="N103" s="7">
        <v>0</v>
      </c>
      <c r="O103" s="7">
        <f t="shared" ref="O103:O113" si="44">AI103</f>
        <v>0</v>
      </c>
      <c r="P103" s="39">
        <v>0</v>
      </c>
      <c r="Q103" s="7">
        <v>0</v>
      </c>
      <c r="R103" s="7">
        <v>0</v>
      </c>
      <c r="S103" s="7"/>
      <c r="T103" s="7"/>
      <c r="U103" s="7"/>
      <c r="V103" s="7"/>
      <c r="W103" s="7"/>
      <c r="X103" s="7"/>
      <c r="Y103" s="7"/>
      <c r="Z103" s="7"/>
      <c r="AA103" s="7"/>
      <c r="AB103" s="7"/>
      <c r="AC103" s="7"/>
      <c r="AD103" s="7"/>
      <c r="AE103" s="7"/>
      <c r="AF103" s="7"/>
      <c r="AG103" s="7">
        <v>0</v>
      </c>
      <c r="AH103" s="7">
        <v>0</v>
      </c>
      <c r="AI103" s="7">
        <v>0</v>
      </c>
      <c r="AJ103" s="7"/>
      <c r="AK103" s="7"/>
    </row>
    <row r="104" spans="2:40" x14ac:dyDescent="0.35">
      <c r="B104" t="s">
        <v>167</v>
      </c>
      <c r="F104" s="7">
        <v>0</v>
      </c>
      <c r="G104" s="7">
        <v>0</v>
      </c>
      <c r="H104" s="39">
        <v>0</v>
      </c>
      <c r="I104" s="7">
        <v>0</v>
      </c>
      <c r="J104" s="7">
        <v>54859</v>
      </c>
      <c r="K104" s="7">
        <v>65339</v>
      </c>
      <c r="L104" s="39">
        <v>99554</v>
      </c>
      <c r="M104" s="7">
        <v>97031</v>
      </c>
      <c r="N104" s="7">
        <v>93547</v>
      </c>
      <c r="O104" s="7">
        <f t="shared" si="44"/>
        <v>101514</v>
      </c>
      <c r="P104" s="39">
        <v>95981</v>
      </c>
      <c r="Q104" s="7">
        <v>120004</v>
      </c>
      <c r="R104" s="7">
        <v>135988</v>
      </c>
      <c r="S104" s="7"/>
      <c r="T104" s="7"/>
      <c r="U104" s="7"/>
      <c r="V104" s="7"/>
      <c r="W104" s="7"/>
      <c r="X104" s="7"/>
      <c r="Y104" s="7"/>
      <c r="Z104" s="7"/>
      <c r="AA104" s="7"/>
      <c r="AB104" s="7"/>
      <c r="AC104" s="7"/>
      <c r="AD104" s="7"/>
      <c r="AE104" s="7"/>
      <c r="AF104" s="7"/>
      <c r="AG104" s="7">
        <v>49832</v>
      </c>
      <c r="AH104" s="7">
        <v>65339</v>
      </c>
      <c r="AI104" s="7">
        <v>101514</v>
      </c>
      <c r="AJ104" s="7"/>
      <c r="AK104" s="7"/>
    </row>
    <row r="105" spans="2:40" x14ac:dyDescent="0.35">
      <c r="B105" t="s">
        <v>168</v>
      </c>
      <c r="F105" s="7">
        <v>0</v>
      </c>
      <c r="G105" s="7">
        <v>0</v>
      </c>
      <c r="H105" s="39">
        <v>0</v>
      </c>
      <c r="I105" s="7">
        <v>0</v>
      </c>
      <c r="J105" s="7">
        <v>9892</v>
      </c>
      <c r="K105" s="7">
        <v>57487</v>
      </c>
      <c r="L105" s="39">
        <v>87617</v>
      </c>
      <c r="M105" s="7">
        <v>84503</v>
      </c>
      <c r="N105" s="7">
        <v>82980</v>
      </c>
      <c r="O105" s="7">
        <f t="shared" si="44"/>
        <v>79692</v>
      </c>
      <c r="P105" s="39">
        <v>76495</v>
      </c>
      <c r="Q105" s="7">
        <v>73309</v>
      </c>
      <c r="R105" s="7">
        <v>70404</v>
      </c>
      <c r="S105" s="7"/>
      <c r="T105" s="7"/>
      <c r="U105" s="7"/>
      <c r="V105" s="7"/>
      <c r="W105" s="7"/>
      <c r="X105" s="7"/>
      <c r="Y105" s="7"/>
      <c r="Z105" s="7"/>
      <c r="AA105" s="7"/>
      <c r="AB105" s="7"/>
      <c r="AC105" s="7"/>
      <c r="AD105" s="7"/>
      <c r="AE105" s="7"/>
      <c r="AF105" s="7"/>
      <c r="AG105" s="7">
        <v>11349</v>
      </c>
      <c r="AH105" s="7">
        <v>57487</v>
      </c>
      <c r="AI105" s="7">
        <v>79692</v>
      </c>
      <c r="AJ105" s="7"/>
      <c r="AK105" s="7"/>
    </row>
    <row r="106" spans="2:40" x14ac:dyDescent="0.35">
      <c r="B106" t="s">
        <v>169</v>
      </c>
      <c r="F106" s="7">
        <v>0</v>
      </c>
      <c r="G106" s="7">
        <v>0</v>
      </c>
      <c r="H106" s="39">
        <v>0</v>
      </c>
      <c r="I106" s="7">
        <v>0</v>
      </c>
      <c r="J106" s="7">
        <v>3195</v>
      </c>
      <c r="K106" s="7">
        <v>43308</v>
      </c>
      <c r="L106" s="39">
        <v>58767</v>
      </c>
      <c r="M106" s="7">
        <v>58281</v>
      </c>
      <c r="N106" s="7">
        <v>59929</v>
      </c>
      <c r="O106" s="7">
        <f t="shared" si="44"/>
        <v>71020</v>
      </c>
      <c r="P106" s="39">
        <v>71020</v>
      </c>
      <c r="Q106" s="7">
        <v>71020</v>
      </c>
      <c r="R106" s="7">
        <v>71020</v>
      </c>
      <c r="S106" s="7"/>
      <c r="T106" s="7"/>
      <c r="U106" s="7"/>
      <c r="V106" s="7"/>
      <c r="W106" s="7"/>
      <c r="X106" s="7"/>
      <c r="Y106" s="7"/>
      <c r="Z106" s="7"/>
      <c r="AA106" s="7"/>
      <c r="AB106" s="7"/>
      <c r="AC106" s="7"/>
      <c r="AD106" s="7"/>
      <c r="AE106" s="7"/>
      <c r="AF106" s="7"/>
      <c r="AG106" s="7">
        <v>3133</v>
      </c>
      <c r="AH106" s="7">
        <v>43308</v>
      </c>
      <c r="AI106" s="7">
        <v>71020</v>
      </c>
      <c r="AJ106" s="7"/>
      <c r="AK106" s="7"/>
    </row>
    <row r="107" spans="2:40" x14ac:dyDescent="0.35">
      <c r="B107" t="s">
        <v>170</v>
      </c>
      <c r="F107" s="7">
        <v>0</v>
      </c>
      <c r="G107" s="7">
        <v>0</v>
      </c>
      <c r="H107" s="39">
        <v>0</v>
      </c>
      <c r="I107" s="7">
        <v>0</v>
      </c>
      <c r="J107" s="7">
        <v>25379</v>
      </c>
      <c r="K107" s="7">
        <v>28424</v>
      </c>
      <c r="L107" s="39">
        <v>33448</v>
      </c>
      <c r="M107" s="7">
        <v>31365</v>
      </c>
      <c r="N107" s="7">
        <v>32214</v>
      </c>
      <c r="O107" s="7">
        <f t="shared" si="44"/>
        <v>35239</v>
      </c>
      <c r="P107" s="39">
        <v>34839</v>
      </c>
      <c r="Q107" s="7">
        <v>47586</v>
      </c>
      <c r="R107" s="7">
        <v>44900</v>
      </c>
      <c r="S107" s="7"/>
      <c r="T107" s="7"/>
      <c r="U107" s="7"/>
      <c r="V107" s="7"/>
      <c r="W107" s="7"/>
      <c r="X107" s="7"/>
      <c r="Y107" s="7"/>
      <c r="Z107" s="7"/>
      <c r="AA107" s="7"/>
      <c r="AB107" s="7"/>
      <c r="AC107" s="7"/>
      <c r="AD107" s="7"/>
      <c r="AE107" s="7"/>
      <c r="AF107" s="7"/>
      <c r="AG107" s="7">
        <v>26902</v>
      </c>
      <c r="AH107" s="7">
        <v>28424</v>
      </c>
      <c r="AI107" s="7">
        <v>35239</v>
      </c>
      <c r="AJ107" s="7"/>
      <c r="AK107" s="7"/>
    </row>
    <row r="108" spans="2:40" x14ac:dyDescent="0.35">
      <c r="B108" t="s">
        <v>171</v>
      </c>
      <c r="F108" s="7">
        <v>0</v>
      </c>
      <c r="G108" s="7">
        <v>0</v>
      </c>
      <c r="H108" s="39">
        <v>0</v>
      </c>
      <c r="I108" s="7">
        <v>0</v>
      </c>
      <c r="J108" s="7">
        <v>0</v>
      </c>
      <c r="K108" s="7"/>
      <c r="L108" s="39">
        <v>16073</v>
      </c>
      <c r="M108" s="7">
        <v>15921</v>
      </c>
      <c r="N108" s="7">
        <v>15768</v>
      </c>
      <c r="O108" s="7">
        <f t="shared" si="44"/>
        <v>15614</v>
      </c>
      <c r="P108" s="39">
        <v>15458</v>
      </c>
      <c r="Q108" s="7">
        <v>15302</v>
      </c>
      <c r="R108" s="7">
        <v>15145</v>
      </c>
      <c r="S108" s="7"/>
      <c r="T108" s="7"/>
      <c r="U108" s="7"/>
      <c r="V108" s="7"/>
      <c r="W108" s="7"/>
      <c r="X108" s="7"/>
      <c r="Y108" s="7"/>
      <c r="Z108" s="7"/>
      <c r="AA108" s="7"/>
      <c r="AB108" s="7"/>
      <c r="AC108" s="7"/>
      <c r="AD108" s="7"/>
      <c r="AE108" s="7"/>
      <c r="AF108" s="7"/>
      <c r="AG108" s="7"/>
      <c r="AH108" s="7"/>
      <c r="AI108" s="7">
        <v>15614</v>
      </c>
      <c r="AJ108" s="7"/>
      <c r="AK108" s="7"/>
    </row>
    <row r="109" spans="2:40" x14ac:dyDescent="0.35">
      <c r="B109" t="s">
        <v>159</v>
      </c>
      <c r="F109" s="7">
        <v>0</v>
      </c>
      <c r="G109" s="7">
        <v>0</v>
      </c>
      <c r="H109" s="39">
        <v>0</v>
      </c>
      <c r="I109" s="7">
        <v>0</v>
      </c>
      <c r="J109" s="7">
        <v>0</v>
      </c>
      <c r="K109" s="7"/>
      <c r="L109" s="39">
        <v>0</v>
      </c>
      <c r="M109" s="7">
        <v>0</v>
      </c>
      <c r="N109" s="7">
        <v>9751</v>
      </c>
      <c r="O109" s="7">
        <f t="shared" si="44"/>
        <v>9193</v>
      </c>
      <c r="P109" s="39">
        <v>47920</v>
      </c>
      <c r="Q109" s="7">
        <v>73941</v>
      </c>
      <c r="R109" s="7">
        <v>81951</v>
      </c>
      <c r="S109" s="7"/>
      <c r="T109" s="7"/>
      <c r="U109" s="7"/>
      <c r="V109" s="7"/>
      <c r="W109" s="7"/>
      <c r="X109" s="7"/>
      <c r="Y109" s="7"/>
      <c r="Z109" s="7"/>
      <c r="AA109" s="7"/>
      <c r="AB109" s="7"/>
      <c r="AC109" s="7"/>
      <c r="AD109" s="7"/>
      <c r="AE109" s="7"/>
      <c r="AF109" s="7"/>
      <c r="AG109" s="7"/>
      <c r="AH109" s="7"/>
      <c r="AI109" s="7">
        <v>9193</v>
      </c>
      <c r="AJ109" s="7"/>
      <c r="AK109" s="7"/>
    </row>
    <row r="110" spans="2:40" x14ac:dyDescent="0.35">
      <c r="B110" t="s">
        <v>172</v>
      </c>
      <c r="F110" s="7">
        <v>0</v>
      </c>
      <c r="G110" s="7">
        <v>0</v>
      </c>
      <c r="H110" s="39">
        <v>0</v>
      </c>
      <c r="I110" s="7">
        <v>0</v>
      </c>
      <c r="J110" s="7">
        <v>1129</v>
      </c>
      <c r="K110" s="7">
        <v>1116</v>
      </c>
      <c r="L110" s="39">
        <v>4632</v>
      </c>
      <c r="M110" s="7">
        <v>4118</v>
      </c>
      <c r="N110" s="7">
        <v>3008</v>
      </c>
      <c r="O110" s="7">
        <f t="shared" si="44"/>
        <v>3356</v>
      </c>
      <c r="P110" s="39">
        <v>3337</v>
      </c>
      <c r="Q110" s="7">
        <v>3594</v>
      </c>
      <c r="R110" s="7">
        <v>3588</v>
      </c>
      <c r="S110" s="7"/>
      <c r="T110" s="7"/>
      <c r="U110" s="7"/>
      <c r="V110" s="7"/>
      <c r="W110" s="7"/>
      <c r="X110" s="7"/>
      <c r="Y110" s="7"/>
      <c r="Z110" s="7"/>
      <c r="AA110" s="7"/>
      <c r="AB110" s="7"/>
      <c r="AC110" s="7"/>
      <c r="AD110" s="7"/>
      <c r="AE110" s="7"/>
      <c r="AF110" s="7"/>
      <c r="AG110" s="7">
        <v>1141</v>
      </c>
      <c r="AH110" s="7">
        <v>1116</v>
      </c>
      <c r="AI110" s="7">
        <v>3356</v>
      </c>
      <c r="AJ110" s="7"/>
      <c r="AK110" s="7"/>
    </row>
    <row r="111" spans="2:40" x14ac:dyDescent="0.35">
      <c r="B111" t="s">
        <v>173</v>
      </c>
      <c r="F111" s="7">
        <v>0</v>
      </c>
      <c r="G111" s="7">
        <v>0</v>
      </c>
      <c r="H111" s="39">
        <v>0</v>
      </c>
      <c r="I111" s="7">
        <v>0</v>
      </c>
      <c r="J111" s="7">
        <v>5907</v>
      </c>
      <c r="K111" s="7">
        <v>5859</v>
      </c>
      <c r="L111" s="39">
        <v>7221</v>
      </c>
      <c r="M111" s="7">
        <v>4447</v>
      </c>
      <c r="N111" s="7">
        <v>3243</v>
      </c>
      <c r="O111" s="7">
        <f t="shared" si="44"/>
        <v>3898</v>
      </c>
      <c r="P111" s="39">
        <v>3500</v>
      </c>
      <c r="Q111" s="7">
        <v>3641</v>
      </c>
      <c r="R111" s="7">
        <v>3282</v>
      </c>
      <c r="S111" s="7"/>
      <c r="T111" s="7"/>
      <c r="U111" s="7"/>
      <c r="V111" s="7"/>
      <c r="W111" s="7"/>
      <c r="X111" s="7"/>
      <c r="Y111" s="7"/>
      <c r="Z111" s="7"/>
      <c r="AA111" s="7"/>
      <c r="AB111" s="7"/>
      <c r="AC111" s="7"/>
      <c r="AD111" s="7"/>
      <c r="AE111" s="7"/>
      <c r="AF111" s="7"/>
      <c r="AG111" s="7">
        <v>2398</v>
      </c>
      <c r="AH111" s="7">
        <v>5859</v>
      </c>
      <c r="AI111" s="7">
        <v>3898</v>
      </c>
      <c r="AJ111" s="7"/>
      <c r="AK111" s="7"/>
    </row>
    <row r="112" spans="2:40" x14ac:dyDescent="0.35">
      <c r="B112" t="s">
        <v>174</v>
      </c>
      <c r="F112" s="7">
        <v>0</v>
      </c>
      <c r="G112" s="7">
        <v>0</v>
      </c>
      <c r="H112" s="39">
        <v>0</v>
      </c>
      <c r="I112" s="7">
        <v>320014519</v>
      </c>
      <c r="J112" s="7"/>
      <c r="K112" s="7"/>
      <c r="L112" s="39">
        <v>0</v>
      </c>
      <c r="M112" s="7">
        <v>0</v>
      </c>
      <c r="N112" s="7">
        <v>0</v>
      </c>
      <c r="O112" s="7">
        <f t="shared" si="44"/>
        <v>0</v>
      </c>
      <c r="P112" s="39">
        <v>0</v>
      </c>
      <c r="Q112" s="7">
        <v>0</v>
      </c>
      <c r="R112" s="7">
        <v>0</v>
      </c>
      <c r="S112" s="7"/>
      <c r="T112" s="7"/>
      <c r="U112" s="7"/>
      <c r="V112" s="7"/>
      <c r="W112" s="7"/>
      <c r="X112" s="7"/>
      <c r="Y112" s="7"/>
      <c r="Z112" s="7"/>
      <c r="AA112" s="7"/>
      <c r="AB112" s="7"/>
      <c r="AC112" s="7"/>
      <c r="AD112" s="7"/>
      <c r="AE112" s="7"/>
      <c r="AF112" s="7"/>
      <c r="AG112" s="7"/>
      <c r="AH112" s="7"/>
      <c r="AI112" s="7">
        <v>0</v>
      </c>
      <c r="AJ112" s="7"/>
      <c r="AK112" s="7"/>
    </row>
    <row r="113" spans="2:40" s="4" customFormat="1" x14ac:dyDescent="0.35">
      <c r="B113" s="4" t="s">
        <v>175</v>
      </c>
      <c r="F113" s="8">
        <v>0</v>
      </c>
      <c r="G113" s="8">
        <v>0</v>
      </c>
      <c r="H113" s="40">
        <v>0</v>
      </c>
      <c r="I113" s="8">
        <v>0</v>
      </c>
      <c r="J113" s="8">
        <v>0</v>
      </c>
      <c r="K113" s="8">
        <v>4550</v>
      </c>
      <c r="L113" s="40">
        <v>3990</v>
      </c>
      <c r="M113" s="8">
        <v>2670</v>
      </c>
      <c r="N113" s="8">
        <v>1472</v>
      </c>
      <c r="O113" s="8">
        <f t="shared" si="44"/>
        <v>7303</v>
      </c>
      <c r="P113" s="40">
        <v>7102</v>
      </c>
      <c r="Q113" s="8">
        <v>12894</v>
      </c>
      <c r="R113" s="8">
        <v>17975</v>
      </c>
      <c r="S113" s="8"/>
      <c r="T113" s="8"/>
      <c r="U113" s="8"/>
      <c r="V113" s="8"/>
      <c r="W113" s="8"/>
      <c r="X113" s="8"/>
      <c r="Y113" s="8"/>
      <c r="Z113" s="8"/>
      <c r="AA113" s="8"/>
      <c r="AB113" s="8"/>
      <c r="AC113" s="8"/>
      <c r="AD113" s="8"/>
      <c r="AE113" s="8"/>
      <c r="AF113" s="8"/>
      <c r="AG113" s="8">
        <v>0</v>
      </c>
      <c r="AH113" s="8">
        <v>4550</v>
      </c>
      <c r="AI113" s="8">
        <v>7303</v>
      </c>
      <c r="AJ113" s="8"/>
      <c r="AK113" s="8"/>
    </row>
    <row r="114" spans="2:40" s="66" customFormat="1" x14ac:dyDescent="0.35">
      <c r="B114" s="66" t="s">
        <v>444</v>
      </c>
      <c r="F114" s="67"/>
      <c r="G114" s="67"/>
      <c r="H114" s="68"/>
      <c r="I114" s="67"/>
      <c r="J114" s="67">
        <f t="shared" ref="J114:K114" si="45">SUM(J103:J113)</f>
        <v>100361</v>
      </c>
      <c r="K114" s="67">
        <f t="shared" si="45"/>
        <v>206083</v>
      </c>
      <c r="L114" s="68">
        <f>SUM(L103:L113)</f>
        <v>311302</v>
      </c>
      <c r="M114" s="67">
        <f t="shared" ref="M114:Q114" si="46">SUM(M103:M113)</f>
        <v>298336</v>
      </c>
      <c r="N114" s="67">
        <f t="shared" si="46"/>
        <v>301912</v>
      </c>
      <c r="O114" s="67">
        <f t="shared" si="46"/>
        <v>326829</v>
      </c>
      <c r="P114" s="68">
        <f>SUM(P103:P113)</f>
        <v>355652</v>
      </c>
      <c r="Q114" s="67">
        <f t="shared" si="46"/>
        <v>421291</v>
      </c>
      <c r="R114" s="67">
        <f t="shared" ref="R114:U114" si="47">SUM(R103:R113)</f>
        <v>444253</v>
      </c>
      <c r="S114" s="67">
        <f t="shared" si="47"/>
        <v>0</v>
      </c>
      <c r="T114" s="67">
        <f t="shared" si="47"/>
        <v>0</v>
      </c>
      <c r="U114" s="67">
        <f t="shared" si="47"/>
        <v>0</v>
      </c>
      <c r="V114" s="67"/>
      <c r="W114" s="67"/>
      <c r="X114" s="67"/>
      <c r="Y114" s="67"/>
      <c r="Z114" s="67"/>
      <c r="AA114" s="67"/>
      <c r="AB114" s="67"/>
      <c r="AC114" s="67"/>
      <c r="AD114" s="67"/>
      <c r="AE114" s="67"/>
      <c r="AF114" s="67"/>
      <c r="AG114" s="67">
        <f>SUM(AG103:AG113)</f>
        <v>94755</v>
      </c>
      <c r="AH114" s="67">
        <f t="shared" ref="AH114:AN114" si="48">SUM(AH103:AH113)</f>
        <v>206083</v>
      </c>
      <c r="AI114" s="67">
        <f t="shared" si="48"/>
        <v>326829</v>
      </c>
      <c r="AJ114" s="67">
        <f t="shared" si="48"/>
        <v>0</v>
      </c>
      <c r="AK114" s="67">
        <f t="shared" si="48"/>
        <v>0</v>
      </c>
      <c r="AL114" s="67">
        <f t="shared" si="48"/>
        <v>0</v>
      </c>
      <c r="AM114" s="67">
        <f t="shared" si="48"/>
        <v>0</v>
      </c>
      <c r="AN114" s="67">
        <f t="shared" si="48"/>
        <v>0</v>
      </c>
    </row>
    <row r="115" spans="2:40" s="14" customFormat="1" x14ac:dyDescent="0.35">
      <c r="B115" s="14" t="s">
        <v>368</v>
      </c>
      <c r="F115" s="26">
        <f t="shared" ref="F115:AC115" si="49">SUM(F101:F113)</f>
        <v>1652520</v>
      </c>
      <c r="G115" s="26">
        <f t="shared" si="49"/>
        <v>1553877.3959999999</v>
      </c>
      <c r="H115" s="42">
        <f t="shared" si="49"/>
        <v>3977712.656</v>
      </c>
      <c r="I115" s="26">
        <f t="shared" si="49"/>
        <v>320343990</v>
      </c>
      <c r="J115" s="26">
        <f t="shared" ref="J115:K115" si="50">J114+J101</f>
        <v>955377</v>
      </c>
      <c r="K115" s="26">
        <f t="shared" si="50"/>
        <v>980847</v>
      </c>
      <c r="L115" s="42">
        <f>L114+L101</f>
        <v>1057484</v>
      </c>
      <c r="M115" s="26">
        <f t="shared" ref="M115:Q115" si="51">M114+M101</f>
        <v>1004752</v>
      </c>
      <c r="N115" s="26">
        <f t="shared" si="51"/>
        <v>1001362</v>
      </c>
      <c r="O115" s="26">
        <f t="shared" si="51"/>
        <v>989123</v>
      </c>
      <c r="P115" s="42">
        <f>P114+P101</f>
        <v>990908</v>
      </c>
      <c r="Q115" s="26">
        <f t="shared" si="51"/>
        <v>981496</v>
      </c>
      <c r="R115" s="26">
        <f t="shared" ref="R115:U115" si="52">R114+R101</f>
        <v>950493</v>
      </c>
      <c r="S115" s="26">
        <f t="shared" si="52"/>
        <v>0</v>
      </c>
      <c r="T115" s="26">
        <f t="shared" si="52"/>
        <v>0</v>
      </c>
      <c r="U115" s="26">
        <f t="shared" si="52"/>
        <v>0</v>
      </c>
      <c r="V115" s="26"/>
      <c r="W115" s="26"/>
      <c r="X115" s="26"/>
      <c r="Y115" s="26"/>
      <c r="Z115" s="26">
        <f t="shared" si="49"/>
        <v>0</v>
      </c>
      <c r="AA115" s="26">
        <f t="shared" si="49"/>
        <v>0</v>
      </c>
      <c r="AB115" s="26">
        <f t="shared" si="49"/>
        <v>0</v>
      </c>
      <c r="AC115" s="26">
        <f t="shared" si="49"/>
        <v>0</v>
      </c>
      <c r="AD115" s="26"/>
      <c r="AE115" s="26"/>
      <c r="AF115" s="26"/>
      <c r="AG115" s="26">
        <f>AG114+AG101</f>
        <v>187869</v>
      </c>
      <c r="AH115" s="26">
        <f t="shared" ref="AH115:AN115" si="53">AH114+AH101</f>
        <v>980847</v>
      </c>
      <c r="AI115" s="26">
        <f t="shared" si="53"/>
        <v>989123</v>
      </c>
      <c r="AJ115" s="26">
        <f t="shared" si="53"/>
        <v>0</v>
      </c>
      <c r="AK115" s="26">
        <f t="shared" si="53"/>
        <v>0</v>
      </c>
      <c r="AL115" s="26">
        <f t="shared" si="53"/>
        <v>0</v>
      </c>
      <c r="AM115" s="26">
        <f t="shared" si="53"/>
        <v>0</v>
      </c>
      <c r="AN115" s="26">
        <f t="shared" si="53"/>
        <v>0</v>
      </c>
    </row>
    <row r="116" spans="2:40" s="28" customFormat="1" x14ac:dyDescent="0.35">
      <c r="B116" s="30" t="s">
        <v>157</v>
      </c>
      <c r="C116" s="30"/>
      <c r="D116" s="30"/>
      <c r="E116" s="30"/>
      <c r="F116" s="29"/>
      <c r="G116" s="29"/>
      <c r="H116" s="52"/>
      <c r="I116" s="29"/>
      <c r="J116" s="29"/>
      <c r="K116" s="29"/>
      <c r="L116" s="52"/>
      <c r="M116" s="29"/>
      <c r="N116" s="29"/>
      <c r="O116" s="29"/>
      <c r="P116" s="52"/>
      <c r="Q116" s="29"/>
      <c r="R116" s="29"/>
      <c r="S116" s="29"/>
      <c r="T116" s="29"/>
      <c r="U116" s="29"/>
      <c r="V116" s="29"/>
      <c r="W116" s="29"/>
      <c r="X116" s="29"/>
      <c r="Y116" s="29"/>
      <c r="Z116" s="29"/>
      <c r="AA116" s="29"/>
      <c r="AB116" s="29"/>
      <c r="AC116" s="29"/>
      <c r="AD116" s="29"/>
      <c r="AE116" s="29"/>
      <c r="AF116" s="29"/>
      <c r="AG116" s="29"/>
      <c r="AH116" s="29"/>
      <c r="AI116" s="29"/>
      <c r="AJ116" s="29"/>
      <c r="AK116" s="29"/>
    </row>
    <row r="117" spans="2:40" x14ac:dyDescent="0.35">
      <c r="B117" t="s">
        <v>176</v>
      </c>
      <c r="F117" s="7">
        <v>0</v>
      </c>
      <c r="G117" s="7">
        <v>0</v>
      </c>
      <c r="H117" s="39">
        <v>0</v>
      </c>
      <c r="I117" s="7">
        <v>0</v>
      </c>
      <c r="J117" s="7">
        <v>2205</v>
      </c>
      <c r="K117" s="7">
        <v>3489</v>
      </c>
      <c r="L117" s="39">
        <v>15106</v>
      </c>
      <c r="M117" s="7">
        <v>14156</v>
      </c>
      <c r="N117" s="7">
        <v>13266</v>
      </c>
      <c r="O117" s="7">
        <f t="shared" ref="O117:O122" si="54">AI117</f>
        <v>12084</v>
      </c>
      <c r="P117" s="39">
        <v>22852</v>
      </c>
      <c r="Q117" s="7">
        <v>25867</v>
      </c>
      <c r="R117" s="7">
        <v>24980</v>
      </c>
      <c r="S117" s="7"/>
      <c r="T117" s="7"/>
      <c r="U117" s="7"/>
      <c r="V117" s="7"/>
      <c r="W117" s="7"/>
      <c r="X117" s="7"/>
      <c r="Y117" s="7"/>
      <c r="Z117" s="7"/>
      <c r="AA117" s="7"/>
      <c r="AB117" s="7"/>
      <c r="AC117" s="7"/>
      <c r="AD117" s="7"/>
      <c r="AE117" s="7"/>
      <c r="AF117" s="7"/>
      <c r="AG117" s="7">
        <v>3368</v>
      </c>
      <c r="AH117" s="7">
        <v>3489</v>
      </c>
      <c r="AI117" s="7">
        <v>12084</v>
      </c>
      <c r="AJ117" s="7"/>
      <c r="AK117" s="7"/>
    </row>
    <row r="118" spans="2:40" x14ac:dyDescent="0.35">
      <c r="B118" t="s">
        <v>177</v>
      </c>
      <c r="F118" s="7">
        <v>600</v>
      </c>
      <c r="G118" s="7">
        <v>217395</v>
      </c>
      <c r="H118" s="39">
        <v>1692954</v>
      </c>
      <c r="I118" s="7">
        <v>2390.0120000000002</v>
      </c>
      <c r="J118" s="7">
        <v>7219</v>
      </c>
      <c r="K118" s="7">
        <v>10977</v>
      </c>
      <c r="L118" s="39">
        <v>17051</v>
      </c>
      <c r="M118" s="7">
        <v>11468</v>
      </c>
      <c r="N118" s="7">
        <v>9586</v>
      </c>
      <c r="O118" s="7">
        <f t="shared" si="54"/>
        <v>8723</v>
      </c>
      <c r="P118" s="39">
        <v>8678</v>
      </c>
      <c r="Q118" s="7">
        <v>6492</v>
      </c>
      <c r="R118" s="7">
        <v>5998</v>
      </c>
      <c r="S118" s="7"/>
      <c r="T118" s="7"/>
      <c r="U118" s="7"/>
      <c r="V118" s="7"/>
      <c r="W118" s="7"/>
      <c r="X118" s="7"/>
      <c r="Y118" s="7"/>
      <c r="Z118" s="7"/>
      <c r="AA118" s="7"/>
      <c r="AB118" s="7"/>
      <c r="AC118" s="7"/>
      <c r="AD118" s="7"/>
      <c r="AE118" s="7"/>
      <c r="AF118" s="7"/>
      <c r="AG118" s="7">
        <v>6571</v>
      </c>
      <c r="AH118" s="7">
        <v>10977</v>
      </c>
      <c r="AI118" s="7">
        <v>8723</v>
      </c>
      <c r="AJ118" s="7"/>
      <c r="AK118" s="7"/>
    </row>
    <row r="119" spans="2:40" x14ac:dyDescent="0.35">
      <c r="B119" t="s">
        <v>178</v>
      </c>
      <c r="F119" s="7">
        <v>0</v>
      </c>
      <c r="G119" s="7">
        <v>0</v>
      </c>
      <c r="H119" s="39">
        <v>0</v>
      </c>
      <c r="I119" s="7">
        <v>0</v>
      </c>
      <c r="J119" s="7">
        <v>5652</v>
      </c>
      <c r="K119" s="7">
        <v>8266</v>
      </c>
      <c r="L119" s="39">
        <v>22958</v>
      </c>
      <c r="M119" s="7">
        <v>13632</v>
      </c>
      <c r="N119" s="7">
        <v>8560</v>
      </c>
      <c r="O119" s="7">
        <f t="shared" si="54"/>
        <v>8634</v>
      </c>
      <c r="P119" s="39">
        <v>12333</v>
      </c>
      <c r="Q119" s="7">
        <v>14138</v>
      </c>
      <c r="R119" s="7">
        <v>14979</v>
      </c>
      <c r="S119" s="7"/>
      <c r="T119" s="7"/>
      <c r="U119" s="7"/>
      <c r="V119" s="7"/>
      <c r="W119" s="7"/>
      <c r="X119" s="7"/>
      <c r="Y119" s="7"/>
      <c r="Z119" s="7"/>
      <c r="AA119" s="7"/>
      <c r="AB119" s="7"/>
      <c r="AC119" s="7"/>
      <c r="AD119" s="7"/>
      <c r="AE119" s="7"/>
      <c r="AF119" s="7"/>
      <c r="AG119" s="7">
        <v>4582</v>
      </c>
      <c r="AH119" s="7">
        <v>8266</v>
      </c>
      <c r="AI119" s="7">
        <v>8634</v>
      </c>
      <c r="AJ119" s="7"/>
      <c r="AK119" s="7"/>
    </row>
    <row r="120" spans="2:40" x14ac:dyDescent="0.35">
      <c r="B120" t="s">
        <v>179</v>
      </c>
      <c r="F120" s="7">
        <v>0</v>
      </c>
      <c r="G120" s="7">
        <v>0</v>
      </c>
      <c r="H120" s="39">
        <v>0</v>
      </c>
      <c r="I120" s="7">
        <v>0</v>
      </c>
      <c r="J120" s="7">
        <v>51163</v>
      </c>
      <c r="K120" s="7">
        <v>59749</v>
      </c>
      <c r="L120" s="39">
        <v>97116</v>
      </c>
      <c r="M120" s="7">
        <v>90659</v>
      </c>
      <c r="N120" s="7">
        <v>112649</v>
      </c>
      <c r="O120" s="7">
        <f t="shared" si="54"/>
        <v>108344</v>
      </c>
      <c r="P120" s="39">
        <v>125635</v>
      </c>
      <c r="Q120" s="7">
        <v>134574</v>
      </c>
      <c r="R120" s="7">
        <v>133793</v>
      </c>
      <c r="S120" s="7"/>
      <c r="T120" s="7"/>
      <c r="U120" s="7"/>
      <c r="V120" s="7"/>
      <c r="W120" s="7"/>
      <c r="X120" s="7"/>
      <c r="Y120" s="7"/>
      <c r="Z120" s="7"/>
      <c r="AA120" s="7"/>
      <c r="AB120" s="7"/>
      <c r="AC120" s="7"/>
      <c r="AD120" s="7"/>
      <c r="AE120" s="7"/>
      <c r="AF120" s="7"/>
      <c r="AG120" s="7">
        <v>26132</v>
      </c>
      <c r="AH120" s="7">
        <v>59749</v>
      </c>
      <c r="AI120" s="7">
        <v>108344</v>
      </c>
      <c r="AJ120" s="7"/>
      <c r="AK120" s="7"/>
    </row>
    <row r="121" spans="2:40" x14ac:dyDescent="0.35">
      <c r="B121" t="s">
        <v>180</v>
      </c>
      <c r="F121" s="7">
        <v>0</v>
      </c>
      <c r="G121" s="7">
        <v>0</v>
      </c>
      <c r="H121" s="39">
        <v>0</v>
      </c>
      <c r="I121" s="7">
        <v>0</v>
      </c>
      <c r="J121" s="7">
        <v>2807</v>
      </c>
      <c r="K121" s="7">
        <v>2827</v>
      </c>
      <c r="L121" s="39">
        <v>2846</v>
      </c>
      <c r="M121" s="7">
        <v>2866</v>
      </c>
      <c r="N121" s="7">
        <v>2886</v>
      </c>
      <c r="O121" s="7">
        <f t="shared" si="54"/>
        <v>2906</v>
      </c>
      <c r="P121" s="39">
        <v>2934</v>
      </c>
      <c r="Q121" s="7">
        <v>104381</v>
      </c>
      <c r="R121" s="7">
        <v>105116</v>
      </c>
      <c r="S121" s="7"/>
      <c r="T121" s="7"/>
      <c r="U121" s="7"/>
      <c r="V121" s="7"/>
      <c r="W121" s="7"/>
      <c r="X121" s="7"/>
      <c r="Y121" s="7"/>
      <c r="Z121" s="7"/>
      <c r="AA121" s="7"/>
      <c r="AB121" s="7"/>
      <c r="AC121" s="7"/>
      <c r="AD121" s="7"/>
      <c r="AE121" s="7"/>
      <c r="AF121" s="7"/>
      <c r="AG121" s="7">
        <v>0</v>
      </c>
      <c r="AH121" s="7">
        <v>2827</v>
      </c>
      <c r="AI121" s="7">
        <v>2906</v>
      </c>
      <c r="AJ121" s="7"/>
      <c r="AK121" s="7"/>
    </row>
    <row r="122" spans="2:40" s="4" customFormat="1" x14ac:dyDescent="0.35">
      <c r="B122" s="4" t="s">
        <v>181</v>
      </c>
      <c r="F122" s="8">
        <v>0</v>
      </c>
      <c r="G122" s="8">
        <v>0</v>
      </c>
      <c r="H122" s="40">
        <v>0</v>
      </c>
      <c r="I122" s="8">
        <v>0</v>
      </c>
      <c r="J122" s="8">
        <v>7698</v>
      </c>
      <c r="K122" s="8">
        <v>10999</v>
      </c>
      <c r="L122" s="40">
        <v>18307</v>
      </c>
      <c r="M122" s="8">
        <v>11320</v>
      </c>
      <c r="N122" s="8">
        <v>14393</v>
      </c>
      <c r="O122" s="8">
        <f t="shared" si="54"/>
        <v>22249</v>
      </c>
      <c r="P122" s="40">
        <v>24863</v>
      </c>
      <c r="Q122" s="8">
        <v>20489</v>
      </c>
      <c r="R122" s="8">
        <v>18885</v>
      </c>
      <c r="S122" s="8"/>
      <c r="T122" s="8"/>
      <c r="U122" s="8"/>
      <c r="V122" s="8"/>
      <c r="W122" s="8"/>
      <c r="X122" s="8"/>
      <c r="Y122" s="8"/>
      <c r="Z122" s="8"/>
      <c r="AA122" s="8"/>
      <c r="AB122" s="8"/>
      <c r="AC122" s="8"/>
      <c r="AD122" s="8"/>
      <c r="AE122" s="8"/>
      <c r="AF122" s="8"/>
      <c r="AG122" s="8">
        <v>7766</v>
      </c>
      <c r="AH122" s="8">
        <v>10999</v>
      </c>
      <c r="AI122" s="8">
        <v>22249</v>
      </c>
      <c r="AJ122" s="8"/>
      <c r="AK122" s="8"/>
    </row>
    <row r="123" spans="2:40" s="14" customFormat="1" x14ac:dyDescent="0.35">
      <c r="B123" s="14" t="s">
        <v>182</v>
      </c>
      <c r="F123" s="26">
        <f t="shared" ref="F123:U123" si="55">SUM(F117:F122)</f>
        <v>600</v>
      </c>
      <c r="G123" s="26">
        <f t="shared" si="55"/>
        <v>217395</v>
      </c>
      <c r="H123" s="42">
        <f t="shared" si="55"/>
        <v>1692954</v>
      </c>
      <c r="I123" s="26">
        <f t="shared" si="55"/>
        <v>2390.0120000000002</v>
      </c>
      <c r="J123" s="26">
        <f t="shared" si="55"/>
        <v>76744</v>
      </c>
      <c r="K123" s="26">
        <f t="shared" si="55"/>
        <v>96307</v>
      </c>
      <c r="L123" s="42">
        <f t="shared" si="55"/>
        <v>173384</v>
      </c>
      <c r="M123" s="26">
        <f t="shared" si="55"/>
        <v>144101</v>
      </c>
      <c r="N123" s="26">
        <f t="shared" si="55"/>
        <v>161340</v>
      </c>
      <c r="O123" s="26">
        <f t="shared" si="55"/>
        <v>162940</v>
      </c>
      <c r="P123" s="70">
        <f t="shared" si="55"/>
        <v>197295</v>
      </c>
      <c r="Q123" s="26">
        <f t="shared" si="55"/>
        <v>305941</v>
      </c>
      <c r="R123" s="26">
        <f t="shared" si="55"/>
        <v>303751</v>
      </c>
      <c r="S123" s="26">
        <f t="shared" si="55"/>
        <v>0</v>
      </c>
      <c r="T123" s="26">
        <f t="shared" si="55"/>
        <v>0</v>
      </c>
      <c r="U123" s="26">
        <f t="shared" si="55"/>
        <v>0</v>
      </c>
      <c r="V123" s="26"/>
      <c r="W123" s="26"/>
      <c r="X123" s="26"/>
      <c r="Y123" s="26"/>
      <c r="Z123" s="26"/>
      <c r="AA123" s="26"/>
      <c r="AB123" s="26"/>
      <c r="AC123" s="26"/>
      <c r="AD123" s="26"/>
      <c r="AE123" s="26"/>
      <c r="AF123" s="26"/>
      <c r="AG123" s="26">
        <f>SUM(AG117:AG122)</f>
        <v>48419</v>
      </c>
      <c r="AH123" s="26">
        <f>SUM(AH117:AH122)</f>
        <v>96307</v>
      </c>
      <c r="AI123" s="26">
        <f>SUM(AI117:AI122)</f>
        <v>162940</v>
      </c>
      <c r="AJ123" s="26">
        <f t="shared" ref="AJ123:AN123" si="56">SUM(AJ117:AJ122)</f>
        <v>0</v>
      </c>
      <c r="AK123" s="26">
        <f t="shared" si="56"/>
        <v>0</v>
      </c>
      <c r="AL123" s="26">
        <f t="shared" si="56"/>
        <v>0</v>
      </c>
      <c r="AM123" s="26">
        <f t="shared" si="56"/>
        <v>0</v>
      </c>
      <c r="AN123" s="26">
        <f t="shared" si="56"/>
        <v>0</v>
      </c>
    </row>
    <row r="124" spans="2:40" s="30" customFormat="1" x14ac:dyDescent="0.35">
      <c r="B124" s="30" t="s">
        <v>165</v>
      </c>
      <c r="F124" s="31"/>
      <c r="G124" s="31"/>
      <c r="H124" s="50"/>
      <c r="I124" s="31"/>
      <c r="J124" s="31"/>
      <c r="K124" s="31"/>
      <c r="L124" s="50"/>
      <c r="M124" s="31"/>
      <c r="N124" s="31"/>
      <c r="O124" s="31"/>
      <c r="P124" s="50"/>
      <c r="Q124" s="31"/>
      <c r="R124" s="31"/>
      <c r="S124" s="31"/>
      <c r="T124" s="31"/>
      <c r="U124" s="31"/>
      <c r="V124" s="31"/>
      <c r="W124" s="31"/>
      <c r="X124" s="31"/>
      <c r="Y124" s="31"/>
      <c r="Z124" s="31"/>
      <c r="AA124" s="31"/>
      <c r="AB124" s="31"/>
      <c r="AC124" s="31"/>
      <c r="AD124" s="31"/>
      <c r="AE124" s="31"/>
      <c r="AF124" s="31"/>
      <c r="AG124" s="31"/>
      <c r="AH124" s="31"/>
      <c r="AI124" s="31"/>
      <c r="AJ124" s="31"/>
      <c r="AK124" s="31"/>
    </row>
    <row r="125" spans="2:40" x14ac:dyDescent="0.35">
      <c r="B125" t="s">
        <v>183</v>
      </c>
      <c r="F125" s="7">
        <v>0</v>
      </c>
      <c r="G125" s="7">
        <v>24562667</v>
      </c>
      <c r="H125" s="39">
        <v>46197334</v>
      </c>
      <c r="I125" s="7">
        <v>46116001</v>
      </c>
      <c r="J125" s="7">
        <v>0</v>
      </c>
      <c r="K125" s="7">
        <v>0</v>
      </c>
      <c r="L125" s="39">
        <v>0</v>
      </c>
      <c r="M125" s="7">
        <v>0</v>
      </c>
      <c r="N125" s="7">
        <v>0</v>
      </c>
      <c r="O125" s="7">
        <v>0</v>
      </c>
      <c r="P125" s="39">
        <v>0</v>
      </c>
      <c r="Q125" s="7">
        <v>0</v>
      </c>
      <c r="R125" s="7">
        <v>0</v>
      </c>
      <c r="S125" s="7"/>
      <c r="T125" s="7"/>
      <c r="U125" s="7"/>
      <c r="V125" s="7"/>
      <c r="W125" s="7"/>
      <c r="X125" s="7"/>
      <c r="Y125" s="7"/>
      <c r="Z125" s="7"/>
      <c r="AA125" s="7"/>
      <c r="AB125" s="7"/>
      <c r="AC125" s="7"/>
      <c r="AD125" s="7"/>
      <c r="AE125" s="7"/>
      <c r="AF125" s="7"/>
      <c r="AG125" s="7"/>
      <c r="AH125" s="7"/>
      <c r="AI125" s="7">
        <v>0</v>
      </c>
      <c r="AJ125" s="7"/>
      <c r="AK125" s="7"/>
    </row>
    <row r="126" spans="2:40" x14ac:dyDescent="0.35">
      <c r="B126" t="s">
        <v>184</v>
      </c>
      <c r="F126" s="7">
        <v>0</v>
      </c>
      <c r="G126" s="7">
        <v>0</v>
      </c>
      <c r="H126" s="39">
        <v>0</v>
      </c>
      <c r="I126" s="7">
        <v>0</v>
      </c>
      <c r="J126" s="7">
        <v>96616</v>
      </c>
      <c r="K126" s="7">
        <v>97297</v>
      </c>
      <c r="L126" s="39">
        <v>97967</v>
      </c>
      <c r="M126" s="7">
        <v>98649</v>
      </c>
      <c r="N126" s="7">
        <v>99344</v>
      </c>
      <c r="O126" s="7">
        <f>AI126</f>
        <v>100043</v>
      </c>
      <c r="P126" s="39">
        <v>100724</v>
      </c>
      <c r="Q126" s="7">
        <v>0</v>
      </c>
      <c r="R126" s="7">
        <v>0</v>
      </c>
      <c r="S126" s="7"/>
      <c r="T126" s="7"/>
      <c r="U126" s="7"/>
      <c r="V126" s="7"/>
      <c r="W126" s="7"/>
      <c r="X126" s="7"/>
      <c r="Y126" s="7"/>
      <c r="Z126" s="7"/>
      <c r="AA126" s="7"/>
      <c r="AB126" s="7"/>
      <c r="AC126" s="7"/>
      <c r="AD126" s="7"/>
      <c r="AE126" s="7"/>
      <c r="AF126" s="7"/>
      <c r="AG126" s="7">
        <v>0</v>
      </c>
      <c r="AH126" s="7">
        <v>97297</v>
      </c>
      <c r="AI126" s="7">
        <v>100043</v>
      </c>
      <c r="AJ126" s="7"/>
      <c r="AK126" s="7"/>
    </row>
    <row r="127" spans="2:40" x14ac:dyDescent="0.35">
      <c r="B127" t="s">
        <v>185</v>
      </c>
      <c r="F127" s="7">
        <v>0</v>
      </c>
      <c r="G127" s="7">
        <v>0</v>
      </c>
      <c r="H127" s="39">
        <v>0</v>
      </c>
      <c r="I127" s="7">
        <v>0</v>
      </c>
      <c r="J127" s="7">
        <v>25915</v>
      </c>
      <c r="K127" s="7">
        <v>28302</v>
      </c>
      <c r="L127" s="39">
        <v>32303</v>
      </c>
      <c r="M127" s="7">
        <v>30370</v>
      </c>
      <c r="N127" s="7">
        <v>31588</v>
      </c>
      <c r="O127" s="7">
        <f>AI127</f>
        <v>34266</v>
      </c>
      <c r="P127" s="39">
        <v>33870</v>
      </c>
      <c r="Q127" s="7">
        <v>43169</v>
      </c>
      <c r="R127" s="7">
        <v>41695</v>
      </c>
      <c r="S127" s="7"/>
      <c r="T127" s="7"/>
      <c r="U127" s="7"/>
      <c r="V127" s="7"/>
      <c r="W127" s="7"/>
      <c r="X127" s="7"/>
      <c r="Y127" s="7"/>
      <c r="Z127" s="7"/>
      <c r="AA127" s="7"/>
      <c r="AB127" s="7"/>
      <c r="AC127" s="7"/>
      <c r="AD127" s="7"/>
      <c r="AE127" s="7"/>
      <c r="AF127" s="7"/>
      <c r="AG127" s="7">
        <v>27299</v>
      </c>
      <c r="AH127" s="7">
        <v>28302</v>
      </c>
      <c r="AI127" s="7">
        <v>34266</v>
      </c>
      <c r="AJ127" s="7"/>
      <c r="AK127" s="7"/>
    </row>
    <row r="128" spans="2:40" x14ac:dyDescent="0.35">
      <c r="B128" t="s">
        <v>186</v>
      </c>
      <c r="F128" s="7">
        <v>0</v>
      </c>
      <c r="G128" s="7">
        <v>0</v>
      </c>
      <c r="H128" s="39">
        <v>0</v>
      </c>
      <c r="I128" s="7">
        <v>0</v>
      </c>
      <c r="J128" s="7">
        <v>0</v>
      </c>
      <c r="K128" s="7"/>
      <c r="L128" s="39">
        <v>15825</v>
      </c>
      <c r="M128" s="7">
        <v>15744</v>
      </c>
      <c r="N128" s="7">
        <v>15656</v>
      </c>
      <c r="O128" s="7">
        <f>AI128</f>
        <v>15568</v>
      </c>
      <c r="P128" s="39">
        <v>15478</v>
      </c>
      <c r="Q128" s="7">
        <v>15385</v>
      </c>
      <c r="R128" s="7">
        <v>15299</v>
      </c>
      <c r="S128" s="7"/>
      <c r="T128" s="7"/>
      <c r="U128" s="7"/>
      <c r="V128" s="7"/>
      <c r="W128" s="7"/>
      <c r="X128" s="7"/>
      <c r="Y128" s="7"/>
      <c r="Z128" s="7"/>
      <c r="AA128" s="7"/>
      <c r="AB128" s="7"/>
      <c r="AC128" s="7"/>
      <c r="AD128" s="7"/>
      <c r="AE128" s="7"/>
      <c r="AF128" s="7"/>
      <c r="AG128" s="7"/>
      <c r="AH128" s="7"/>
      <c r="AI128" s="7">
        <v>15568</v>
      </c>
      <c r="AJ128" s="7"/>
      <c r="AK128" s="7"/>
    </row>
    <row r="129" spans="2:40" x14ac:dyDescent="0.35">
      <c r="B129" t="s">
        <v>187</v>
      </c>
      <c r="F129" s="7">
        <v>0</v>
      </c>
      <c r="G129" s="7">
        <v>0</v>
      </c>
      <c r="H129" s="39">
        <v>0</v>
      </c>
      <c r="I129" s="7">
        <v>0</v>
      </c>
      <c r="J129" s="7">
        <v>0</v>
      </c>
      <c r="K129" s="7">
        <v>466</v>
      </c>
      <c r="L129" s="39">
        <v>509</v>
      </c>
      <c r="M129" s="7">
        <v>17</v>
      </c>
      <c r="N129" s="7">
        <v>22</v>
      </c>
      <c r="O129" s="7">
        <f>AI129</f>
        <v>95</v>
      </c>
      <c r="P129" s="39">
        <v>170</v>
      </c>
      <c r="Q129" s="7">
        <v>237</v>
      </c>
      <c r="R129" s="7">
        <v>308</v>
      </c>
      <c r="S129" s="7"/>
      <c r="T129" s="7"/>
      <c r="U129" s="7"/>
      <c r="V129" s="7"/>
      <c r="W129" s="7"/>
      <c r="X129" s="7"/>
      <c r="Y129" s="7"/>
      <c r="Z129" s="7"/>
      <c r="AA129" s="7"/>
      <c r="AB129" s="7"/>
      <c r="AC129" s="7"/>
      <c r="AD129" s="7"/>
      <c r="AE129" s="7"/>
      <c r="AF129" s="7"/>
      <c r="AG129" s="7">
        <v>0</v>
      </c>
      <c r="AH129" s="7">
        <v>466</v>
      </c>
      <c r="AI129" s="7">
        <v>95</v>
      </c>
      <c r="AJ129" s="7"/>
      <c r="AK129" s="7"/>
    </row>
    <row r="130" spans="2:40" x14ac:dyDescent="0.35">
      <c r="B130" t="s">
        <v>188</v>
      </c>
      <c r="F130" s="7">
        <v>10500000</v>
      </c>
      <c r="G130" s="7">
        <v>11200000</v>
      </c>
      <c r="H130" s="39">
        <v>11200000</v>
      </c>
      <c r="I130" s="7">
        <v>11200000</v>
      </c>
      <c r="J130" s="7">
        <v>0</v>
      </c>
      <c r="K130" s="7">
        <v>0</v>
      </c>
      <c r="L130" s="39">
        <v>0</v>
      </c>
      <c r="M130" s="7">
        <v>0</v>
      </c>
      <c r="N130" s="7">
        <v>0</v>
      </c>
      <c r="O130" s="7">
        <v>0</v>
      </c>
      <c r="P130" s="39">
        <v>0</v>
      </c>
      <c r="Q130" s="7">
        <v>0</v>
      </c>
      <c r="R130" s="7">
        <v>0</v>
      </c>
      <c r="S130" s="7"/>
      <c r="T130" s="7"/>
      <c r="U130" s="7"/>
      <c r="V130" s="7"/>
      <c r="W130" s="7"/>
      <c r="X130" s="7"/>
      <c r="Y130" s="7"/>
      <c r="Z130" s="7"/>
      <c r="AA130" s="7"/>
      <c r="AB130" s="7"/>
      <c r="AC130" s="7"/>
      <c r="AD130" s="7"/>
      <c r="AE130" s="7"/>
      <c r="AF130" s="7"/>
      <c r="AG130" s="7"/>
      <c r="AH130" s="7"/>
      <c r="AI130" s="7">
        <v>0</v>
      </c>
      <c r="AJ130" s="7"/>
      <c r="AK130" s="7"/>
    </row>
    <row r="131" spans="2:40" x14ac:dyDescent="0.35">
      <c r="B131" t="s">
        <v>189</v>
      </c>
      <c r="F131" s="7">
        <v>0</v>
      </c>
      <c r="G131" s="7">
        <v>0</v>
      </c>
      <c r="H131" s="39">
        <v>0</v>
      </c>
      <c r="I131" s="7">
        <v>0</v>
      </c>
      <c r="J131" s="7">
        <v>81984</v>
      </c>
      <c r="K131" s="7">
        <v>58227</v>
      </c>
      <c r="L131" s="39">
        <v>0</v>
      </c>
      <c r="M131" s="7">
        <v>0</v>
      </c>
      <c r="N131" s="7">
        <v>0</v>
      </c>
      <c r="O131" s="7">
        <f>AI131</f>
        <v>0</v>
      </c>
      <c r="P131" s="39">
        <v>0</v>
      </c>
      <c r="Q131" s="7">
        <v>0</v>
      </c>
      <c r="R131" s="7">
        <v>0</v>
      </c>
      <c r="S131" s="7"/>
      <c r="T131" s="7"/>
      <c r="U131" s="7"/>
      <c r="V131" s="7"/>
      <c r="W131" s="7"/>
      <c r="X131" s="7"/>
      <c r="Y131" s="7"/>
      <c r="Z131" s="7"/>
      <c r="AA131" s="7"/>
      <c r="AB131" s="7"/>
      <c r="AC131" s="7"/>
      <c r="AD131" s="7"/>
      <c r="AE131" s="7"/>
      <c r="AF131" s="7"/>
      <c r="AG131" s="7">
        <v>0</v>
      </c>
      <c r="AH131" s="7">
        <v>58227</v>
      </c>
      <c r="AI131" s="7">
        <v>0</v>
      </c>
      <c r="AJ131" s="7"/>
      <c r="AK131" s="7"/>
    </row>
    <row r="132" spans="2:40" s="4" customFormat="1" x14ac:dyDescent="0.35">
      <c r="B132" s="4" t="s">
        <v>190</v>
      </c>
      <c r="F132" s="8">
        <v>0</v>
      </c>
      <c r="G132" s="8">
        <v>0</v>
      </c>
      <c r="H132" s="40">
        <v>0</v>
      </c>
      <c r="I132" s="8">
        <v>0</v>
      </c>
      <c r="J132" s="8">
        <v>0</v>
      </c>
      <c r="K132" s="8">
        <v>1800</v>
      </c>
      <c r="L132" s="40">
        <v>4901</v>
      </c>
      <c r="M132" s="8">
        <v>2417</v>
      </c>
      <c r="N132" s="8">
        <v>2576</v>
      </c>
      <c r="O132" s="7">
        <f>AI132</f>
        <v>3005</v>
      </c>
      <c r="P132" s="40">
        <v>3353</v>
      </c>
      <c r="Q132" s="8">
        <v>5716</v>
      </c>
      <c r="R132" s="8">
        <v>3638</v>
      </c>
      <c r="S132" s="8"/>
      <c r="T132" s="8"/>
      <c r="U132" s="8"/>
      <c r="V132" s="8"/>
      <c r="W132" s="8"/>
      <c r="X132" s="8"/>
      <c r="Y132" s="8"/>
      <c r="Z132" s="8"/>
      <c r="AA132" s="8"/>
      <c r="AB132" s="8"/>
      <c r="AC132" s="8"/>
      <c r="AD132" s="8"/>
      <c r="AE132" s="8"/>
      <c r="AF132" s="8"/>
      <c r="AG132" s="8">
        <v>3899</v>
      </c>
      <c r="AH132" s="8">
        <v>1800</v>
      </c>
      <c r="AI132" s="8">
        <v>3005</v>
      </c>
      <c r="AJ132" s="8"/>
      <c r="AK132" s="8"/>
    </row>
    <row r="133" spans="2:40" s="34" customFormat="1" x14ac:dyDescent="0.35">
      <c r="B133" s="34" t="s">
        <v>191</v>
      </c>
      <c r="F133" s="35">
        <f t="shared" ref="F133:Q133" si="57">SUM(F125:F132)</f>
        <v>10500000</v>
      </c>
      <c r="G133" s="35">
        <f t="shared" si="57"/>
        <v>35762667</v>
      </c>
      <c r="H133" s="48">
        <f t="shared" si="57"/>
        <v>57397334</v>
      </c>
      <c r="I133" s="35">
        <f t="shared" si="57"/>
        <v>57316001</v>
      </c>
      <c r="J133" s="35">
        <f t="shared" si="57"/>
        <v>204515</v>
      </c>
      <c r="K133" s="35">
        <f t="shared" si="57"/>
        <v>186092</v>
      </c>
      <c r="L133" s="48">
        <f t="shared" si="57"/>
        <v>151505</v>
      </c>
      <c r="M133" s="35">
        <f t="shared" si="57"/>
        <v>147197</v>
      </c>
      <c r="N133" s="35">
        <f t="shared" si="57"/>
        <v>149186</v>
      </c>
      <c r="O133" s="35">
        <f t="shared" si="57"/>
        <v>152977</v>
      </c>
      <c r="P133" s="48">
        <f t="shared" si="57"/>
        <v>153595</v>
      </c>
      <c r="Q133" s="35">
        <f t="shared" si="57"/>
        <v>64507</v>
      </c>
      <c r="R133" s="35">
        <f t="shared" ref="R133:U133" si="58">SUM(R125:R132)</f>
        <v>60940</v>
      </c>
      <c r="S133" s="35">
        <f t="shared" si="58"/>
        <v>0</v>
      </c>
      <c r="T133" s="35">
        <f t="shared" si="58"/>
        <v>0</v>
      </c>
      <c r="U133" s="35">
        <f t="shared" si="58"/>
        <v>0</v>
      </c>
      <c r="V133" s="35"/>
      <c r="W133" s="35"/>
      <c r="X133" s="35"/>
      <c r="Y133" s="35"/>
      <c r="Z133" s="35"/>
      <c r="AA133" s="35"/>
      <c r="AB133" s="35"/>
      <c r="AC133" s="35"/>
      <c r="AD133" s="35"/>
      <c r="AE133" s="35"/>
      <c r="AF133" s="35"/>
      <c r="AG133" s="35">
        <f>SUM(AG125:AG132)</f>
        <v>31198</v>
      </c>
      <c r="AH133" s="35">
        <f>SUM(AH125:AH132)</f>
        <v>186092</v>
      </c>
      <c r="AI133" s="35">
        <f>SUM(AI125:AI132)</f>
        <v>152977</v>
      </c>
      <c r="AJ133" s="35">
        <f t="shared" ref="AJ133:AN133" si="59">SUM(AJ125:AJ132)</f>
        <v>0</v>
      </c>
      <c r="AK133" s="35">
        <f t="shared" si="59"/>
        <v>0</v>
      </c>
      <c r="AL133" s="35">
        <f t="shared" si="59"/>
        <v>0</v>
      </c>
      <c r="AM133" s="35">
        <f t="shared" si="59"/>
        <v>0</v>
      </c>
      <c r="AN133" s="35">
        <f t="shared" si="59"/>
        <v>0</v>
      </c>
    </row>
    <row r="134" spans="2:40" s="14" customFormat="1" x14ac:dyDescent="0.35">
      <c r="B134" s="14" t="s">
        <v>192</v>
      </c>
      <c r="F134" s="26">
        <f t="shared" ref="F134:Q134" si="60">F133+F123</f>
        <v>10500600</v>
      </c>
      <c r="G134" s="26">
        <f t="shared" si="60"/>
        <v>35980062</v>
      </c>
      <c r="H134" s="42">
        <f t="shared" si="60"/>
        <v>59090288</v>
      </c>
      <c r="I134" s="26">
        <f t="shared" si="60"/>
        <v>57318391.012000002</v>
      </c>
      <c r="J134" s="26">
        <f t="shared" si="60"/>
        <v>281259</v>
      </c>
      <c r="K134" s="26">
        <f t="shared" si="60"/>
        <v>282399</v>
      </c>
      <c r="L134" s="42">
        <f t="shared" si="60"/>
        <v>324889</v>
      </c>
      <c r="M134" s="26">
        <f t="shared" si="60"/>
        <v>291298</v>
      </c>
      <c r="N134" s="26">
        <f t="shared" si="60"/>
        <v>310526</v>
      </c>
      <c r="O134" s="26">
        <f t="shared" si="60"/>
        <v>315917</v>
      </c>
      <c r="P134" s="42">
        <f t="shared" si="60"/>
        <v>350890</v>
      </c>
      <c r="Q134" s="26">
        <f t="shared" si="60"/>
        <v>370448</v>
      </c>
      <c r="R134" s="26">
        <f t="shared" ref="R134:U134" si="61">R133+R123</f>
        <v>364691</v>
      </c>
      <c r="S134" s="26">
        <f t="shared" si="61"/>
        <v>0</v>
      </c>
      <c r="T134" s="26">
        <f t="shared" si="61"/>
        <v>0</v>
      </c>
      <c r="U134" s="26">
        <f t="shared" si="61"/>
        <v>0</v>
      </c>
      <c r="V134" s="26"/>
      <c r="W134" s="26"/>
      <c r="X134" s="26"/>
      <c r="Y134" s="26"/>
      <c r="Z134" s="26"/>
      <c r="AA134" s="26"/>
      <c r="AB134" s="26"/>
      <c r="AC134" s="26"/>
      <c r="AD134" s="26"/>
      <c r="AE134" s="26"/>
      <c r="AF134" s="26"/>
      <c r="AG134" s="26">
        <f>AG133+AG123</f>
        <v>79617</v>
      </c>
      <c r="AH134" s="26">
        <f>AH133+AH123</f>
        <v>282399</v>
      </c>
      <c r="AI134" s="26">
        <f>AI133+AI123</f>
        <v>315917</v>
      </c>
      <c r="AJ134" s="26">
        <f t="shared" ref="AJ134:AN134" si="62">AJ133+AJ123</f>
        <v>0</v>
      </c>
      <c r="AK134" s="26">
        <f t="shared" si="62"/>
        <v>0</v>
      </c>
      <c r="AL134" s="26">
        <f t="shared" si="62"/>
        <v>0</v>
      </c>
      <c r="AM134" s="26">
        <f t="shared" si="62"/>
        <v>0</v>
      </c>
      <c r="AN134" s="26">
        <f t="shared" si="62"/>
        <v>0</v>
      </c>
    </row>
    <row r="135" spans="2:40" s="30" customFormat="1" x14ac:dyDescent="0.35">
      <c r="B135" s="30" t="s">
        <v>193</v>
      </c>
      <c r="F135" s="31"/>
      <c r="G135" s="31"/>
      <c r="H135" s="50"/>
      <c r="I135" s="31"/>
      <c r="J135" s="31"/>
      <c r="K135" s="31"/>
      <c r="L135" s="50"/>
      <c r="M135" s="31"/>
      <c r="N135" s="31"/>
      <c r="O135" s="31"/>
      <c r="P135" s="50"/>
      <c r="Q135" s="31"/>
      <c r="R135" s="31"/>
      <c r="S135" s="31"/>
      <c r="T135" s="31"/>
      <c r="U135" s="31"/>
      <c r="V135" s="31"/>
      <c r="W135" s="31"/>
      <c r="X135" s="31"/>
      <c r="Y135" s="31"/>
      <c r="Z135" s="31"/>
      <c r="AA135" s="31"/>
      <c r="AB135" s="31"/>
      <c r="AC135" s="31"/>
      <c r="AD135" s="31"/>
      <c r="AE135" s="31"/>
      <c r="AF135" s="31"/>
      <c r="AG135" s="31"/>
      <c r="AH135" s="31"/>
      <c r="AI135" s="31"/>
      <c r="AJ135" s="31"/>
      <c r="AK135" s="31"/>
    </row>
    <row r="136" spans="2:40" x14ac:dyDescent="0.35">
      <c r="B136" t="s">
        <v>194</v>
      </c>
      <c r="F136" s="7">
        <v>285851910</v>
      </c>
      <c r="G136" s="7">
        <v>280257330</v>
      </c>
      <c r="H136" s="39">
        <v>0</v>
      </c>
      <c r="I136" s="7">
        <v>0</v>
      </c>
      <c r="J136" s="7">
        <v>0</v>
      </c>
      <c r="K136" s="7">
        <v>0</v>
      </c>
      <c r="L136" s="39">
        <v>0</v>
      </c>
      <c r="M136" s="7">
        <v>0</v>
      </c>
      <c r="N136" s="7">
        <v>0</v>
      </c>
      <c r="O136" s="7">
        <f t="shared" ref="O136:O145" si="63">AI136</f>
        <v>0</v>
      </c>
      <c r="P136" s="39">
        <v>0</v>
      </c>
      <c r="Q136" s="7">
        <v>0</v>
      </c>
      <c r="R136" s="7">
        <v>0</v>
      </c>
      <c r="S136" s="7"/>
      <c r="T136" s="7"/>
      <c r="U136" s="7"/>
      <c r="V136" s="7"/>
      <c r="W136" s="7"/>
      <c r="X136" s="7"/>
      <c r="Y136" s="7"/>
      <c r="Z136" s="7"/>
      <c r="AA136" s="7"/>
      <c r="AB136" s="7"/>
      <c r="AC136" s="7"/>
      <c r="AD136" s="7"/>
      <c r="AE136" s="7"/>
      <c r="AF136" s="7"/>
      <c r="AG136" s="7">
        <v>0</v>
      </c>
      <c r="AH136" s="7">
        <v>0</v>
      </c>
      <c r="AI136" s="7">
        <v>0</v>
      </c>
      <c r="AJ136" s="7"/>
      <c r="AK136" s="7"/>
    </row>
    <row r="137" spans="2:40" x14ac:dyDescent="0.35">
      <c r="B137" t="s">
        <v>195</v>
      </c>
      <c r="F137" s="7">
        <v>141</v>
      </c>
      <c r="G137" s="7">
        <v>397</v>
      </c>
      <c r="H137" s="39"/>
      <c r="I137" s="7">
        <v>320000</v>
      </c>
      <c r="J137" s="7" t="s">
        <v>196</v>
      </c>
      <c r="K137" s="7" t="s">
        <v>196</v>
      </c>
      <c r="L137" s="39" t="s">
        <v>196</v>
      </c>
      <c r="M137" s="7" t="s">
        <v>196</v>
      </c>
      <c r="N137" s="7" t="s">
        <v>196</v>
      </c>
      <c r="O137" s="7">
        <f t="shared" si="63"/>
        <v>0</v>
      </c>
      <c r="P137" s="39">
        <v>0</v>
      </c>
      <c r="Q137" s="7">
        <v>0</v>
      </c>
      <c r="R137" s="7">
        <v>0</v>
      </c>
      <c r="S137" s="7"/>
      <c r="T137" s="7"/>
      <c r="U137" s="7"/>
      <c r="V137" s="7"/>
      <c r="W137" s="7"/>
      <c r="X137" s="7"/>
      <c r="Y137" s="7"/>
      <c r="Z137" s="7"/>
      <c r="AA137" s="7"/>
      <c r="AB137" s="7"/>
      <c r="AC137" s="7"/>
      <c r="AD137" s="7"/>
      <c r="AE137" s="7"/>
      <c r="AF137" s="7"/>
      <c r="AG137" s="7">
        <v>5500</v>
      </c>
      <c r="AH137" s="7">
        <v>0</v>
      </c>
      <c r="AI137" s="7">
        <v>0</v>
      </c>
      <c r="AJ137" s="7"/>
      <c r="AK137" s="7"/>
    </row>
    <row r="138" spans="2:40" x14ac:dyDescent="0.35">
      <c r="B138" t="s">
        <v>197</v>
      </c>
      <c r="F138" s="7">
        <v>863</v>
      </c>
      <c r="G138" s="7">
        <v>800</v>
      </c>
      <c r="H138" s="39"/>
      <c r="I138" s="7">
        <v>800</v>
      </c>
      <c r="J138" s="7" t="s">
        <v>196</v>
      </c>
      <c r="K138" s="7" t="s">
        <v>196</v>
      </c>
      <c r="L138" s="39" t="s">
        <v>196</v>
      </c>
      <c r="M138" s="7" t="s">
        <v>196</v>
      </c>
      <c r="N138" s="7" t="s">
        <v>196</v>
      </c>
      <c r="O138" s="7">
        <f t="shared" si="63"/>
        <v>0</v>
      </c>
      <c r="P138" s="39">
        <v>0</v>
      </c>
      <c r="Q138" s="7">
        <v>0</v>
      </c>
      <c r="R138" s="7">
        <v>0</v>
      </c>
      <c r="S138" s="7"/>
      <c r="T138" s="7"/>
      <c r="U138" s="7"/>
      <c r="V138" s="7"/>
      <c r="W138" s="7"/>
      <c r="X138" s="7"/>
      <c r="Y138" s="7"/>
      <c r="Z138" s="7"/>
      <c r="AA138" s="7"/>
      <c r="AB138" s="7"/>
      <c r="AC138" s="7"/>
      <c r="AD138" s="7"/>
      <c r="AE138" s="7"/>
      <c r="AF138" s="7"/>
      <c r="AG138" s="7">
        <v>21503</v>
      </c>
      <c r="AH138" s="7">
        <v>0</v>
      </c>
      <c r="AI138" s="7">
        <v>0</v>
      </c>
      <c r="AJ138" s="7"/>
      <c r="AK138" s="7"/>
    </row>
    <row r="139" spans="2:40" x14ac:dyDescent="0.35">
      <c r="B139" t="s">
        <v>198</v>
      </c>
      <c r="F139" s="7">
        <v>0</v>
      </c>
      <c r="G139" s="7">
        <v>0</v>
      </c>
      <c r="H139" s="39"/>
      <c r="I139" s="7" t="s">
        <v>196</v>
      </c>
      <c r="J139" s="7" t="s">
        <v>196</v>
      </c>
      <c r="K139" s="7" t="s">
        <v>196</v>
      </c>
      <c r="L139" s="39" t="s">
        <v>196</v>
      </c>
      <c r="M139" s="7" t="s">
        <v>196</v>
      </c>
      <c r="N139" s="7" t="s">
        <v>196</v>
      </c>
      <c r="O139" s="7">
        <f t="shared" si="63"/>
        <v>0</v>
      </c>
      <c r="P139" s="39">
        <v>0</v>
      </c>
      <c r="Q139" s="7">
        <v>0</v>
      </c>
      <c r="R139" s="7">
        <v>0</v>
      </c>
      <c r="S139" s="7"/>
      <c r="T139" s="7"/>
      <c r="U139" s="7"/>
      <c r="V139" s="7"/>
      <c r="W139" s="7"/>
      <c r="X139" s="7"/>
      <c r="Y139" s="7"/>
      <c r="Z139" s="7"/>
      <c r="AA139" s="7"/>
      <c r="AB139" s="7"/>
      <c r="AC139" s="7"/>
      <c r="AD139" s="7"/>
      <c r="AE139" s="7"/>
      <c r="AF139" s="7"/>
      <c r="AG139" s="7">
        <v>16471</v>
      </c>
      <c r="AH139" s="7">
        <v>0</v>
      </c>
      <c r="AI139" s="7">
        <v>0</v>
      </c>
      <c r="AJ139" s="7"/>
      <c r="AK139" s="7"/>
    </row>
    <row r="140" spans="2:40" x14ac:dyDescent="0.35">
      <c r="B140" t="s">
        <v>199</v>
      </c>
      <c r="F140" s="7">
        <v>0</v>
      </c>
      <c r="G140" s="7">
        <v>0</v>
      </c>
      <c r="H140" s="39"/>
      <c r="I140" s="7" t="s">
        <v>196</v>
      </c>
      <c r="J140" s="7" t="s">
        <v>196</v>
      </c>
      <c r="K140" s="7" t="s">
        <v>196</v>
      </c>
      <c r="L140" s="39" t="s">
        <v>196</v>
      </c>
      <c r="M140" s="7" t="s">
        <v>196</v>
      </c>
      <c r="N140" s="7" t="s">
        <v>196</v>
      </c>
      <c r="O140" s="7">
        <f t="shared" si="63"/>
        <v>0</v>
      </c>
      <c r="P140" s="39">
        <v>0</v>
      </c>
      <c r="Q140" s="7">
        <v>0</v>
      </c>
      <c r="R140" s="7">
        <v>0</v>
      </c>
      <c r="S140" s="7"/>
      <c r="T140" s="7"/>
      <c r="U140" s="7"/>
      <c r="V140" s="7"/>
      <c r="W140" s="7"/>
      <c r="X140" s="7"/>
      <c r="Y140" s="7"/>
      <c r="Z140" s="7"/>
      <c r="AA140" s="7"/>
      <c r="AB140" s="7"/>
      <c r="AC140" s="7"/>
      <c r="AD140" s="7"/>
      <c r="AE140" s="7"/>
      <c r="AF140" s="7"/>
      <c r="AG140" s="7">
        <v>73364</v>
      </c>
      <c r="AH140" s="7">
        <v>0</v>
      </c>
      <c r="AI140" s="7">
        <v>0</v>
      </c>
      <c r="AJ140" s="7"/>
      <c r="AK140" s="7"/>
    </row>
    <row r="141" spans="2:40" x14ac:dyDescent="0.35">
      <c r="B141" t="s">
        <v>200</v>
      </c>
      <c r="F141" s="7">
        <v>0</v>
      </c>
      <c r="G141" s="7">
        <v>0</v>
      </c>
      <c r="H141" s="39"/>
      <c r="I141" s="7">
        <v>0</v>
      </c>
      <c r="J141" s="7" t="s">
        <v>196</v>
      </c>
      <c r="K141" s="7" t="s">
        <v>196</v>
      </c>
      <c r="L141" s="39" t="s">
        <v>196</v>
      </c>
      <c r="M141" s="7" t="s">
        <v>196</v>
      </c>
      <c r="N141" s="7" t="s">
        <v>196</v>
      </c>
      <c r="O141" s="7">
        <f t="shared" si="63"/>
        <v>0</v>
      </c>
      <c r="P141" s="39">
        <v>0</v>
      </c>
      <c r="Q141" s="7">
        <v>0</v>
      </c>
      <c r="R141" s="7">
        <v>0</v>
      </c>
      <c r="S141" s="7"/>
      <c r="T141" s="7"/>
      <c r="U141" s="7"/>
      <c r="V141" s="7"/>
      <c r="W141" s="7"/>
      <c r="X141" s="7"/>
      <c r="Y141" s="7"/>
      <c r="Z141" s="7"/>
      <c r="AA141" s="7"/>
      <c r="AB141" s="7"/>
      <c r="AC141" s="7"/>
      <c r="AD141" s="7"/>
      <c r="AE141" s="7"/>
      <c r="AF141" s="7"/>
      <c r="AG141" s="7">
        <f>137622+20500</f>
        <v>158122</v>
      </c>
      <c r="AH141" s="7">
        <v>0</v>
      </c>
      <c r="AI141" s="7">
        <v>0</v>
      </c>
      <c r="AJ141" s="7"/>
      <c r="AK141" s="7"/>
    </row>
    <row r="142" spans="2:40" x14ac:dyDescent="0.35">
      <c r="B142" t="s">
        <v>201</v>
      </c>
      <c r="F142" s="7">
        <v>0</v>
      </c>
      <c r="G142" s="7">
        <v>0</v>
      </c>
      <c r="H142" s="39"/>
      <c r="I142" s="7">
        <v>0</v>
      </c>
      <c r="J142" s="7">
        <v>45</v>
      </c>
      <c r="K142" s="7">
        <v>45</v>
      </c>
      <c r="L142" s="39">
        <v>46</v>
      </c>
      <c r="M142" s="7">
        <v>47</v>
      </c>
      <c r="N142" s="7">
        <v>45</v>
      </c>
      <c r="O142" s="7">
        <f t="shared" si="63"/>
        <v>48</v>
      </c>
      <c r="P142" s="39">
        <v>48</v>
      </c>
      <c r="Q142" s="7">
        <v>48</v>
      </c>
      <c r="R142" s="7">
        <v>49</v>
      </c>
      <c r="S142" s="7"/>
      <c r="T142" s="7"/>
      <c r="U142" s="7"/>
      <c r="V142" s="7"/>
      <c r="W142" s="7"/>
      <c r="X142" s="7"/>
      <c r="Y142" s="7"/>
      <c r="Z142" s="7"/>
      <c r="AA142" s="7"/>
      <c r="AB142" s="7"/>
      <c r="AC142" s="7"/>
      <c r="AD142" s="7"/>
      <c r="AE142" s="7"/>
      <c r="AF142" s="7"/>
      <c r="AG142" s="7">
        <v>8</v>
      </c>
      <c r="AH142" s="7">
        <v>45</v>
      </c>
      <c r="AI142" s="7">
        <v>48</v>
      </c>
      <c r="AJ142" s="7"/>
      <c r="AK142" s="7"/>
    </row>
    <row r="143" spans="2:40" x14ac:dyDescent="0.35">
      <c r="B143" t="s">
        <v>202</v>
      </c>
      <c r="F143" s="7">
        <v>5019704</v>
      </c>
      <c r="G143" s="7">
        <v>17340758</v>
      </c>
      <c r="H143" s="39"/>
      <c r="I143" s="7">
        <v>0</v>
      </c>
      <c r="J143" s="7">
        <v>981159</v>
      </c>
      <c r="K143" s="7">
        <v>1002106</v>
      </c>
      <c r="L143" s="39">
        <v>1062085</v>
      </c>
      <c r="M143" s="7">
        <v>1081390</v>
      </c>
      <c r="N143" s="7">
        <v>1098892</v>
      </c>
      <c r="O143" s="7">
        <f t="shared" si="63"/>
        <v>1112977</v>
      </c>
      <c r="P143" s="39">
        <v>1125976</v>
      </c>
      <c r="Q143" s="7">
        <v>1145225</v>
      </c>
      <c r="R143" s="7">
        <v>1161165</v>
      </c>
      <c r="S143" s="7"/>
      <c r="T143" s="7"/>
      <c r="U143" s="7"/>
      <c r="V143" s="7"/>
      <c r="W143" s="7"/>
      <c r="X143" s="7"/>
      <c r="Y143" s="7"/>
      <c r="Z143" s="7"/>
      <c r="AA143" s="7"/>
      <c r="AB143" s="7"/>
      <c r="AC143" s="7"/>
      <c r="AD143" s="7"/>
      <c r="AE143" s="7"/>
      <c r="AF143" s="7"/>
      <c r="AG143" s="7">
        <v>19920</v>
      </c>
      <c r="AH143" s="7">
        <v>1002106</v>
      </c>
      <c r="AI143" s="7">
        <v>1112977</v>
      </c>
      <c r="AJ143" s="7"/>
      <c r="AK143" s="7"/>
    </row>
    <row r="144" spans="2:40" x14ac:dyDescent="0.35">
      <c r="B144" t="s">
        <v>203</v>
      </c>
      <c r="F144" s="7">
        <v>-20698</v>
      </c>
      <c r="G144" s="7">
        <v>-12341951</v>
      </c>
      <c r="H144" s="39"/>
      <c r="I144" s="7">
        <v>-59362</v>
      </c>
      <c r="J144" s="7">
        <v>-308207</v>
      </c>
      <c r="K144" s="7">
        <v>-305011</v>
      </c>
      <c r="L144" s="39">
        <v>-331720</v>
      </c>
      <c r="M144" s="7">
        <v>-369137</v>
      </c>
      <c r="N144" s="7">
        <v>-403747</v>
      </c>
      <c r="O144" s="7">
        <f t="shared" si="63"/>
        <v>-440955</v>
      </c>
      <c r="P144" s="39">
        <v>-486572</v>
      </c>
      <c r="Q144" s="7">
        <v>-532461</v>
      </c>
      <c r="R144" s="7">
        <v>-573029</v>
      </c>
      <c r="S144" s="7"/>
      <c r="T144" s="7"/>
      <c r="U144" s="7"/>
      <c r="V144" s="7"/>
      <c r="W144" s="7"/>
      <c r="X144" s="7"/>
      <c r="Y144" s="7"/>
      <c r="Z144" s="7"/>
      <c r="AA144" s="7"/>
      <c r="AB144" s="7"/>
      <c r="AC144" s="7"/>
      <c r="AD144" s="7"/>
      <c r="AE144" s="7"/>
      <c r="AF144" s="7"/>
      <c r="AG144" s="7">
        <v>-187691</v>
      </c>
      <c r="AH144" s="7">
        <v>-305011</v>
      </c>
      <c r="AI144" s="7">
        <v>-440955</v>
      </c>
      <c r="AJ144" s="7"/>
      <c r="AK144" s="7"/>
    </row>
    <row r="145" spans="2:40" s="4" customFormat="1" x14ac:dyDescent="0.35">
      <c r="B145" s="4" t="s">
        <v>204</v>
      </c>
      <c r="F145" s="8">
        <v>0</v>
      </c>
      <c r="G145" s="8">
        <v>0</v>
      </c>
      <c r="H145" s="40"/>
      <c r="I145" s="8">
        <v>0</v>
      </c>
      <c r="J145" s="8">
        <v>1121</v>
      </c>
      <c r="K145" s="8">
        <v>1308</v>
      </c>
      <c r="L145" s="40">
        <v>2184</v>
      </c>
      <c r="M145" s="8">
        <v>1154</v>
      </c>
      <c r="N145" s="8">
        <v>-4356</v>
      </c>
      <c r="O145" s="7">
        <f t="shared" si="63"/>
        <v>1136</v>
      </c>
      <c r="P145" s="40">
        <v>566</v>
      </c>
      <c r="Q145" s="8">
        <v>-1764</v>
      </c>
      <c r="R145" s="8">
        <v>-2383</v>
      </c>
      <c r="S145" s="8"/>
      <c r="T145" s="8"/>
      <c r="U145" s="8"/>
      <c r="V145" s="8"/>
      <c r="W145" s="8"/>
      <c r="X145" s="8"/>
      <c r="Y145" s="8"/>
      <c r="Z145" s="8"/>
      <c r="AA145" s="8"/>
      <c r="AB145" s="8"/>
      <c r="AC145" s="8"/>
      <c r="AD145" s="8"/>
      <c r="AE145" s="8"/>
      <c r="AF145" s="8"/>
      <c r="AG145" s="8">
        <v>1055</v>
      </c>
      <c r="AH145" s="8">
        <v>1308</v>
      </c>
      <c r="AI145" s="8">
        <v>1136</v>
      </c>
      <c r="AJ145" s="8"/>
      <c r="AK145" s="8"/>
    </row>
    <row r="146" spans="2:40" s="34" customFormat="1" x14ac:dyDescent="0.35">
      <c r="B146" s="34" t="s">
        <v>205</v>
      </c>
      <c r="F146" s="35">
        <f>SUM(F137:F145)</f>
        <v>5000010</v>
      </c>
      <c r="G146" s="35">
        <f>SUM(G137:G145)</f>
        <v>5000004</v>
      </c>
      <c r="H146" s="48">
        <f t="shared" ref="H146:Q146" si="64">SUM(H142:H145)</f>
        <v>0</v>
      </c>
      <c r="I146" s="35">
        <f t="shared" si="64"/>
        <v>-59362</v>
      </c>
      <c r="J146" s="35">
        <f t="shared" si="64"/>
        <v>674118</v>
      </c>
      <c r="K146" s="35">
        <f t="shared" si="64"/>
        <v>698448</v>
      </c>
      <c r="L146" s="48">
        <f t="shared" si="64"/>
        <v>732595</v>
      </c>
      <c r="M146" s="35">
        <f t="shared" si="64"/>
        <v>713454</v>
      </c>
      <c r="N146" s="35">
        <f t="shared" si="64"/>
        <v>690834</v>
      </c>
      <c r="O146" s="35">
        <f t="shared" si="64"/>
        <v>673206</v>
      </c>
      <c r="P146" s="48">
        <f t="shared" si="64"/>
        <v>640018</v>
      </c>
      <c r="Q146" s="35">
        <f t="shared" si="64"/>
        <v>611048</v>
      </c>
      <c r="R146" s="35">
        <f t="shared" ref="R146" si="65">SUM(R142:R145)</f>
        <v>585802</v>
      </c>
      <c r="S146" s="35">
        <f t="shared" ref="S146:U146" si="66">SUM(S142:S145)</f>
        <v>0</v>
      </c>
      <c r="T146" s="35">
        <f t="shared" si="66"/>
        <v>0</v>
      </c>
      <c r="U146" s="35">
        <f t="shared" si="66"/>
        <v>0</v>
      </c>
      <c r="V146" s="35"/>
      <c r="W146" s="35"/>
      <c r="X146" s="35"/>
      <c r="Y146" s="35"/>
      <c r="Z146" s="35"/>
      <c r="AA146" s="35"/>
      <c r="AB146" s="35"/>
      <c r="AC146" s="35"/>
      <c r="AD146" s="35"/>
      <c r="AE146" s="35"/>
      <c r="AF146" s="35"/>
      <c r="AG146" s="35">
        <f>SUM(AG142:AG145)</f>
        <v>-166708</v>
      </c>
      <c r="AH146" s="35">
        <f>SUM(AH142:AH145)</f>
        <v>698448</v>
      </c>
      <c r="AI146" s="35">
        <f>SUM(AI142:AI145)</f>
        <v>673206</v>
      </c>
      <c r="AJ146" s="35">
        <f t="shared" ref="AJ146:AN146" si="67">SUM(AJ142:AJ145)</f>
        <v>0</v>
      </c>
      <c r="AK146" s="35">
        <f t="shared" si="67"/>
        <v>0</v>
      </c>
      <c r="AL146" s="35">
        <f t="shared" si="67"/>
        <v>0</v>
      </c>
      <c r="AM146" s="35">
        <f t="shared" si="67"/>
        <v>0</v>
      </c>
      <c r="AN146" s="35">
        <f t="shared" si="67"/>
        <v>0</v>
      </c>
    </row>
    <row r="147" spans="2:40" s="14" customFormat="1" x14ac:dyDescent="0.35">
      <c r="B147" s="14" t="s">
        <v>206</v>
      </c>
      <c r="F147" s="26">
        <f>SUM(F134:F145)</f>
        <v>301352520</v>
      </c>
      <c r="G147" s="26">
        <f>G146+G134+G136</f>
        <v>321237396</v>
      </c>
      <c r="H147" s="42">
        <f t="shared" ref="H147:O147" si="68">SUM(H134:H145)</f>
        <v>59090288</v>
      </c>
      <c r="I147" s="26">
        <f t="shared" si="68"/>
        <v>57579829.012000002</v>
      </c>
      <c r="J147" s="26">
        <f t="shared" si="68"/>
        <v>955377</v>
      </c>
      <c r="K147" s="26">
        <f t="shared" si="68"/>
        <v>980847</v>
      </c>
      <c r="L147" s="42">
        <f t="shared" si="68"/>
        <v>1057484</v>
      </c>
      <c r="M147" s="26">
        <f t="shared" si="68"/>
        <v>1004752</v>
      </c>
      <c r="N147" s="26">
        <f t="shared" si="68"/>
        <v>1001360</v>
      </c>
      <c r="O147" s="26">
        <f t="shared" si="68"/>
        <v>989123</v>
      </c>
      <c r="P147" s="42">
        <f t="shared" ref="P147:Q147" si="69">SUM(P134:P145)</f>
        <v>990908</v>
      </c>
      <c r="Q147" s="26">
        <f t="shared" si="69"/>
        <v>981496</v>
      </c>
      <c r="R147" s="26">
        <f t="shared" ref="R147:S147" si="70">SUM(R134:R145)</f>
        <v>950493</v>
      </c>
      <c r="S147" s="26">
        <f t="shared" si="70"/>
        <v>0</v>
      </c>
      <c r="T147" s="26">
        <f t="shared" ref="T147:U147" si="71">SUM(T134:T145)</f>
        <v>0</v>
      </c>
      <c r="U147" s="26">
        <f t="shared" si="71"/>
        <v>0</v>
      </c>
      <c r="V147" s="26"/>
      <c r="W147" s="26"/>
      <c r="X147" s="26"/>
      <c r="Y147" s="26"/>
      <c r="Z147" s="26"/>
      <c r="AA147" s="26"/>
      <c r="AB147" s="26"/>
      <c r="AC147" s="26"/>
      <c r="AD147" s="26"/>
      <c r="AE147" s="26"/>
      <c r="AF147" s="26"/>
      <c r="AG147" s="26">
        <f>SUM(AG134:AG145)</f>
        <v>187869</v>
      </c>
      <c r="AH147" s="26">
        <f>SUM(AH134:AH145)</f>
        <v>980847</v>
      </c>
      <c r="AI147" s="26">
        <f>SUM(AI134:AI145)</f>
        <v>989123</v>
      </c>
      <c r="AJ147" s="26">
        <f t="shared" ref="AJ147:AN147" si="72">SUM(AJ134:AJ145)</f>
        <v>0</v>
      </c>
      <c r="AK147" s="26">
        <f t="shared" si="72"/>
        <v>0</v>
      </c>
      <c r="AL147" s="26">
        <f t="shared" si="72"/>
        <v>0</v>
      </c>
      <c r="AM147" s="26">
        <f t="shared" si="72"/>
        <v>0</v>
      </c>
      <c r="AN147" s="26">
        <f t="shared" si="72"/>
        <v>0</v>
      </c>
    </row>
    <row r="148" spans="2:40" x14ac:dyDescent="0.35">
      <c r="H148" s="39"/>
      <c r="I148" s="7"/>
      <c r="J148" s="7"/>
      <c r="K148" s="7"/>
      <c r="L148" s="39"/>
      <c r="M148" s="7"/>
      <c r="N148" s="7"/>
      <c r="O148" s="7"/>
      <c r="P148" s="39"/>
      <c r="Q148" s="7"/>
      <c r="R148" s="7"/>
      <c r="S148" s="7"/>
      <c r="T148" s="7"/>
      <c r="U148" s="7"/>
      <c r="V148" s="7"/>
      <c r="W148" s="7"/>
      <c r="X148" s="7"/>
      <c r="Y148" s="7"/>
      <c r="Z148" s="7"/>
      <c r="AA148" s="7"/>
      <c r="AB148" s="7"/>
      <c r="AC148" s="7"/>
      <c r="AD148" s="7"/>
      <c r="AE148" s="7"/>
      <c r="AF148" s="7"/>
      <c r="AG148" s="7"/>
      <c r="AH148" s="7"/>
      <c r="AI148" s="7"/>
      <c r="AJ148" s="7"/>
      <c r="AK148" s="7"/>
    </row>
    <row r="149" spans="2:40" x14ac:dyDescent="0.35">
      <c r="B149" t="s">
        <v>207</v>
      </c>
      <c r="F149" s="27">
        <f t="shared" ref="F149:Q149" si="73">F101/F123</f>
        <v>2254.1999999999998</v>
      </c>
      <c r="G149" s="27">
        <f t="shared" si="73"/>
        <v>5.6696336162285244</v>
      </c>
      <c r="H149" s="53">
        <f t="shared" si="73"/>
        <v>0.45937633272965478</v>
      </c>
      <c r="I149" s="27">
        <f t="shared" si="73"/>
        <v>137.85328274502388</v>
      </c>
      <c r="J149" s="27">
        <f t="shared" si="73"/>
        <v>11.141144584592933</v>
      </c>
      <c r="K149" s="27">
        <f t="shared" si="73"/>
        <v>8.0447319509485293</v>
      </c>
      <c r="L149" s="53">
        <f t="shared" si="73"/>
        <v>4.3036381673049418</v>
      </c>
      <c r="M149" s="27">
        <f t="shared" si="73"/>
        <v>4.9022282982075076</v>
      </c>
      <c r="N149" s="27">
        <f t="shared" si="73"/>
        <v>4.3352547415396057</v>
      </c>
      <c r="O149" s="27">
        <f t="shared" si="73"/>
        <v>4.0646495642567819</v>
      </c>
      <c r="P149" s="53">
        <f t="shared" si="73"/>
        <v>3.2198281760815024</v>
      </c>
      <c r="Q149" s="27">
        <f t="shared" si="73"/>
        <v>1.8310883470996042</v>
      </c>
      <c r="R149" s="7"/>
      <c r="S149" s="7"/>
      <c r="T149" s="7"/>
      <c r="U149" s="7"/>
      <c r="V149" s="7"/>
      <c r="W149" s="7"/>
      <c r="X149" s="7"/>
      <c r="Y149" s="7"/>
      <c r="Z149" s="7"/>
      <c r="AA149" s="7"/>
      <c r="AB149" s="7"/>
      <c r="AC149" s="7"/>
      <c r="AD149" s="7"/>
      <c r="AE149" s="7"/>
      <c r="AF149" s="7"/>
      <c r="AG149" s="27">
        <f>AG101/AG123</f>
        <v>1.9230880439496891</v>
      </c>
      <c r="AH149" s="27">
        <f>AH101/AH123</f>
        <v>8.0447319509485293</v>
      </c>
      <c r="AI149" s="27">
        <f>AI101/AI123</f>
        <v>4.0646495642567819</v>
      </c>
      <c r="AJ149" s="7"/>
      <c r="AK149" s="7"/>
    </row>
    <row r="151" spans="2:40" s="10" customFormat="1" x14ac:dyDescent="0.35">
      <c r="B151" s="6" t="s">
        <v>208</v>
      </c>
      <c r="C151" s="6"/>
      <c r="D151" s="6"/>
      <c r="E151" s="6"/>
      <c r="F151" s="6"/>
      <c r="G151" s="6"/>
      <c r="H151" s="54"/>
      <c r="L151" s="54"/>
      <c r="P151" s="54"/>
    </row>
    <row r="152" spans="2:40" s="7" customFormat="1" x14ac:dyDescent="0.35">
      <c r="B152" s="7" t="s">
        <v>209</v>
      </c>
      <c r="H152" s="39"/>
      <c r="J152" s="7">
        <v>-49877</v>
      </c>
      <c r="K152" s="7">
        <v>-21914</v>
      </c>
      <c r="L152" s="39">
        <v>-26339</v>
      </c>
      <c r="M152" s="7">
        <f>-64595</f>
        <v>-64595</v>
      </c>
      <c r="N152" s="7">
        <v>-87592</v>
      </c>
      <c r="P152" s="39">
        <v>-25385</v>
      </c>
      <c r="Q152" s="7">
        <f>-31449</f>
        <v>-31449</v>
      </c>
      <c r="R152" s="7">
        <v>-56650</v>
      </c>
      <c r="AG152" s="7">
        <v>-27757</v>
      </c>
      <c r="AH152" s="7">
        <v>-71791</v>
      </c>
      <c r="AI152" s="7">
        <v>-106538</v>
      </c>
    </row>
    <row r="153" spans="2:40" s="8" customFormat="1" x14ac:dyDescent="0.35">
      <c r="B153" s="8" t="s">
        <v>210</v>
      </c>
      <c r="H153" s="40"/>
      <c r="J153" s="8">
        <v>-11447</v>
      </c>
      <c r="K153" s="8">
        <v>-14252</v>
      </c>
      <c r="L153" s="40">
        <v>-6242</v>
      </c>
      <c r="M153" s="8">
        <f>-19070</f>
        <v>-19070</v>
      </c>
      <c r="N153" s="8">
        <v>-27419</v>
      </c>
      <c r="P153" s="40">
        <v>-12674</v>
      </c>
      <c r="Q153" s="8">
        <f>-23246</f>
        <v>-23246</v>
      </c>
      <c r="R153" s="8">
        <v>-44293</v>
      </c>
      <c r="AG153" s="8">
        <v>-25121</v>
      </c>
      <c r="AH153" s="8">
        <v>-25699</v>
      </c>
      <c r="AI153" s="8">
        <v>-42412</v>
      </c>
    </row>
    <row r="154" spans="2:40" s="7" customFormat="1" x14ac:dyDescent="0.35">
      <c r="B154" s="7" t="s">
        <v>211</v>
      </c>
      <c r="F154" s="7">
        <f t="shared" ref="F154:U154" si="74">F152+F153</f>
        <v>0</v>
      </c>
      <c r="G154" s="7">
        <f t="shared" si="74"/>
        <v>0</v>
      </c>
      <c r="H154" s="39">
        <f t="shared" si="74"/>
        <v>0</v>
      </c>
      <c r="I154" s="7">
        <f t="shared" si="74"/>
        <v>0</v>
      </c>
      <c r="J154" s="7">
        <f t="shared" si="74"/>
        <v>-61324</v>
      </c>
      <c r="K154" s="7">
        <f t="shared" si="74"/>
        <v>-36166</v>
      </c>
      <c r="L154" s="39">
        <f t="shared" si="74"/>
        <v>-32581</v>
      </c>
      <c r="M154" s="7">
        <f t="shared" si="74"/>
        <v>-83665</v>
      </c>
      <c r="N154" s="7">
        <f t="shared" si="74"/>
        <v>-115011</v>
      </c>
      <c r="P154" s="39">
        <f t="shared" si="74"/>
        <v>-38059</v>
      </c>
      <c r="Q154" s="7">
        <f t="shared" si="74"/>
        <v>-54695</v>
      </c>
      <c r="R154" s="7">
        <f t="shared" si="74"/>
        <v>-100943</v>
      </c>
      <c r="S154" s="7">
        <f t="shared" si="74"/>
        <v>0</v>
      </c>
      <c r="T154" s="7">
        <f t="shared" si="74"/>
        <v>0</v>
      </c>
      <c r="U154" s="7">
        <f t="shared" si="74"/>
        <v>0</v>
      </c>
      <c r="AG154" s="7">
        <f>AG152+AG153</f>
        <v>-52878</v>
      </c>
      <c r="AH154" s="7">
        <f>AH152+AH153</f>
        <v>-97490</v>
      </c>
      <c r="AI154" s="7">
        <f>AI152+AI153</f>
        <v>-148950</v>
      </c>
      <c r="AJ154" s="7">
        <f t="shared" ref="AJ154:AN154" si="75">AJ152+AJ153</f>
        <v>0</v>
      </c>
      <c r="AK154" s="7">
        <f t="shared" si="75"/>
        <v>0</v>
      </c>
      <c r="AL154" s="7">
        <f t="shared" si="75"/>
        <v>0</v>
      </c>
      <c r="AM154" s="7">
        <f t="shared" si="75"/>
        <v>0</v>
      </c>
      <c r="AN154" s="7">
        <f t="shared" si="75"/>
        <v>0</v>
      </c>
    </row>
    <row r="156" spans="2:40" s="7" customFormat="1" x14ac:dyDescent="0.35">
      <c r="B156" s="7" t="s">
        <v>445</v>
      </c>
      <c r="H156" s="39"/>
      <c r="L156" s="39">
        <v>0</v>
      </c>
      <c r="M156" s="7">
        <v>0</v>
      </c>
      <c r="N156" s="7">
        <v>0</v>
      </c>
      <c r="P156" s="39">
        <v>0</v>
      </c>
      <c r="Q156" s="7">
        <v>0</v>
      </c>
      <c r="R156" s="7">
        <v>0</v>
      </c>
    </row>
    <row r="157" spans="2:40" s="7" customFormat="1" x14ac:dyDescent="0.35">
      <c r="B157" s="7" t="s">
        <v>446</v>
      </c>
      <c r="H157" s="39"/>
      <c r="L157" s="39">
        <v>11958</v>
      </c>
      <c r="M157" s="7">
        <f>28827</f>
        <v>28827</v>
      </c>
      <c r="N157" s="7">
        <v>43312</v>
      </c>
      <c r="P157" s="39">
        <v>14036</v>
      </c>
      <c r="Q157" s="7">
        <f>29300</f>
        <v>29300</v>
      </c>
      <c r="R157" s="7">
        <v>43398</v>
      </c>
    </row>
    <row r="158" spans="2:40" s="7" customFormat="1" x14ac:dyDescent="0.35">
      <c r="B158" s="7" t="s">
        <v>447</v>
      </c>
      <c r="H158" s="39"/>
      <c r="L158" s="39">
        <v>0</v>
      </c>
      <c r="M158" s="7">
        <v>0</v>
      </c>
      <c r="N158" s="7">
        <v>0</v>
      </c>
      <c r="P158" s="39">
        <v>0</v>
      </c>
      <c r="Q158" s="7">
        <v>0</v>
      </c>
      <c r="R158" s="7">
        <v>0</v>
      </c>
    </row>
    <row r="159" spans="2:40" s="7" customFormat="1" x14ac:dyDescent="0.35">
      <c r="B159" s="7" t="s">
        <v>448</v>
      </c>
      <c r="H159" s="39"/>
      <c r="L159" s="39">
        <v>0</v>
      </c>
      <c r="M159" s="7">
        <v>0</v>
      </c>
      <c r="N159" s="7">
        <v>0</v>
      </c>
      <c r="P159" s="39">
        <v>0</v>
      </c>
      <c r="Q159" s="7">
        <v>0</v>
      </c>
      <c r="R159" s="7">
        <v>0</v>
      </c>
    </row>
    <row r="160" spans="2:40" s="7" customFormat="1" x14ac:dyDescent="0.35">
      <c r="H160" s="39"/>
      <c r="L160" s="39"/>
      <c r="P160" s="39"/>
    </row>
    <row r="161" spans="2:35" s="31" customFormat="1" x14ac:dyDescent="0.35">
      <c r="B161" s="31" t="s">
        <v>485</v>
      </c>
      <c r="H161" s="50"/>
      <c r="L161" s="50"/>
      <c r="P161" s="50"/>
    </row>
    <row r="162" spans="2:35" s="7" customFormat="1" x14ac:dyDescent="0.35">
      <c r="B162" s="7" t="s">
        <v>209</v>
      </c>
      <c r="H162" s="39"/>
      <c r="L162" s="39">
        <f>L152</f>
        <v>-26339</v>
      </c>
      <c r="M162" s="7">
        <f>M152-L152</f>
        <v>-38256</v>
      </c>
      <c r="N162" s="7">
        <f>N152-M162-L162</f>
        <v>-22997</v>
      </c>
      <c r="P162" s="39">
        <f>P152</f>
        <v>-25385</v>
      </c>
      <c r="Q162" s="7">
        <f>Q152-P152</f>
        <v>-6064</v>
      </c>
      <c r="R162" s="7">
        <f>R152-Q162-P162</f>
        <v>-25201</v>
      </c>
    </row>
    <row r="163" spans="2:35" s="8" customFormat="1" x14ac:dyDescent="0.35">
      <c r="B163" s="8" t="s">
        <v>210</v>
      </c>
      <c r="H163" s="40"/>
      <c r="L163" s="40">
        <f>L153</f>
        <v>-6242</v>
      </c>
      <c r="M163" s="8">
        <f>M153-L153</f>
        <v>-12828</v>
      </c>
      <c r="N163" s="8">
        <f>N153-M163-L163</f>
        <v>-8349</v>
      </c>
      <c r="P163" s="40">
        <f>P153</f>
        <v>-12674</v>
      </c>
      <c r="Q163" s="8">
        <f>Q153-P153</f>
        <v>-10572</v>
      </c>
      <c r="R163" s="8">
        <f>R153-Q163-P163</f>
        <v>-21047</v>
      </c>
    </row>
    <row r="164" spans="2:35" s="7" customFormat="1" x14ac:dyDescent="0.35">
      <c r="B164" s="7" t="s">
        <v>211</v>
      </c>
      <c r="L164" s="39">
        <f>SUM(L162:L163)</f>
        <v>-32581</v>
      </c>
      <c r="M164" s="7">
        <f t="shared" ref="M164" si="76">SUM(M162:M163)</f>
        <v>-51084</v>
      </c>
      <c r="N164" s="7">
        <f t="shared" ref="N164" si="77">SUM(N162:N163)</f>
        <v>-31346</v>
      </c>
      <c r="P164" s="39">
        <f>SUM(P162:P163)</f>
        <v>-38059</v>
      </c>
      <c r="Q164" s="7">
        <f t="shared" ref="Q164:U164" si="78">SUM(Q162:Q163)</f>
        <v>-16636</v>
      </c>
      <c r="R164" s="7">
        <f t="shared" si="78"/>
        <v>-46248</v>
      </c>
      <c r="S164" s="7">
        <f t="shared" si="78"/>
        <v>0</v>
      </c>
      <c r="T164" s="7">
        <f t="shared" si="78"/>
        <v>0</v>
      </c>
      <c r="U164" s="7">
        <f t="shared" si="78"/>
        <v>0</v>
      </c>
    </row>
    <row r="165" spans="2:35" s="7" customFormat="1" x14ac:dyDescent="0.35">
      <c r="B165"/>
      <c r="C165"/>
      <c r="D165"/>
      <c r="E165"/>
      <c r="H165" s="39"/>
      <c r="L165" s="39"/>
      <c r="P165" s="39"/>
    </row>
    <row r="166" spans="2:35" s="7" customFormat="1" x14ac:dyDescent="0.35">
      <c r="B166" s="7" t="s">
        <v>445</v>
      </c>
      <c r="H166" s="39"/>
      <c r="L166" s="39">
        <f>L156</f>
        <v>0</v>
      </c>
      <c r="M166" s="7">
        <v>0</v>
      </c>
      <c r="N166" s="7">
        <f>N156</f>
        <v>0</v>
      </c>
      <c r="P166" s="39">
        <f>P156</f>
        <v>0</v>
      </c>
      <c r="Q166" s="7">
        <v>0</v>
      </c>
      <c r="R166" s="7">
        <f>R156</f>
        <v>0</v>
      </c>
    </row>
    <row r="167" spans="2:35" s="7" customFormat="1" x14ac:dyDescent="0.35">
      <c r="B167" s="7" t="s">
        <v>446</v>
      </c>
      <c r="H167" s="39"/>
      <c r="L167" s="39">
        <f>L157</f>
        <v>11958</v>
      </c>
      <c r="M167" s="7">
        <f>29300-L167</f>
        <v>17342</v>
      </c>
      <c r="N167" s="7">
        <f>N157-M167-L167</f>
        <v>14012</v>
      </c>
      <c r="P167" s="39">
        <f>P157</f>
        <v>14036</v>
      </c>
      <c r="Q167" s="7">
        <f>29300-P167</f>
        <v>15264</v>
      </c>
      <c r="R167" s="7">
        <f>R157-Q167-P167</f>
        <v>14098</v>
      </c>
    </row>
    <row r="168" spans="2:35" s="7" customFormat="1" x14ac:dyDescent="0.35">
      <c r="B168" s="7" t="s">
        <v>447</v>
      </c>
      <c r="H168" s="39"/>
      <c r="L168" s="39">
        <f>L158</f>
        <v>0</v>
      </c>
      <c r="M168" s="7">
        <v>0</v>
      </c>
      <c r="N168" s="7">
        <f>N158</f>
        <v>0</v>
      </c>
      <c r="P168" s="39">
        <f>P158</f>
        <v>0</v>
      </c>
      <c r="Q168" s="7">
        <v>0</v>
      </c>
      <c r="R168" s="7">
        <f>R158</f>
        <v>0</v>
      </c>
    </row>
    <row r="169" spans="2:35" s="7" customFormat="1" x14ac:dyDescent="0.35">
      <c r="B169" s="7" t="s">
        <v>448</v>
      </c>
      <c r="H169" s="39"/>
      <c r="L169" s="39">
        <f>L159</f>
        <v>0</v>
      </c>
      <c r="M169" s="7">
        <v>0</v>
      </c>
      <c r="N169" s="7">
        <f>N159</f>
        <v>0</v>
      </c>
      <c r="P169" s="39">
        <f>P159</f>
        <v>0</v>
      </c>
      <c r="Q169" s="7">
        <v>0</v>
      </c>
      <c r="R169" s="7">
        <f>R159</f>
        <v>0</v>
      </c>
    </row>
    <row r="170" spans="2:35" s="7" customFormat="1" x14ac:dyDescent="0.35">
      <c r="H170" s="39"/>
      <c r="L170" s="39"/>
      <c r="P170" s="39"/>
    </row>
    <row r="171" spans="2:35" s="7" customFormat="1" x14ac:dyDescent="0.35">
      <c r="H171" s="39"/>
      <c r="L171" s="39"/>
      <c r="P171" s="39"/>
    </row>
    <row r="174" spans="2:35" s="6" customFormat="1" x14ac:dyDescent="0.35">
      <c r="B174" s="6" t="s">
        <v>212</v>
      </c>
      <c r="H174" s="55"/>
      <c r="L174" s="55"/>
      <c r="P174" s="55"/>
    </row>
    <row r="175" spans="2:35" s="75" customFormat="1" x14ac:dyDescent="0.35">
      <c r="B175" s="75" t="s">
        <v>213</v>
      </c>
      <c r="H175" s="76"/>
      <c r="L175" s="76"/>
      <c r="P175" s="76"/>
      <c r="AG175" s="75">
        <f>AG7*AG176</f>
        <v>767723.55984</v>
      </c>
      <c r="AH175" s="75">
        <f>AH7*AH176</f>
        <v>2531333.7000000002</v>
      </c>
      <c r="AI175" s="75">
        <f>AI7*AI176</f>
        <v>2363705.46165</v>
      </c>
    </row>
    <row r="176" spans="2:35" x14ac:dyDescent="0.35">
      <c r="B176" t="s">
        <v>1</v>
      </c>
      <c r="AG176" s="7">
        <f>AG76</f>
        <v>75414.888000000006</v>
      </c>
      <c r="AH176" s="7">
        <f>AH76</f>
        <v>209895</v>
      </c>
      <c r="AI176" s="7">
        <f>AI76</f>
        <v>466214.09499999997</v>
      </c>
    </row>
    <row r="177" spans="2:40" x14ac:dyDescent="0.35">
      <c r="B177" t="s">
        <v>452</v>
      </c>
      <c r="AG177" s="74">
        <f>AG175/AG57</f>
        <v>21.835141064846418</v>
      </c>
      <c r="AH177" s="74">
        <f>AH175/AH57</f>
        <v>40.672489033854461</v>
      </c>
      <c r="AI177" s="74">
        <f>AI175/AI57</f>
        <v>11.202607924557812</v>
      </c>
    </row>
    <row r="178" spans="2:40" x14ac:dyDescent="0.35">
      <c r="B178" t="s">
        <v>453</v>
      </c>
      <c r="AG178" s="74">
        <f>AG175/AG74</f>
        <v>-14.251147367600378</v>
      </c>
      <c r="AH178" s="74">
        <f>AH175/AH74</f>
        <v>-21.622948397071763</v>
      </c>
      <c r="AI178" s="74">
        <f>AI175/AI74</f>
        <v>-17.464427397224849</v>
      </c>
    </row>
    <row r="179" spans="2:40" x14ac:dyDescent="0.35">
      <c r="B179" t="s">
        <v>455</v>
      </c>
      <c r="AG179" s="74">
        <f>AG175/AG146</f>
        <v>-4.6051992696211341</v>
      </c>
      <c r="AH179" s="74">
        <f>AH175/AH146</f>
        <v>3.6242264277369256</v>
      </c>
      <c r="AI179" s="74">
        <f>AI175/AI146</f>
        <v>3.511117639548667</v>
      </c>
    </row>
    <row r="180" spans="2:40" x14ac:dyDescent="0.35">
      <c r="B180" t="s">
        <v>454</v>
      </c>
      <c r="AG180" s="74">
        <f>AG175/AG154</f>
        <v>-14.518770752297742</v>
      </c>
      <c r="AH180" s="74">
        <f>AH175/AH154</f>
        <v>-25.965060006154481</v>
      </c>
      <c r="AI180" s="74">
        <f>AI175/AI154</f>
        <v>-15.869120252769385</v>
      </c>
    </row>
    <row r="182" spans="2:40" s="100" customFormat="1" x14ac:dyDescent="0.35">
      <c r="B182" s="102" t="s">
        <v>456</v>
      </c>
      <c r="H182" s="101"/>
      <c r="L182" s="101"/>
      <c r="P182" s="101"/>
    </row>
    <row r="183" spans="2:40" s="2" customFormat="1" x14ac:dyDescent="0.35">
      <c r="B183" s="2" t="s">
        <v>132</v>
      </c>
      <c r="H183" s="43"/>
      <c r="L183" s="43"/>
      <c r="P183" s="43"/>
      <c r="AG183" s="2" t="e">
        <f t="shared" ref="AG183:AN183" si="79">(AG57-AF57)/ABS(AF57)</f>
        <v>#DIV/0!</v>
      </c>
      <c r="AH183" s="2">
        <f t="shared" si="79"/>
        <v>0.77010807736063713</v>
      </c>
      <c r="AI183" s="2">
        <f t="shared" si="79"/>
        <v>2.390201969889294</v>
      </c>
      <c r="AJ183" s="2">
        <f t="shared" si="79"/>
        <v>-1</v>
      </c>
      <c r="AK183" s="2" t="e">
        <f t="shared" si="79"/>
        <v>#DIV/0!</v>
      </c>
      <c r="AL183" s="2" t="e">
        <f t="shared" si="79"/>
        <v>#DIV/0!</v>
      </c>
      <c r="AM183" s="2" t="e">
        <f t="shared" si="79"/>
        <v>#DIV/0!</v>
      </c>
      <c r="AN183" s="2" t="e">
        <f t="shared" si="79"/>
        <v>#DIV/0!</v>
      </c>
    </row>
    <row r="184" spans="2:40" s="2" customFormat="1" x14ac:dyDescent="0.35">
      <c r="B184" s="2" t="s">
        <v>457</v>
      </c>
      <c r="H184" s="43"/>
      <c r="L184" s="43"/>
      <c r="P184" s="43"/>
      <c r="AG184" s="2" t="e">
        <f t="shared" ref="AG184:AN184" si="80">(AG74-AF74)/ABS(AF74)</f>
        <v>#DIV/0!</v>
      </c>
      <c r="AH184" s="2">
        <f t="shared" si="80"/>
        <v>-1.1730986987432941</v>
      </c>
      <c r="AI184" s="2">
        <f t="shared" si="80"/>
        <v>-0.15612427071676904</v>
      </c>
      <c r="AJ184" s="2">
        <f t="shared" si="80"/>
        <v>1</v>
      </c>
      <c r="AK184" s="2" t="e">
        <f t="shared" si="80"/>
        <v>#DIV/0!</v>
      </c>
      <c r="AL184" s="2" t="e">
        <f t="shared" si="80"/>
        <v>#DIV/0!</v>
      </c>
      <c r="AM184" s="2" t="e">
        <f t="shared" si="80"/>
        <v>#DIV/0!</v>
      </c>
      <c r="AN184" s="2" t="e">
        <f t="shared" si="80"/>
        <v>#DIV/0!</v>
      </c>
    </row>
    <row r="185" spans="2:40" s="2" customFormat="1" x14ac:dyDescent="0.35">
      <c r="B185" s="2" t="s">
        <v>211</v>
      </c>
      <c r="H185" s="43"/>
      <c r="L185" s="43"/>
      <c r="P185" s="43"/>
      <c r="AG185" s="2" t="e">
        <f>(AG154-AF154)/ABS(AF154)</f>
        <v>#DIV/0!</v>
      </c>
      <c r="AH185" s="2">
        <f>(AH154-AG154)/ABS(AG154)</f>
        <v>-0.8436779000718635</v>
      </c>
      <c r="AI185" s="2">
        <f>(AI154-AH154)/ABS(AH154)</f>
        <v>-0.52784901015488772</v>
      </c>
      <c r="AJ185" s="2">
        <f t="shared" ref="AJ185:AN185" si="81">(AJ154-AI154)/ABS(AI154)</f>
        <v>1</v>
      </c>
      <c r="AK185" s="2" t="e">
        <f t="shared" si="81"/>
        <v>#DIV/0!</v>
      </c>
      <c r="AL185" s="2" t="e">
        <f t="shared" si="81"/>
        <v>#DIV/0!</v>
      </c>
      <c r="AM185" s="2" t="e">
        <f t="shared" si="81"/>
        <v>#DIV/0!</v>
      </c>
      <c r="AN185" s="2" t="e">
        <f t="shared" si="81"/>
        <v>#DIV/0!</v>
      </c>
    </row>
    <row r="189" spans="2:40" s="102" customFormat="1" x14ac:dyDescent="0.35">
      <c r="B189" s="102" t="s">
        <v>451</v>
      </c>
      <c r="H189" s="103"/>
      <c r="L189" s="103"/>
      <c r="P189" s="104"/>
      <c r="Q189" s="105"/>
      <c r="R189" s="106"/>
      <c r="S189" s="106"/>
      <c r="T189" s="106"/>
      <c r="U189" s="106"/>
      <c r="V189" s="106"/>
      <c r="W189" s="106"/>
      <c r="X189" s="106"/>
      <c r="Y189" s="106"/>
      <c r="Z189" s="106"/>
      <c r="AB189" s="106"/>
      <c r="AC189" s="106"/>
    </row>
    <row r="190" spans="2:40" s="11" customFormat="1" x14ac:dyDescent="0.35">
      <c r="B190" s="11" t="s">
        <v>214</v>
      </c>
      <c r="F190" s="11" t="e">
        <f t="shared" ref="F190:N190" si="82">F95/F76</f>
        <v>#DIV/0!</v>
      </c>
      <c r="G190" s="11">
        <f t="shared" si="82"/>
        <v>11.481857534549411</v>
      </c>
      <c r="H190" s="11">
        <f t="shared" si="82"/>
        <v>5.3973637530474532</v>
      </c>
      <c r="I190" s="11">
        <f t="shared" si="82"/>
        <v>0.567950576572544</v>
      </c>
      <c r="J190" s="11">
        <f t="shared" si="82"/>
        <v>3.4725178225446141</v>
      </c>
      <c r="K190" s="11">
        <f t="shared" si="82"/>
        <v>-3.9223639659071736</v>
      </c>
      <c r="L190" s="49">
        <f t="shared" si="82"/>
        <v>1.3212491253578942</v>
      </c>
      <c r="M190" s="11">
        <f t="shared" si="82"/>
        <v>1.1673934599799942</v>
      </c>
      <c r="N190" s="11">
        <f t="shared" si="82"/>
        <v>0.70945325046780405</v>
      </c>
      <c r="P190" s="56"/>
      <c r="Q190" s="11">
        <f>Q95/Q76</f>
        <v>0.41097615846760405</v>
      </c>
      <c r="R190" s="7"/>
      <c r="S190" s="7"/>
      <c r="T190" s="7"/>
      <c r="U190" s="7"/>
      <c r="V190" s="7"/>
      <c r="W190" s="7"/>
      <c r="X190" s="7"/>
      <c r="Y190" s="7"/>
      <c r="Z190" s="7"/>
      <c r="AB190" s="7"/>
      <c r="AC190" s="7"/>
      <c r="AG190" s="11">
        <f>AG95/AG76</f>
        <v>0.70002092955438711</v>
      </c>
      <c r="AH190" s="11">
        <f>AH95/AH76</f>
        <v>3.291926915838872</v>
      </c>
      <c r="AI190" s="11">
        <f>AI95/AI76</f>
        <v>0.52017946819046734</v>
      </c>
    </row>
    <row r="191" spans="2:40" s="11" customFormat="1" x14ac:dyDescent="0.35">
      <c r="B191" s="11" t="s">
        <v>215</v>
      </c>
      <c r="F191" s="11" t="e">
        <f t="shared" ref="F191:N191" si="83">(F120+F127)/F76</f>
        <v>#DIV/0!</v>
      </c>
      <c r="G191" s="11">
        <f t="shared" si="83"/>
        <v>0</v>
      </c>
      <c r="H191" s="11">
        <f t="shared" si="83"/>
        <v>0</v>
      </c>
      <c r="I191" s="11">
        <f t="shared" si="83"/>
        <v>0</v>
      </c>
      <c r="J191" s="11">
        <f t="shared" si="83"/>
        <v>0.3376665010547949</v>
      </c>
      <c r="K191" s="11">
        <f t="shared" si="83"/>
        <v>-0.49983873075260982</v>
      </c>
      <c r="L191" s="49">
        <f t="shared" si="83"/>
        <v>0.28350566457544685</v>
      </c>
      <c r="M191" s="11">
        <f t="shared" si="83"/>
        <v>0.26043428256370604</v>
      </c>
      <c r="N191" s="11">
        <f t="shared" si="83"/>
        <v>0.30703827270162432</v>
      </c>
      <c r="P191" s="56"/>
      <c r="Q191" s="11">
        <f>(Q120+Q127)/Q76</f>
        <v>0.37050180226469542</v>
      </c>
      <c r="R191" s="7"/>
      <c r="S191" s="7"/>
      <c r="T191" s="7"/>
      <c r="U191" s="7"/>
      <c r="V191" s="7"/>
      <c r="W191" s="7"/>
      <c r="X191" s="7"/>
      <c r="Y191" s="7"/>
      <c r="Z191" s="7"/>
      <c r="AB191" s="7"/>
      <c r="AG191" s="11">
        <f>(AG120+AG127)/AG76</f>
        <v>0.70849405756592776</v>
      </c>
      <c r="AH191" s="11">
        <f>(AH120+AH127)/AH76</f>
        <v>0.41950022630362799</v>
      </c>
      <c r="AI191" s="11">
        <f>(AI120+AI127)/AI76</f>
        <v>0.30588950769495721</v>
      </c>
    </row>
    <row r="192" spans="2:40" x14ac:dyDescent="0.35">
      <c r="Q192" s="57"/>
      <c r="R192" s="7"/>
      <c r="S192" s="7"/>
      <c r="T192" s="7"/>
      <c r="U192" s="7"/>
      <c r="V192" s="7"/>
      <c r="W192" s="7"/>
      <c r="X192" s="7"/>
      <c r="Y192" s="7"/>
      <c r="Z192" s="7"/>
    </row>
    <row r="193" spans="2:29" x14ac:dyDescent="0.35">
      <c r="Q193" s="57"/>
      <c r="R193" s="7"/>
      <c r="S193" s="7"/>
      <c r="T193" s="7"/>
      <c r="U193" s="7"/>
      <c r="V193" s="7"/>
      <c r="W193" s="7"/>
      <c r="X193" s="7"/>
      <c r="Y193" s="7"/>
      <c r="Z193" s="7"/>
    </row>
    <row r="194" spans="2:29" x14ac:dyDescent="0.35">
      <c r="Q194" s="57"/>
    </row>
    <row r="195" spans="2:29" x14ac:dyDescent="0.35">
      <c r="AB195" s="39"/>
    </row>
    <row r="196" spans="2:29" x14ac:dyDescent="0.35">
      <c r="AB196" s="39"/>
    </row>
    <row r="197" spans="2:29" s="6" customFormat="1" x14ac:dyDescent="0.35">
      <c r="B197" s="6" t="s">
        <v>486</v>
      </c>
      <c r="H197" s="55"/>
      <c r="L197" s="55"/>
      <c r="P197" s="55"/>
      <c r="AC197" s="9">
        <f t="shared" ref="AC197:AC204" si="84">AB197-AB196</f>
        <v>0</v>
      </c>
    </row>
    <row r="198" spans="2:29" s="9" customFormat="1" x14ac:dyDescent="0.35">
      <c r="B198" s="9" t="s">
        <v>487</v>
      </c>
      <c r="H198" s="47"/>
      <c r="L198" s="47"/>
      <c r="P198" s="47"/>
      <c r="AC198" s="9">
        <f t="shared" si="84"/>
        <v>0</v>
      </c>
    </row>
    <row r="199" spans="2:29" s="9" customFormat="1" x14ac:dyDescent="0.35">
      <c r="H199" s="47"/>
      <c r="L199" s="47"/>
      <c r="P199" s="47"/>
      <c r="AC199" s="9">
        <f t="shared" si="84"/>
        <v>0</v>
      </c>
    </row>
    <row r="200" spans="2:29" s="86" customFormat="1" x14ac:dyDescent="0.35">
      <c r="B200" s="86" t="s">
        <v>491</v>
      </c>
      <c r="H200" s="87"/>
      <c r="L200" s="87"/>
      <c r="O200" s="86">
        <v>3491</v>
      </c>
      <c r="P200" s="87"/>
      <c r="R200" s="86">
        <v>3491</v>
      </c>
    </row>
    <row r="201" spans="2:29" s="86" customFormat="1" x14ac:dyDescent="0.35">
      <c r="B201" s="86" t="s">
        <v>492</v>
      </c>
      <c r="H201" s="87"/>
      <c r="L201" s="87"/>
      <c r="O201" s="86">
        <v>1625</v>
      </c>
      <c r="P201" s="87"/>
      <c r="R201" s="86">
        <v>500</v>
      </c>
    </row>
    <row r="202" spans="2:29" s="7" customFormat="1" x14ac:dyDescent="0.35">
      <c r="H202" s="39"/>
      <c r="L202" s="39"/>
      <c r="P202" s="39"/>
      <c r="R202" s="85" t="s">
        <v>488</v>
      </c>
      <c r="AC202" s="7">
        <f>AB202-AB199</f>
        <v>0</v>
      </c>
    </row>
    <row r="203" spans="2:29" s="7" customFormat="1" x14ac:dyDescent="0.35">
      <c r="H203" s="39"/>
      <c r="L203" s="39"/>
      <c r="P203" s="39"/>
      <c r="R203" s="85" t="s">
        <v>489</v>
      </c>
      <c r="AC203" s="7">
        <f t="shared" si="84"/>
        <v>0</v>
      </c>
    </row>
    <row r="204" spans="2:29" s="7" customFormat="1" x14ac:dyDescent="0.35">
      <c r="H204" s="39"/>
      <c r="L204" s="39"/>
      <c r="P204" s="39"/>
      <c r="R204" s="85" t="s">
        <v>490</v>
      </c>
      <c r="AC204" s="7">
        <f t="shared" si="84"/>
        <v>0</v>
      </c>
    </row>
    <row r="205" spans="2:29" s="7" customFormat="1" x14ac:dyDescent="0.35">
      <c r="H205" s="39"/>
      <c r="L205" s="39"/>
      <c r="P205" s="39"/>
    </row>
  </sheetData>
  <pageMargins left="0.7" right="0.7" top="0.75" bottom="0.75" header="0.3" footer="0.3"/>
  <pageSetup orientation="portrait" r:id="rId1"/>
  <ignoredErrors>
    <ignoredError sqref="P115" formula="1"/>
    <ignoredError sqref="P146:P147 Q146 AH146:AI147" formulaRange="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0"/>
  <sheetViews>
    <sheetView zoomScale="85" zoomScaleNormal="85" workbookViewId="0">
      <pane xSplit="2" ySplit="3" topLeftCell="C4" activePane="bottomRight" state="frozen"/>
      <selection pane="topRight" activeCell="C1" sqref="C1"/>
      <selection pane="bottomLeft" activeCell="A4" sqref="A4"/>
      <selection pane="bottomRight" activeCell="D74" sqref="D74"/>
    </sheetView>
  </sheetViews>
  <sheetFormatPr defaultRowHeight="14.5" x14ac:dyDescent="0.35"/>
  <cols>
    <col min="2" max="2" width="18.453125" customWidth="1"/>
    <col min="3" max="3" width="15.1796875" style="61" customWidth="1"/>
    <col min="5" max="5" width="10.26953125" customWidth="1"/>
  </cols>
  <sheetData>
    <row r="1" spans="1:16" x14ac:dyDescent="0.35">
      <c r="A1" s="19" t="s">
        <v>216</v>
      </c>
    </row>
    <row r="2" spans="1:16" x14ac:dyDescent="0.35">
      <c r="E2" s="5">
        <v>43450</v>
      </c>
      <c r="F2" s="65">
        <v>0.27291666666666659</v>
      </c>
      <c r="G2" t="s">
        <v>41</v>
      </c>
      <c r="H2" s="5" t="s">
        <v>68</v>
      </c>
      <c r="I2" t="s">
        <v>82</v>
      </c>
      <c r="J2">
        <v>78</v>
      </c>
      <c r="K2" t="s">
        <v>70</v>
      </c>
      <c r="L2" t="s">
        <v>76</v>
      </c>
      <c r="M2" t="b">
        <v>0</v>
      </c>
      <c r="N2">
        <v>1</v>
      </c>
      <c r="O2" t="s">
        <v>83</v>
      </c>
      <c r="P2" t="s">
        <v>84</v>
      </c>
    </row>
    <row r="4" spans="1:16" s="6" customFormat="1" x14ac:dyDescent="0.35">
      <c r="B4" s="6" t="s">
        <v>217</v>
      </c>
      <c r="C4" s="62"/>
    </row>
    <row r="5" spans="1:16" s="30" customFormat="1" x14ac:dyDescent="0.35">
      <c r="B5" s="30" t="s">
        <v>218</v>
      </c>
      <c r="C5" s="63"/>
    </row>
    <row r="6" spans="1:16" x14ac:dyDescent="0.35">
      <c r="B6" t="s">
        <v>55</v>
      </c>
      <c r="C6" s="64">
        <v>42882</v>
      </c>
    </row>
    <row r="7" spans="1:16" x14ac:dyDescent="0.35">
      <c r="B7" t="s">
        <v>56</v>
      </c>
      <c r="C7" s="65">
        <v>0.18055555555555561</v>
      </c>
    </row>
    <row r="8" spans="1:16" x14ac:dyDescent="0.35">
      <c r="B8" t="s">
        <v>57</v>
      </c>
      <c r="C8" s="61" t="s">
        <v>41</v>
      </c>
    </row>
    <row r="9" spans="1:16" x14ac:dyDescent="0.35">
      <c r="B9" t="s">
        <v>58</v>
      </c>
      <c r="C9" s="61" t="s">
        <v>68</v>
      </c>
    </row>
    <row r="10" spans="1:16" x14ac:dyDescent="0.35">
      <c r="B10" t="s">
        <v>59</v>
      </c>
      <c r="C10" s="61" t="s">
        <v>69</v>
      </c>
    </row>
    <row r="11" spans="1:16" x14ac:dyDescent="0.35">
      <c r="B11" t="s">
        <v>219</v>
      </c>
      <c r="C11" s="61">
        <v>0</v>
      </c>
    </row>
    <row r="12" spans="1:16" x14ac:dyDescent="0.35">
      <c r="B12" t="s">
        <v>61</v>
      </c>
      <c r="C12" s="61" t="s">
        <v>220</v>
      </c>
    </row>
    <row r="13" spans="1:16" x14ac:dyDescent="0.35">
      <c r="B13" t="s">
        <v>62</v>
      </c>
      <c r="C13" s="61" t="s">
        <v>71</v>
      </c>
    </row>
    <row r="14" spans="1:16" x14ac:dyDescent="0.35">
      <c r="B14" t="s">
        <v>63</v>
      </c>
      <c r="C14" s="61" t="b">
        <v>0</v>
      </c>
    </row>
    <row r="15" spans="1:16" x14ac:dyDescent="0.35">
      <c r="B15" t="s">
        <v>65</v>
      </c>
      <c r="C15" s="61" t="s">
        <v>221</v>
      </c>
    </row>
    <row r="16" spans="1:16" x14ac:dyDescent="0.35">
      <c r="B16" t="s">
        <v>66</v>
      </c>
      <c r="C16" s="61" t="s">
        <v>222</v>
      </c>
    </row>
    <row r="17" spans="2:3" s="30" customFormat="1" x14ac:dyDescent="0.35">
      <c r="B17" s="30" t="s">
        <v>73</v>
      </c>
      <c r="C17" s="63"/>
    </row>
    <row r="18" spans="2:3" x14ac:dyDescent="0.35">
      <c r="B18" t="s">
        <v>55</v>
      </c>
      <c r="C18" s="64">
        <v>43121</v>
      </c>
    </row>
    <row r="19" spans="2:3" x14ac:dyDescent="0.35">
      <c r="B19" t="s">
        <v>56</v>
      </c>
      <c r="C19" s="65">
        <v>7.1527777777777773E-2</v>
      </c>
    </row>
    <row r="20" spans="2:3" x14ac:dyDescent="0.35">
      <c r="B20" t="s">
        <v>57</v>
      </c>
      <c r="C20" s="61" t="s">
        <v>41</v>
      </c>
    </row>
    <row r="21" spans="2:3" x14ac:dyDescent="0.35">
      <c r="B21" t="s">
        <v>58</v>
      </c>
      <c r="C21" s="61" t="s">
        <v>68</v>
      </c>
    </row>
    <row r="22" spans="2:3" x14ac:dyDescent="0.35">
      <c r="B22" t="s">
        <v>59</v>
      </c>
      <c r="C22" s="61" t="s">
        <v>74</v>
      </c>
    </row>
    <row r="23" spans="2:3" x14ac:dyDescent="0.35">
      <c r="B23" t="s">
        <v>219</v>
      </c>
      <c r="C23" s="61">
        <v>13</v>
      </c>
    </row>
    <row r="24" spans="2:3" x14ac:dyDescent="0.35">
      <c r="B24" t="s">
        <v>61</v>
      </c>
      <c r="C24" s="61" t="s">
        <v>223</v>
      </c>
    </row>
    <row r="25" spans="2:3" x14ac:dyDescent="0.35">
      <c r="B25" t="s">
        <v>62</v>
      </c>
      <c r="C25" s="61" t="s">
        <v>76</v>
      </c>
    </row>
    <row r="26" spans="2:3" x14ac:dyDescent="0.35">
      <c r="B26" t="s">
        <v>63</v>
      </c>
      <c r="C26" s="61" t="b">
        <v>0</v>
      </c>
    </row>
    <row r="27" spans="2:3" x14ac:dyDescent="0.35">
      <c r="B27" t="s">
        <v>65</v>
      </c>
      <c r="C27" s="61" t="s">
        <v>77</v>
      </c>
    </row>
    <row r="28" spans="2:3" x14ac:dyDescent="0.35">
      <c r="B28" t="s">
        <v>66</v>
      </c>
    </row>
    <row r="29" spans="2:3" s="30" customFormat="1" x14ac:dyDescent="0.35">
      <c r="B29" s="30" t="s">
        <v>78</v>
      </c>
      <c r="C29" s="63"/>
    </row>
    <row r="30" spans="2:3" x14ac:dyDescent="0.35">
      <c r="B30" t="s">
        <v>55</v>
      </c>
      <c r="C30" s="64">
        <v>43415</v>
      </c>
    </row>
    <row r="31" spans="2:3" x14ac:dyDescent="0.35">
      <c r="B31" t="s">
        <v>56</v>
      </c>
      <c r="C31" s="65">
        <v>0.15972222222222221</v>
      </c>
    </row>
    <row r="32" spans="2:3" x14ac:dyDescent="0.35">
      <c r="B32" t="s">
        <v>57</v>
      </c>
      <c r="C32" s="61" t="s">
        <v>41</v>
      </c>
    </row>
    <row r="33" spans="2:3" x14ac:dyDescent="0.35">
      <c r="B33" t="s">
        <v>58</v>
      </c>
      <c r="C33" s="61" t="s">
        <v>68</v>
      </c>
    </row>
    <row r="34" spans="2:3" x14ac:dyDescent="0.35">
      <c r="B34" t="s">
        <v>59</v>
      </c>
      <c r="C34" s="61" t="s">
        <v>79</v>
      </c>
    </row>
    <row r="35" spans="2:3" x14ac:dyDescent="0.35">
      <c r="B35" t="s">
        <v>219</v>
      </c>
      <c r="C35" s="61">
        <v>45</v>
      </c>
    </row>
    <row r="36" spans="2:3" x14ac:dyDescent="0.35">
      <c r="B36" t="s">
        <v>61</v>
      </c>
      <c r="C36" s="61" t="s">
        <v>70</v>
      </c>
    </row>
    <row r="37" spans="2:3" x14ac:dyDescent="0.35">
      <c r="B37" t="s">
        <v>62</v>
      </c>
      <c r="C37" s="61" t="s">
        <v>76</v>
      </c>
    </row>
    <row r="38" spans="2:3" x14ac:dyDescent="0.35">
      <c r="B38" t="s">
        <v>63</v>
      </c>
      <c r="C38" s="61" t="b">
        <v>0</v>
      </c>
    </row>
    <row r="39" spans="2:3" x14ac:dyDescent="0.35">
      <c r="B39" t="s">
        <v>65</v>
      </c>
      <c r="C39" s="61" t="s">
        <v>80</v>
      </c>
    </row>
    <row r="40" spans="2:3" x14ac:dyDescent="0.35">
      <c r="B40" t="s">
        <v>66</v>
      </c>
      <c r="C40" s="61" t="s">
        <v>69</v>
      </c>
    </row>
    <row r="41" spans="2:3" s="30" customFormat="1" x14ac:dyDescent="0.35">
      <c r="B41" s="30" t="s">
        <v>81</v>
      </c>
      <c r="C41" s="63"/>
    </row>
    <row r="42" spans="2:3" x14ac:dyDescent="0.35">
      <c r="B42" t="s">
        <v>55</v>
      </c>
      <c r="C42" s="64">
        <v>43450</v>
      </c>
    </row>
    <row r="43" spans="2:3" x14ac:dyDescent="0.35">
      <c r="B43" t="s">
        <v>56</v>
      </c>
      <c r="C43" s="65">
        <v>0.27291666666666659</v>
      </c>
    </row>
    <row r="44" spans="2:3" x14ac:dyDescent="0.35">
      <c r="B44" t="s">
        <v>57</v>
      </c>
      <c r="C44" s="61" t="s">
        <v>41</v>
      </c>
    </row>
    <row r="45" spans="2:3" x14ac:dyDescent="0.35">
      <c r="B45" t="s">
        <v>58</v>
      </c>
      <c r="C45" s="61" t="s">
        <v>68</v>
      </c>
    </row>
    <row r="46" spans="2:3" x14ac:dyDescent="0.35">
      <c r="B46" t="s">
        <v>59</v>
      </c>
      <c r="C46" s="61" t="s">
        <v>82</v>
      </c>
    </row>
    <row r="47" spans="2:3" x14ac:dyDescent="0.35">
      <c r="B47" t="s">
        <v>219</v>
      </c>
      <c r="C47" s="61">
        <v>78</v>
      </c>
    </row>
    <row r="48" spans="2:3" x14ac:dyDescent="0.35">
      <c r="B48" t="s">
        <v>61</v>
      </c>
      <c r="C48" s="61" t="s">
        <v>70</v>
      </c>
    </row>
    <row r="49" spans="2:3" x14ac:dyDescent="0.35">
      <c r="B49" t="s">
        <v>62</v>
      </c>
      <c r="C49" s="61" t="s">
        <v>76</v>
      </c>
    </row>
    <row r="50" spans="2:3" x14ac:dyDescent="0.35">
      <c r="B50" t="s">
        <v>63</v>
      </c>
      <c r="C50" s="61" t="b">
        <v>0</v>
      </c>
    </row>
    <row r="51" spans="2:3" x14ac:dyDescent="0.35">
      <c r="B51" t="s">
        <v>65</v>
      </c>
      <c r="C51" s="61" t="s">
        <v>83</v>
      </c>
    </row>
    <row r="52" spans="2:3" x14ac:dyDescent="0.35">
      <c r="B52" t="s">
        <v>66</v>
      </c>
      <c r="C52" s="61" t="s">
        <v>84</v>
      </c>
    </row>
    <row r="53" spans="2:3" s="30" customFormat="1" x14ac:dyDescent="0.35">
      <c r="B53" s="30" t="s">
        <v>224</v>
      </c>
      <c r="C53" s="63"/>
    </row>
    <row r="54" spans="2:3" x14ac:dyDescent="0.35">
      <c r="B54" t="s">
        <v>55</v>
      </c>
      <c r="C54" s="64">
        <v>43552</v>
      </c>
    </row>
    <row r="55" spans="2:3" x14ac:dyDescent="0.35">
      <c r="B55" t="s">
        <v>56</v>
      </c>
      <c r="C55" s="65">
        <v>0.9770833333333333</v>
      </c>
    </row>
    <row r="56" spans="2:3" x14ac:dyDescent="0.35">
      <c r="B56" t="s">
        <v>57</v>
      </c>
      <c r="C56" s="61" t="s">
        <v>41</v>
      </c>
    </row>
    <row r="57" spans="2:3" x14ac:dyDescent="0.35">
      <c r="B57" t="s">
        <v>58</v>
      </c>
      <c r="C57" s="61" t="s">
        <v>68</v>
      </c>
    </row>
    <row r="58" spans="2:3" x14ac:dyDescent="0.35">
      <c r="B58" t="s">
        <v>59</v>
      </c>
      <c r="C58" s="61" t="s">
        <v>225</v>
      </c>
    </row>
    <row r="59" spans="2:3" x14ac:dyDescent="0.35">
      <c r="B59" t="s">
        <v>219</v>
      </c>
      <c r="C59" s="61">
        <v>150</v>
      </c>
    </row>
    <row r="60" spans="2:3" x14ac:dyDescent="0.35">
      <c r="B60" t="s">
        <v>61</v>
      </c>
      <c r="C60" s="61" t="s">
        <v>226</v>
      </c>
    </row>
    <row r="61" spans="2:3" x14ac:dyDescent="0.35">
      <c r="B61" t="s">
        <v>62</v>
      </c>
      <c r="C61" s="61" t="s">
        <v>76</v>
      </c>
    </row>
    <row r="62" spans="2:3" x14ac:dyDescent="0.35">
      <c r="B62" t="s">
        <v>63</v>
      </c>
      <c r="C62" s="61" t="b">
        <v>0</v>
      </c>
    </row>
    <row r="63" spans="2:3" x14ac:dyDescent="0.35">
      <c r="B63" t="s">
        <v>65</v>
      </c>
      <c r="C63" s="61" t="s">
        <v>227</v>
      </c>
    </row>
    <row r="64" spans="2:3" x14ac:dyDescent="0.35">
      <c r="B64" t="s">
        <v>66</v>
      </c>
      <c r="C64" s="61" t="s">
        <v>69</v>
      </c>
    </row>
    <row r="65" spans="2:3" s="30" customFormat="1" x14ac:dyDescent="0.35">
      <c r="B65" s="30" t="s">
        <v>228</v>
      </c>
      <c r="C65" s="63"/>
    </row>
    <row r="66" spans="2:3" x14ac:dyDescent="0.35">
      <c r="B66" t="s">
        <v>55</v>
      </c>
      <c r="C66" s="64">
        <v>43590</v>
      </c>
    </row>
    <row r="67" spans="2:3" x14ac:dyDescent="0.35">
      <c r="B67" t="s">
        <v>56</v>
      </c>
      <c r="C67" s="65">
        <v>0.25</v>
      </c>
    </row>
    <row r="68" spans="2:3" x14ac:dyDescent="0.35">
      <c r="B68" t="s">
        <v>57</v>
      </c>
      <c r="C68" s="61" t="s">
        <v>41</v>
      </c>
    </row>
    <row r="69" spans="2:3" x14ac:dyDescent="0.35">
      <c r="B69" t="s">
        <v>58</v>
      </c>
      <c r="C69" s="61" t="s">
        <v>68</v>
      </c>
    </row>
    <row r="70" spans="2:3" x14ac:dyDescent="0.35">
      <c r="B70" t="s">
        <v>59</v>
      </c>
      <c r="C70" s="61" t="s">
        <v>229</v>
      </c>
    </row>
    <row r="71" spans="2:3" x14ac:dyDescent="0.35">
      <c r="B71" t="s">
        <v>219</v>
      </c>
      <c r="C71" s="61">
        <v>180</v>
      </c>
    </row>
    <row r="72" spans="2:3" x14ac:dyDescent="0.35">
      <c r="B72" t="s">
        <v>61</v>
      </c>
      <c r="C72" s="61" t="s">
        <v>230</v>
      </c>
    </row>
    <row r="73" spans="2:3" x14ac:dyDescent="0.35">
      <c r="B73" t="s">
        <v>62</v>
      </c>
      <c r="C73" s="61" t="s">
        <v>76</v>
      </c>
    </row>
    <row r="74" spans="2:3" x14ac:dyDescent="0.35">
      <c r="B74" t="s">
        <v>63</v>
      </c>
      <c r="C74" s="61" t="b">
        <v>0</v>
      </c>
    </row>
    <row r="75" spans="2:3" x14ac:dyDescent="0.35">
      <c r="B75" t="s">
        <v>65</v>
      </c>
      <c r="C75" s="61" t="s">
        <v>231</v>
      </c>
    </row>
    <row r="76" spans="2:3" x14ac:dyDescent="0.35">
      <c r="B76" t="s">
        <v>66</v>
      </c>
      <c r="C76" s="61" t="s">
        <v>69</v>
      </c>
    </row>
    <row r="77" spans="2:3" s="30" customFormat="1" x14ac:dyDescent="0.35">
      <c r="B77" s="30" t="s">
        <v>232</v>
      </c>
      <c r="C77" s="63"/>
    </row>
    <row r="78" spans="2:3" x14ac:dyDescent="0.35">
      <c r="B78" t="s">
        <v>55</v>
      </c>
      <c r="C78" s="64">
        <v>43645</v>
      </c>
    </row>
    <row r="79" spans="2:3" x14ac:dyDescent="0.35">
      <c r="B79" t="s">
        <v>56</v>
      </c>
      <c r="C79" s="65">
        <v>0.1875</v>
      </c>
    </row>
    <row r="80" spans="2:3" x14ac:dyDescent="0.35">
      <c r="B80" t="s">
        <v>57</v>
      </c>
      <c r="C80" s="61" t="s">
        <v>41</v>
      </c>
    </row>
    <row r="81" spans="2:3" x14ac:dyDescent="0.35">
      <c r="B81" t="s">
        <v>58</v>
      </c>
      <c r="C81" s="61" t="s">
        <v>68</v>
      </c>
    </row>
    <row r="82" spans="2:3" x14ac:dyDescent="0.35">
      <c r="B82" t="s">
        <v>59</v>
      </c>
      <c r="C82" s="61" t="s">
        <v>233</v>
      </c>
    </row>
    <row r="83" spans="2:3" x14ac:dyDescent="0.35">
      <c r="B83" t="s">
        <v>219</v>
      </c>
      <c r="C83" s="61">
        <v>80</v>
      </c>
    </row>
    <row r="84" spans="2:3" x14ac:dyDescent="0.35">
      <c r="B84" t="s">
        <v>61</v>
      </c>
      <c r="C84" s="61" t="s">
        <v>234</v>
      </c>
    </row>
    <row r="85" spans="2:3" x14ac:dyDescent="0.35">
      <c r="B85" t="s">
        <v>62</v>
      </c>
      <c r="C85" s="61" t="s">
        <v>76</v>
      </c>
    </row>
    <row r="86" spans="2:3" x14ac:dyDescent="0.35">
      <c r="B86" t="s">
        <v>63</v>
      </c>
      <c r="C86" s="61" t="b">
        <v>0</v>
      </c>
    </row>
    <row r="87" spans="2:3" x14ac:dyDescent="0.35">
      <c r="B87" t="s">
        <v>65</v>
      </c>
      <c r="C87" s="61" t="s">
        <v>235</v>
      </c>
    </row>
    <row r="88" spans="2:3" x14ac:dyDescent="0.35">
      <c r="B88" t="s">
        <v>66</v>
      </c>
    </row>
    <row r="89" spans="2:3" s="30" customFormat="1" x14ac:dyDescent="0.35">
      <c r="C89" s="63"/>
    </row>
    <row r="90" spans="2:3" x14ac:dyDescent="0.35">
      <c r="B90" t="s">
        <v>55</v>
      </c>
    </row>
    <row r="91" spans="2:3" x14ac:dyDescent="0.35">
      <c r="B91" t="s">
        <v>56</v>
      </c>
    </row>
    <row r="92" spans="2:3" x14ac:dyDescent="0.35">
      <c r="B92" t="s">
        <v>57</v>
      </c>
    </row>
    <row r="93" spans="2:3" x14ac:dyDescent="0.35">
      <c r="B93" t="s">
        <v>58</v>
      </c>
    </row>
    <row r="94" spans="2:3" x14ac:dyDescent="0.35">
      <c r="B94" t="s">
        <v>59</v>
      </c>
    </row>
    <row r="95" spans="2:3" x14ac:dyDescent="0.35">
      <c r="B95" t="s">
        <v>61</v>
      </c>
    </row>
    <row r="96" spans="2:3" x14ac:dyDescent="0.35">
      <c r="B96" t="s">
        <v>62</v>
      </c>
    </row>
    <row r="97" spans="2:3" x14ac:dyDescent="0.35">
      <c r="B97" t="s">
        <v>63</v>
      </c>
    </row>
    <row r="98" spans="2:3" x14ac:dyDescent="0.35">
      <c r="B98" t="s">
        <v>65</v>
      </c>
    </row>
    <row r="99" spans="2:3" x14ac:dyDescent="0.35">
      <c r="B99" t="s">
        <v>66</v>
      </c>
    </row>
    <row r="100" spans="2:3" s="30" customFormat="1" x14ac:dyDescent="0.35">
      <c r="C100" s="63"/>
    </row>
    <row r="101" spans="2:3" x14ac:dyDescent="0.35">
      <c r="B101" t="s">
        <v>55</v>
      </c>
    </row>
    <row r="102" spans="2:3" x14ac:dyDescent="0.35">
      <c r="B102" t="s">
        <v>56</v>
      </c>
    </row>
    <row r="103" spans="2:3" x14ac:dyDescent="0.35">
      <c r="B103" t="s">
        <v>57</v>
      </c>
    </row>
    <row r="104" spans="2:3" x14ac:dyDescent="0.35">
      <c r="B104" t="s">
        <v>58</v>
      </c>
    </row>
    <row r="105" spans="2:3" x14ac:dyDescent="0.35">
      <c r="B105" t="s">
        <v>59</v>
      </c>
    </row>
    <row r="106" spans="2:3" x14ac:dyDescent="0.35">
      <c r="B106" t="s">
        <v>61</v>
      </c>
    </row>
    <row r="107" spans="2:3" x14ac:dyDescent="0.35">
      <c r="B107" t="s">
        <v>62</v>
      </c>
    </row>
    <row r="108" spans="2:3" x14ac:dyDescent="0.35">
      <c r="B108" t="s">
        <v>63</v>
      </c>
    </row>
    <row r="109" spans="2:3" x14ac:dyDescent="0.35">
      <c r="B109" t="s">
        <v>65</v>
      </c>
    </row>
    <row r="110" spans="2:3" x14ac:dyDescent="0.35">
      <c r="B110" t="s">
        <v>66</v>
      </c>
    </row>
    <row r="111" spans="2:3" s="30" customFormat="1" x14ac:dyDescent="0.35">
      <c r="C111" s="63"/>
    </row>
    <row r="112" spans="2:3" x14ac:dyDescent="0.35">
      <c r="B112" t="s">
        <v>55</v>
      </c>
    </row>
    <row r="113" spans="2:3" x14ac:dyDescent="0.35">
      <c r="B113" t="s">
        <v>56</v>
      </c>
    </row>
    <row r="114" spans="2:3" x14ac:dyDescent="0.35">
      <c r="B114" t="s">
        <v>57</v>
      </c>
    </row>
    <row r="115" spans="2:3" x14ac:dyDescent="0.35">
      <c r="B115" t="s">
        <v>58</v>
      </c>
    </row>
    <row r="116" spans="2:3" x14ac:dyDescent="0.35">
      <c r="B116" t="s">
        <v>59</v>
      </c>
    </row>
    <row r="117" spans="2:3" x14ac:dyDescent="0.35">
      <c r="B117" t="s">
        <v>61</v>
      </c>
    </row>
    <row r="118" spans="2:3" x14ac:dyDescent="0.35">
      <c r="B118" t="s">
        <v>62</v>
      </c>
    </row>
    <row r="119" spans="2:3" x14ac:dyDescent="0.35">
      <c r="B119" t="s">
        <v>63</v>
      </c>
    </row>
    <row r="120" spans="2:3" x14ac:dyDescent="0.35">
      <c r="B120" t="s">
        <v>65</v>
      </c>
    </row>
    <row r="121" spans="2:3" x14ac:dyDescent="0.35">
      <c r="B121" t="s">
        <v>66</v>
      </c>
    </row>
    <row r="122" spans="2:3" s="30" customFormat="1" x14ac:dyDescent="0.35">
      <c r="C122" s="63"/>
    </row>
    <row r="123" spans="2:3" x14ac:dyDescent="0.35">
      <c r="B123" t="s">
        <v>55</v>
      </c>
    </row>
    <row r="124" spans="2:3" x14ac:dyDescent="0.35">
      <c r="B124" t="s">
        <v>56</v>
      </c>
    </row>
    <row r="125" spans="2:3" x14ac:dyDescent="0.35">
      <c r="B125" t="s">
        <v>57</v>
      </c>
    </row>
    <row r="126" spans="2:3" x14ac:dyDescent="0.35">
      <c r="B126" t="s">
        <v>58</v>
      </c>
    </row>
    <row r="127" spans="2:3" x14ac:dyDescent="0.35">
      <c r="B127" t="s">
        <v>59</v>
      </c>
    </row>
    <row r="128" spans="2:3" x14ac:dyDescent="0.35">
      <c r="B128" t="s">
        <v>61</v>
      </c>
    </row>
    <row r="129" spans="1:13" x14ac:dyDescent="0.35">
      <c r="B129" t="s">
        <v>62</v>
      </c>
    </row>
    <row r="130" spans="1:13" x14ac:dyDescent="0.35">
      <c r="B130" t="s">
        <v>63</v>
      </c>
    </row>
    <row r="131" spans="1:13" x14ac:dyDescent="0.35">
      <c r="B131" t="s">
        <v>65</v>
      </c>
    </row>
    <row r="132" spans="1:13" x14ac:dyDescent="0.35">
      <c r="B132" t="s">
        <v>66</v>
      </c>
    </row>
    <row r="136" spans="1:13" x14ac:dyDescent="0.35">
      <c r="A136" t="s">
        <v>67</v>
      </c>
      <c r="B136" s="5">
        <v>42880</v>
      </c>
      <c r="C136" s="65">
        <v>0.18055555555555561</v>
      </c>
      <c r="D136" t="s">
        <v>41</v>
      </c>
      <c r="E136" s="5" t="s">
        <v>68</v>
      </c>
      <c r="F136" t="s">
        <v>69</v>
      </c>
      <c r="G136">
        <v>0</v>
      </c>
      <c r="H136" t="s">
        <v>70</v>
      </c>
      <c r="I136" t="s">
        <v>71</v>
      </c>
      <c r="J136" t="b">
        <v>0</v>
      </c>
      <c r="K136">
        <v>1</v>
      </c>
      <c r="L136" t="s">
        <v>72</v>
      </c>
    </row>
    <row r="137" spans="1:13" x14ac:dyDescent="0.35">
      <c r="A137" t="s">
        <v>73</v>
      </c>
      <c r="B137" s="5">
        <v>43121</v>
      </c>
      <c r="C137" s="65">
        <v>7.1527777777777773E-2</v>
      </c>
      <c r="D137" t="s">
        <v>41</v>
      </c>
      <c r="E137" s="5" t="s">
        <v>68</v>
      </c>
      <c r="F137" t="s">
        <v>74</v>
      </c>
      <c r="G137">
        <v>13</v>
      </c>
      <c r="H137" t="s">
        <v>75</v>
      </c>
      <c r="I137" t="s">
        <v>76</v>
      </c>
      <c r="J137" t="b">
        <v>0</v>
      </c>
      <c r="K137">
        <v>2</v>
      </c>
      <c r="L137" t="s">
        <v>77</v>
      </c>
    </row>
    <row r="138" spans="1:13" x14ac:dyDescent="0.35">
      <c r="A138" t="s">
        <v>78</v>
      </c>
      <c r="B138" s="5">
        <v>43415</v>
      </c>
      <c r="C138" s="65">
        <v>0.15972222222222221</v>
      </c>
      <c r="D138" t="s">
        <v>41</v>
      </c>
      <c r="E138" s="5" t="s">
        <v>68</v>
      </c>
      <c r="F138" t="s">
        <v>79</v>
      </c>
      <c r="G138">
        <v>45</v>
      </c>
      <c r="H138" t="s">
        <v>70</v>
      </c>
      <c r="I138" t="s">
        <v>76</v>
      </c>
      <c r="J138" t="b">
        <v>0</v>
      </c>
      <c r="K138">
        <v>4</v>
      </c>
      <c r="L138" t="s">
        <v>80</v>
      </c>
    </row>
    <row r="139" spans="1:13" x14ac:dyDescent="0.35">
      <c r="A139" t="s">
        <v>81</v>
      </c>
      <c r="B139" s="5">
        <v>43450</v>
      </c>
      <c r="C139" s="65">
        <v>0.27291666666666659</v>
      </c>
      <c r="D139" t="s">
        <v>41</v>
      </c>
      <c r="E139" s="5" t="s">
        <v>68</v>
      </c>
      <c r="F139" t="s">
        <v>82</v>
      </c>
      <c r="G139">
        <v>78</v>
      </c>
      <c r="H139" t="s">
        <v>70</v>
      </c>
      <c r="I139" t="s">
        <v>76</v>
      </c>
      <c r="J139" t="b">
        <v>0</v>
      </c>
      <c r="K139">
        <v>1</v>
      </c>
      <c r="L139" t="s">
        <v>83</v>
      </c>
      <c r="M139" t="s">
        <v>84</v>
      </c>
    </row>
    <row r="140" spans="1:13" x14ac:dyDescent="0.35">
      <c r="D140" t="s">
        <v>41</v>
      </c>
      <c r="E140" s="5"/>
    </row>
  </sheetData>
  <hyperlinks>
    <hyperlink ref="A1" r:id="rId1" display="Launches"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5"/>
  <sheetViews>
    <sheetView workbookViewId="0">
      <selection activeCell="I37" sqref="I37"/>
    </sheetView>
  </sheetViews>
  <sheetFormatPr defaultRowHeight="14.5" x14ac:dyDescent="0.35"/>
  <cols>
    <col min="1" max="1" width="20.906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236</v>
      </c>
      <c r="B2" t="s">
        <v>237</v>
      </c>
      <c r="C2" t="s">
        <v>237</v>
      </c>
      <c r="D2" t="s">
        <v>237</v>
      </c>
      <c r="E2" t="s">
        <v>237</v>
      </c>
      <c r="F2" t="s">
        <v>237</v>
      </c>
      <c r="G2" t="s">
        <v>237</v>
      </c>
      <c r="H2" t="s">
        <v>237</v>
      </c>
      <c r="I2" t="s">
        <v>237</v>
      </c>
      <c r="J2" t="s">
        <v>237</v>
      </c>
      <c r="K2" t="s">
        <v>237</v>
      </c>
      <c r="L2" t="s">
        <v>237</v>
      </c>
      <c r="M2" t="s">
        <v>237</v>
      </c>
      <c r="N2" t="s">
        <v>237</v>
      </c>
      <c r="O2" t="s">
        <v>237</v>
      </c>
      <c r="P2" t="s">
        <v>237</v>
      </c>
      <c r="Q2" t="s">
        <v>238</v>
      </c>
      <c r="R2" t="s">
        <v>239</v>
      </c>
    </row>
    <row r="3" spans="1:18" x14ac:dyDescent="0.35">
      <c r="A3" s="1" t="s">
        <v>240</v>
      </c>
      <c r="B3" t="s">
        <v>237</v>
      </c>
      <c r="C3" t="s">
        <v>237</v>
      </c>
      <c r="D3" t="s">
        <v>237</v>
      </c>
      <c r="E3" t="s">
        <v>237</v>
      </c>
      <c r="F3" t="s">
        <v>237</v>
      </c>
      <c r="G3" t="s">
        <v>237</v>
      </c>
      <c r="H3" t="s">
        <v>237</v>
      </c>
      <c r="I3" t="s">
        <v>237</v>
      </c>
      <c r="J3" t="s">
        <v>237</v>
      </c>
      <c r="K3" t="s">
        <v>237</v>
      </c>
      <c r="L3" t="s">
        <v>237</v>
      </c>
      <c r="M3" t="s">
        <v>237</v>
      </c>
      <c r="N3" t="s">
        <v>237</v>
      </c>
      <c r="O3" t="s">
        <v>237</v>
      </c>
      <c r="P3" t="s">
        <v>237</v>
      </c>
      <c r="Q3" t="s">
        <v>241</v>
      </c>
      <c r="R3" t="s">
        <v>242</v>
      </c>
    </row>
    <row r="4" spans="1:18" x14ac:dyDescent="0.35">
      <c r="A4" s="1" t="s">
        <v>243</v>
      </c>
      <c r="B4" t="s">
        <v>237</v>
      </c>
      <c r="C4" t="s">
        <v>237</v>
      </c>
      <c r="D4" t="s">
        <v>237</v>
      </c>
      <c r="E4" t="s">
        <v>237</v>
      </c>
      <c r="F4" t="s">
        <v>237</v>
      </c>
      <c r="G4" t="s">
        <v>237</v>
      </c>
      <c r="H4" t="s">
        <v>237</v>
      </c>
      <c r="I4" t="s">
        <v>237</v>
      </c>
      <c r="J4" t="s">
        <v>237</v>
      </c>
      <c r="K4" t="s">
        <v>237</v>
      </c>
      <c r="L4" t="s">
        <v>237</v>
      </c>
      <c r="M4" t="s">
        <v>237</v>
      </c>
      <c r="N4" t="s">
        <v>237</v>
      </c>
      <c r="O4" t="s">
        <v>237</v>
      </c>
      <c r="P4" t="s">
        <v>237</v>
      </c>
      <c r="Q4" t="s">
        <v>244</v>
      </c>
      <c r="R4" t="s">
        <v>245</v>
      </c>
    </row>
    <row r="5" spans="1:18" x14ac:dyDescent="0.35">
      <c r="A5" s="1" t="s">
        <v>246</v>
      </c>
      <c r="B5" t="s">
        <v>237</v>
      </c>
      <c r="C5" t="s">
        <v>237</v>
      </c>
      <c r="D5" t="s">
        <v>237</v>
      </c>
      <c r="E5" t="s">
        <v>237</v>
      </c>
      <c r="F5" t="s">
        <v>237</v>
      </c>
      <c r="G5" t="s">
        <v>237</v>
      </c>
      <c r="H5" t="s">
        <v>237</v>
      </c>
      <c r="I5" t="s">
        <v>237</v>
      </c>
      <c r="J5" t="s">
        <v>237</v>
      </c>
      <c r="K5" t="s">
        <v>237</v>
      </c>
      <c r="L5" t="s">
        <v>237</v>
      </c>
      <c r="M5" t="s">
        <v>237</v>
      </c>
      <c r="N5" t="s">
        <v>237</v>
      </c>
      <c r="O5" t="s">
        <v>237</v>
      </c>
      <c r="P5" t="s">
        <v>237</v>
      </c>
      <c r="Q5" t="s">
        <v>237</v>
      </c>
      <c r="R5" t="s">
        <v>237</v>
      </c>
    </row>
    <row r="6" spans="1:18" x14ac:dyDescent="0.35">
      <c r="A6" s="1" t="s">
        <v>247</v>
      </c>
      <c r="B6" t="s">
        <v>237</v>
      </c>
      <c r="C6" t="s">
        <v>237</v>
      </c>
      <c r="D6" t="s">
        <v>237</v>
      </c>
      <c r="E6" t="s">
        <v>237</v>
      </c>
      <c r="F6" t="s">
        <v>237</v>
      </c>
      <c r="G6" t="s">
        <v>237</v>
      </c>
      <c r="H6" t="s">
        <v>237</v>
      </c>
      <c r="I6" t="s">
        <v>237</v>
      </c>
      <c r="J6" t="s">
        <v>237</v>
      </c>
      <c r="K6" t="s">
        <v>237</v>
      </c>
      <c r="L6" t="s">
        <v>237</v>
      </c>
      <c r="M6" t="s">
        <v>237</v>
      </c>
      <c r="N6" t="s">
        <v>237</v>
      </c>
      <c r="O6" t="s">
        <v>237</v>
      </c>
      <c r="P6" t="s">
        <v>237</v>
      </c>
      <c r="Q6" t="s">
        <v>248</v>
      </c>
      <c r="R6" t="s">
        <v>238</v>
      </c>
    </row>
    <row r="7" spans="1:18" x14ac:dyDescent="0.35">
      <c r="A7" s="1" t="s">
        <v>249</v>
      </c>
      <c r="B7" t="s">
        <v>237</v>
      </c>
      <c r="C7" t="s">
        <v>237</v>
      </c>
      <c r="D7" t="s">
        <v>237</v>
      </c>
      <c r="E7" t="s">
        <v>237</v>
      </c>
      <c r="F7" t="s">
        <v>237</v>
      </c>
      <c r="G7" t="s">
        <v>237</v>
      </c>
      <c r="H7" t="s">
        <v>237</v>
      </c>
      <c r="I7" t="s">
        <v>237</v>
      </c>
      <c r="J7" t="s">
        <v>237</v>
      </c>
      <c r="K7" t="s">
        <v>237</v>
      </c>
      <c r="L7" t="s">
        <v>237</v>
      </c>
      <c r="M7" t="s">
        <v>237</v>
      </c>
      <c r="N7" t="s">
        <v>237</v>
      </c>
      <c r="O7" t="s">
        <v>237</v>
      </c>
      <c r="P7" t="s">
        <v>237</v>
      </c>
      <c r="Q7" t="s">
        <v>250</v>
      </c>
      <c r="R7" t="s">
        <v>251</v>
      </c>
    </row>
    <row r="8" spans="1:18" x14ac:dyDescent="0.35">
      <c r="A8" s="1" t="s">
        <v>252</v>
      </c>
      <c r="B8" t="s">
        <v>237</v>
      </c>
      <c r="C8" t="s">
        <v>237</v>
      </c>
      <c r="D8" t="s">
        <v>237</v>
      </c>
      <c r="E8" t="s">
        <v>237</v>
      </c>
      <c r="F8" t="s">
        <v>237</v>
      </c>
      <c r="G8" t="s">
        <v>237</v>
      </c>
      <c r="H8" t="s">
        <v>237</v>
      </c>
      <c r="I8" t="s">
        <v>237</v>
      </c>
      <c r="J8" t="s">
        <v>237</v>
      </c>
      <c r="K8" t="s">
        <v>237</v>
      </c>
      <c r="L8" t="s">
        <v>237</v>
      </c>
      <c r="M8" t="s">
        <v>237</v>
      </c>
      <c r="N8" t="s">
        <v>237</v>
      </c>
      <c r="O8" t="s">
        <v>237</v>
      </c>
      <c r="P8" t="s">
        <v>237</v>
      </c>
      <c r="Q8" t="s">
        <v>253</v>
      </c>
      <c r="R8" t="s">
        <v>254</v>
      </c>
    </row>
    <row r="9" spans="1:18" x14ac:dyDescent="0.35">
      <c r="A9" s="1" t="s">
        <v>255</v>
      </c>
      <c r="B9" t="s">
        <v>237</v>
      </c>
      <c r="C9" t="s">
        <v>237</v>
      </c>
      <c r="D9" t="s">
        <v>237</v>
      </c>
      <c r="E9" t="s">
        <v>237</v>
      </c>
      <c r="F9" t="s">
        <v>237</v>
      </c>
      <c r="G9" t="s">
        <v>237</v>
      </c>
      <c r="H9" t="s">
        <v>237</v>
      </c>
      <c r="I9" t="s">
        <v>237</v>
      </c>
      <c r="J9" t="s">
        <v>237</v>
      </c>
      <c r="K9" t="s">
        <v>237</v>
      </c>
      <c r="L9" t="s">
        <v>237</v>
      </c>
      <c r="M9" t="s">
        <v>237</v>
      </c>
      <c r="N9" t="s">
        <v>237</v>
      </c>
      <c r="O9" t="s">
        <v>237</v>
      </c>
      <c r="P9" t="s">
        <v>237</v>
      </c>
      <c r="Q9" t="s">
        <v>256</v>
      </c>
      <c r="R9" t="s">
        <v>257</v>
      </c>
    </row>
    <row r="10" spans="1:18" x14ac:dyDescent="0.35">
      <c r="A10" s="1" t="s">
        <v>258</v>
      </c>
      <c r="B10" t="s">
        <v>237</v>
      </c>
      <c r="C10" t="s">
        <v>237</v>
      </c>
      <c r="D10" t="s">
        <v>237</v>
      </c>
      <c r="E10" t="s">
        <v>237</v>
      </c>
      <c r="F10" t="s">
        <v>237</v>
      </c>
      <c r="G10" t="s">
        <v>237</v>
      </c>
      <c r="H10" t="s">
        <v>237</v>
      </c>
      <c r="I10" t="s">
        <v>237</v>
      </c>
      <c r="J10" t="s">
        <v>237</v>
      </c>
      <c r="K10" t="s">
        <v>237</v>
      </c>
      <c r="L10" t="s">
        <v>237</v>
      </c>
      <c r="M10" t="s">
        <v>237</v>
      </c>
      <c r="N10" t="s">
        <v>237</v>
      </c>
      <c r="O10" t="s">
        <v>237</v>
      </c>
      <c r="P10" t="s">
        <v>237</v>
      </c>
      <c r="Q10" t="s">
        <v>259</v>
      </c>
      <c r="R10" t="s">
        <v>260</v>
      </c>
    </row>
    <row r="11" spans="1:18" x14ac:dyDescent="0.35">
      <c r="A11" s="1" t="s">
        <v>261</v>
      </c>
      <c r="B11" t="s">
        <v>237</v>
      </c>
      <c r="C11" t="s">
        <v>237</v>
      </c>
      <c r="D11" t="s">
        <v>237</v>
      </c>
      <c r="E11" t="s">
        <v>237</v>
      </c>
      <c r="F11" t="s">
        <v>237</v>
      </c>
      <c r="G11" t="s">
        <v>237</v>
      </c>
      <c r="H11" t="s">
        <v>237</v>
      </c>
      <c r="I11" t="s">
        <v>237</v>
      </c>
      <c r="J11" t="s">
        <v>237</v>
      </c>
      <c r="K11" t="s">
        <v>237</v>
      </c>
      <c r="L11" t="s">
        <v>237</v>
      </c>
      <c r="M11" t="s">
        <v>237</v>
      </c>
      <c r="N11" t="s">
        <v>237</v>
      </c>
      <c r="O11" t="s">
        <v>237</v>
      </c>
      <c r="P11" t="s">
        <v>237</v>
      </c>
      <c r="Q11" t="s">
        <v>237</v>
      </c>
      <c r="R11" t="s">
        <v>237</v>
      </c>
    </row>
    <row r="12" spans="1:18" x14ac:dyDescent="0.35">
      <c r="A12" s="1" t="s">
        <v>262</v>
      </c>
      <c r="B12" t="s">
        <v>237</v>
      </c>
      <c r="C12" t="s">
        <v>237</v>
      </c>
      <c r="D12" t="s">
        <v>237</v>
      </c>
      <c r="E12" t="s">
        <v>237</v>
      </c>
      <c r="F12" t="s">
        <v>237</v>
      </c>
      <c r="G12" t="s">
        <v>237</v>
      </c>
      <c r="H12" t="s">
        <v>237</v>
      </c>
      <c r="I12" t="s">
        <v>237</v>
      </c>
      <c r="J12" t="s">
        <v>237</v>
      </c>
      <c r="K12" t="s">
        <v>237</v>
      </c>
      <c r="L12" t="s">
        <v>237</v>
      </c>
      <c r="M12" t="s">
        <v>237</v>
      </c>
      <c r="N12" t="s">
        <v>237</v>
      </c>
      <c r="O12" t="s">
        <v>237</v>
      </c>
      <c r="P12" t="s">
        <v>237</v>
      </c>
      <c r="Q12" t="s">
        <v>263</v>
      </c>
      <c r="R12" t="s">
        <v>264</v>
      </c>
    </row>
    <row r="13" spans="1:18" x14ac:dyDescent="0.35">
      <c r="A13" s="1" t="s">
        <v>265</v>
      </c>
      <c r="B13" t="s">
        <v>237</v>
      </c>
      <c r="C13" t="s">
        <v>237</v>
      </c>
      <c r="D13" t="s">
        <v>237</v>
      </c>
      <c r="E13" t="s">
        <v>237</v>
      </c>
      <c r="F13" t="s">
        <v>237</v>
      </c>
      <c r="G13" t="s">
        <v>237</v>
      </c>
      <c r="H13" t="s">
        <v>237</v>
      </c>
      <c r="I13" t="s">
        <v>237</v>
      </c>
      <c r="J13" t="s">
        <v>237</v>
      </c>
      <c r="K13" t="s">
        <v>237</v>
      </c>
      <c r="L13" t="s">
        <v>237</v>
      </c>
      <c r="M13" t="s">
        <v>237</v>
      </c>
      <c r="N13" t="s">
        <v>237</v>
      </c>
      <c r="O13" t="s">
        <v>237</v>
      </c>
      <c r="P13" t="s">
        <v>237</v>
      </c>
      <c r="Q13" t="s">
        <v>266</v>
      </c>
      <c r="R13" t="s">
        <v>267</v>
      </c>
    </row>
    <row r="14" spans="1:18" x14ac:dyDescent="0.35">
      <c r="A14" s="1" t="s">
        <v>268</v>
      </c>
      <c r="B14" t="s">
        <v>237</v>
      </c>
      <c r="C14" t="s">
        <v>237</v>
      </c>
      <c r="D14" t="s">
        <v>237</v>
      </c>
      <c r="E14" t="s">
        <v>237</v>
      </c>
      <c r="F14" t="s">
        <v>237</v>
      </c>
      <c r="G14" t="s">
        <v>237</v>
      </c>
      <c r="H14" t="s">
        <v>237</v>
      </c>
      <c r="I14" t="s">
        <v>237</v>
      </c>
      <c r="J14" t="s">
        <v>237</v>
      </c>
      <c r="K14" t="s">
        <v>237</v>
      </c>
      <c r="L14" t="s">
        <v>237</v>
      </c>
      <c r="M14" t="s">
        <v>237</v>
      </c>
      <c r="N14" t="s">
        <v>237</v>
      </c>
      <c r="O14" t="s">
        <v>237</v>
      </c>
      <c r="P14" t="s">
        <v>237</v>
      </c>
      <c r="Q14" t="s">
        <v>269</v>
      </c>
      <c r="R14" t="s">
        <v>270</v>
      </c>
    </row>
    <row r="15" spans="1:18" x14ac:dyDescent="0.35">
      <c r="A15" s="1" t="s">
        <v>271</v>
      </c>
      <c r="B15" t="s">
        <v>237</v>
      </c>
      <c r="C15" t="s">
        <v>237</v>
      </c>
      <c r="D15" t="s">
        <v>237</v>
      </c>
      <c r="E15" t="s">
        <v>237</v>
      </c>
      <c r="F15" t="s">
        <v>237</v>
      </c>
      <c r="G15" t="s">
        <v>237</v>
      </c>
      <c r="H15" t="s">
        <v>237</v>
      </c>
      <c r="I15" t="s">
        <v>237</v>
      </c>
      <c r="J15" t="s">
        <v>237</v>
      </c>
      <c r="K15" t="s">
        <v>237</v>
      </c>
      <c r="L15" t="s">
        <v>237</v>
      </c>
      <c r="M15" t="s">
        <v>237</v>
      </c>
      <c r="N15" t="s">
        <v>237</v>
      </c>
      <c r="O15" t="s">
        <v>237</v>
      </c>
      <c r="P15" t="s">
        <v>237</v>
      </c>
      <c r="Q15" t="s">
        <v>272</v>
      </c>
      <c r="R15" t="s">
        <v>273</v>
      </c>
    </row>
    <row r="16" spans="1:18" x14ac:dyDescent="0.35">
      <c r="A16" s="1" t="s">
        <v>274</v>
      </c>
      <c r="B16" t="s">
        <v>237</v>
      </c>
      <c r="C16" t="s">
        <v>237</v>
      </c>
      <c r="D16" t="s">
        <v>237</v>
      </c>
      <c r="E16" t="s">
        <v>237</v>
      </c>
      <c r="F16" t="s">
        <v>237</v>
      </c>
      <c r="G16" t="s">
        <v>237</v>
      </c>
      <c r="H16" t="s">
        <v>237</v>
      </c>
      <c r="I16" t="s">
        <v>237</v>
      </c>
      <c r="J16" t="s">
        <v>237</v>
      </c>
      <c r="K16" t="s">
        <v>237</v>
      </c>
      <c r="L16" t="s">
        <v>237</v>
      </c>
      <c r="M16" t="s">
        <v>237</v>
      </c>
      <c r="N16" t="s">
        <v>237</v>
      </c>
      <c r="O16" t="s">
        <v>237</v>
      </c>
      <c r="P16" t="s">
        <v>237</v>
      </c>
      <c r="Q16" t="s">
        <v>275</v>
      </c>
      <c r="R16" t="s">
        <v>276</v>
      </c>
    </row>
    <row r="17" spans="1:18" x14ac:dyDescent="0.35">
      <c r="A17" s="1" t="s">
        <v>277</v>
      </c>
      <c r="B17" t="s">
        <v>237</v>
      </c>
      <c r="C17" t="s">
        <v>237</v>
      </c>
      <c r="D17" t="s">
        <v>237</v>
      </c>
      <c r="E17" t="s">
        <v>237</v>
      </c>
      <c r="F17" t="s">
        <v>237</v>
      </c>
      <c r="G17" t="s">
        <v>237</v>
      </c>
      <c r="H17" t="s">
        <v>237</v>
      </c>
      <c r="I17" t="s">
        <v>237</v>
      </c>
      <c r="J17" t="s">
        <v>237</v>
      </c>
      <c r="K17" t="s">
        <v>237</v>
      </c>
      <c r="L17" t="s">
        <v>237</v>
      </c>
      <c r="M17" t="s">
        <v>237</v>
      </c>
      <c r="N17" t="s">
        <v>237</v>
      </c>
      <c r="O17" t="s">
        <v>237</v>
      </c>
      <c r="P17" t="s">
        <v>237</v>
      </c>
      <c r="Q17" t="s">
        <v>278</v>
      </c>
      <c r="R17" t="s">
        <v>279</v>
      </c>
    </row>
    <row r="18" spans="1:18" x14ac:dyDescent="0.35">
      <c r="A18" s="1" t="s">
        <v>280</v>
      </c>
      <c r="B18" t="s">
        <v>237</v>
      </c>
      <c r="C18" t="s">
        <v>237</v>
      </c>
      <c r="D18" t="s">
        <v>237</v>
      </c>
      <c r="E18" t="s">
        <v>237</v>
      </c>
      <c r="F18" t="s">
        <v>237</v>
      </c>
      <c r="G18" t="s">
        <v>237</v>
      </c>
      <c r="H18" t="s">
        <v>237</v>
      </c>
      <c r="I18" t="s">
        <v>237</v>
      </c>
      <c r="J18" t="s">
        <v>237</v>
      </c>
      <c r="K18" t="s">
        <v>237</v>
      </c>
      <c r="L18" t="s">
        <v>237</v>
      </c>
      <c r="M18" t="s">
        <v>237</v>
      </c>
      <c r="N18" t="s">
        <v>237</v>
      </c>
      <c r="O18" t="s">
        <v>237</v>
      </c>
      <c r="P18" t="s">
        <v>237</v>
      </c>
      <c r="Q18" t="s">
        <v>281</v>
      </c>
      <c r="R18" t="s">
        <v>282</v>
      </c>
    </row>
    <row r="19" spans="1:18" x14ac:dyDescent="0.35">
      <c r="A19" s="1" t="s">
        <v>283</v>
      </c>
      <c r="B19" t="s">
        <v>237</v>
      </c>
      <c r="C19" t="s">
        <v>237</v>
      </c>
      <c r="D19" t="s">
        <v>237</v>
      </c>
      <c r="E19" t="s">
        <v>237</v>
      </c>
      <c r="F19" t="s">
        <v>237</v>
      </c>
      <c r="G19" t="s">
        <v>237</v>
      </c>
      <c r="H19" t="s">
        <v>237</v>
      </c>
      <c r="I19" t="s">
        <v>237</v>
      </c>
      <c r="J19" t="s">
        <v>237</v>
      </c>
      <c r="K19" t="s">
        <v>237</v>
      </c>
      <c r="L19" t="s">
        <v>237</v>
      </c>
      <c r="M19" t="s">
        <v>237</v>
      </c>
      <c r="N19" t="s">
        <v>237</v>
      </c>
      <c r="O19" t="s">
        <v>237</v>
      </c>
      <c r="P19" t="s">
        <v>237</v>
      </c>
      <c r="Q19" t="s">
        <v>237</v>
      </c>
      <c r="R19" t="s">
        <v>284</v>
      </c>
    </row>
    <row r="20" spans="1:18" x14ac:dyDescent="0.35">
      <c r="A20" s="1" t="s">
        <v>285</v>
      </c>
      <c r="B20" t="s">
        <v>237</v>
      </c>
      <c r="C20" t="s">
        <v>237</v>
      </c>
      <c r="D20" t="s">
        <v>237</v>
      </c>
      <c r="E20" t="s">
        <v>237</v>
      </c>
      <c r="F20" t="s">
        <v>237</v>
      </c>
      <c r="G20" t="s">
        <v>237</v>
      </c>
      <c r="H20" t="s">
        <v>237</v>
      </c>
      <c r="I20" t="s">
        <v>237</v>
      </c>
      <c r="J20" t="s">
        <v>237</v>
      </c>
      <c r="K20" t="s">
        <v>237</v>
      </c>
      <c r="L20" t="s">
        <v>237</v>
      </c>
      <c r="M20" t="s">
        <v>237</v>
      </c>
      <c r="N20" t="s">
        <v>237</v>
      </c>
      <c r="O20" t="s">
        <v>237</v>
      </c>
      <c r="P20" t="s">
        <v>237</v>
      </c>
      <c r="Q20" t="s">
        <v>286</v>
      </c>
      <c r="R20" t="s">
        <v>287</v>
      </c>
    </row>
    <row r="21" spans="1:18" x14ac:dyDescent="0.35">
      <c r="A21" s="1" t="s">
        <v>288</v>
      </c>
      <c r="B21" t="s">
        <v>237</v>
      </c>
      <c r="C21" t="s">
        <v>237</v>
      </c>
      <c r="D21" t="s">
        <v>237</v>
      </c>
      <c r="E21" t="s">
        <v>237</v>
      </c>
      <c r="F21" t="s">
        <v>237</v>
      </c>
      <c r="G21" t="s">
        <v>237</v>
      </c>
      <c r="H21" t="s">
        <v>237</v>
      </c>
      <c r="I21" t="s">
        <v>237</v>
      </c>
      <c r="J21" t="s">
        <v>237</v>
      </c>
      <c r="K21" t="s">
        <v>237</v>
      </c>
      <c r="L21" t="s">
        <v>237</v>
      </c>
      <c r="M21" t="s">
        <v>237</v>
      </c>
      <c r="N21" t="s">
        <v>237</v>
      </c>
      <c r="O21" t="s">
        <v>237</v>
      </c>
      <c r="P21" t="s">
        <v>237</v>
      </c>
      <c r="Q21" t="s">
        <v>289</v>
      </c>
      <c r="R21" t="s">
        <v>290</v>
      </c>
    </row>
    <row r="22" spans="1:18" x14ac:dyDescent="0.35">
      <c r="A22" s="1" t="s">
        <v>291</v>
      </c>
      <c r="B22" t="s">
        <v>237</v>
      </c>
      <c r="C22" t="s">
        <v>237</v>
      </c>
      <c r="D22" t="s">
        <v>237</v>
      </c>
      <c r="E22" t="s">
        <v>237</v>
      </c>
      <c r="F22" t="s">
        <v>237</v>
      </c>
      <c r="G22" t="s">
        <v>237</v>
      </c>
      <c r="H22" t="s">
        <v>237</v>
      </c>
      <c r="I22" t="s">
        <v>237</v>
      </c>
      <c r="J22" t="s">
        <v>237</v>
      </c>
      <c r="K22" t="s">
        <v>237</v>
      </c>
      <c r="L22" t="s">
        <v>237</v>
      </c>
      <c r="M22" t="s">
        <v>237</v>
      </c>
      <c r="N22" t="s">
        <v>237</v>
      </c>
      <c r="O22" t="s">
        <v>237</v>
      </c>
      <c r="P22" t="s">
        <v>237</v>
      </c>
      <c r="Q22" t="s">
        <v>292</v>
      </c>
      <c r="R22" t="s">
        <v>293</v>
      </c>
    </row>
    <row r="23" spans="1:18" x14ac:dyDescent="0.35">
      <c r="A23" s="1" t="s">
        <v>294</v>
      </c>
      <c r="B23" t="s">
        <v>237</v>
      </c>
      <c r="C23" t="s">
        <v>237</v>
      </c>
      <c r="D23" t="s">
        <v>237</v>
      </c>
      <c r="E23" t="s">
        <v>237</v>
      </c>
      <c r="F23" t="s">
        <v>237</v>
      </c>
      <c r="G23" t="s">
        <v>237</v>
      </c>
      <c r="H23" t="s">
        <v>237</v>
      </c>
      <c r="I23" t="s">
        <v>237</v>
      </c>
      <c r="J23" t="s">
        <v>237</v>
      </c>
      <c r="K23" t="s">
        <v>237</v>
      </c>
      <c r="L23" t="s">
        <v>237</v>
      </c>
      <c r="M23" t="s">
        <v>237</v>
      </c>
      <c r="N23" t="s">
        <v>237</v>
      </c>
      <c r="O23" t="s">
        <v>237</v>
      </c>
      <c r="P23" t="s">
        <v>237</v>
      </c>
      <c r="Q23" t="s">
        <v>295</v>
      </c>
      <c r="R23" t="s">
        <v>296</v>
      </c>
    </row>
    <row r="24" spans="1:18" x14ac:dyDescent="0.35">
      <c r="A24" s="1" t="s">
        <v>297</v>
      </c>
      <c r="B24" t="s">
        <v>237</v>
      </c>
      <c r="C24" t="s">
        <v>237</v>
      </c>
      <c r="D24" t="s">
        <v>237</v>
      </c>
      <c r="E24" t="s">
        <v>237</v>
      </c>
      <c r="F24" t="s">
        <v>237</v>
      </c>
      <c r="G24" t="s">
        <v>237</v>
      </c>
      <c r="H24" t="s">
        <v>237</v>
      </c>
      <c r="I24" t="s">
        <v>237</v>
      </c>
      <c r="J24" t="s">
        <v>237</v>
      </c>
      <c r="K24" t="s">
        <v>237</v>
      </c>
      <c r="L24" t="s">
        <v>237</v>
      </c>
      <c r="M24" t="s">
        <v>237</v>
      </c>
      <c r="N24" t="s">
        <v>237</v>
      </c>
      <c r="O24" t="s">
        <v>237</v>
      </c>
      <c r="P24" t="s">
        <v>237</v>
      </c>
      <c r="Q24" t="s">
        <v>298</v>
      </c>
      <c r="R24" t="s">
        <v>298</v>
      </c>
    </row>
    <row r="25" spans="1:18" x14ac:dyDescent="0.35">
      <c r="A25" s="1" t="s">
        <v>299</v>
      </c>
      <c r="B25" t="s">
        <v>237</v>
      </c>
      <c r="C25" t="s">
        <v>237</v>
      </c>
      <c r="D25" t="s">
        <v>237</v>
      </c>
      <c r="E25" t="s">
        <v>237</v>
      </c>
      <c r="F25" t="s">
        <v>237</v>
      </c>
      <c r="G25" t="s">
        <v>237</v>
      </c>
      <c r="H25" t="s">
        <v>237</v>
      </c>
      <c r="I25" t="s">
        <v>237</v>
      </c>
      <c r="J25" t="s">
        <v>237</v>
      </c>
      <c r="K25" t="s">
        <v>237</v>
      </c>
      <c r="L25" t="s">
        <v>237</v>
      </c>
      <c r="M25" t="s">
        <v>237</v>
      </c>
      <c r="N25" t="s">
        <v>237</v>
      </c>
      <c r="O25" t="s">
        <v>237</v>
      </c>
      <c r="P25" t="s">
        <v>237</v>
      </c>
      <c r="Q25" t="s">
        <v>237</v>
      </c>
      <c r="R25"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
  <sheetViews>
    <sheetView workbookViewId="0">
      <selection activeCell="B24" sqref="B24"/>
    </sheetView>
  </sheetViews>
  <sheetFormatPr defaultRowHeight="14.5" x14ac:dyDescent="0.35"/>
  <cols>
    <col min="1" max="1" width="17.54296875" customWidth="1"/>
  </cols>
  <sheetData>
    <row r="1" spans="1:2" x14ac:dyDescent="0.35">
      <c r="B1" s="1" t="s">
        <v>300</v>
      </c>
    </row>
    <row r="2" spans="1:2" x14ac:dyDescent="0.35">
      <c r="A2" s="1" t="s">
        <v>132</v>
      </c>
      <c r="B2" t="s">
        <v>263</v>
      </c>
    </row>
    <row r="3" spans="1:2" x14ac:dyDescent="0.35">
      <c r="A3" s="1" t="s">
        <v>301</v>
      </c>
      <c r="B3" t="s">
        <v>302</v>
      </c>
    </row>
    <row r="4" spans="1:2" x14ac:dyDescent="0.35">
      <c r="A4" s="1" t="s">
        <v>134</v>
      </c>
      <c r="B4" t="s">
        <v>303</v>
      </c>
    </row>
    <row r="5" spans="1:2" x14ac:dyDescent="0.35">
      <c r="A5" s="1" t="s">
        <v>304</v>
      </c>
      <c r="B5" t="s">
        <v>305</v>
      </c>
    </row>
    <row r="6" spans="1:2" x14ac:dyDescent="0.35">
      <c r="A6" s="1" t="s">
        <v>306</v>
      </c>
      <c r="B6" t="s">
        <v>307</v>
      </c>
    </row>
    <row r="7" spans="1:2" x14ac:dyDescent="0.35">
      <c r="A7" s="1" t="s">
        <v>308</v>
      </c>
      <c r="B7" t="s">
        <v>309</v>
      </c>
    </row>
    <row r="8" spans="1:2" x14ac:dyDescent="0.35">
      <c r="A8" s="1" t="s">
        <v>310</v>
      </c>
      <c r="B8" t="s">
        <v>311</v>
      </c>
    </row>
    <row r="9" spans="1:2" x14ac:dyDescent="0.35">
      <c r="A9" s="1" t="s">
        <v>312</v>
      </c>
      <c r="B9" t="s">
        <v>237</v>
      </c>
    </row>
    <row r="10" spans="1:2" x14ac:dyDescent="0.35">
      <c r="A10" s="1" t="s">
        <v>313</v>
      </c>
      <c r="B10" t="s">
        <v>237</v>
      </c>
    </row>
    <row r="11" spans="1:2" x14ac:dyDescent="0.35">
      <c r="A11" s="1" t="s">
        <v>314</v>
      </c>
      <c r="B11" t="s">
        <v>237</v>
      </c>
    </row>
    <row r="12" spans="1:2" x14ac:dyDescent="0.35">
      <c r="A12" s="1" t="s">
        <v>315</v>
      </c>
      <c r="B12" t="s">
        <v>316</v>
      </c>
    </row>
    <row r="13" spans="1:2" x14ac:dyDescent="0.35">
      <c r="A13" s="1" t="s">
        <v>317</v>
      </c>
      <c r="B13" t="s">
        <v>237</v>
      </c>
    </row>
    <row r="14" spans="1:2" x14ac:dyDescent="0.35">
      <c r="A14" s="1" t="s">
        <v>318</v>
      </c>
      <c r="B14" t="s">
        <v>319</v>
      </c>
    </row>
    <row r="15" spans="1:2" x14ac:dyDescent="0.35">
      <c r="A15" s="1" t="s">
        <v>320</v>
      </c>
      <c r="B15" t="s">
        <v>269</v>
      </c>
    </row>
    <row r="16" spans="1:2" x14ac:dyDescent="0.35">
      <c r="A16" s="1" t="s">
        <v>321</v>
      </c>
      <c r="B16" t="s">
        <v>322</v>
      </c>
    </row>
    <row r="17" spans="1:2" x14ac:dyDescent="0.35">
      <c r="A17" s="1" t="s">
        <v>323</v>
      </c>
      <c r="B17" t="s">
        <v>324</v>
      </c>
    </row>
    <row r="18" spans="1:2" x14ac:dyDescent="0.35">
      <c r="A18" s="1" t="s">
        <v>325</v>
      </c>
      <c r="B18" t="s">
        <v>326</v>
      </c>
    </row>
    <row r="19" spans="1:2" x14ac:dyDescent="0.35">
      <c r="A19" s="1" t="s">
        <v>327</v>
      </c>
      <c r="B19" t="s">
        <v>328</v>
      </c>
    </row>
    <row r="20" spans="1:2" x14ac:dyDescent="0.35">
      <c r="A20" s="1" t="s">
        <v>329</v>
      </c>
      <c r="B20" t="s">
        <v>330</v>
      </c>
    </row>
    <row r="21" spans="1:2" x14ac:dyDescent="0.35">
      <c r="A21" s="1" t="s">
        <v>331</v>
      </c>
      <c r="B21" t="s">
        <v>332</v>
      </c>
    </row>
    <row r="22" spans="1:2" x14ac:dyDescent="0.35">
      <c r="A22" s="1" t="s">
        <v>333</v>
      </c>
      <c r="B22" t="s">
        <v>334</v>
      </c>
    </row>
    <row r="23" spans="1:2" x14ac:dyDescent="0.35">
      <c r="A23" s="1" t="s">
        <v>335</v>
      </c>
      <c r="B23" t="s">
        <v>336</v>
      </c>
    </row>
    <row r="24" spans="1:2" x14ac:dyDescent="0.35">
      <c r="A24" s="1" t="s">
        <v>146</v>
      </c>
      <c r="B24">
        <v>-117</v>
      </c>
    </row>
    <row r="25" spans="1:2" x14ac:dyDescent="0.35">
      <c r="A25" s="1" t="s">
        <v>337</v>
      </c>
      <c r="B25" t="s">
        <v>338</v>
      </c>
    </row>
    <row r="26" spans="1:2" x14ac:dyDescent="0.35">
      <c r="A26" s="1" t="s">
        <v>150</v>
      </c>
      <c r="B26" t="s">
        <v>339</v>
      </c>
    </row>
    <row r="27" spans="1:2" x14ac:dyDescent="0.35">
      <c r="A27" s="1" t="s">
        <v>340</v>
      </c>
      <c r="B27" t="s">
        <v>339</v>
      </c>
    </row>
    <row r="28" spans="1:2" x14ac:dyDescent="0.35">
      <c r="A28" s="1" t="s">
        <v>341</v>
      </c>
      <c r="B28" t="s">
        <v>253</v>
      </c>
    </row>
    <row r="29" spans="1:2" x14ac:dyDescent="0.35">
      <c r="A29" s="1" t="s">
        <v>342</v>
      </c>
      <c r="B29" t="s">
        <v>253</v>
      </c>
    </row>
    <row r="31" spans="1:2" x14ac:dyDescent="0.35">
      <c r="A31" s="3" t="s">
        <v>343</v>
      </c>
      <c r="B31" s="2">
        <f>B4/B2</f>
        <v>-3.2258064516129031E-2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0"/>
  <sheetViews>
    <sheetView workbookViewId="0"/>
  </sheetViews>
  <sheetFormatPr defaultRowHeight="14.5" x14ac:dyDescent="0.35"/>
  <sheetData>
    <row r="1" spans="1:2" x14ac:dyDescent="0.35">
      <c r="B1" s="1" t="s">
        <v>300</v>
      </c>
    </row>
    <row r="2" spans="1:2" x14ac:dyDescent="0.35">
      <c r="A2" s="1" t="s">
        <v>344</v>
      </c>
      <c r="B2" t="s">
        <v>345</v>
      </c>
    </row>
    <row r="3" spans="1:2" x14ac:dyDescent="0.35">
      <c r="A3" s="1" t="s">
        <v>346</v>
      </c>
      <c r="B3" t="s">
        <v>237</v>
      </c>
    </row>
    <row r="4" spans="1:2" x14ac:dyDescent="0.35">
      <c r="A4" s="1" t="s">
        <v>347</v>
      </c>
      <c r="B4" t="s">
        <v>345</v>
      </c>
    </row>
    <row r="5" spans="1:2" x14ac:dyDescent="0.35">
      <c r="A5" s="1" t="s">
        <v>348</v>
      </c>
      <c r="B5" t="s">
        <v>349</v>
      </c>
    </row>
    <row r="6" spans="1:2" x14ac:dyDescent="0.35">
      <c r="A6" s="1" t="s">
        <v>350</v>
      </c>
      <c r="B6" t="s">
        <v>351</v>
      </c>
    </row>
    <row r="7" spans="1:2" x14ac:dyDescent="0.35">
      <c r="A7" s="1" t="s">
        <v>352</v>
      </c>
      <c r="B7" t="s">
        <v>353</v>
      </c>
    </row>
    <row r="8" spans="1:2" x14ac:dyDescent="0.35">
      <c r="A8" s="1" t="s">
        <v>354</v>
      </c>
      <c r="B8" t="s">
        <v>355</v>
      </c>
    </row>
    <row r="9" spans="1:2" x14ac:dyDescent="0.35">
      <c r="A9" s="1" t="s">
        <v>167</v>
      </c>
      <c r="B9" t="s">
        <v>356</v>
      </c>
    </row>
    <row r="10" spans="1:2" x14ac:dyDescent="0.35">
      <c r="A10" s="1" t="s">
        <v>169</v>
      </c>
      <c r="B10" t="s">
        <v>357</v>
      </c>
    </row>
    <row r="11" spans="1:2" x14ac:dyDescent="0.35">
      <c r="A11" s="1" t="s">
        <v>358</v>
      </c>
      <c r="B11" t="s">
        <v>359</v>
      </c>
    </row>
    <row r="12" spans="1:2" x14ac:dyDescent="0.35">
      <c r="A12" s="1" t="s">
        <v>360</v>
      </c>
      <c r="B12" t="s">
        <v>361</v>
      </c>
    </row>
    <row r="13" spans="1:2" x14ac:dyDescent="0.35">
      <c r="A13" s="1" t="s">
        <v>362</v>
      </c>
      <c r="B13" t="s">
        <v>237</v>
      </c>
    </row>
    <row r="14" spans="1:2" x14ac:dyDescent="0.35">
      <c r="A14" s="1" t="s">
        <v>363</v>
      </c>
      <c r="B14" t="s">
        <v>319</v>
      </c>
    </row>
    <row r="15" spans="1:2" x14ac:dyDescent="0.35">
      <c r="A15" s="1" t="s">
        <v>364</v>
      </c>
      <c r="B15" t="s">
        <v>319</v>
      </c>
    </row>
    <row r="16" spans="1:2" x14ac:dyDescent="0.35">
      <c r="A16" s="1" t="s">
        <v>365</v>
      </c>
      <c r="B16" t="s">
        <v>366</v>
      </c>
    </row>
    <row r="17" spans="1:2" x14ac:dyDescent="0.35">
      <c r="A17" s="1" t="s">
        <v>367</v>
      </c>
      <c r="B17" t="s">
        <v>237</v>
      </c>
    </row>
    <row r="18" spans="1:2" x14ac:dyDescent="0.35">
      <c r="A18" s="1" t="s">
        <v>368</v>
      </c>
      <c r="B18" t="s">
        <v>369</v>
      </c>
    </row>
    <row r="19" spans="1:2" x14ac:dyDescent="0.35">
      <c r="A19" s="1" t="s">
        <v>370</v>
      </c>
      <c r="B19" t="s">
        <v>371</v>
      </c>
    </row>
    <row r="20" spans="1:2" x14ac:dyDescent="0.35">
      <c r="A20" s="1" t="s">
        <v>372</v>
      </c>
      <c r="B20" t="s">
        <v>371</v>
      </c>
    </row>
    <row r="21" spans="1:2" x14ac:dyDescent="0.35">
      <c r="A21" s="1" t="s">
        <v>373</v>
      </c>
      <c r="B21" t="s">
        <v>237</v>
      </c>
    </row>
    <row r="22" spans="1:2" x14ac:dyDescent="0.35">
      <c r="A22" s="1" t="s">
        <v>374</v>
      </c>
      <c r="B22" t="s">
        <v>237</v>
      </c>
    </row>
    <row r="23" spans="1:2" x14ac:dyDescent="0.35">
      <c r="A23" s="1" t="s">
        <v>375</v>
      </c>
      <c r="B23" t="s">
        <v>376</v>
      </c>
    </row>
    <row r="24" spans="1:2" x14ac:dyDescent="0.35">
      <c r="A24" s="1" t="s">
        <v>377</v>
      </c>
      <c r="B24" t="s">
        <v>378</v>
      </c>
    </row>
    <row r="25" spans="1:2" x14ac:dyDescent="0.35">
      <c r="A25" s="1" t="s">
        <v>379</v>
      </c>
      <c r="B25" t="s">
        <v>237</v>
      </c>
    </row>
    <row r="26" spans="1:2" x14ac:dyDescent="0.35">
      <c r="A26" s="1" t="s">
        <v>380</v>
      </c>
      <c r="B26" t="s">
        <v>381</v>
      </c>
    </row>
    <row r="27" spans="1:2" x14ac:dyDescent="0.35">
      <c r="A27" s="1" t="s">
        <v>382</v>
      </c>
      <c r="B27" t="s">
        <v>383</v>
      </c>
    </row>
    <row r="28" spans="1:2" x14ac:dyDescent="0.35">
      <c r="A28" s="1" t="s">
        <v>384</v>
      </c>
      <c r="B28" t="s">
        <v>383</v>
      </c>
    </row>
    <row r="29" spans="1:2" x14ac:dyDescent="0.35">
      <c r="A29" s="1" t="s">
        <v>385</v>
      </c>
      <c r="B29" t="s">
        <v>237</v>
      </c>
    </row>
    <row r="30" spans="1:2" x14ac:dyDescent="0.35">
      <c r="A30" s="1" t="s">
        <v>386</v>
      </c>
      <c r="B30" t="s">
        <v>237</v>
      </c>
    </row>
    <row r="31" spans="1:2" x14ac:dyDescent="0.35">
      <c r="A31" s="1" t="s">
        <v>387</v>
      </c>
      <c r="B31" t="s">
        <v>388</v>
      </c>
    </row>
    <row r="32" spans="1:2" x14ac:dyDescent="0.35">
      <c r="A32" s="1" t="s">
        <v>389</v>
      </c>
      <c r="B32" t="s">
        <v>237</v>
      </c>
    </row>
    <row r="33" spans="1:2" x14ac:dyDescent="0.35">
      <c r="A33" s="1" t="s">
        <v>201</v>
      </c>
      <c r="B33" t="s">
        <v>381</v>
      </c>
    </row>
    <row r="34" spans="1:2" x14ac:dyDescent="0.35">
      <c r="A34" s="1" t="s">
        <v>390</v>
      </c>
      <c r="B34" t="s">
        <v>391</v>
      </c>
    </row>
    <row r="35" spans="1:2" x14ac:dyDescent="0.35">
      <c r="A35" s="1" t="s">
        <v>392</v>
      </c>
      <c r="B35" t="s">
        <v>393</v>
      </c>
    </row>
    <row r="36" spans="1:2" x14ac:dyDescent="0.35">
      <c r="A36" s="1" t="s">
        <v>394</v>
      </c>
      <c r="B36" t="s">
        <v>395</v>
      </c>
    </row>
    <row r="37" spans="1:2" x14ac:dyDescent="0.35">
      <c r="A37" s="1" t="s">
        <v>396</v>
      </c>
      <c r="B37" t="s">
        <v>286</v>
      </c>
    </row>
    <row r="38" spans="1:2" x14ac:dyDescent="0.35">
      <c r="A38" s="1" t="s">
        <v>397</v>
      </c>
      <c r="B38" t="s">
        <v>369</v>
      </c>
    </row>
    <row r="39" spans="1:2" x14ac:dyDescent="0.35">
      <c r="A39" s="1" t="s">
        <v>398</v>
      </c>
      <c r="B39" t="s">
        <v>237</v>
      </c>
    </row>
    <row r="40" spans="1:2" x14ac:dyDescent="0.35">
      <c r="A40" s="1" t="s">
        <v>399</v>
      </c>
      <c r="B40" t="s">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9"/>
  <sheetViews>
    <sheetView workbookViewId="0"/>
  </sheetViews>
  <sheetFormatPr defaultRowHeight="14.5" x14ac:dyDescent="0.35"/>
  <sheetData>
    <row r="1" spans="1:2" x14ac:dyDescent="0.35">
      <c r="B1" s="1" t="s">
        <v>300</v>
      </c>
    </row>
    <row r="2" spans="1:2" x14ac:dyDescent="0.35">
      <c r="A2" s="1" t="s">
        <v>146</v>
      </c>
      <c r="B2" t="s">
        <v>272</v>
      </c>
    </row>
    <row r="3" spans="1:2" x14ac:dyDescent="0.35">
      <c r="A3" s="1" t="s">
        <v>320</v>
      </c>
      <c r="B3" t="s">
        <v>269</v>
      </c>
    </row>
    <row r="4" spans="1:2" x14ac:dyDescent="0.35">
      <c r="A4" s="1" t="s">
        <v>400</v>
      </c>
      <c r="B4" t="s">
        <v>401</v>
      </c>
    </row>
    <row r="5" spans="1:2" x14ac:dyDescent="0.35">
      <c r="A5" s="1" t="s">
        <v>402</v>
      </c>
      <c r="B5" t="s">
        <v>403</v>
      </c>
    </row>
    <row r="6" spans="1:2" x14ac:dyDescent="0.35">
      <c r="A6" s="1" t="s">
        <v>404</v>
      </c>
      <c r="B6" t="s">
        <v>405</v>
      </c>
    </row>
    <row r="7" spans="1:2" x14ac:dyDescent="0.35">
      <c r="A7" s="1" t="s">
        <v>406</v>
      </c>
      <c r="B7" t="s">
        <v>405</v>
      </c>
    </row>
    <row r="8" spans="1:2" x14ac:dyDescent="0.35">
      <c r="A8" s="1" t="s">
        <v>350</v>
      </c>
      <c r="B8" t="s">
        <v>407</v>
      </c>
    </row>
    <row r="9" spans="1:2" x14ac:dyDescent="0.35">
      <c r="A9" s="1" t="s">
        <v>370</v>
      </c>
      <c r="B9" t="s">
        <v>237</v>
      </c>
    </row>
    <row r="10" spans="1:2" x14ac:dyDescent="0.35">
      <c r="A10" s="1" t="s">
        <v>408</v>
      </c>
      <c r="B10" t="s">
        <v>409</v>
      </c>
    </row>
    <row r="11" spans="1:2" x14ac:dyDescent="0.35">
      <c r="A11" s="1" t="s">
        <v>410</v>
      </c>
      <c r="B11" t="s">
        <v>411</v>
      </c>
    </row>
    <row r="12" spans="1:2" x14ac:dyDescent="0.35">
      <c r="A12" s="1" t="s">
        <v>412</v>
      </c>
      <c r="B12" t="s">
        <v>413</v>
      </c>
    </row>
    <row r="13" spans="1:2" x14ac:dyDescent="0.35">
      <c r="A13" s="1" t="s">
        <v>414</v>
      </c>
      <c r="B13" t="s">
        <v>415</v>
      </c>
    </row>
    <row r="14" spans="1:2" x14ac:dyDescent="0.35">
      <c r="A14" s="1" t="s">
        <v>416</v>
      </c>
      <c r="B14" t="s">
        <v>237</v>
      </c>
    </row>
    <row r="15" spans="1:2" x14ac:dyDescent="0.35">
      <c r="A15" s="1" t="s">
        <v>417</v>
      </c>
      <c r="B15" t="s">
        <v>237</v>
      </c>
    </row>
    <row r="16" spans="1:2" x14ac:dyDescent="0.35">
      <c r="A16" s="1" t="s">
        <v>418</v>
      </c>
      <c r="B16" t="s">
        <v>237</v>
      </c>
    </row>
    <row r="17" spans="1:2" x14ac:dyDescent="0.35">
      <c r="A17" s="1" t="s">
        <v>419</v>
      </c>
      <c r="B17" t="s">
        <v>420</v>
      </c>
    </row>
    <row r="18" spans="1:2" x14ac:dyDescent="0.35">
      <c r="A18" s="1" t="s">
        <v>421</v>
      </c>
      <c r="B18" t="s">
        <v>422</v>
      </c>
    </row>
    <row r="19" spans="1:2" x14ac:dyDescent="0.35">
      <c r="A19" s="1" t="s">
        <v>423</v>
      </c>
      <c r="B19" t="s">
        <v>237</v>
      </c>
    </row>
    <row r="20" spans="1:2" x14ac:dyDescent="0.35">
      <c r="A20" s="1" t="s">
        <v>424</v>
      </c>
      <c r="B20" t="s">
        <v>371</v>
      </c>
    </row>
    <row r="21" spans="1:2" x14ac:dyDescent="0.35">
      <c r="A21" s="1" t="s">
        <v>425</v>
      </c>
      <c r="B21" t="s">
        <v>237</v>
      </c>
    </row>
    <row r="22" spans="1:2" x14ac:dyDescent="0.35">
      <c r="A22" s="1" t="s">
        <v>426</v>
      </c>
      <c r="B22" t="s">
        <v>237</v>
      </c>
    </row>
    <row r="23" spans="1:2" x14ac:dyDescent="0.35">
      <c r="A23" s="1" t="s">
        <v>427</v>
      </c>
      <c r="B23" t="s">
        <v>428</v>
      </c>
    </row>
    <row r="24" spans="1:2" x14ac:dyDescent="0.35">
      <c r="A24" s="1" t="s">
        <v>429</v>
      </c>
      <c r="B24" t="s">
        <v>430</v>
      </c>
    </row>
    <row r="25" spans="1:2" x14ac:dyDescent="0.35">
      <c r="A25" s="1" t="s">
        <v>431</v>
      </c>
      <c r="B25" t="s">
        <v>432</v>
      </c>
    </row>
    <row r="26" spans="1:2" x14ac:dyDescent="0.35">
      <c r="A26" s="1" t="s">
        <v>433</v>
      </c>
      <c r="B26" t="s">
        <v>434</v>
      </c>
    </row>
    <row r="27" spans="1:2" x14ac:dyDescent="0.35">
      <c r="A27" s="1" t="s">
        <v>435</v>
      </c>
      <c r="B27" t="s">
        <v>436</v>
      </c>
    </row>
    <row r="28" spans="1:2" x14ac:dyDescent="0.35">
      <c r="A28" s="1" t="s">
        <v>437</v>
      </c>
      <c r="B28" t="s">
        <v>237</v>
      </c>
    </row>
    <row r="29" spans="1:2" x14ac:dyDescent="0.35">
      <c r="A29" s="1" t="s">
        <v>438</v>
      </c>
      <c r="B29"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Info</vt:lpstr>
      <vt:lpstr>Competition</vt:lpstr>
      <vt:lpstr>Model</vt:lpstr>
      <vt:lpstr>Missions</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2024-02-07T10:13:40Z</dcterms:modified>
</cp:coreProperties>
</file>