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RKLB/"/>
    </mc:Choice>
  </mc:AlternateContent>
  <xr:revisionPtr revIDLastSave="286" documentId="11_32F529B52D6BE98CFA6CB7C5EF4E847091985DFA" xr6:coauthVersionLast="47" xr6:coauthVersionMax="47" xr10:uidLastSave="{BCE6E34B-2B39-4B6A-9FBA-6689763446DA}"/>
  <bookViews>
    <workbookView xWindow="10920" yWindow="1030" windowWidth="26720" windowHeight="17120" activeTab="2" xr2:uid="{00000000-000D-0000-FFFF-FFFF00000000}"/>
  </bookViews>
  <sheets>
    <sheet name="Main" sheetId="1" r:id="rId1"/>
    <sheet name="Info" sheetId="2" r:id="rId2"/>
    <sheet name="Model" sheetId="3" r:id="rId3"/>
    <sheet name="Missions" sheetId="4" r:id="rId4"/>
    <sheet name="Summary" sheetId="5" r:id="rId5"/>
    <sheet name="Income Statement" sheetId="6" r:id="rId6"/>
    <sheet name="Balance Sheet" sheetId="7" r:id="rId7"/>
    <sheet name="Cash Flow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69" i="3" l="1"/>
  <c r="AE169" i="3"/>
  <c r="AF169" i="3"/>
  <c r="AG169" i="3"/>
  <c r="AH169" i="3"/>
  <c r="AD170" i="3"/>
  <c r="AE170" i="3"/>
  <c r="AF170" i="3"/>
  <c r="AG170" i="3"/>
  <c r="AH170" i="3"/>
  <c r="AD171" i="3"/>
  <c r="AE171" i="3"/>
  <c r="AF171" i="3"/>
  <c r="AG171" i="3"/>
  <c r="AH171" i="3"/>
  <c r="AB169" i="3"/>
  <c r="AB170" i="3"/>
  <c r="AB171" i="3"/>
  <c r="AA171" i="3"/>
  <c r="AA170" i="3"/>
  <c r="AA169" i="3"/>
  <c r="AC171" i="3"/>
  <c r="AC170" i="3"/>
  <c r="AC169" i="3"/>
  <c r="AD152" i="3"/>
  <c r="AE152" i="3"/>
  <c r="AF152" i="3"/>
  <c r="AG152" i="3"/>
  <c r="AH152" i="3"/>
  <c r="AD144" i="3"/>
  <c r="AE144" i="3"/>
  <c r="AF144" i="3"/>
  <c r="AG144" i="3"/>
  <c r="AH144" i="3"/>
  <c r="AD131" i="3"/>
  <c r="AE131" i="3"/>
  <c r="AF131" i="3"/>
  <c r="AG131" i="3"/>
  <c r="AH131" i="3"/>
  <c r="AD121" i="3"/>
  <c r="AE121" i="3"/>
  <c r="AF121" i="3"/>
  <c r="AG121" i="3"/>
  <c r="AH121" i="3"/>
  <c r="AB112" i="3"/>
  <c r="AC112" i="3"/>
  <c r="AD112" i="3"/>
  <c r="AD113" i="3" s="1"/>
  <c r="AE112" i="3"/>
  <c r="AF112" i="3"/>
  <c r="AG112" i="3"/>
  <c r="AH112" i="3"/>
  <c r="AE113" i="3"/>
  <c r="AA112" i="3"/>
  <c r="AA113" i="3" s="1"/>
  <c r="AB162" i="3"/>
  <c r="AB161" i="3" s="1"/>
  <c r="AA162" i="3"/>
  <c r="AA161" i="3" s="1"/>
  <c r="AC162" i="3"/>
  <c r="AC161" i="3" s="1"/>
  <c r="N32" i="3"/>
  <c r="N16" i="3"/>
  <c r="N42" i="3" s="1"/>
  <c r="N177" i="3"/>
  <c r="N176" i="3"/>
  <c r="N155" i="3"/>
  <c r="J155" i="3"/>
  <c r="J150" i="3"/>
  <c r="J151" i="3"/>
  <c r="N151" i="3"/>
  <c r="N150" i="3"/>
  <c r="O144" i="3"/>
  <c r="P144" i="3"/>
  <c r="O145" i="3"/>
  <c r="P145" i="3"/>
  <c r="N144" i="3"/>
  <c r="N131" i="3"/>
  <c r="N112" i="3"/>
  <c r="O112" i="3"/>
  <c r="N98" i="3"/>
  <c r="N99" i="3" s="1"/>
  <c r="M32" i="3"/>
  <c r="M16" i="3"/>
  <c r="M43" i="3" s="1"/>
  <c r="M152" i="3"/>
  <c r="M144" i="3"/>
  <c r="M131" i="3"/>
  <c r="M121" i="3"/>
  <c r="N121" i="3"/>
  <c r="H112" i="3"/>
  <c r="G112" i="3"/>
  <c r="J112" i="3"/>
  <c r="K112" i="3"/>
  <c r="I112" i="3"/>
  <c r="M112" i="3"/>
  <c r="M98" i="3"/>
  <c r="M99" i="3" s="1"/>
  <c r="B31" i="6"/>
  <c r="W188" i="3"/>
  <c r="W187" i="3"/>
  <c r="W186" i="3"/>
  <c r="W185" i="3"/>
  <c r="W184" i="3"/>
  <c r="W183" i="3"/>
  <c r="AC177" i="3"/>
  <c r="AB177" i="3"/>
  <c r="AA177" i="3"/>
  <c r="K177" i="3"/>
  <c r="J177" i="3"/>
  <c r="I177" i="3"/>
  <c r="G177" i="3"/>
  <c r="F177" i="3"/>
  <c r="E177" i="3"/>
  <c r="D177" i="3"/>
  <c r="C177" i="3"/>
  <c r="AC176" i="3"/>
  <c r="AB176" i="3"/>
  <c r="AA176" i="3"/>
  <c r="K176" i="3"/>
  <c r="J176" i="3"/>
  <c r="I176" i="3"/>
  <c r="G176" i="3"/>
  <c r="F176" i="3"/>
  <c r="E176" i="3"/>
  <c r="D176" i="3"/>
  <c r="C176" i="3"/>
  <c r="AC152" i="3"/>
  <c r="AB152" i="3"/>
  <c r="AA152" i="3"/>
  <c r="K152" i="3"/>
  <c r="I152" i="3"/>
  <c r="H152" i="3"/>
  <c r="G152" i="3"/>
  <c r="F152" i="3"/>
  <c r="E152" i="3"/>
  <c r="D152" i="3"/>
  <c r="C152" i="3"/>
  <c r="AC144" i="3"/>
  <c r="AB144" i="3"/>
  <c r="AA144" i="3"/>
  <c r="K144" i="3"/>
  <c r="J144" i="3"/>
  <c r="I144" i="3"/>
  <c r="H144" i="3"/>
  <c r="G144" i="3"/>
  <c r="F144" i="3"/>
  <c r="E144" i="3"/>
  <c r="D144" i="3"/>
  <c r="C144" i="3"/>
  <c r="L143" i="3"/>
  <c r="L142" i="3"/>
  <c r="L141" i="3"/>
  <c r="L140" i="3"/>
  <c r="AA139" i="3"/>
  <c r="L139" i="3"/>
  <c r="L138" i="3"/>
  <c r="L137" i="3"/>
  <c r="L136" i="3"/>
  <c r="L135" i="3"/>
  <c r="L134" i="3"/>
  <c r="AC131" i="3"/>
  <c r="AB131" i="3"/>
  <c r="AA131" i="3"/>
  <c r="K131" i="3"/>
  <c r="J131" i="3"/>
  <c r="I131" i="3"/>
  <c r="H131" i="3"/>
  <c r="G131" i="3"/>
  <c r="F131" i="3"/>
  <c r="E131" i="3"/>
  <c r="D131" i="3"/>
  <c r="C131" i="3"/>
  <c r="L130" i="3"/>
  <c r="L129" i="3"/>
  <c r="L127" i="3"/>
  <c r="L126" i="3"/>
  <c r="L125" i="3"/>
  <c r="L124" i="3"/>
  <c r="AC121" i="3"/>
  <c r="AB121" i="3"/>
  <c r="AA121" i="3"/>
  <c r="K121" i="3"/>
  <c r="J121" i="3"/>
  <c r="I121" i="3"/>
  <c r="H121" i="3"/>
  <c r="G121" i="3"/>
  <c r="F121" i="3"/>
  <c r="E121" i="3"/>
  <c r="D121" i="3"/>
  <c r="C121" i="3"/>
  <c r="L120" i="3"/>
  <c r="L119" i="3"/>
  <c r="L118" i="3"/>
  <c r="L117" i="3"/>
  <c r="L116" i="3"/>
  <c r="L115" i="3"/>
  <c r="L111" i="3"/>
  <c r="L110" i="3"/>
  <c r="L109" i="3"/>
  <c r="L108" i="3"/>
  <c r="L107" i="3"/>
  <c r="L106" i="3"/>
  <c r="L105" i="3"/>
  <c r="L104" i="3"/>
  <c r="L103" i="3"/>
  <c r="L102" i="3"/>
  <c r="L101" i="3"/>
  <c r="AH99" i="3"/>
  <c r="AG99" i="3"/>
  <c r="AF99" i="3"/>
  <c r="AE99" i="3"/>
  <c r="AD99" i="3"/>
  <c r="AC99" i="3"/>
  <c r="AB99" i="3"/>
  <c r="AA99" i="3"/>
  <c r="W99" i="3"/>
  <c r="W113" i="3" s="1"/>
  <c r="V99" i="3"/>
  <c r="V113" i="3" s="1"/>
  <c r="U99" i="3"/>
  <c r="U113" i="3" s="1"/>
  <c r="T99" i="3"/>
  <c r="T113" i="3" s="1"/>
  <c r="O99" i="3"/>
  <c r="K99" i="3"/>
  <c r="K113" i="3" s="1"/>
  <c r="J99" i="3"/>
  <c r="J113" i="3" s="1"/>
  <c r="I99" i="3"/>
  <c r="H99" i="3"/>
  <c r="G99" i="3"/>
  <c r="F99" i="3"/>
  <c r="E99" i="3"/>
  <c r="D99" i="3"/>
  <c r="C99" i="3"/>
  <c r="C113" i="3" s="1"/>
  <c r="L98" i="3"/>
  <c r="L97" i="3"/>
  <c r="L96" i="3"/>
  <c r="L95" i="3"/>
  <c r="L94" i="3"/>
  <c r="L93" i="3"/>
  <c r="AB83" i="3"/>
  <c r="K83" i="3"/>
  <c r="J83" i="3"/>
  <c r="G83" i="3"/>
  <c r="F83" i="3"/>
  <c r="H70" i="3"/>
  <c r="H176" i="3" s="1"/>
  <c r="L67" i="3"/>
  <c r="H67" i="3"/>
  <c r="L66" i="3"/>
  <c r="H66" i="3"/>
  <c r="L64" i="3"/>
  <c r="H64" i="3"/>
  <c r="D64" i="3"/>
  <c r="L62" i="3"/>
  <c r="H62" i="3"/>
  <c r="D62" i="3"/>
  <c r="L61" i="3"/>
  <c r="H61" i="3"/>
  <c r="D61" i="3"/>
  <c r="L60" i="3"/>
  <c r="H60" i="3"/>
  <c r="D60" i="3"/>
  <c r="L59" i="3"/>
  <c r="H59" i="3"/>
  <c r="D59" i="3"/>
  <c r="AC57" i="3"/>
  <c r="AB57" i="3"/>
  <c r="AA57" i="3"/>
  <c r="O57" i="3"/>
  <c r="N57" i="3"/>
  <c r="M57" i="3"/>
  <c r="K57" i="3"/>
  <c r="J57" i="3"/>
  <c r="I57" i="3"/>
  <c r="G57" i="3"/>
  <c r="F57" i="3"/>
  <c r="E57" i="3"/>
  <c r="C57" i="3"/>
  <c r="L56" i="3"/>
  <c r="H56" i="3"/>
  <c r="D56" i="3"/>
  <c r="L55" i="3"/>
  <c r="H55" i="3"/>
  <c r="D55" i="3"/>
  <c r="AC53" i="3"/>
  <c r="AC73" i="3" s="1"/>
  <c r="AB53" i="3"/>
  <c r="AB73" i="3" s="1"/>
  <c r="AA53" i="3"/>
  <c r="AA73" i="3" s="1"/>
  <c r="O53" i="3"/>
  <c r="O73" i="3" s="1"/>
  <c r="N53" i="3"/>
  <c r="N73" i="3" s="1"/>
  <c r="M53" i="3"/>
  <c r="M74" i="3" s="1"/>
  <c r="K53" i="3"/>
  <c r="K73" i="3" s="1"/>
  <c r="J53" i="3"/>
  <c r="J73" i="3" s="1"/>
  <c r="I53" i="3"/>
  <c r="I73" i="3" s="1"/>
  <c r="G53" i="3"/>
  <c r="G79" i="3" s="1"/>
  <c r="F53" i="3"/>
  <c r="F73" i="3" s="1"/>
  <c r="E53" i="3"/>
  <c r="E79" i="3" s="1"/>
  <c r="C53" i="3"/>
  <c r="L52" i="3"/>
  <c r="H52" i="3"/>
  <c r="D52" i="3"/>
  <c r="L51" i="3"/>
  <c r="L83" i="3" s="1"/>
  <c r="H51" i="3"/>
  <c r="I83" i="3" s="1"/>
  <c r="D51" i="3"/>
  <c r="D83" i="3" s="1"/>
  <c r="H50" i="3"/>
  <c r="AL43" i="3"/>
  <c r="AK43" i="3"/>
  <c r="AJ43" i="3"/>
  <c r="AI43" i="3"/>
  <c r="AH43" i="3"/>
  <c r="AG43" i="3"/>
  <c r="AF43" i="3"/>
  <c r="AE43" i="3"/>
  <c r="AD43" i="3"/>
  <c r="O43" i="3"/>
  <c r="D43" i="3"/>
  <c r="C43" i="3"/>
  <c r="AL42" i="3"/>
  <c r="AL44" i="3" s="1"/>
  <c r="AK42" i="3"/>
  <c r="AK44" i="3" s="1"/>
  <c r="AJ42" i="3"/>
  <c r="AJ44" i="3" s="1"/>
  <c r="AI42" i="3"/>
  <c r="AI44" i="3" s="1"/>
  <c r="AH42" i="3"/>
  <c r="AH44" i="3" s="1"/>
  <c r="AG42" i="3"/>
  <c r="AG44" i="3" s="1"/>
  <c r="AF42" i="3"/>
  <c r="AF44" i="3" s="1"/>
  <c r="AE42" i="3"/>
  <c r="AE44" i="3" s="1"/>
  <c r="AD42" i="3"/>
  <c r="AD44" i="3" s="1"/>
  <c r="O42" i="3"/>
  <c r="O44" i="3" s="1"/>
  <c r="D42" i="3"/>
  <c r="D44" i="3" s="1"/>
  <c r="C42" i="3"/>
  <c r="C44" i="3" s="1"/>
  <c r="AL39" i="3"/>
  <c r="AL46" i="3" s="1"/>
  <c r="AL48" i="3" s="1"/>
  <c r="AK39" i="3"/>
  <c r="AK46" i="3" s="1"/>
  <c r="AK48" i="3" s="1"/>
  <c r="AJ39" i="3"/>
  <c r="AJ46" i="3" s="1"/>
  <c r="AJ48" i="3" s="1"/>
  <c r="AI39" i="3"/>
  <c r="AI46" i="3" s="1"/>
  <c r="AI48" i="3" s="1"/>
  <c r="AH39" i="3"/>
  <c r="AH46" i="3" s="1"/>
  <c r="AH48" i="3" s="1"/>
  <c r="AG39" i="3"/>
  <c r="AG46" i="3" s="1"/>
  <c r="AG48" i="3" s="1"/>
  <c r="AF39" i="3"/>
  <c r="AF46" i="3" s="1"/>
  <c r="AF48" i="3" s="1"/>
  <c r="AE39" i="3"/>
  <c r="AE47" i="3" s="1"/>
  <c r="AD39" i="3"/>
  <c r="AD46" i="3" s="1"/>
  <c r="AD48" i="3" s="1"/>
  <c r="AC38" i="3"/>
  <c r="AB38" i="3"/>
  <c r="AA38" i="3"/>
  <c r="O38" i="3"/>
  <c r="N38" i="3"/>
  <c r="M38" i="3"/>
  <c r="K38" i="3"/>
  <c r="J38" i="3"/>
  <c r="I38" i="3"/>
  <c r="G38" i="3"/>
  <c r="F38" i="3"/>
  <c r="E38" i="3"/>
  <c r="D38" i="3"/>
  <c r="C38" i="3"/>
  <c r="AC37" i="3"/>
  <c r="AB37" i="3"/>
  <c r="AA37" i="3"/>
  <c r="O37" i="3"/>
  <c r="N37" i="3"/>
  <c r="M37" i="3"/>
  <c r="K37" i="3"/>
  <c r="J37" i="3"/>
  <c r="I37" i="3"/>
  <c r="G37" i="3"/>
  <c r="F37" i="3"/>
  <c r="E37" i="3"/>
  <c r="D37" i="3"/>
  <c r="C37" i="3"/>
  <c r="AB32" i="3"/>
  <c r="AB42" i="3" s="1"/>
  <c r="AA32" i="3"/>
  <c r="AA43" i="3" s="1"/>
  <c r="K32" i="3"/>
  <c r="K43" i="3" s="1"/>
  <c r="J32" i="3"/>
  <c r="J43" i="3" s="1"/>
  <c r="I32" i="3"/>
  <c r="I43" i="3" s="1"/>
  <c r="G32" i="3"/>
  <c r="G43" i="3" s="1"/>
  <c r="F32" i="3"/>
  <c r="F42" i="3" s="1"/>
  <c r="E32" i="3"/>
  <c r="E42" i="3" s="1"/>
  <c r="AL30" i="3"/>
  <c r="AL31" i="3" s="1"/>
  <c r="AK30" i="3"/>
  <c r="AK31" i="3" s="1"/>
  <c r="AJ30" i="3"/>
  <c r="AJ31" i="3" s="1"/>
  <c r="AI30" i="3"/>
  <c r="AI31" i="3" s="1"/>
  <c r="AH30" i="3"/>
  <c r="AH31" i="3" s="1"/>
  <c r="AG30" i="3"/>
  <c r="AG31" i="3" s="1"/>
  <c r="AF30" i="3"/>
  <c r="AF31" i="3" s="1"/>
  <c r="AE30" i="3"/>
  <c r="AE31" i="3" s="1"/>
  <c r="AD30" i="3"/>
  <c r="AD31" i="3" s="1"/>
  <c r="AB30" i="3"/>
  <c r="AB31" i="3" s="1"/>
  <c r="AA30" i="3"/>
  <c r="AA31" i="3" s="1"/>
  <c r="O30" i="3"/>
  <c r="O31" i="3" s="1"/>
  <c r="N30" i="3"/>
  <c r="N31" i="3" s="1"/>
  <c r="M30" i="3"/>
  <c r="M31" i="3" s="1"/>
  <c r="K30" i="3"/>
  <c r="K31" i="3" s="1"/>
  <c r="J30" i="3"/>
  <c r="J31" i="3" s="1"/>
  <c r="I30" i="3"/>
  <c r="I31" i="3" s="1"/>
  <c r="G30" i="3"/>
  <c r="F30" i="3"/>
  <c r="F31" i="3" s="1"/>
  <c r="E30" i="3"/>
  <c r="E31" i="3" s="1"/>
  <c r="D30" i="3"/>
  <c r="D31" i="3" s="1"/>
  <c r="C30" i="3"/>
  <c r="C31" i="3" s="1"/>
  <c r="L29" i="3"/>
  <c r="H29" i="3"/>
  <c r="AC28" i="3"/>
  <c r="AC30" i="3" s="1"/>
  <c r="AC31" i="3" s="1"/>
  <c r="H28" i="3"/>
  <c r="AL23" i="3"/>
  <c r="AL24" i="3" s="1"/>
  <c r="AK23" i="3"/>
  <c r="AK24" i="3" s="1"/>
  <c r="AJ23" i="3"/>
  <c r="AJ24" i="3" s="1"/>
  <c r="AI23" i="3"/>
  <c r="AI24" i="3" s="1"/>
  <c r="AH23" i="3"/>
  <c r="AH24" i="3" s="1"/>
  <c r="AG23" i="3"/>
  <c r="AG24" i="3" s="1"/>
  <c r="AF23" i="3"/>
  <c r="AF24" i="3" s="1"/>
  <c r="AE23" i="3"/>
  <c r="AE24" i="3" s="1"/>
  <c r="AD23" i="3"/>
  <c r="AD24" i="3" s="1"/>
  <c r="AB23" i="3"/>
  <c r="AB24" i="3" s="1"/>
  <c r="AA23" i="3"/>
  <c r="AA24" i="3" s="1"/>
  <c r="O23" i="3"/>
  <c r="O24" i="3" s="1"/>
  <c r="N23" i="3"/>
  <c r="N24" i="3" s="1"/>
  <c r="M23" i="3"/>
  <c r="M24" i="3" s="1"/>
  <c r="K23" i="3"/>
  <c r="K24" i="3" s="1"/>
  <c r="J23" i="3"/>
  <c r="J24" i="3" s="1"/>
  <c r="I23" i="3"/>
  <c r="I24" i="3" s="1"/>
  <c r="G23" i="3"/>
  <c r="G24" i="3" s="1"/>
  <c r="F23" i="3"/>
  <c r="F24" i="3" s="1"/>
  <c r="E23" i="3"/>
  <c r="E24" i="3" s="1"/>
  <c r="D23" i="3"/>
  <c r="D24" i="3" s="1"/>
  <c r="C23" i="3"/>
  <c r="C24" i="3" s="1"/>
  <c r="L22" i="3"/>
  <c r="H22" i="3"/>
  <c r="AC21" i="3"/>
  <c r="L21" i="3" s="1"/>
  <c r="H21" i="3"/>
  <c r="H37" i="3" s="1"/>
  <c r="K16" i="3"/>
  <c r="J16" i="3"/>
  <c r="I16" i="3"/>
  <c r="G16" i="3"/>
  <c r="F16" i="3"/>
  <c r="E16" i="3"/>
  <c r="C16" i="3"/>
  <c r="AB15" i="3"/>
  <c r="H15" i="3" s="1"/>
  <c r="AA15" i="3"/>
  <c r="AB14" i="3"/>
  <c r="H14" i="3" s="1"/>
  <c r="AA14" i="3"/>
  <c r="D14" i="3"/>
  <c r="D16" i="3" s="1"/>
  <c r="AD3" i="3"/>
  <c r="AE3" i="3" s="1"/>
  <c r="AF3" i="3" s="1"/>
  <c r="AG3" i="3" s="1"/>
  <c r="AH3" i="3" s="1"/>
  <c r="AI3" i="3" s="1"/>
  <c r="AJ3" i="3" s="1"/>
  <c r="AK3" i="3" s="1"/>
  <c r="AL3" i="3" s="1"/>
  <c r="Z3" i="3"/>
  <c r="Y3" i="3" s="1"/>
  <c r="X3" i="3" s="1"/>
  <c r="W3" i="3" s="1"/>
  <c r="V3" i="3" s="1"/>
  <c r="B6" i="1"/>
  <c r="B5" i="1"/>
  <c r="B3" i="1" a="1"/>
  <c r="B3" i="1" s="1"/>
  <c r="B2" i="1" a="1"/>
  <c r="B2" i="1" s="1"/>
  <c r="B4" i="1" s="1"/>
  <c r="B7" i="1" s="1"/>
  <c r="B8" i="1" s="1"/>
  <c r="AD132" i="3" l="1"/>
  <c r="AD145" i="3" s="1"/>
  <c r="AC113" i="3"/>
  <c r="AB113" i="3"/>
  <c r="AH132" i="3"/>
  <c r="AH145" i="3" s="1"/>
  <c r="AF113" i="3"/>
  <c r="AG113" i="3"/>
  <c r="AF132" i="3"/>
  <c r="AF145" i="3" s="1"/>
  <c r="AH113" i="3"/>
  <c r="AE132" i="3"/>
  <c r="AE145" i="3" s="1"/>
  <c r="AB166" i="3"/>
  <c r="AB165" i="3"/>
  <c r="AB163" i="3"/>
  <c r="AA166" i="3"/>
  <c r="AA165" i="3"/>
  <c r="AA163" i="3"/>
  <c r="AC166" i="3"/>
  <c r="AC165" i="3"/>
  <c r="AC163" i="3"/>
  <c r="N152" i="3"/>
  <c r="N43" i="3"/>
  <c r="N44" i="3" s="1"/>
  <c r="M73" i="3"/>
  <c r="AG132" i="3"/>
  <c r="AG145" i="3" s="1"/>
  <c r="O74" i="3"/>
  <c r="N147" i="3"/>
  <c r="O113" i="3"/>
  <c r="D132" i="3"/>
  <c r="D145" i="3" s="1"/>
  <c r="N132" i="3"/>
  <c r="N145" i="3" s="1"/>
  <c r="M113" i="3"/>
  <c r="M147" i="3"/>
  <c r="J152" i="3"/>
  <c r="N113" i="3"/>
  <c r="N74" i="3"/>
  <c r="M42" i="3"/>
  <c r="M44" i="3" s="1"/>
  <c r="L99" i="3"/>
  <c r="L112" i="3"/>
  <c r="L113" i="3" s="1"/>
  <c r="I42" i="3"/>
  <c r="I44" i="3" s="1"/>
  <c r="AA147" i="3"/>
  <c r="J132" i="3"/>
  <c r="J145" i="3" s="1"/>
  <c r="G113" i="3"/>
  <c r="H113" i="3"/>
  <c r="I113" i="3"/>
  <c r="AB147" i="3"/>
  <c r="K132" i="3"/>
  <c r="K145" i="3" s="1"/>
  <c r="M132" i="3"/>
  <c r="M145" i="3" s="1"/>
  <c r="AC147" i="3"/>
  <c r="C58" i="3"/>
  <c r="C63" i="3" s="1"/>
  <c r="C65" i="3" s="1"/>
  <c r="C68" i="3" s="1"/>
  <c r="C69" i="3" s="1"/>
  <c r="AA58" i="3"/>
  <c r="AA63" i="3" s="1"/>
  <c r="AA65" i="3" s="1"/>
  <c r="AA68" i="3" s="1"/>
  <c r="AA69" i="3" s="1"/>
  <c r="F132" i="3"/>
  <c r="F145" i="3" s="1"/>
  <c r="H32" i="3"/>
  <c r="H42" i="3" s="1"/>
  <c r="L28" i="3"/>
  <c r="L32" i="3" s="1"/>
  <c r="L42" i="3" s="1"/>
  <c r="D147" i="3"/>
  <c r="G132" i="3"/>
  <c r="G145" i="3" s="1"/>
  <c r="L144" i="3"/>
  <c r="C74" i="3"/>
  <c r="F58" i="3"/>
  <c r="F63" i="3" s="1"/>
  <c r="F65" i="3" s="1"/>
  <c r="F80" i="3" s="1"/>
  <c r="E74" i="3"/>
  <c r="F147" i="3"/>
  <c r="AC39" i="3"/>
  <c r="AC47" i="3" s="1"/>
  <c r="L53" i="3"/>
  <c r="L73" i="3" s="1"/>
  <c r="F79" i="3"/>
  <c r="G147" i="3"/>
  <c r="E58" i="3"/>
  <c r="E63" i="3" s="1"/>
  <c r="E65" i="3" s="1"/>
  <c r="AF47" i="3"/>
  <c r="H147" i="3"/>
  <c r="L121" i="3"/>
  <c r="I147" i="3"/>
  <c r="AB39" i="3"/>
  <c r="AB47" i="3" s="1"/>
  <c r="O58" i="3"/>
  <c r="O63" i="3" s="1"/>
  <c r="O65" i="3" s="1"/>
  <c r="O68" i="3" s="1"/>
  <c r="O69" i="3" s="1"/>
  <c r="K58" i="3"/>
  <c r="K63" i="3" s="1"/>
  <c r="K65" i="3" s="1"/>
  <c r="K80" i="3" s="1"/>
  <c r="E147" i="3"/>
  <c r="AA16" i="3"/>
  <c r="G42" i="3"/>
  <c r="G44" i="3" s="1"/>
  <c r="D113" i="3"/>
  <c r="E83" i="3"/>
  <c r="E113" i="3"/>
  <c r="N39" i="3"/>
  <c r="N46" i="3" s="1"/>
  <c r="F113" i="3"/>
  <c r="C132" i="3"/>
  <c r="C145" i="3" s="1"/>
  <c r="O39" i="3"/>
  <c r="O47" i="3" s="1"/>
  <c r="M58" i="3"/>
  <c r="M63" i="3" s="1"/>
  <c r="M65" i="3" s="1"/>
  <c r="M68" i="3" s="1"/>
  <c r="M69" i="3" s="1"/>
  <c r="AA39" i="3"/>
  <c r="AA46" i="3" s="1"/>
  <c r="H53" i="3"/>
  <c r="H79" i="3" s="1"/>
  <c r="N58" i="3"/>
  <c r="N63" i="3" s="1"/>
  <c r="N65" i="3" s="1"/>
  <c r="N68" i="3" s="1"/>
  <c r="N69" i="3" s="1"/>
  <c r="J147" i="3"/>
  <c r="H132" i="3"/>
  <c r="H145" i="3" s="1"/>
  <c r="E132" i="3"/>
  <c r="E145" i="3" s="1"/>
  <c r="K147" i="3"/>
  <c r="H30" i="3"/>
  <c r="H31" i="3" s="1"/>
  <c r="AC32" i="3"/>
  <c r="AC42" i="3" s="1"/>
  <c r="I132" i="3"/>
  <c r="I145" i="3" s="1"/>
  <c r="AA132" i="3"/>
  <c r="AA145" i="3" s="1"/>
  <c r="D53" i="3"/>
  <c r="D79" i="3" s="1"/>
  <c r="G31" i="3"/>
  <c r="D57" i="3"/>
  <c r="L131" i="3"/>
  <c r="AB132" i="3"/>
  <c r="AB145" i="3" s="1"/>
  <c r="AC23" i="3"/>
  <c r="AC24" i="3" s="1"/>
  <c r="AD47" i="3"/>
  <c r="G73" i="3"/>
  <c r="AC132" i="3"/>
  <c r="AC145" i="3" s="1"/>
  <c r="L37" i="3"/>
  <c r="L23" i="3"/>
  <c r="L24" i="3" s="1"/>
  <c r="C39" i="3"/>
  <c r="C47" i="3" s="1"/>
  <c r="J42" i="3"/>
  <c r="J44" i="3" s="1"/>
  <c r="AB43" i="3"/>
  <c r="AB44" i="3" s="1"/>
  <c r="AG47" i="3"/>
  <c r="G58" i="3"/>
  <c r="G63" i="3" s="1"/>
  <c r="G65" i="3" s="1"/>
  <c r="C73" i="3"/>
  <c r="F74" i="3"/>
  <c r="I79" i="3"/>
  <c r="H23" i="3"/>
  <c r="H24" i="3" s="1"/>
  <c r="D39" i="3"/>
  <c r="D47" i="3" s="1"/>
  <c r="K42" i="3"/>
  <c r="K44" i="3" s="1"/>
  <c r="AH47" i="3"/>
  <c r="H57" i="3"/>
  <c r="G74" i="3"/>
  <c r="J79" i="3"/>
  <c r="E39" i="3"/>
  <c r="E47" i="3" s="1"/>
  <c r="AI47" i="3"/>
  <c r="I58" i="3"/>
  <c r="I63" i="3" s="1"/>
  <c r="I65" i="3" s="1"/>
  <c r="E73" i="3"/>
  <c r="K79" i="3"/>
  <c r="H83" i="3"/>
  <c r="H177" i="3"/>
  <c r="F39" i="3"/>
  <c r="F46" i="3" s="1"/>
  <c r="AJ47" i="3"/>
  <c r="J58" i="3"/>
  <c r="J63" i="3" s="1"/>
  <c r="J65" i="3" s="1"/>
  <c r="I74" i="3"/>
  <c r="G39" i="3"/>
  <c r="G47" i="3" s="1"/>
  <c r="E43" i="3"/>
  <c r="E44" i="3" s="1"/>
  <c r="AK47" i="3"/>
  <c r="J74" i="3"/>
  <c r="H38" i="3"/>
  <c r="H39" i="3" s="1"/>
  <c r="H46" i="3" s="1"/>
  <c r="F43" i="3"/>
  <c r="F44" i="3" s="1"/>
  <c r="AE46" i="3"/>
  <c r="AE48" i="3" s="1"/>
  <c r="AL47" i="3"/>
  <c r="L57" i="3"/>
  <c r="K74" i="3"/>
  <c r="AB16" i="3"/>
  <c r="H16" i="3" s="1"/>
  <c r="I39" i="3"/>
  <c r="I47" i="3" s="1"/>
  <c r="AA42" i="3"/>
  <c r="AA44" i="3" s="1"/>
  <c r="J39" i="3"/>
  <c r="J46" i="3" s="1"/>
  <c r="AA74" i="3"/>
  <c r="K39" i="3"/>
  <c r="K46" i="3" s="1"/>
  <c r="AB74" i="3"/>
  <c r="C147" i="3"/>
  <c r="AC74" i="3"/>
  <c r="M39" i="3"/>
  <c r="M47" i="3" s="1"/>
  <c r="AB58" i="3"/>
  <c r="AB63" i="3" s="1"/>
  <c r="AB65" i="3" s="1"/>
  <c r="C79" i="3"/>
  <c r="AC58" i="3"/>
  <c r="AC63" i="3" s="1"/>
  <c r="AC65" i="3" s="1"/>
  <c r="AC68" i="3" s="1"/>
  <c r="AC69" i="3" s="1"/>
  <c r="F68" i="3" l="1"/>
  <c r="F69" i="3" s="1"/>
  <c r="AC164" i="3"/>
  <c r="AA164" i="3"/>
  <c r="L147" i="3"/>
  <c r="L43" i="3"/>
  <c r="L44" i="3" s="1"/>
  <c r="L30" i="3"/>
  <c r="L31" i="3" s="1"/>
  <c r="AB46" i="3"/>
  <c r="AB48" i="3" s="1"/>
  <c r="C80" i="3"/>
  <c r="L38" i="3"/>
  <c r="L39" i="3" s="1"/>
  <c r="L47" i="3" s="1"/>
  <c r="H43" i="3"/>
  <c r="H44" i="3" s="1"/>
  <c r="L74" i="3"/>
  <c r="K84" i="3"/>
  <c r="F84" i="3"/>
  <c r="AC46" i="3"/>
  <c r="AC48" i="3" s="1"/>
  <c r="E68" i="3"/>
  <c r="E69" i="3" s="1"/>
  <c r="AC43" i="3"/>
  <c r="AC44" i="3" s="1"/>
  <c r="L79" i="3"/>
  <c r="L58" i="3"/>
  <c r="L63" i="3" s="1"/>
  <c r="L65" i="3" s="1"/>
  <c r="L80" i="3" s="1"/>
  <c r="K68" i="3"/>
  <c r="K69" i="3" s="1"/>
  <c r="E80" i="3"/>
  <c r="I46" i="3"/>
  <c r="I48" i="3" s="1"/>
  <c r="L132" i="3"/>
  <c r="L145" i="3" s="1"/>
  <c r="O46" i="3"/>
  <c r="O48" i="3" s="1"/>
  <c r="K47" i="3"/>
  <c r="K48" i="3" s="1"/>
  <c r="AA47" i="3"/>
  <c r="AA48" i="3" s="1"/>
  <c r="J47" i="3"/>
  <c r="J48" i="3" s="1"/>
  <c r="G46" i="3"/>
  <c r="G48" i="3" s="1"/>
  <c r="H73" i="3"/>
  <c r="H74" i="3"/>
  <c r="D73" i="3"/>
  <c r="H58" i="3"/>
  <c r="H63" i="3" s="1"/>
  <c r="H65" i="3" s="1"/>
  <c r="I84" i="3" s="1"/>
  <c r="C46" i="3"/>
  <c r="C48" i="3" s="1"/>
  <c r="D74" i="3"/>
  <c r="M46" i="3"/>
  <c r="M48" i="3" s="1"/>
  <c r="D58" i="3"/>
  <c r="D63" i="3" s="1"/>
  <c r="D65" i="3" s="1"/>
  <c r="N47" i="3"/>
  <c r="N48" i="3" s="1"/>
  <c r="D46" i="3"/>
  <c r="D48" i="3" s="1"/>
  <c r="AB68" i="3"/>
  <c r="AB84" i="3"/>
  <c r="F47" i="3"/>
  <c r="F48" i="3" s="1"/>
  <c r="I80" i="3"/>
  <c r="I68" i="3"/>
  <c r="I69" i="3" s="1"/>
  <c r="H47" i="3"/>
  <c r="H48" i="3" s="1"/>
  <c r="J84" i="3"/>
  <c r="J80" i="3"/>
  <c r="J68" i="3"/>
  <c r="J69" i="3" s="1"/>
  <c r="G84" i="3"/>
  <c r="G80" i="3"/>
  <c r="G68" i="3"/>
  <c r="G69" i="3" s="1"/>
  <c r="E46" i="3"/>
  <c r="E48" i="3" s="1"/>
  <c r="AB69" i="3" l="1"/>
  <c r="AB164" i="3"/>
  <c r="L84" i="3"/>
  <c r="L68" i="3"/>
  <c r="L69" i="3" s="1"/>
  <c r="H80" i="3"/>
  <c r="H68" i="3"/>
  <c r="H69" i="3" s="1"/>
  <c r="H84" i="3"/>
  <c r="D84" i="3"/>
  <c r="E84" i="3"/>
  <c r="D80" i="3"/>
  <c r="D68" i="3"/>
  <c r="D69" i="3" s="1"/>
  <c r="L46" i="3"/>
  <c r="L48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B10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William:
"Point-in-time": Cash payments initially accrued to the balance sheet as "deferred revenue" as contractual milestones are accomplished and then recognized as revnue once the final contractual obligation is completed.</t>
        </r>
      </text>
    </comment>
    <comment ref="B11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William:
"Over-time": Revenue recognition is base on an input measure of progress based on costs incurred compared to estimated total costs at completion. Each project has a contractual revenue value and an estimated cost. The "over-time" revenue is recognized based on the percentage of the total project cost that has been realized.</t>
        </r>
      </text>
    </comment>
    <comment ref="B18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William:
Launch Services provides launch services to cusomerts on a dedicated mission or ride share basis.</t>
        </r>
      </text>
    </comment>
    <comment ref="B25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William:
Space Systems is comprised of:
- space engineering 
- program management 
- spacecraft components 
- spacecraft manufacturing 
- mission operations</t>
        </r>
      </text>
    </comment>
    <comment ref="B70" authorId="0" shapeId="0" xr:uid="{00000000-0006-0000-0200-000005000000}">
      <text>
        <r>
          <rPr>
            <sz val="11"/>
            <color theme="1"/>
            <rFont val="Calibri"/>
            <family val="2"/>
            <scheme val="minor"/>
          </rPr>
          <t>William:
In thousands.
Ex: 209,895 = 209 million shares</t>
        </r>
      </text>
    </comment>
    <comment ref="B150" authorId="0" shapeId="0" xr:uid="{00000000-0006-0000-0200-000006000000}">
      <text>
        <r>
          <rPr>
            <sz val="11"/>
            <color theme="1"/>
            <rFont val="Calibri"/>
            <family val="2"/>
            <scheme val="minor"/>
          </rPr>
          <t>William:
"CASH FLOWS FROM INVESTING ACTIVITIES"</t>
        </r>
      </text>
    </comment>
    <comment ref="B151" authorId="0" shapeId="0" xr:uid="{00000000-0006-0000-0200-000007000000}">
      <text>
        <r>
          <rPr>
            <sz val="11"/>
            <color theme="1"/>
            <rFont val="Calibri"/>
            <family val="2"/>
            <scheme val="minor"/>
          </rPr>
          <t xml:space="preserve">William:
"Purchases of property, equipment, and software"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<sst xmlns="http://schemas.openxmlformats.org/spreadsheetml/2006/main" count="1145" uniqueCount="463">
  <si>
    <t>Price</t>
  </si>
  <si>
    <t>Shares</t>
  </si>
  <si>
    <t>MC</t>
  </si>
  <si>
    <t>Cash</t>
  </si>
  <si>
    <t>Debt</t>
  </si>
  <si>
    <t>EV</t>
  </si>
  <si>
    <t>EV/Share</t>
  </si>
  <si>
    <t>Company Name</t>
  </si>
  <si>
    <t>Rocket Lab USA, Inc.</t>
  </si>
  <si>
    <t xml:space="preserve">Rocket Lab USA, Inc. </t>
  </si>
  <si>
    <t>Ticker</t>
  </si>
  <si>
    <t>RKLB</t>
  </si>
  <si>
    <t>Country</t>
  </si>
  <si>
    <t>USA</t>
  </si>
  <si>
    <t>Sector</t>
  </si>
  <si>
    <t>Industrials</t>
  </si>
  <si>
    <t>Industry</t>
  </si>
  <si>
    <t>Aerospace &amp; Defense</t>
  </si>
  <si>
    <t>Acquisitions</t>
  </si>
  <si>
    <t>Description</t>
  </si>
  <si>
    <t>Acquisition Date</t>
  </si>
  <si>
    <t xml:space="preserve"> </t>
  </si>
  <si>
    <t>Sinclair Interplanetary (Space hardware)</t>
  </si>
  <si>
    <t xml:space="preserve">Sinclair Interplanetary is a leading provider of high-quality, flight-proven spacecraft hardware, headquartered in Toronto, Canada. This acquisition aids in the companies ability to become a one stop shop for customers who desire to design, build, and launch a spacecraft. </t>
  </si>
  <si>
    <t>SolAero (Solar cells)</t>
  </si>
  <si>
    <t>Leading space solar power provider</t>
  </si>
  <si>
    <t>Planetary Systems Corporation (Payload separation)</t>
  </si>
  <si>
    <t xml:space="preserve">Lightband Separtion Systems enable customers to lower their mission costs and streamline payload integration from days to just minutes. Over 20 years of service with 100% success rate. </t>
  </si>
  <si>
    <t>Advanced Solutions, Inc. (Flight software for spacecraft)</t>
  </si>
  <si>
    <t>Notable Mentions</t>
  </si>
  <si>
    <t>32 launches with electron rocket, 3 failures</t>
  </si>
  <si>
    <t>152 satelites deployed for customers such as NASA, Space Force, DARPA, Blacksky, Canon, and more</t>
  </si>
  <si>
    <t>Rocketlab's space software has been used for an accumulative 176 years, 251 days. ( as of 2022-12-22)</t>
  </si>
  <si>
    <t>Varda Space Industries is using Rocketlab's Photon spacecraft for their "in-space" manufacturing.</t>
  </si>
  <si>
    <t>Space Systems</t>
  </si>
  <si>
    <t>SOLIS</t>
  </si>
  <si>
    <t>Max Flight Software</t>
  </si>
  <si>
    <t>Max Ground Data System</t>
  </si>
  <si>
    <t>Rockets   (As of 1/8/2022)</t>
  </si>
  <si>
    <t>Launches (1/8/2022)</t>
  </si>
  <si>
    <t>Satellites deployed</t>
  </si>
  <si>
    <t>Payload to LEO</t>
  </si>
  <si>
    <t>Electron</t>
  </si>
  <si>
    <t>300kg / 661lb</t>
  </si>
  <si>
    <t xml:space="preserve">Neutron </t>
  </si>
  <si>
    <t>13000kg</t>
  </si>
  <si>
    <t>Launch Sites</t>
  </si>
  <si>
    <t>Location</t>
  </si>
  <si>
    <t>Region</t>
  </si>
  <si>
    <t>Date est.</t>
  </si>
  <si>
    <t>Launch Complex 1</t>
  </si>
  <si>
    <t>New Zealand</t>
  </si>
  <si>
    <t>North Island - Māhia Peninsula</t>
  </si>
  <si>
    <t>Launch Complex 2</t>
  </si>
  <si>
    <t>Virginia</t>
  </si>
  <si>
    <t>Launches</t>
  </si>
  <si>
    <t>Date (UTC)</t>
  </si>
  <si>
    <t>Time (UTC)</t>
  </si>
  <si>
    <t>Vehicle</t>
  </si>
  <si>
    <t>Launch Site</t>
  </si>
  <si>
    <t>Payload</t>
  </si>
  <si>
    <t>Payload Mass</t>
  </si>
  <si>
    <t>Destination</t>
  </si>
  <si>
    <t>Outcome</t>
  </si>
  <si>
    <t>Boost Recovery</t>
  </si>
  <si>
    <t>Number of Customers</t>
  </si>
  <si>
    <t>Customers</t>
  </si>
  <si>
    <t>Notes</t>
  </si>
  <si>
    <t>"It's a Test"</t>
  </si>
  <si>
    <t>LC1A</t>
  </si>
  <si>
    <t>None</t>
  </si>
  <si>
    <t>LEO, 500 km, 85 deg</t>
  </si>
  <si>
    <t>Failure</t>
  </si>
  <si>
    <t>Rocket Lab (Flight test)</t>
  </si>
  <si>
    <t>"Still Testing"</t>
  </si>
  <si>
    <t>Dove Pioneer:Planet Labs, Lemur-2 x 2:Spire Global, Humanity Star:RocketLab</t>
  </si>
  <si>
    <t xml:space="preserve">LEO  </t>
  </si>
  <si>
    <t>Success</t>
  </si>
  <si>
    <t>Planet Labs, Spire Global</t>
  </si>
  <si>
    <t>"It's Business Time"</t>
  </si>
  <si>
    <t>Lemur-2 x 2:Spire Global, CICERO:GeoOptics, IRVINE01:Irvine CubeSat STEM Program,NABEO:HPS, Proxima x 2:Fleet Space Technologies</t>
  </si>
  <si>
    <t>Spire Global, GeoOptics, Irvine CubeSat STEM Program, High Performance Space Structure Systems, Fleet Space Technologies</t>
  </si>
  <si>
    <t>"This One's For Pickering"</t>
  </si>
  <si>
    <t>ALBus:NASA,CeREs:NASA,CHOMPTT:NASA,CubeSail:NASA,DaVinci:NASA,ISX:NASA,NMTSat:NASA,RSat-P:NASA,Shields-1:NASA,STF-1:NASA,SHFT 2:NASA,TOMSat:NASA,EagleScout:NASA,TOMSat R3:NASA</t>
  </si>
  <si>
    <t>NASA</t>
  </si>
  <si>
    <t xml:space="preserve">NASA's ELaNa-19 mission included the launch of many nano-satellites. </t>
  </si>
  <si>
    <t>https://www.rocketlabusa.com/launch/electron/</t>
  </si>
  <si>
    <t xml:space="preserve">Missions </t>
  </si>
  <si>
    <t>Date</t>
  </si>
  <si>
    <t>Neutron Debut Flight - Neutron</t>
  </si>
  <si>
    <t>TROPICS Flight 3 - Electron</t>
  </si>
  <si>
    <t>Q223</t>
  </si>
  <si>
    <t>TROPICS Flight 2 - Electron</t>
  </si>
  <si>
    <t>"The Beat Goes On" - Electron</t>
  </si>
  <si>
    <t>2023-03-11,05:50:05,5056970476,2,71378188,1</t>
  </si>
  <si>
    <t>2023-03-11,05:55:05,5056971406,2,71378876,2</t>
  </si>
  <si>
    <t>2023-03-11,06:00:05,5056972117,3,71379503,1</t>
  </si>
  <si>
    <t>https://en.wikipedia.org/wiki/List_of_Electron_launches</t>
  </si>
  <si>
    <t>2023-03-11,06:05:05,5056973939,9,71380203,2</t>
  </si>
  <si>
    <t>Quarter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</si>
  <si>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</si>
  <si>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</si>
  <si>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</si>
  <si>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</si>
  <si>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</si>
  <si>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</si>
  <si>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</si>
  <si>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</si>
  <si>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</si>
  <si>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Filing Date</t>
  </si>
  <si>
    <t>Period of Report</t>
  </si>
  <si>
    <t>Revenue Breakdown</t>
  </si>
  <si>
    <t>Launch Services - Point-in-time</t>
  </si>
  <si>
    <t xml:space="preserve">  </t>
  </si>
  <si>
    <t>Launch Services - Over-time</t>
  </si>
  <si>
    <t>Space Systems - Point-in-time</t>
  </si>
  <si>
    <t>Space Systems - Over-time</t>
  </si>
  <si>
    <t>Total - Point-in-time</t>
  </si>
  <si>
    <t>Total - Over-time</t>
  </si>
  <si>
    <t>Total</t>
  </si>
  <si>
    <t>Launch Services</t>
  </si>
  <si>
    <t>Point-in-time Contract</t>
  </si>
  <si>
    <t>Over-time Contract</t>
  </si>
  <si>
    <t>Launch Services Revenue</t>
  </si>
  <si>
    <t>Cost of Revenue</t>
  </si>
  <si>
    <t>Launch Services Gross profit (loss)</t>
  </si>
  <si>
    <t>Margin</t>
  </si>
  <si>
    <t>Space Systems Revenue</t>
  </si>
  <si>
    <t>Space Systems Gross profit (loss)</t>
  </si>
  <si>
    <t>Total Revenues</t>
  </si>
  <si>
    <t>Revenue Mix</t>
  </si>
  <si>
    <t>% Mix</t>
  </si>
  <si>
    <t>Point-in-time</t>
  </si>
  <si>
    <t>Over-time</t>
  </si>
  <si>
    <t>Revenue</t>
  </si>
  <si>
    <t>COGs</t>
  </si>
  <si>
    <t>Gross Profit</t>
  </si>
  <si>
    <t>Operating expenses</t>
  </si>
  <si>
    <t>R&amp;D</t>
  </si>
  <si>
    <t>SG&amp;A</t>
  </si>
  <si>
    <t>Total Operating expenses</t>
  </si>
  <si>
    <t>Operating Profit</t>
  </si>
  <si>
    <t>Interest income (expense)</t>
  </si>
  <si>
    <t>Gain (loss) on foreign exchange</t>
  </si>
  <si>
    <t>Change in fair value of liability calssified warrants</t>
  </si>
  <si>
    <t>Other income (expense)</t>
  </si>
  <si>
    <t>Income before taxes</t>
  </si>
  <si>
    <t>Benefit (provision) for income taxes</t>
  </si>
  <si>
    <t>Net Income</t>
  </si>
  <si>
    <t>Foregin currency translation income</t>
  </si>
  <si>
    <t>Unrealized loss on available-for-sale marketable securities</t>
  </si>
  <si>
    <t>Comprehensive income</t>
  </si>
  <si>
    <t>EPS</t>
  </si>
  <si>
    <t>Operating Expenses/Gross Profit</t>
  </si>
  <si>
    <t>R&amp;D / Gross Profit</t>
  </si>
  <si>
    <t>SG&amp;A / Gross Profit</t>
  </si>
  <si>
    <t>Ratios</t>
  </si>
  <si>
    <t>Gross Profit Margin</t>
  </si>
  <si>
    <t>Net Profit Margin</t>
  </si>
  <si>
    <t>Revenue y/y</t>
  </si>
  <si>
    <t>Net income y/y</t>
  </si>
  <si>
    <t>R&amp;D y/y</t>
  </si>
  <si>
    <t>Current Liabilities</t>
  </si>
  <si>
    <t>Cash and cash equiv</t>
  </si>
  <si>
    <t>Marketable securities</t>
  </si>
  <si>
    <t>AR</t>
  </si>
  <si>
    <t>Contract assets</t>
  </si>
  <si>
    <t>Inventories</t>
  </si>
  <si>
    <t>Prepaids and other current assets</t>
  </si>
  <si>
    <t>Total current assets</t>
  </si>
  <si>
    <t>Non-current Liabilities</t>
  </si>
  <si>
    <t>*Cash held in trust account</t>
  </si>
  <si>
    <t>PP&amp;E</t>
  </si>
  <si>
    <t>Intangible assets</t>
  </si>
  <si>
    <t>Goodwill</t>
  </si>
  <si>
    <t>Right-of-use assets - operating lease</t>
  </si>
  <si>
    <t>Right-of-use assets - finance lease</t>
  </si>
  <si>
    <t>Restricted cash</t>
  </si>
  <si>
    <t>Deferred income tax assets</t>
  </si>
  <si>
    <t>Investments held in trust accounts</t>
  </si>
  <si>
    <t>Other non-current assets</t>
  </si>
  <si>
    <t>Trade payables</t>
  </si>
  <si>
    <t>Accrued expenses</t>
  </si>
  <si>
    <t>Employee benefits payable</t>
  </si>
  <si>
    <t>Contract liabilities</t>
  </si>
  <si>
    <t>Current installment of long-term borrowings</t>
  </si>
  <si>
    <t>Other current liabilities</t>
  </si>
  <si>
    <t>Total current liabilities</t>
  </si>
  <si>
    <t>Warrant liabilities</t>
  </si>
  <si>
    <t>Long-term borrowings, excluding current installments</t>
  </si>
  <si>
    <t>Non-current lease liabilities</t>
  </si>
  <si>
    <t>Non-current finance lease liabilities</t>
  </si>
  <si>
    <t>Deferred tax liabilities</t>
  </si>
  <si>
    <t>Deferred underwriting fee payable</t>
  </si>
  <si>
    <t>Public and private warrant liabilities</t>
  </si>
  <si>
    <t>Other non-current liabilities</t>
  </si>
  <si>
    <t>Total Non-current Liabilities</t>
  </si>
  <si>
    <t>Total liabilities</t>
  </si>
  <si>
    <t>Equity</t>
  </si>
  <si>
    <t>Class A shares possible to redemption</t>
  </si>
  <si>
    <t>Series A</t>
  </si>
  <si>
    <t>-</t>
  </si>
  <si>
    <t>Series B</t>
  </si>
  <si>
    <t>Seried C</t>
  </si>
  <si>
    <t>Series D</t>
  </si>
  <si>
    <t>Series E &amp; E-1</t>
  </si>
  <si>
    <t>Common Stock</t>
  </si>
  <si>
    <t>Additional paid-in capital</t>
  </si>
  <si>
    <t>Accumulated deficit</t>
  </si>
  <si>
    <t>Accumulated other comprehensive income</t>
  </si>
  <si>
    <t>Total stockholders' equity (deficit)</t>
  </si>
  <si>
    <t>Total liabilities and stockholder equity</t>
  </si>
  <si>
    <t>Current Ratio</t>
  </si>
  <si>
    <t>Cash Flow</t>
  </si>
  <si>
    <t>Operating Cash Flow</t>
  </si>
  <si>
    <t>CapEx</t>
  </si>
  <si>
    <t>FCF</t>
  </si>
  <si>
    <t>Stock Statistics</t>
  </si>
  <si>
    <t>Market Cap</t>
  </si>
  <si>
    <t>Cash/sh</t>
  </si>
  <si>
    <t>Debt/sh</t>
  </si>
  <si>
    <t>Sources</t>
  </si>
  <si>
    <t>Missions</t>
  </si>
  <si>
    <t>"Its's a Test"</t>
  </si>
  <si>
    <t>Payload Mass (kg)</t>
  </si>
  <si>
    <t>LEO, 500 km</t>
  </si>
  <si>
    <t>RocketLab</t>
  </si>
  <si>
    <t>Flight Test</t>
  </si>
  <si>
    <t xml:space="preserve">LEO   </t>
  </si>
  <si>
    <t>"Two Thumbs Up"</t>
  </si>
  <si>
    <t>R3D2:DARPA</t>
  </si>
  <si>
    <t>LEO, 425 km, 39.5 deg</t>
  </si>
  <si>
    <t>DARPA</t>
  </si>
  <si>
    <t>"That's a Funny Looking Cactus"</t>
  </si>
  <si>
    <t>SPARC-1:US Air Force, Falcon ODE:US Air Force, Harbringer:US Air Force</t>
  </si>
  <si>
    <t>LEO, 500 km, 40 deg</t>
  </si>
  <si>
    <t>US Air Force</t>
  </si>
  <si>
    <t>"Make it Rain</t>
  </si>
  <si>
    <t>BlackSky Global 3:BlackSky, ACRUX-1:Melbourne Space Agency, Prometheus:USSOCOM</t>
  </si>
  <si>
    <t>LEO</t>
  </si>
  <si>
    <t>BlackSky via Spaceflight Inc., USSSOCOM, Melbourne Space Program,</t>
  </si>
  <si>
    <t>Revenue per share</t>
  </si>
  <si>
    <t>- -</t>
  </si>
  <si>
    <t>0.13</t>
  </si>
  <si>
    <t>0.43</t>
  </si>
  <si>
    <t>Earnings per share</t>
  </si>
  <si>
    <t>(0.25)</t>
  </si>
  <si>
    <t>(0.60)</t>
  </si>
  <si>
    <t>FCF per share</t>
  </si>
  <si>
    <t>(0.21)</t>
  </si>
  <si>
    <t>(0.53)</t>
  </si>
  <si>
    <t>Dividends per share</t>
  </si>
  <si>
    <t>CAPEX per share</t>
  </si>
  <si>
    <t>0.06</t>
  </si>
  <si>
    <t>Book Value per sh.</t>
  </si>
  <si>
    <t>1.50</t>
  </si>
  <si>
    <t>2.05</t>
  </si>
  <si>
    <t>Comm.Shares outs.</t>
  </si>
  <si>
    <t>465</t>
  </si>
  <si>
    <t>344</t>
  </si>
  <si>
    <t>Avg. annual P/E ratio</t>
  </si>
  <si>
    <t>(53.1)</t>
  </si>
  <si>
    <t>(19.5)</t>
  </si>
  <si>
    <t>P/E to S&amp;P500</t>
  </si>
  <si>
    <t>(1.8)</t>
  </si>
  <si>
    <t>(0.9)</t>
  </si>
  <si>
    <t>Avg. annual div. yield</t>
  </si>
  <si>
    <t>Revenue (m)</t>
  </si>
  <si>
    <t>62</t>
  </si>
  <si>
    <t>148</t>
  </si>
  <si>
    <t>Operating margin</t>
  </si>
  <si>
    <t>(164.0)%</t>
  </si>
  <si>
    <t>(295.5)%</t>
  </si>
  <si>
    <t>Depreciation (m)</t>
  </si>
  <si>
    <t>11</t>
  </si>
  <si>
    <t>25</t>
  </si>
  <si>
    <t>Net profit (m)</t>
  </si>
  <si>
    <t>(117)</t>
  </si>
  <si>
    <t>(169)</t>
  </si>
  <si>
    <t>Income tax rate</t>
  </si>
  <si>
    <t>(6.0)%</t>
  </si>
  <si>
    <t>(17.6)%</t>
  </si>
  <si>
    <t>Net profit margin</t>
  </si>
  <si>
    <t>(188.5)%</t>
  </si>
  <si>
    <t>(458.3)%</t>
  </si>
  <si>
    <t>Working capital (m)</t>
  </si>
  <si>
    <t>678</t>
  </si>
  <si>
    <t>562</t>
  </si>
  <si>
    <t>Long-term debt (m)</t>
  </si>
  <si>
    <t>46</t>
  </si>
  <si>
    <t>Equity (m)</t>
  </si>
  <si>
    <t>698</t>
  </si>
  <si>
    <t>713</t>
  </si>
  <si>
    <t>ROIC</t>
  </si>
  <si>
    <t>(12.4)%</t>
  </si>
  <si>
    <t>(20.3)%</t>
  </si>
  <si>
    <t>Return on capital</t>
  </si>
  <si>
    <t>(10.6)%</t>
  </si>
  <si>
    <t>(14.8)%</t>
  </si>
  <si>
    <t>Return on equity</t>
  </si>
  <si>
    <t>(16.8)%</t>
  </si>
  <si>
    <t>(23.7)%</t>
  </si>
  <si>
    <t>Plowback ratio</t>
  </si>
  <si>
    <t>100.0%</t>
  </si>
  <si>
    <t>Div.&amp;Repurch./FCF</t>
  </si>
  <si>
    <t>2021</t>
  </si>
  <si>
    <t>COGS</t>
  </si>
  <si>
    <t>64</t>
  </si>
  <si>
    <t>(2)</t>
  </si>
  <si>
    <t>Gross Profit Ratio</t>
  </si>
  <si>
    <t>(3.04)%</t>
  </si>
  <si>
    <t>Operating Expenses</t>
  </si>
  <si>
    <t>100</t>
  </si>
  <si>
    <t>R&amp;D Expenses</t>
  </si>
  <si>
    <t>42</t>
  </si>
  <si>
    <t>Selling, G&amp;A Exp.</t>
  </si>
  <si>
    <t>58</t>
  </si>
  <si>
    <t>General and Admin. Exp.</t>
  </si>
  <si>
    <t>Selling and Marketing Exp.</t>
  </si>
  <si>
    <t>Other Expenses</t>
  </si>
  <si>
    <t>COGS and Expenses</t>
  </si>
  <si>
    <t>164</t>
  </si>
  <si>
    <t>Interest Income</t>
  </si>
  <si>
    <t>Interest Expense</t>
  </si>
  <si>
    <t>6</t>
  </si>
  <si>
    <t>Depreciation and Amortization</t>
  </si>
  <si>
    <t>EBITDA</t>
  </si>
  <si>
    <t>(93)</t>
  </si>
  <si>
    <t>EBITDA ratio</t>
  </si>
  <si>
    <t>(149.14)%</t>
  </si>
  <si>
    <t>Operating Income</t>
  </si>
  <si>
    <t>(102)</t>
  </si>
  <si>
    <t>Operating Income ratio</t>
  </si>
  <si>
    <t>(163.97)%</t>
  </si>
  <si>
    <t>Total Other Income Exp.(Gains)</t>
  </si>
  <si>
    <t>(23)</t>
  </si>
  <si>
    <t>Income Before Tax</t>
  </si>
  <si>
    <t>(125)</t>
  </si>
  <si>
    <t>Income Before Tax ratio</t>
  </si>
  <si>
    <t>(200.59)%</t>
  </si>
  <si>
    <t>Income Tax Expense (Gain)</t>
  </si>
  <si>
    <t>8</t>
  </si>
  <si>
    <t>Net Income Ratio</t>
  </si>
  <si>
    <t>(188.51)%</t>
  </si>
  <si>
    <t>(0.00)</t>
  </si>
  <si>
    <t>EPS Diluted</t>
  </si>
  <si>
    <t>Weighted Avg. Shares Outs.</t>
  </si>
  <si>
    <t>Weighted Avg. Shares Outs. Dil.</t>
  </si>
  <si>
    <t>Gross Margin</t>
  </si>
  <si>
    <t>Cash and Cash Equivalents</t>
  </si>
  <si>
    <t>691</t>
  </si>
  <si>
    <t>Short-Term Investments</t>
  </si>
  <si>
    <t>Cash &amp; Short-Term Investments</t>
  </si>
  <si>
    <t>Net Receivables</t>
  </si>
  <si>
    <t>14</t>
  </si>
  <si>
    <t>Inventory</t>
  </si>
  <si>
    <t>48</t>
  </si>
  <si>
    <t>Other Current Assets</t>
  </si>
  <si>
    <t>22</t>
  </si>
  <si>
    <t>Total Current Assets</t>
  </si>
  <si>
    <t>775</t>
  </si>
  <si>
    <t>94</t>
  </si>
  <si>
    <t>43</t>
  </si>
  <si>
    <t>Intangible Assets</t>
  </si>
  <si>
    <t>57</t>
  </si>
  <si>
    <t>Goodwill and Intangible Assets</t>
  </si>
  <si>
    <t>101</t>
  </si>
  <si>
    <t>Investments</t>
  </si>
  <si>
    <t>Tax Assets</t>
  </si>
  <si>
    <t>Other Non-Current Assets</t>
  </si>
  <si>
    <t>Total Non-Current Assets</t>
  </si>
  <si>
    <t>206</t>
  </si>
  <si>
    <t>Other Assets</t>
  </si>
  <si>
    <t>Total Assets</t>
  </si>
  <si>
    <t>981</t>
  </si>
  <si>
    <t>Accounts Payable</t>
  </si>
  <si>
    <t>3</t>
  </si>
  <si>
    <t>Short-Term Debt</t>
  </si>
  <si>
    <t>Tax Payable</t>
  </si>
  <si>
    <t>Deferred Revenue</t>
  </si>
  <si>
    <t>Other Current Liabilities</t>
  </si>
  <si>
    <t>90</t>
  </si>
  <si>
    <t>Total Current Liabilities</t>
  </si>
  <si>
    <t>96</t>
  </si>
  <si>
    <t>Long-Term Debt</t>
  </si>
  <si>
    <t>Deferred Tax Liabilities</t>
  </si>
  <si>
    <t>0</t>
  </si>
  <si>
    <t>Other Non-Current Liabilities</t>
  </si>
  <si>
    <t>186</t>
  </si>
  <si>
    <t>Total Non-Current Liabilities</t>
  </si>
  <si>
    <t>Other Liabilities</t>
  </si>
  <si>
    <t>Capital Lease Obligations</t>
  </si>
  <si>
    <t>Total Liabilities</t>
  </si>
  <si>
    <t>282</t>
  </si>
  <si>
    <t>Preferred Stock</t>
  </si>
  <si>
    <t>Retained Earnings</t>
  </si>
  <si>
    <t>(305)</t>
  </si>
  <si>
    <t>Other Compreh. Income(Loss)</t>
  </si>
  <si>
    <t>1</t>
  </si>
  <si>
    <t>Other Total Stockhold. Equity</t>
  </si>
  <si>
    <t>1,002</t>
  </si>
  <si>
    <t>Total Stockholders Equity</t>
  </si>
  <si>
    <t>Total Liab.&amp;Stockhold. Equity</t>
  </si>
  <si>
    <t>Minority Interest</t>
  </si>
  <si>
    <t>Total Liabilities &amp; Equity</t>
  </si>
  <si>
    <t>Deferred Income Tax</t>
  </si>
  <si>
    <t>(10)</t>
  </si>
  <si>
    <t>Stock Based Compensation</t>
  </si>
  <si>
    <t>33</t>
  </si>
  <si>
    <t>Change in Working Capital</t>
  </si>
  <si>
    <t>(8)</t>
  </si>
  <si>
    <t>Accounts Receivable</t>
  </si>
  <si>
    <t>(13)</t>
  </si>
  <si>
    <t>Other Working Capital</t>
  </si>
  <si>
    <t>28</t>
  </si>
  <si>
    <t>Other Non-Cash Items</t>
  </si>
  <si>
    <t>20</t>
  </si>
  <si>
    <t>Cash Provided by Operating Activities</t>
  </si>
  <si>
    <t>(72)</t>
  </si>
  <si>
    <t>CAPEX</t>
  </si>
  <si>
    <t>(26)</t>
  </si>
  <si>
    <t>Acquisitions Net</t>
  </si>
  <si>
    <t>Purchases of Investments</t>
  </si>
  <si>
    <t>Sales/Maturities of Investments</t>
  </si>
  <si>
    <t>Other Investing Activities</t>
  </si>
  <si>
    <t>(66)</t>
  </si>
  <si>
    <t>Cash Used for Investing Activities</t>
  </si>
  <si>
    <t>(92)</t>
  </si>
  <si>
    <t>Debt Repayment</t>
  </si>
  <si>
    <t>Common Stock Issued</t>
  </si>
  <si>
    <t>Common Stock Repurchased</t>
  </si>
  <si>
    <t>Dividends Paid</t>
  </si>
  <si>
    <t>Other Financing Activities</t>
  </si>
  <si>
    <t>797</t>
  </si>
  <si>
    <t>Cash Used/Provided by Financing Activities</t>
  </si>
  <si>
    <t>800</t>
  </si>
  <si>
    <t>Effect of Forex Changes on Cash</t>
  </si>
  <si>
    <t>2</t>
  </si>
  <si>
    <t>Net Change In Cash</t>
  </si>
  <si>
    <t>638</t>
  </si>
  <si>
    <t>Cash at the End of Period</t>
  </si>
  <si>
    <t>692</t>
  </si>
  <si>
    <t>Cash at the Beginning of Period</t>
  </si>
  <si>
    <t>Free Cash Flow</t>
  </si>
  <si>
    <t>(97)</t>
  </si>
  <si>
    <t>Stock Prices</t>
  </si>
  <si>
    <t xml:space="preserve">High </t>
  </si>
  <si>
    <t>Low</t>
  </si>
  <si>
    <t>Average</t>
  </si>
  <si>
    <t>Total Non-current Assets</t>
  </si>
  <si>
    <t>SBI</t>
  </si>
  <si>
    <t>SBC</t>
  </si>
  <si>
    <t>SBB</t>
  </si>
  <si>
    <t>Dividends</t>
  </si>
  <si>
    <t>Balance Sheet *in thousands, USD</t>
  </si>
  <si>
    <t>Income Statement *in thousands, USD</t>
  </si>
  <si>
    <t>Per/Share</t>
  </si>
  <si>
    <t>P/S</t>
  </si>
  <si>
    <t>P/E</t>
  </si>
  <si>
    <t>P/FCF</t>
  </si>
  <si>
    <t>P/B</t>
  </si>
  <si>
    <t>Growth</t>
  </si>
  <si>
    <t>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</si>
</sst>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[$$-409]* #,##0.00_);_([$$-409]* \(#,##0.00\);_([$$-409]* &quot;-&quot;??_);_(@_)"/>
    <numFmt numFmtId="165" formatCode="&quot;$&quot;#,##0.00"/>
    <numFmt numFmtId="166" formatCode="h:mm;@"/>
    <numFmt numFmtId="167" formatCode="&quot;$&quot;#,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7"/>
      <color rgb="FFA6ACCD"/>
      <name val="Consolas"/>
      <family val="3"/>
    </font>
    <font>
      <i/>
      <u/>
      <sz val="7"/>
      <color rgb="FFC3E88D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81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0" fontId="1" fillId="0" borderId="0" xfId="0" applyFont="1" applyAlignment="1">
      <alignment horizontal="center" vertical="top"/>
    </xf>
    <xf numFmtId="0" fontId="0" fillId="0" borderId="2" xfId="0" applyBorder="1"/>
    <xf numFmtId="14" fontId="0" fillId="0" borderId="0" xfId="0" applyNumberFormat="1"/>
    <xf numFmtId="0" fontId="2" fillId="2" borderId="0" xfId="0" applyFont="1" applyFill="1"/>
    <xf numFmtId="3" fontId="0" fillId="0" borderId="0" xfId="0" applyNumberFormat="1"/>
    <xf numFmtId="3" fontId="0" fillId="0" borderId="2" xfId="0" applyNumberFormat="1" applyBorder="1"/>
    <xf numFmtId="3" fontId="2" fillId="2" borderId="0" xfId="0" applyNumberFormat="1" applyFont="1" applyFill="1"/>
    <xf numFmtId="0" fontId="3" fillId="2" borderId="0" xfId="0" applyFont="1" applyFill="1"/>
    <xf numFmtId="4" fontId="0" fillId="0" borderId="0" xfId="0" applyNumberFormat="1"/>
    <xf numFmtId="3" fontId="0" fillId="2" borderId="0" xfId="0" applyNumberFormat="1" applyFill="1"/>
    <xf numFmtId="10" fontId="0" fillId="0" borderId="0" xfId="0" applyNumberForma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164" fontId="0" fillId="0" borderId="0" xfId="0" applyNumberFormat="1"/>
    <xf numFmtId="0" fontId="4" fillId="0" borderId="0" xfId="1"/>
    <xf numFmtId="3" fontId="3" fillId="2" borderId="0" xfId="0" applyNumberFormat="1" applyFont="1" applyFill="1"/>
    <xf numFmtId="0" fontId="0" fillId="3" borderId="0" xfId="0" applyFill="1"/>
    <xf numFmtId="3" fontId="0" fillId="3" borderId="0" xfId="0" applyNumberFormat="1" applyFill="1"/>
    <xf numFmtId="10" fontId="0" fillId="0" borderId="2" xfId="0" applyNumberFormat="1" applyBorder="1"/>
    <xf numFmtId="9" fontId="0" fillId="0" borderId="2" xfId="0" applyNumberFormat="1" applyBorder="1"/>
    <xf numFmtId="0" fontId="1" fillId="3" borderId="0" xfId="0" applyFont="1" applyFill="1"/>
    <xf numFmtId="3" fontId="1" fillId="0" borderId="0" xfId="0" applyNumberFormat="1" applyFont="1"/>
    <xf numFmtId="2" fontId="0" fillId="0" borderId="0" xfId="0" applyNumberFormat="1"/>
    <xf numFmtId="0" fontId="5" fillId="3" borderId="0" xfId="0" applyFont="1" applyFill="1"/>
    <xf numFmtId="3" fontId="5" fillId="3" borderId="0" xfId="0" applyNumberFormat="1" applyFont="1" applyFill="1"/>
    <xf numFmtId="0" fontId="6" fillId="3" borderId="0" xfId="0" applyFont="1" applyFill="1"/>
    <xf numFmtId="3" fontId="6" fillId="3" borderId="0" xfId="0" applyNumberFormat="1" applyFont="1" applyFill="1"/>
    <xf numFmtId="0" fontId="7" fillId="3" borderId="0" xfId="0" applyFont="1" applyFill="1"/>
    <xf numFmtId="3" fontId="7" fillId="3" borderId="0" xfId="0" applyNumberFormat="1" applyFont="1" applyFill="1"/>
    <xf numFmtId="0" fontId="1" fillId="0" borderId="3" xfId="0" applyFont="1" applyBorder="1"/>
    <xf numFmtId="3" fontId="1" fillId="0" borderId="3" xfId="0" applyNumberFormat="1" applyFont="1" applyBorder="1"/>
    <xf numFmtId="0" fontId="0" fillId="0" borderId="7" xfId="0" applyBorder="1"/>
    <xf numFmtId="14" fontId="0" fillId="0" borderId="7" xfId="0" applyNumberFormat="1" applyBorder="1"/>
    <xf numFmtId="3" fontId="3" fillId="2" borderId="7" xfId="0" applyNumberFormat="1" applyFont="1" applyFill="1" applyBorder="1"/>
    <xf numFmtId="3" fontId="0" fillId="0" borderId="7" xfId="0" applyNumberFormat="1" applyBorder="1"/>
    <xf numFmtId="3" fontId="0" fillId="0" borderId="8" xfId="0" applyNumberFormat="1" applyBorder="1"/>
    <xf numFmtId="3" fontId="0" fillId="3" borderId="7" xfId="0" applyNumberFormat="1" applyFill="1" applyBorder="1"/>
    <xf numFmtId="3" fontId="1" fillId="0" borderId="7" xfId="0" applyNumberFormat="1" applyFont="1" applyBorder="1"/>
    <xf numFmtId="9" fontId="0" fillId="0" borderId="7" xfId="0" applyNumberFormat="1" applyBorder="1"/>
    <xf numFmtId="10" fontId="0" fillId="0" borderId="7" xfId="0" applyNumberFormat="1" applyBorder="1"/>
    <xf numFmtId="10" fontId="0" fillId="0" borderId="8" xfId="0" applyNumberFormat="1" applyBorder="1"/>
    <xf numFmtId="9" fontId="0" fillId="0" borderId="8" xfId="0" applyNumberFormat="1" applyBorder="1"/>
    <xf numFmtId="3" fontId="2" fillId="2" borderId="7" xfId="0" applyNumberFormat="1" applyFont="1" applyFill="1" applyBorder="1"/>
    <xf numFmtId="3" fontId="1" fillId="0" borderId="9" xfId="0" applyNumberFormat="1" applyFont="1" applyBorder="1"/>
    <xf numFmtId="4" fontId="0" fillId="0" borderId="7" xfId="0" applyNumberFormat="1" applyBorder="1"/>
    <xf numFmtId="3" fontId="6" fillId="3" borderId="7" xfId="0" applyNumberFormat="1" applyFont="1" applyFill="1" applyBorder="1"/>
    <xf numFmtId="3" fontId="7" fillId="3" borderId="7" xfId="0" applyNumberFormat="1" applyFont="1" applyFill="1" applyBorder="1"/>
    <xf numFmtId="3" fontId="5" fillId="3" borderId="7" xfId="0" applyNumberFormat="1" applyFont="1" applyFill="1" applyBorder="1"/>
    <xf numFmtId="2" fontId="0" fillId="0" borderId="7" xfId="0" applyNumberFormat="1" applyBorder="1"/>
    <xf numFmtId="0" fontId="3" fillId="2" borderId="7" xfId="0" applyFont="1" applyFill="1" applyBorder="1"/>
    <xf numFmtId="0" fontId="2" fillId="2" borderId="7" xfId="0" applyFont="1" applyFill="1" applyBorder="1"/>
    <xf numFmtId="166" fontId="0" fillId="0" borderId="7" xfId="0" applyNumberFormat="1" applyBorder="1"/>
    <xf numFmtId="0" fontId="8" fillId="0" borderId="0" xfId="0" applyFont="1" applyAlignment="1">
      <alignment vertical="center"/>
    </xf>
    <xf numFmtId="17" fontId="0" fillId="0" borderId="0" xfId="0" applyNumberFormat="1"/>
    <xf numFmtId="14" fontId="2" fillId="2" borderId="0" xfId="0" applyNumberFormat="1" applyFont="1" applyFill="1"/>
    <xf numFmtId="20" fontId="0" fillId="0" borderId="0" xfId="0" applyNumberFormat="1"/>
    <xf numFmtId="0" fontId="4" fillId="2" borderId="0" xfId="1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0" fillId="0" borderId="3" xfId="0" applyFill="1" applyBorder="1"/>
    <xf numFmtId="3" fontId="0" fillId="0" borderId="3" xfId="0" applyNumberFormat="1" applyBorder="1"/>
    <xf numFmtId="3" fontId="0" fillId="0" borderId="9" xfId="0" applyNumberFormat="1" applyBorder="1"/>
    <xf numFmtId="0" fontId="0" fillId="0" borderId="3" xfId="0" applyBorder="1"/>
    <xf numFmtId="14" fontId="2" fillId="2" borderId="7" xfId="0" applyNumberFormat="1" applyFont="1" applyFill="1" applyBorder="1"/>
    <xf numFmtId="3" fontId="1" fillId="0" borderId="10" xfId="0" applyNumberFormat="1" applyFont="1" applyBorder="1"/>
    <xf numFmtId="0" fontId="6" fillId="3" borderId="7" xfId="0" applyFont="1" applyFill="1" applyBorder="1"/>
    <xf numFmtId="166" fontId="6" fillId="3" borderId="7" xfId="0" applyNumberFormat="1" applyFont="1" applyFill="1" applyBorder="1"/>
    <xf numFmtId="0" fontId="9" fillId="3" borderId="0" xfId="0" applyFont="1" applyFill="1" applyAlignment="1">
      <alignment vertical="center"/>
    </xf>
    <xf numFmtId="165" fontId="1" fillId="0" borderId="2" xfId="0" applyNumberFormat="1" applyFont="1" applyBorder="1"/>
    <xf numFmtId="165" fontId="1" fillId="0" borderId="8" xfId="0" applyNumberFormat="1" applyFont="1" applyBorder="1"/>
    <xf numFmtId="165" fontId="0" fillId="0" borderId="0" xfId="0" applyNumberFormat="1"/>
    <xf numFmtId="167" fontId="0" fillId="0" borderId="0" xfId="0" applyNumberFormat="1"/>
    <xf numFmtId="167" fontId="0" fillId="0" borderId="7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Price</v>
    <v>0</v>
  </rv>
  <rv s="0">
    <v>12</v>
    <v>Shares outstanding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ocketlabusa.com/launch/electron/" TargetMode="External"/><Relationship Id="rId3" Type="http://schemas.openxmlformats.org/officeDocument/2006/relationships/hyperlink" Target="https://www.rocketlabusa.com/space-systems/space-software/" TargetMode="External"/><Relationship Id="rId7" Type="http://schemas.openxmlformats.org/officeDocument/2006/relationships/hyperlink" Target="https://www.rocketlabusa.com/space-systems/space-software/max-ground-data-systems/" TargetMode="External"/><Relationship Id="rId2" Type="http://schemas.openxmlformats.org/officeDocument/2006/relationships/hyperlink" Target="https://www.rocketlabusa.com/space-systems/separation-systems/" TargetMode="External"/><Relationship Id="rId1" Type="http://schemas.openxmlformats.org/officeDocument/2006/relationships/hyperlink" Target="https://www.rocketlabusa.com/space-systems/solar/" TargetMode="External"/><Relationship Id="rId6" Type="http://schemas.openxmlformats.org/officeDocument/2006/relationships/hyperlink" Target="https://www.rocketlabusa.com/space-systems/space-software/max-flight-software/" TargetMode="External"/><Relationship Id="rId5" Type="http://schemas.openxmlformats.org/officeDocument/2006/relationships/hyperlink" Target="https://www.rocketlabusa.com/space-systems/space-software/solis/" TargetMode="External"/><Relationship Id="rId10" Type="http://schemas.openxmlformats.org/officeDocument/2006/relationships/hyperlink" Target="https://en.wikipedia.org/wiki/List_of_Electron_launches" TargetMode="External"/><Relationship Id="rId4" Type="http://schemas.openxmlformats.org/officeDocument/2006/relationships/hyperlink" Target="https://www.rocketlabusa.com/space-systems/space-software/" TargetMode="External"/><Relationship Id="rId9" Type="http://schemas.openxmlformats.org/officeDocument/2006/relationships/hyperlink" Target="https://www.rocketlabusa.com/launch/neutro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ist_of_Electron_launch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E21" sqref="E21"/>
    </sheetView>
  </sheetViews>
  <sheetFormatPr defaultRowHeight="14.5" x14ac:dyDescent="0.35"/>
  <cols>
    <col min="2" max="2" width="10.7265625" bestFit="1" customWidth="1"/>
  </cols>
  <sheetData>
    <row r="1" spans="1:2" ht="15" customHeight="1" thickBot="1" x14ac:dyDescent="0.4">
      <c r="A1" t="e">
        <v>#VALUE!</v>
      </c>
    </row>
    <row r="2" spans="1:2" x14ac:dyDescent="0.35">
      <c r="A2" s="15" t="s">
        <v>0</v>
      </c>
      <c r="B2" s="18" t="e" vm="1">
        <f t="array" ref="B2">_FV(A1,"Price")</f>
        <v>#VALUE!</v>
      </c>
    </row>
    <row r="3" spans="1:2" x14ac:dyDescent="0.35">
      <c r="A3" s="16" t="s">
        <v>1</v>
      </c>
      <c r="B3" s="7" t="e" vm="2">
        <f t="array" ref="B3">_FV(A1,"Shares outstanding",TRUE)/1000000</f>
        <v>#VALUE!</v>
      </c>
    </row>
    <row r="4" spans="1:2" x14ac:dyDescent="0.35">
      <c r="A4" s="16" t="s">
        <v>2</v>
      </c>
      <c r="B4" s="18" t="e" vm="3">
        <f>B2*B3</f>
        <v>#VALUE!</v>
      </c>
    </row>
    <row r="5" spans="1:2" x14ac:dyDescent="0.35">
      <c r="A5" s="16" t="s">
        <v>3</v>
      </c>
      <c r="B5" s="7">
        <f>(Model!K93+Model!K94)/1000</f>
        <v>502.70699999999999</v>
      </c>
    </row>
    <row r="6" spans="1:2" x14ac:dyDescent="0.35">
      <c r="A6" s="16" t="s">
        <v>4</v>
      </c>
      <c r="B6" s="7">
        <f>(Model!K118+Model!K125)/1000</f>
        <v>144.23699999999999</v>
      </c>
    </row>
    <row r="7" spans="1:2" ht="15" customHeight="1" thickBot="1" x14ac:dyDescent="0.4">
      <c r="A7" s="17" t="s">
        <v>5</v>
      </c>
      <c r="B7" s="18" t="e" vm="3">
        <f>B4-B5+B6</f>
        <v>#VALUE!</v>
      </c>
    </row>
    <row r="8" spans="1:2" x14ac:dyDescent="0.35">
      <c r="A8" s="14" t="s">
        <v>6</v>
      </c>
      <c r="B8" s="18" t="e" vm="3">
        <f>B7/B3</f>
        <v>#VALUE!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8"/>
  <sheetViews>
    <sheetView topLeftCell="A10" workbookViewId="0">
      <selection activeCell="A16" sqref="A16"/>
    </sheetView>
  </sheetViews>
  <sheetFormatPr defaultRowHeight="14.5" x14ac:dyDescent="0.35"/>
  <cols>
    <col min="1" max="1" width="44.90625" customWidth="1"/>
    <col min="2" max="2" width="10.6328125" customWidth="1"/>
    <col min="3" max="3" width="13.6328125" customWidth="1"/>
    <col min="4" max="5" width="10.6328125" customWidth="1"/>
    <col min="7" max="7" width="11.26953125" customWidth="1"/>
    <col min="8" max="8" width="17" customWidth="1"/>
    <col min="9" max="9" width="15.6328125" customWidth="1"/>
  </cols>
  <sheetData>
    <row r="1" spans="1:5" x14ac:dyDescent="0.35">
      <c r="A1" t="s">
        <v>7</v>
      </c>
      <c r="B1" t="s">
        <v>8</v>
      </c>
      <c r="C1" t="s">
        <v>9</v>
      </c>
    </row>
    <row r="2" spans="1:5" x14ac:dyDescent="0.35">
      <c r="A2" t="s">
        <v>10</v>
      </c>
      <c r="B2" t="s">
        <v>11</v>
      </c>
      <c r="C2" t="s">
        <v>11</v>
      </c>
    </row>
    <row r="3" spans="1:5" x14ac:dyDescent="0.35">
      <c r="A3" t="s">
        <v>12</v>
      </c>
      <c r="B3" t="s">
        <v>13</v>
      </c>
      <c r="C3" t="s">
        <v>13</v>
      </c>
    </row>
    <row r="4" spans="1:5" x14ac:dyDescent="0.35">
      <c r="A4" t="s">
        <v>14</v>
      </c>
      <c r="B4" t="s">
        <v>15</v>
      </c>
      <c r="C4" t="s">
        <v>15</v>
      </c>
    </row>
    <row r="5" spans="1:5" x14ac:dyDescent="0.35">
      <c r="A5" t="s">
        <v>16</v>
      </c>
      <c r="B5" t="s">
        <v>17</v>
      </c>
      <c r="C5" t="s">
        <v>17</v>
      </c>
    </row>
    <row r="6" spans="1:5" x14ac:dyDescent="0.35">
      <c r="A6" s="6" t="s">
        <v>18</v>
      </c>
      <c r="B6" s="6"/>
      <c r="C6" s="10" t="s">
        <v>19</v>
      </c>
      <c r="E6" s="10" t="s">
        <v>20</v>
      </c>
    </row>
    <row r="7" spans="1:5" x14ac:dyDescent="0.35">
      <c r="A7" t="s">
        <v>21</v>
      </c>
    </row>
    <row r="8" spans="1:5" x14ac:dyDescent="0.35">
      <c r="A8" t="s">
        <v>22</v>
      </c>
      <c r="C8" t="s">
        <v>23</v>
      </c>
      <c r="E8" s="5">
        <v>43951</v>
      </c>
    </row>
    <row r="9" spans="1:5" x14ac:dyDescent="0.35">
      <c r="A9" s="19" t="s">
        <v>24</v>
      </c>
      <c r="B9" s="19"/>
      <c r="C9" t="s">
        <v>25</v>
      </c>
      <c r="E9" s="5">
        <v>44579</v>
      </c>
    </row>
    <row r="10" spans="1:5" x14ac:dyDescent="0.35">
      <c r="A10" s="19" t="s">
        <v>26</v>
      </c>
      <c r="B10" s="19"/>
      <c r="C10" t="s">
        <v>27</v>
      </c>
      <c r="E10" s="5">
        <v>44515</v>
      </c>
    </row>
    <row r="11" spans="1:5" x14ac:dyDescent="0.35">
      <c r="A11" s="19" t="s">
        <v>28</v>
      </c>
      <c r="B11" s="19"/>
      <c r="E11" s="5">
        <v>44481</v>
      </c>
    </row>
    <row r="12" spans="1:5" s="10" customFormat="1" x14ac:dyDescent="0.35">
      <c r="A12" s="6" t="s">
        <v>29</v>
      </c>
      <c r="B12" s="6"/>
    </row>
    <row r="13" spans="1:5" x14ac:dyDescent="0.35">
      <c r="A13" t="s">
        <v>30</v>
      </c>
    </row>
    <row r="14" spans="1:5" x14ac:dyDescent="0.35">
      <c r="A14" t="s">
        <v>31</v>
      </c>
    </row>
    <row r="15" spans="1:5" x14ac:dyDescent="0.35">
      <c r="A15" s="19" t="s">
        <v>32</v>
      </c>
      <c r="B15" s="19"/>
    </row>
    <row r="16" spans="1:5" x14ac:dyDescent="0.35">
      <c r="A16" t="s">
        <v>33</v>
      </c>
    </row>
    <row r="17" spans="1:13" x14ac:dyDescent="0.35">
      <c r="A17" s="6" t="s">
        <v>34</v>
      </c>
      <c r="B17" s="6"/>
    </row>
    <row r="18" spans="1:13" x14ac:dyDescent="0.35">
      <c r="A18" s="19" t="s">
        <v>35</v>
      </c>
      <c r="B18" s="19"/>
    </row>
    <row r="19" spans="1:13" x14ac:dyDescent="0.35">
      <c r="A19" s="19" t="s">
        <v>36</v>
      </c>
      <c r="B19" s="19"/>
    </row>
    <row r="20" spans="1:13" x14ac:dyDescent="0.35">
      <c r="A20" s="19" t="s">
        <v>37</v>
      </c>
      <c r="B20" s="19"/>
    </row>
    <row r="21" spans="1:13" x14ac:dyDescent="0.35">
      <c r="A21" s="6" t="s">
        <v>38</v>
      </c>
      <c r="C21" s="6" t="s">
        <v>39</v>
      </c>
      <c r="D21" s="6" t="s">
        <v>40</v>
      </c>
      <c r="F21" s="6" t="s">
        <v>41</v>
      </c>
    </row>
    <row r="22" spans="1:13" x14ac:dyDescent="0.35">
      <c r="A22" s="19" t="s">
        <v>42</v>
      </c>
      <c r="B22" s="19"/>
      <c r="C22">
        <v>32</v>
      </c>
      <c r="D22">
        <v>152</v>
      </c>
      <c r="F22" t="s">
        <v>43</v>
      </c>
    </row>
    <row r="23" spans="1:13" x14ac:dyDescent="0.35">
      <c r="A23" s="19" t="s">
        <v>44</v>
      </c>
      <c r="B23" s="19"/>
      <c r="F23" t="s">
        <v>45</v>
      </c>
    </row>
    <row r="24" spans="1:13" x14ac:dyDescent="0.35">
      <c r="A24" s="6" t="s">
        <v>46</v>
      </c>
      <c r="C24" s="6" t="s">
        <v>47</v>
      </c>
      <c r="D24" s="6" t="s">
        <v>48</v>
      </c>
      <c r="E24" s="6" t="s">
        <v>49</v>
      </c>
    </row>
    <row r="25" spans="1:13" x14ac:dyDescent="0.35">
      <c r="A25" t="s">
        <v>50</v>
      </c>
      <c r="C25" t="s">
        <v>51</v>
      </c>
      <c r="D25" t="s">
        <v>52</v>
      </c>
      <c r="E25" s="5">
        <v>42639</v>
      </c>
    </row>
    <row r="26" spans="1:13" x14ac:dyDescent="0.35">
      <c r="A26" t="s">
        <v>53</v>
      </c>
      <c r="C26" t="s">
        <v>13</v>
      </c>
      <c r="D26" t="s">
        <v>54</v>
      </c>
      <c r="E26" s="5">
        <v>43739</v>
      </c>
    </row>
    <row r="27" spans="1:13" x14ac:dyDescent="0.35">
      <c r="A27" s="61" t="s">
        <v>55</v>
      </c>
      <c r="B27" s="6" t="s">
        <v>56</v>
      </c>
      <c r="C27" s="6" t="s">
        <v>57</v>
      </c>
      <c r="D27" s="6" t="s">
        <v>58</v>
      </c>
      <c r="E27" s="59" t="s">
        <v>59</v>
      </c>
      <c r="F27" s="6" t="s">
        <v>60</v>
      </c>
      <c r="G27" s="6" t="s">
        <v>61</v>
      </c>
      <c r="H27" s="6" t="s">
        <v>62</v>
      </c>
      <c r="I27" s="6" t="s">
        <v>63</v>
      </c>
      <c r="J27" s="6" t="s">
        <v>64</v>
      </c>
      <c r="K27" s="6" t="s">
        <v>65</v>
      </c>
      <c r="L27" s="6" t="s">
        <v>66</v>
      </c>
      <c r="M27" s="6" t="s">
        <v>67</v>
      </c>
    </row>
    <row r="28" spans="1:13" x14ac:dyDescent="0.35">
      <c r="A28" t="s">
        <v>68</v>
      </c>
      <c r="B28" s="5">
        <v>42880</v>
      </c>
      <c r="C28" s="60">
        <v>0.18055555555555561</v>
      </c>
      <c r="D28" t="s">
        <v>42</v>
      </c>
      <c r="E28" s="5" t="s">
        <v>69</v>
      </c>
      <c r="F28" t="s">
        <v>70</v>
      </c>
      <c r="G28">
        <v>0</v>
      </c>
      <c r="H28" t="s">
        <v>71</v>
      </c>
      <c r="I28" t="s">
        <v>72</v>
      </c>
      <c r="J28" t="b">
        <v>0</v>
      </c>
      <c r="K28">
        <v>1</v>
      </c>
      <c r="L28" t="s">
        <v>73</v>
      </c>
    </row>
    <row r="29" spans="1:13" x14ac:dyDescent="0.35">
      <c r="A29" t="s">
        <v>74</v>
      </c>
      <c r="B29" s="5">
        <v>43121</v>
      </c>
      <c r="C29" s="60">
        <v>7.1527777777777773E-2</v>
      </c>
      <c r="D29" t="s">
        <v>42</v>
      </c>
      <c r="E29" s="5" t="s">
        <v>69</v>
      </c>
      <c r="F29" t="s">
        <v>75</v>
      </c>
      <c r="G29">
        <v>13</v>
      </c>
      <c r="H29" t="s">
        <v>76</v>
      </c>
      <c r="I29" t="s">
        <v>77</v>
      </c>
      <c r="J29" t="b">
        <v>0</v>
      </c>
      <c r="K29">
        <v>2</v>
      </c>
      <c r="L29" t="s">
        <v>78</v>
      </c>
    </row>
    <row r="30" spans="1:13" x14ac:dyDescent="0.35">
      <c r="A30" t="s">
        <v>79</v>
      </c>
      <c r="B30" s="5">
        <v>43415</v>
      </c>
      <c r="C30" s="60">
        <v>0.15972222222222221</v>
      </c>
      <c r="D30" t="s">
        <v>42</v>
      </c>
      <c r="E30" s="5" t="s">
        <v>69</v>
      </c>
      <c r="F30" t="s">
        <v>80</v>
      </c>
      <c r="G30">
        <v>45</v>
      </c>
      <c r="H30" t="s">
        <v>71</v>
      </c>
      <c r="I30" t="s">
        <v>77</v>
      </c>
      <c r="J30" t="b">
        <v>0</v>
      </c>
      <c r="K30">
        <v>4</v>
      </c>
      <c r="L30" t="s">
        <v>81</v>
      </c>
    </row>
    <row r="31" spans="1:13" x14ac:dyDescent="0.35">
      <c r="A31" t="s">
        <v>82</v>
      </c>
      <c r="B31" s="5">
        <v>43450</v>
      </c>
      <c r="C31" s="60">
        <v>0.27291666666666659</v>
      </c>
      <c r="D31" t="s">
        <v>42</v>
      </c>
      <c r="E31" s="5" t="s">
        <v>69</v>
      </c>
      <c r="F31" t="s">
        <v>83</v>
      </c>
      <c r="G31">
        <v>78</v>
      </c>
      <c r="H31" t="s">
        <v>71</v>
      </c>
      <c r="I31" t="s">
        <v>77</v>
      </c>
      <c r="J31" t="b">
        <v>0</v>
      </c>
      <c r="K31">
        <v>1</v>
      </c>
      <c r="L31" t="s">
        <v>84</v>
      </c>
      <c r="M31" t="s">
        <v>85</v>
      </c>
    </row>
    <row r="32" spans="1:13" x14ac:dyDescent="0.35">
      <c r="D32" t="s">
        <v>42</v>
      </c>
      <c r="E32" s="5"/>
    </row>
    <row r="33" spans="1:5" s="6" customFormat="1" x14ac:dyDescent="0.35">
      <c r="D33" t="s">
        <v>42</v>
      </c>
      <c r="E33" s="5"/>
    </row>
    <row r="34" spans="1:5" x14ac:dyDescent="0.35">
      <c r="A34" t="s">
        <v>86</v>
      </c>
      <c r="D34" t="s">
        <v>42</v>
      </c>
      <c r="E34" s="5"/>
    </row>
    <row r="35" spans="1:5" x14ac:dyDescent="0.35">
      <c r="A35" s="6" t="s">
        <v>87</v>
      </c>
      <c r="B35" s="6" t="s">
        <v>88</v>
      </c>
      <c r="C35" s="6" t="s">
        <v>59</v>
      </c>
    </row>
    <row r="36" spans="1:5" x14ac:dyDescent="0.35">
      <c r="A36" t="s">
        <v>89</v>
      </c>
      <c r="B36">
        <v>2024</v>
      </c>
      <c r="C36" t="s">
        <v>54</v>
      </c>
    </row>
    <row r="37" spans="1:5" x14ac:dyDescent="0.35">
      <c r="A37" t="s">
        <v>90</v>
      </c>
      <c r="B37" t="s">
        <v>91</v>
      </c>
      <c r="C37" t="s">
        <v>54</v>
      </c>
    </row>
    <row r="38" spans="1:5" s="6" customFormat="1" x14ac:dyDescent="0.35">
      <c r="A38" t="s">
        <v>92</v>
      </c>
      <c r="B38" s="58">
        <v>45047</v>
      </c>
      <c r="C38" t="s">
        <v>54</v>
      </c>
    </row>
    <row r="39" spans="1:5" x14ac:dyDescent="0.35">
      <c r="A39" t="s">
        <v>93</v>
      </c>
      <c r="B39" s="58">
        <v>44986</v>
      </c>
      <c r="C39" t="s">
        <v>51</v>
      </c>
    </row>
    <row r="40" spans="1:5" x14ac:dyDescent="0.35">
      <c r="D40" s="57" t="s">
        <v>94</v>
      </c>
    </row>
    <row r="41" spans="1:5" x14ac:dyDescent="0.35">
      <c r="D41" s="57" t="s">
        <v>95</v>
      </c>
    </row>
    <row r="42" spans="1:5" x14ac:dyDescent="0.35">
      <c r="D42" s="57" t="s">
        <v>96</v>
      </c>
    </row>
    <row r="43" spans="1:5" s="6" customFormat="1" x14ac:dyDescent="0.35">
      <c r="A43" t="s">
        <v>97</v>
      </c>
      <c r="D43" s="57" t="s">
        <v>98</v>
      </c>
    </row>
    <row r="68" s="6" customFormat="1" x14ac:dyDescent="0.35"/>
  </sheetData>
  <hyperlinks>
    <hyperlink ref="A15" r:id="rId1" xr:uid="{00000000-0004-0000-0100-000000000000}"/>
    <hyperlink ref="A16" r:id="rId2" xr:uid="{00000000-0004-0000-0100-000001000000}"/>
    <hyperlink ref="A17" r:id="rId3" xr:uid="{00000000-0004-0000-0100-000002000000}"/>
    <hyperlink ref="A23" r:id="rId4" display="Rocketlab's space software has been used for an accumulative 176 years, 251 days. (2022-12-22)" xr:uid="{00000000-0004-0000-0100-000003000000}"/>
    <hyperlink ref="A29" r:id="rId5" xr:uid="{00000000-0004-0000-0100-000004000000}"/>
    <hyperlink ref="A30" r:id="rId6" xr:uid="{00000000-0004-0000-0100-000005000000}"/>
    <hyperlink ref="A31" r:id="rId7" xr:uid="{00000000-0004-0000-0100-000006000000}"/>
    <hyperlink ref="A34" r:id="rId8" xr:uid="{00000000-0004-0000-0100-000007000000}"/>
    <hyperlink ref="A35" r:id="rId9" xr:uid="{00000000-0004-0000-0100-000008000000}"/>
    <hyperlink ref="A43" r:id="rId10" xr:uid="{00000000-0004-0000-0100-000009000000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L189"/>
  <sheetViews>
    <sheetView tabSelected="1" zoomScale="70" zoomScaleNormal="70" workbookViewId="0">
      <pane xSplit="2" ySplit="7" topLeftCell="Q126" activePane="bottomRight" state="frozen"/>
      <selection pane="topRight" activeCell="C1" sqref="C1"/>
      <selection pane="bottomLeft" activeCell="A4" sqref="A4"/>
      <selection pane="bottomRight" activeCell="AD169" sqref="AD169"/>
    </sheetView>
  </sheetViews>
  <sheetFormatPr defaultRowHeight="14.5" x14ac:dyDescent="0.35"/>
  <cols>
    <col min="2" max="2" width="19.08984375" customWidth="1"/>
    <col min="3" max="4" width="15.6328125" customWidth="1"/>
    <col min="5" max="5" width="15.6328125" style="36" customWidth="1"/>
    <col min="6" max="8" width="15.6328125" customWidth="1"/>
    <col min="9" max="9" width="15.6328125" style="36" customWidth="1"/>
    <col min="10" max="12" width="15.6328125" customWidth="1"/>
    <col min="13" max="13" width="15.6328125" style="36" customWidth="1"/>
    <col min="14" max="38" width="15.6328125" customWidth="1"/>
  </cols>
  <sheetData>
    <row r="1" spans="2:38" x14ac:dyDescent="0.35">
      <c r="B1" t="s">
        <v>99</v>
      </c>
      <c r="C1" t="s">
        <v>100</v>
      </c>
      <c r="D1" t="s">
        <v>101</v>
      </c>
      <c r="E1" s="36" t="s">
        <v>102</v>
      </c>
      <c r="F1" t="s">
        <v>103</v>
      </c>
      <c r="G1" t="s">
        <v>104</v>
      </c>
      <c r="H1" t="s">
        <v>105</v>
      </c>
      <c r="I1" s="36" t="s">
        <v>106</v>
      </c>
      <c r="J1" t="s">
        <v>107</v>
      </c>
      <c r="K1" t="s">
        <v>108</v>
      </c>
    </row>
    <row r="2" spans="2:38" x14ac:dyDescent="0.35">
      <c r="B2" t="s">
        <v>109</v>
      </c>
      <c r="C2" s="5">
        <v>44151</v>
      </c>
      <c r="D2" s="5">
        <v>43921</v>
      </c>
      <c r="E2" s="37">
        <v>44340</v>
      </c>
      <c r="F2" s="5">
        <v>44411</v>
      </c>
      <c r="G2" s="5">
        <v>44515</v>
      </c>
      <c r="H2" s="5">
        <v>44644</v>
      </c>
      <c r="I2" s="37">
        <v>44697</v>
      </c>
      <c r="J2" s="5">
        <v>44784</v>
      </c>
      <c r="K2" s="5">
        <v>44874</v>
      </c>
      <c r="M2" s="37">
        <v>45055</v>
      </c>
      <c r="N2" s="5">
        <v>45146</v>
      </c>
      <c r="AA2" s="5">
        <v>44286</v>
      </c>
      <c r="AB2" s="5">
        <v>44644</v>
      </c>
    </row>
    <row r="3" spans="2:38" x14ac:dyDescent="0.35">
      <c r="B3" t="s">
        <v>110</v>
      </c>
      <c r="C3" s="5">
        <v>44104</v>
      </c>
      <c r="D3" s="5">
        <v>44196</v>
      </c>
      <c r="E3" s="5">
        <v>44286</v>
      </c>
      <c r="F3" s="5">
        <v>44377</v>
      </c>
      <c r="G3" s="5">
        <v>44469</v>
      </c>
      <c r="H3" s="5">
        <v>44561</v>
      </c>
      <c r="I3" s="37">
        <v>44651</v>
      </c>
      <c r="J3" s="5">
        <v>44742</v>
      </c>
      <c r="K3" s="5">
        <v>44834</v>
      </c>
      <c r="L3" s="5">
        <v>44926</v>
      </c>
      <c r="M3" s="37">
        <v>45016</v>
      </c>
      <c r="N3" s="5">
        <v>45107</v>
      </c>
      <c r="V3">
        <f t="shared" ref="V3:Z3" si="0">W3-1</f>
        <v>2015</v>
      </c>
      <c r="W3">
        <f t="shared" si="0"/>
        <v>2016</v>
      </c>
      <c r="X3">
        <f t="shared" si="0"/>
        <v>2017</v>
      </c>
      <c r="Y3">
        <f t="shared" si="0"/>
        <v>2018</v>
      </c>
      <c r="Z3">
        <f t="shared" si="0"/>
        <v>2019</v>
      </c>
      <c r="AA3">
        <v>2020</v>
      </c>
      <c r="AB3">
        <v>2021</v>
      </c>
      <c r="AC3">
        <v>2022</v>
      </c>
      <c r="AD3">
        <f t="shared" ref="AD3:AL3" si="1">AC3+1</f>
        <v>2023</v>
      </c>
      <c r="AE3">
        <f t="shared" si="1"/>
        <v>2024</v>
      </c>
      <c r="AF3">
        <f t="shared" si="1"/>
        <v>2025</v>
      </c>
      <c r="AG3">
        <f t="shared" si="1"/>
        <v>2026</v>
      </c>
      <c r="AH3">
        <f t="shared" si="1"/>
        <v>2027</v>
      </c>
      <c r="AI3">
        <f t="shared" si="1"/>
        <v>2028</v>
      </c>
      <c r="AJ3">
        <f t="shared" si="1"/>
        <v>2029</v>
      </c>
      <c r="AK3">
        <f t="shared" si="1"/>
        <v>2030</v>
      </c>
      <c r="AL3">
        <f t="shared" si="1"/>
        <v>2031</v>
      </c>
    </row>
    <row r="4" spans="2:38" s="6" customFormat="1" x14ac:dyDescent="0.35">
      <c r="B4" s="6" t="s">
        <v>445</v>
      </c>
      <c r="C4" s="59"/>
      <c r="D4" s="59"/>
      <c r="E4" s="59"/>
      <c r="F4" s="59"/>
      <c r="G4" s="59"/>
      <c r="H4" s="59"/>
      <c r="I4" s="71"/>
      <c r="J4" s="59"/>
      <c r="K4" s="59"/>
      <c r="L4" s="59"/>
      <c r="M4" s="55"/>
    </row>
    <row r="5" spans="2:38" x14ac:dyDescent="0.35">
      <c r="B5" t="s">
        <v>446</v>
      </c>
      <c r="C5" s="5"/>
      <c r="D5" s="5"/>
      <c r="E5" s="5"/>
      <c r="F5" s="5"/>
      <c r="G5" s="5"/>
      <c r="H5" s="5"/>
      <c r="I5" s="37"/>
      <c r="J5" s="5"/>
      <c r="K5" s="5"/>
      <c r="L5" s="5"/>
      <c r="AA5">
        <v>11.39</v>
      </c>
      <c r="AB5">
        <v>21.34</v>
      </c>
      <c r="AC5">
        <v>8.74</v>
      </c>
    </row>
    <row r="6" spans="2:38" x14ac:dyDescent="0.35">
      <c r="B6" t="s">
        <v>447</v>
      </c>
      <c r="C6" s="5"/>
      <c r="D6" s="5"/>
      <c r="E6" s="5"/>
      <c r="F6" s="5"/>
      <c r="G6" s="5"/>
      <c r="H6" s="5"/>
      <c r="I6" s="37"/>
      <c r="J6" s="5"/>
      <c r="K6" s="5"/>
      <c r="L6" s="5"/>
      <c r="AA6">
        <v>9.7200000000000006</v>
      </c>
      <c r="AB6">
        <v>9.5</v>
      </c>
      <c r="AC6">
        <v>3.48</v>
      </c>
    </row>
    <row r="7" spans="2:38" s="76" customFormat="1" x14ac:dyDescent="0.35">
      <c r="B7" s="76" t="s">
        <v>448</v>
      </c>
      <c r="E7" s="77">
        <v>10.46</v>
      </c>
      <c r="F7" s="76">
        <v>10.17</v>
      </c>
      <c r="G7" s="76">
        <v>14.05</v>
      </c>
      <c r="H7" s="76">
        <v>9.0399999999999991</v>
      </c>
      <c r="I7" s="77">
        <v>7.38</v>
      </c>
      <c r="J7" s="76">
        <v>4.67</v>
      </c>
      <c r="K7" s="76">
        <v>5.09</v>
      </c>
      <c r="L7" s="76">
        <v>4.97</v>
      </c>
      <c r="M7" s="77"/>
      <c r="AA7" s="76">
        <v>10.18</v>
      </c>
      <c r="AB7" s="76">
        <v>12.06</v>
      </c>
      <c r="AC7" s="76">
        <v>5.07</v>
      </c>
    </row>
    <row r="8" spans="2:38" x14ac:dyDescent="0.35">
      <c r="C8" s="5"/>
      <c r="D8" s="5"/>
      <c r="E8" s="37"/>
      <c r="F8" s="5"/>
      <c r="G8" s="5"/>
      <c r="H8" s="5"/>
      <c r="I8" s="37"/>
      <c r="J8" s="5"/>
      <c r="K8" s="5"/>
    </row>
    <row r="9" spans="2:38" s="10" customFormat="1" x14ac:dyDescent="0.35">
      <c r="B9" s="10" t="s">
        <v>111</v>
      </c>
      <c r="E9" s="38"/>
      <c r="F9" s="20"/>
      <c r="G9" s="20"/>
      <c r="H9" s="20"/>
      <c r="I9" s="38"/>
      <c r="J9" s="20"/>
      <c r="K9" s="20"/>
      <c r="L9" s="20"/>
      <c r="M9" s="38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</row>
    <row r="10" spans="2:38" x14ac:dyDescent="0.35">
      <c r="B10" t="s">
        <v>112</v>
      </c>
      <c r="D10" t="s">
        <v>113</v>
      </c>
      <c r="E10" s="39"/>
      <c r="F10" s="7"/>
      <c r="G10" s="7"/>
      <c r="H10" s="7"/>
      <c r="I10" s="39"/>
      <c r="J10" s="7"/>
      <c r="K10" s="7"/>
      <c r="L10" s="7"/>
      <c r="M10" s="39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>
        <v>31993</v>
      </c>
      <c r="AB10" s="7">
        <v>36576</v>
      </c>
      <c r="AC10" s="7">
        <v>60200</v>
      </c>
      <c r="AD10" s="7"/>
      <c r="AE10" s="7"/>
    </row>
    <row r="11" spans="2:38" x14ac:dyDescent="0.35">
      <c r="B11" t="s">
        <v>114</v>
      </c>
      <c r="E11" s="39"/>
      <c r="F11" s="7"/>
      <c r="G11" s="7"/>
      <c r="H11" s="7"/>
      <c r="I11" s="39"/>
      <c r="J11" s="7"/>
      <c r="K11" s="7"/>
      <c r="L11" s="7"/>
      <c r="M11" s="39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>
        <v>1092</v>
      </c>
      <c r="AB11" s="7">
        <v>2395</v>
      </c>
      <c r="AC11" s="7">
        <v>485</v>
      </c>
      <c r="AD11" s="7"/>
      <c r="AE11" s="7"/>
    </row>
    <row r="12" spans="2:38" x14ac:dyDescent="0.35">
      <c r="B12" t="s">
        <v>115</v>
      </c>
      <c r="E12" s="39"/>
      <c r="F12" s="7"/>
      <c r="G12" s="7"/>
      <c r="H12" s="7"/>
      <c r="I12" s="39"/>
      <c r="J12" s="7"/>
      <c r="K12" s="7"/>
      <c r="L12" s="7"/>
      <c r="M12" s="39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>
        <v>1910</v>
      </c>
      <c r="AB12" s="7">
        <v>12578</v>
      </c>
      <c r="AC12" s="7">
        <v>61141</v>
      </c>
      <c r="AD12" s="7"/>
      <c r="AE12" s="7"/>
    </row>
    <row r="13" spans="2:38" s="4" customFormat="1" x14ac:dyDescent="0.35">
      <c r="B13" s="4" t="s">
        <v>116</v>
      </c>
      <c r="E13" s="40"/>
      <c r="F13" s="8"/>
      <c r="G13" s="8"/>
      <c r="H13" s="8"/>
      <c r="I13" s="40"/>
      <c r="J13" s="8"/>
      <c r="K13" s="8"/>
      <c r="L13" s="8"/>
      <c r="M13" s="40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>
        <v>165</v>
      </c>
      <c r="AB13" s="8">
        <v>10688</v>
      </c>
      <c r="AC13" s="8">
        <v>89170</v>
      </c>
      <c r="AD13" s="8"/>
      <c r="AE13" s="8"/>
    </row>
    <row r="14" spans="2:38" x14ac:dyDescent="0.35">
      <c r="B14" t="s">
        <v>117</v>
      </c>
      <c r="C14">
        <v>10670</v>
      </c>
      <c r="D14" s="7">
        <f>33903-C14</f>
        <v>23233</v>
      </c>
      <c r="E14" s="39">
        <v>17035</v>
      </c>
      <c r="F14" s="7">
        <v>9780</v>
      </c>
      <c r="G14" s="7">
        <v>1988</v>
      </c>
      <c r="H14" s="7">
        <f>AB14-G14-F14-E14</f>
        <v>20351</v>
      </c>
      <c r="I14" s="39">
        <v>28237</v>
      </c>
      <c r="J14" s="7">
        <v>37107</v>
      </c>
      <c r="K14" s="7">
        <v>31312</v>
      </c>
      <c r="L14" s="7"/>
      <c r="M14" s="39">
        <v>28662</v>
      </c>
      <c r="N14" s="7">
        <v>35670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>
        <f>+AA12+AA10</f>
        <v>33903</v>
      </c>
      <c r="AB14" s="7">
        <f>+AB12+AB10</f>
        <v>49154</v>
      </c>
      <c r="AC14" s="7"/>
      <c r="AD14" s="7"/>
      <c r="AE14" s="7"/>
    </row>
    <row r="15" spans="2:38" s="4" customFormat="1" x14ac:dyDescent="0.35">
      <c r="B15" s="4" t="s">
        <v>118</v>
      </c>
      <c r="C15" s="4">
        <v>0</v>
      </c>
      <c r="D15" s="8">
        <v>1257</v>
      </c>
      <c r="E15" s="40">
        <v>1157</v>
      </c>
      <c r="F15" s="8">
        <v>1500</v>
      </c>
      <c r="G15" s="8">
        <v>3299</v>
      </c>
      <c r="H15" s="8">
        <f>AB15-G15-F15-E15</f>
        <v>7127</v>
      </c>
      <c r="I15" s="40">
        <v>12466</v>
      </c>
      <c r="J15" s="8">
        <v>18367</v>
      </c>
      <c r="K15" s="8">
        <v>31745</v>
      </c>
      <c r="L15" s="8"/>
      <c r="M15" s="40">
        <v>26233</v>
      </c>
      <c r="N15" s="8">
        <v>26375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>
        <f>+AA13+AA11</f>
        <v>1257</v>
      </c>
      <c r="AB15" s="8">
        <f>+AB13+AB11</f>
        <v>13083</v>
      </c>
      <c r="AC15" s="8"/>
      <c r="AD15" s="8"/>
      <c r="AE15" s="8"/>
    </row>
    <row r="16" spans="2:38" x14ac:dyDescent="0.35">
      <c r="B16" t="s">
        <v>119</v>
      </c>
      <c r="C16" s="7">
        <f>SUM(C14:C15)</f>
        <v>10670</v>
      </c>
      <c r="D16" s="7">
        <f>D14+D15</f>
        <v>24490</v>
      </c>
      <c r="E16" s="39">
        <f>SUM(E14:E15)</f>
        <v>18192</v>
      </c>
      <c r="F16" s="7">
        <f>SUM(F14:F15)</f>
        <v>11280</v>
      </c>
      <c r="G16" s="7">
        <f>SUM(G14:G15)</f>
        <v>5287</v>
      </c>
      <c r="H16" s="7">
        <f>AB16-G16-F16-E16</f>
        <v>27478</v>
      </c>
      <c r="I16" s="39">
        <f>SUM(I14:I15)</f>
        <v>40703</v>
      </c>
      <c r="J16" s="7">
        <f>SUM(J14:J15)</f>
        <v>55474</v>
      </c>
      <c r="K16" s="7">
        <f>SUM(K14:K15)</f>
        <v>63057</v>
      </c>
      <c r="L16" s="7"/>
      <c r="M16" s="39">
        <f>SUM(M14:M15)</f>
        <v>54895</v>
      </c>
      <c r="N16" s="7">
        <f>SUM(N14:N15)</f>
        <v>62045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>
        <f>AA14+AA15</f>
        <v>35160</v>
      </c>
      <c r="AB16" s="7">
        <f>AB14+AB15</f>
        <v>62237</v>
      </c>
      <c r="AC16" s="7"/>
      <c r="AD16" s="7"/>
      <c r="AE16" s="7"/>
    </row>
    <row r="17" spans="2:38" x14ac:dyDescent="0.35">
      <c r="C17" s="7"/>
      <c r="D17" s="7"/>
      <c r="E17" s="39"/>
      <c r="F17" s="7"/>
      <c r="G17" s="7"/>
      <c r="H17" s="7"/>
      <c r="I17" s="39"/>
      <c r="J17" s="7"/>
      <c r="K17" s="7"/>
      <c r="L17" s="7"/>
      <c r="M17" s="39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spans="2:38" s="30" customFormat="1" x14ac:dyDescent="0.35">
      <c r="B18" s="30" t="s">
        <v>120</v>
      </c>
      <c r="C18" s="31"/>
      <c r="D18" s="31"/>
      <c r="E18" s="50"/>
      <c r="F18" s="31"/>
      <c r="G18" s="31"/>
      <c r="H18" s="31"/>
      <c r="I18" s="50"/>
      <c r="J18" s="31"/>
      <c r="K18" s="31"/>
      <c r="L18" s="31"/>
      <c r="M18" s="50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</row>
    <row r="19" spans="2:38" x14ac:dyDescent="0.35">
      <c r="B19" t="s">
        <v>121</v>
      </c>
      <c r="C19" s="7"/>
      <c r="D19" s="7"/>
      <c r="E19" s="39"/>
      <c r="F19" s="7"/>
      <c r="G19" s="7"/>
      <c r="H19" s="7"/>
      <c r="I19" s="39"/>
      <c r="J19" s="7"/>
      <c r="K19" s="7"/>
      <c r="L19" s="7"/>
      <c r="M19" s="39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>
        <v>31993</v>
      </c>
      <c r="AB19" s="7">
        <v>36576</v>
      </c>
      <c r="AC19" s="7">
        <v>60200</v>
      </c>
      <c r="AD19" s="7"/>
      <c r="AE19" s="7"/>
    </row>
    <row r="20" spans="2:38" s="4" customFormat="1" x14ac:dyDescent="0.35">
      <c r="B20" s="4" t="s">
        <v>122</v>
      </c>
      <c r="C20" s="8"/>
      <c r="D20" s="8"/>
      <c r="E20" s="40"/>
      <c r="F20" s="8"/>
      <c r="G20" s="8"/>
      <c r="H20" s="8"/>
      <c r="I20" s="40"/>
      <c r="J20" s="8"/>
      <c r="K20" s="8"/>
      <c r="L20" s="8"/>
      <c r="M20" s="40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>
        <v>1092</v>
      </c>
      <c r="AB20" s="8">
        <v>2395</v>
      </c>
      <c r="AC20" s="8">
        <v>485</v>
      </c>
      <c r="AD20" s="8"/>
      <c r="AE20" s="8"/>
    </row>
    <row r="21" spans="2:38" s="14" customFormat="1" x14ac:dyDescent="0.35">
      <c r="B21" s="14" t="s">
        <v>123</v>
      </c>
      <c r="C21" s="26"/>
      <c r="D21" s="26"/>
      <c r="E21" s="42">
        <v>16462</v>
      </c>
      <c r="F21" s="26">
        <v>7618</v>
      </c>
      <c r="G21" s="26">
        <v>1123</v>
      </c>
      <c r="H21" s="26">
        <f>AB21-G21-F21-E21</f>
        <v>13768</v>
      </c>
      <c r="I21" s="42">
        <v>6576</v>
      </c>
      <c r="J21" s="26">
        <v>19109</v>
      </c>
      <c r="K21" s="26">
        <v>22983</v>
      </c>
      <c r="L21" s="26">
        <f>AC21-K21-J21-I21</f>
        <v>12017</v>
      </c>
      <c r="M21" s="42">
        <v>19621</v>
      </c>
      <c r="N21" s="26">
        <v>22495</v>
      </c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>
        <v>33085</v>
      </c>
      <c r="AB21" s="26">
        <v>38971</v>
      </c>
      <c r="AC21" s="26">
        <f>SUM(AC19:AC20)</f>
        <v>60685</v>
      </c>
      <c r="AD21" s="26"/>
      <c r="AE21" s="26"/>
    </row>
    <row r="22" spans="2:38" s="4" customFormat="1" x14ac:dyDescent="0.35">
      <c r="B22" s="4" t="s">
        <v>124</v>
      </c>
      <c r="C22" s="8"/>
      <c r="D22" s="8"/>
      <c r="E22" s="40">
        <v>15866</v>
      </c>
      <c r="F22" s="8">
        <v>7829</v>
      </c>
      <c r="G22" s="8">
        <v>16521</v>
      </c>
      <c r="H22" s="8">
        <f>AB22-G22-F22-E22</f>
        <v>13611</v>
      </c>
      <c r="I22" s="40">
        <v>7344</v>
      </c>
      <c r="J22" s="8">
        <v>21421</v>
      </c>
      <c r="K22" s="8">
        <v>23818</v>
      </c>
      <c r="L22" s="8">
        <f>AC22-K22-J22-I22</f>
        <v>15057</v>
      </c>
      <c r="M22" s="40">
        <v>20379</v>
      </c>
      <c r="N22" s="8">
        <v>17454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>
        <v>45872</v>
      </c>
      <c r="AB22" s="8">
        <v>53827</v>
      </c>
      <c r="AC22" s="8">
        <v>67640</v>
      </c>
      <c r="AD22" s="8"/>
      <c r="AE22" s="8"/>
    </row>
    <row r="23" spans="2:38" s="14" customFormat="1" x14ac:dyDescent="0.35">
      <c r="B23" s="14" t="s">
        <v>125</v>
      </c>
      <c r="C23" s="26">
        <f>C21-C22</f>
        <v>0</v>
      </c>
      <c r="D23" s="26">
        <f>D21-D22</f>
        <v>0</v>
      </c>
      <c r="E23" s="42">
        <f>E21-E22</f>
        <v>596</v>
      </c>
      <c r="F23" s="26">
        <f>F21-F22</f>
        <v>-211</v>
      </c>
      <c r="G23" s="26">
        <f>G21-G22</f>
        <v>-15398</v>
      </c>
      <c r="H23" s="7">
        <f>AB23-G23-F23-E23</f>
        <v>157</v>
      </c>
      <c r="I23" s="42">
        <f t="shared" ref="I23:O23" si="2">I21-I22</f>
        <v>-768</v>
      </c>
      <c r="J23" s="26">
        <f t="shared" si="2"/>
        <v>-2312</v>
      </c>
      <c r="K23" s="26">
        <f t="shared" si="2"/>
        <v>-835</v>
      </c>
      <c r="L23" s="26">
        <f t="shared" si="2"/>
        <v>-3040</v>
      </c>
      <c r="M23" s="42">
        <f t="shared" si="2"/>
        <v>-758</v>
      </c>
      <c r="N23" s="26">
        <f t="shared" si="2"/>
        <v>5041</v>
      </c>
      <c r="O23" s="26">
        <f t="shared" si="2"/>
        <v>0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>
        <f t="shared" ref="AA23:AL23" si="3">AA21-AA22</f>
        <v>-12787</v>
      </c>
      <c r="AB23" s="26">
        <f t="shared" si="3"/>
        <v>-14856</v>
      </c>
      <c r="AC23" s="26">
        <f t="shared" si="3"/>
        <v>-6955</v>
      </c>
      <c r="AD23" s="26">
        <f t="shared" si="3"/>
        <v>0</v>
      </c>
      <c r="AE23" s="26">
        <f t="shared" si="3"/>
        <v>0</v>
      </c>
      <c r="AF23" s="26">
        <f t="shared" si="3"/>
        <v>0</v>
      </c>
      <c r="AG23" s="26">
        <f t="shared" si="3"/>
        <v>0</v>
      </c>
      <c r="AH23" s="26">
        <f t="shared" si="3"/>
        <v>0</v>
      </c>
      <c r="AI23" s="26">
        <f t="shared" si="3"/>
        <v>0</v>
      </c>
      <c r="AJ23" s="26">
        <f t="shared" si="3"/>
        <v>0</v>
      </c>
      <c r="AK23" s="26">
        <f t="shared" si="3"/>
        <v>0</v>
      </c>
      <c r="AL23" s="26">
        <f t="shared" si="3"/>
        <v>0</v>
      </c>
    </row>
    <row r="24" spans="2:38" x14ac:dyDescent="0.35">
      <c r="B24" t="s">
        <v>126</v>
      </c>
      <c r="C24" s="2" t="e">
        <f t="shared" ref="C24:O24" si="4">C23/C21</f>
        <v>#DIV/0!</v>
      </c>
      <c r="D24" s="2" t="e">
        <f t="shared" si="4"/>
        <v>#DIV/0!</v>
      </c>
      <c r="E24" s="43">
        <f t="shared" si="4"/>
        <v>3.6204592394605759E-2</v>
      </c>
      <c r="F24" s="2">
        <f t="shared" si="4"/>
        <v>-2.7697558414281963E-2</v>
      </c>
      <c r="G24" s="2">
        <f t="shared" si="4"/>
        <v>-13.711487088156723</v>
      </c>
      <c r="H24" s="2">
        <f t="shared" si="4"/>
        <v>1.1403253922138291E-2</v>
      </c>
      <c r="I24" s="43">
        <f t="shared" si="4"/>
        <v>-0.11678832116788321</v>
      </c>
      <c r="J24" s="2">
        <f t="shared" si="4"/>
        <v>-0.12099010937254696</v>
      </c>
      <c r="K24" s="2">
        <f t="shared" si="4"/>
        <v>-3.6331201322716791E-2</v>
      </c>
      <c r="L24" s="2">
        <f t="shared" si="4"/>
        <v>-0.25297495215111926</v>
      </c>
      <c r="M24" s="43">
        <f t="shared" si="4"/>
        <v>-3.8632077875745373E-2</v>
      </c>
      <c r="N24" s="2">
        <f t="shared" si="4"/>
        <v>0.22409424316514781</v>
      </c>
      <c r="O24" s="2" t="e">
        <f t="shared" si="4"/>
        <v>#DIV/0!</v>
      </c>
      <c r="P24" s="2"/>
      <c r="Q24" s="2"/>
      <c r="R24" s="2"/>
      <c r="S24" s="2"/>
      <c r="T24" s="7"/>
      <c r="U24" s="7"/>
      <c r="V24" s="7"/>
      <c r="W24" s="7"/>
      <c r="X24" s="7"/>
      <c r="Y24" s="7"/>
      <c r="Z24" s="7"/>
      <c r="AA24" s="2">
        <f t="shared" ref="AA24:AL24" si="5">AA23/AA21</f>
        <v>-0.38648934562490556</v>
      </c>
      <c r="AB24" s="2">
        <f t="shared" si="5"/>
        <v>-0.38120653819506811</v>
      </c>
      <c r="AC24" s="2">
        <f t="shared" si="5"/>
        <v>-0.11460822278981626</v>
      </c>
      <c r="AD24" s="2" t="e">
        <f t="shared" si="5"/>
        <v>#DIV/0!</v>
      </c>
      <c r="AE24" s="2" t="e">
        <f t="shared" si="5"/>
        <v>#DIV/0!</v>
      </c>
      <c r="AF24" s="2" t="e">
        <f t="shared" si="5"/>
        <v>#DIV/0!</v>
      </c>
      <c r="AG24" s="2" t="e">
        <f t="shared" si="5"/>
        <v>#DIV/0!</v>
      </c>
      <c r="AH24" s="2" t="e">
        <f t="shared" si="5"/>
        <v>#DIV/0!</v>
      </c>
      <c r="AI24" s="2" t="e">
        <f t="shared" si="5"/>
        <v>#DIV/0!</v>
      </c>
      <c r="AJ24" s="2" t="e">
        <f t="shared" si="5"/>
        <v>#DIV/0!</v>
      </c>
      <c r="AK24" s="2" t="e">
        <f t="shared" si="5"/>
        <v>#DIV/0!</v>
      </c>
      <c r="AL24" s="2" t="e">
        <f t="shared" si="5"/>
        <v>#DIV/0!</v>
      </c>
    </row>
    <row r="25" spans="2:38" s="30" customFormat="1" x14ac:dyDescent="0.35">
      <c r="B25" s="30" t="s">
        <v>34</v>
      </c>
      <c r="C25" s="31"/>
      <c r="D25" s="31"/>
      <c r="E25" s="50"/>
      <c r="F25" s="31"/>
      <c r="G25" s="31"/>
      <c r="H25" s="31"/>
      <c r="I25" s="50"/>
      <c r="J25" s="31"/>
      <c r="K25" s="31"/>
      <c r="L25" s="31"/>
      <c r="M25" s="50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</row>
    <row r="26" spans="2:38" x14ac:dyDescent="0.35">
      <c r="B26" t="s">
        <v>121</v>
      </c>
      <c r="C26" s="7"/>
      <c r="D26" s="7"/>
      <c r="E26" s="39"/>
      <c r="F26" s="7"/>
      <c r="G26" s="7"/>
      <c r="H26" s="7"/>
      <c r="I26" s="39"/>
      <c r="J26" s="7"/>
      <c r="K26" s="7"/>
      <c r="L26" s="7"/>
      <c r="M26" s="39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>
        <v>1910</v>
      </c>
      <c r="AB26" s="7">
        <v>12578</v>
      </c>
      <c r="AC26" s="7">
        <v>61141</v>
      </c>
      <c r="AD26" s="7"/>
      <c r="AE26" s="7"/>
    </row>
    <row r="27" spans="2:38" s="4" customFormat="1" x14ac:dyDescent="0.35">
      <c r="B27" s="4" t="s">
        <v>122</v>
      </c>
      <c r="C27" s="8"/>
      <c r="D27" s="8"/>
      <c r="E27" s="40"/>
      <c r="F27" s="8"/>
      <c r="G27" s="8"/>
      <c r="H27" s="8"/>
      <c r="I27" s="40"/>
      <c r="J27" s="8"/>
      <c r="K27" s="8"/>
      <c r="L27" s="8"/>
      <c r="M27" s="40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>
        <v>165</v>
      </c>
      <c r="AB27" s="8">
        <v>10688</v>
      </c>
      <c r="AC27" s="8">
        <v>89170</v>
      </c>
      <c r="AD27" s="8"/>
      <c r="AE27" s="8"/>
    </row>
    <row r="28" spans="2:38" s="14" customFormat="1" x14ac:dyDescent="0.35">
      <c r="B28" s="14" t="s">
        <v>127</v>
      </c>
      <c r="C28" s="26"/>
      <c r="D28" s="26"/>
      <c r="E28" s="42">
        <v>1730</v>
      </c>
      <c r="F28" s="26">
        <v>3662</v>
      </c>
      <c r="G28" s="26">
        <v>4164</v>
      </c>
      <c r="H28" s="26">
        <f>+AB28-G28-F28-E28</f>
        <v>13710</v>
      </c>
      <c r="I28" s="42">
        <v>34127</v>
      </c>
      <c r="J28" s="26">
        <v>36365</v>
      </c>
      <c r="K28" s="26">
        <v>40074</v>
      </c>
      <c r="L28" s="26">
        <f>AC28-K28-J28-I28</f>
        <v>39745</v>
      </c>
      <c r="M28" s="42">
        <v>35274</v>
      </c>
      <c r="N28" s="26">
        <v>39550</v>
      </c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>
        <v>2075</v>
      </c>
      <c r="AB28" s="26">
        <v>23266</v>
      </c>
      <c r="AC28" s="26">
        <f>SUM(AC26:AC27)</f>
        <v>150311</v>
      </c>
      <c r="AD28" s="26"/>
      <c r="AE28" s="26"/>
    </row>
    <row r="29" spans="2:38" s="4" customFormat="1" x14ac:dyDescent="0.35">
      <c r="B29" s="4" t="s">
        <v>124</v>
      </c>
      <c r="C29" s="8"/>
      <c r="D29" s="8"/>
      <c r="E29" s="40">
        <v>915</v>
      </c>
      <c r="F29" s="8">
        <v>988</v>
      </c>
      <c r="G29" s="8">
        <v>1217</v>
      </c>
      <c r="H29" s="8">
        <f>+AB29-G29-F29-E29</f>
        <v>7183</v>
      </c>
      <c r="I29" s="40">
        <v>29624</v>
      </c>
      <c r="J29" s="8">
        <v>29095</v>
      </c>
      <c r="K29" s="8">
        <v>30772</v>
      </c>
      <c r="L29" s="8">
        <f>AC29-K29-J29-I29</f>
        <v>34875</v>
      </c>
      <c r="M29" s="40">
        <v>28159</v>
      </c>
      <c r="N29" s="8">
        <v>29998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>
        <v>1105</v>
      </c>
      <c r="AB29" s="8">
        <v>10303</v>
      </c>
      <c r="AC29" s="8">
        <v>124366</v>
      </c>
      <c r="AD29" s="8"/>
      <c r="AE29" s="8"/>
    </row>
    <row r="30" spans="2:38" s="14" customFormat="1" x14ac:dyDescent="0.35">
      <c r="B30" s="14" t="s">
        <v>128</v>
      </c>
      <c r="C30" s="26">
        <f>C28-C29</f>
        <v>0</v>
      </c>
      <c r="D30" s="26">
        <f>D28-D29</f>
        <v>0</v>
      </c>
      <c r="E30" s="42">
        <f>E28-E29</f>
        <v>815</v>
      </c>
      <c r="F30" s="26">
        <f>F28-F29</f>
        <v>2674</v>
      </c>
      <c r="G30" s="26">
        <f>G28-G29</f>
        <v>2947</v>
      </c>
      <c r="H30" s="7">
        <f>+AB30-G30-F30-E30</f>
        <v>6527</v>
      </c>
      <c r="I30" s="42">
        <f t="shared" ref="I30:O30" si="6">I28-I29</f>
        <v>4503</v>
      </c>
      <c r="J30" s="26">
        <f t="shared" si="6"/>
        <v>7270</v>
      </c>
      <c r="K30" s="26">
        <f t="shared" si="6"/>
        <v>9302</v>
      </c>
      <c r="L30" s="26">
        <f t="shared" si="6"/>
        <v>4870</v>
      </c>
      <c r="M30" s="42">
        <f t="shared" si="6"/>
        <v>7115</v>
      </c>
      <c r="N30" s="26">
        <f t="shared" si="6"/>
        <v>9552</v>
      </c>
      <c r="O30" s="26">
        <f t="shared" si="6"/>
        <v>0</v>
      </c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>
        <f t="shared" ref="AA30:AL30" si="7">AA28-AA29</f>
        <v>970</v>
      </c>
      <c r="AB30" s="26">
        <f t="shared" si="7"/>
        <v>12963</v>
      </c>
      <c r="AC30" s="26">
        <f t="shared" si="7"/>
        <v>25945</v>
      </c>
      <c r="AD30" s="26">
        <f t="shared" si="7"/>
        <v>0</v>
      </c>
      <c r="AE30" s="26">
        <f t="shared" si="7"/>
        <v>0</v>
      </c>
      <c r="AF30" s="26">
        <f t="shared" si="7"/>
        <v>0</v>
      </c>
      <c r="AG30" s="26">
        <f t="shared" si="7"/>
        <v>0</v>
      </c>
      <c r="AH30" s="26">
        <f t="shared" si="7"/>
        <v>0</v>
      </c>
      <c r="AI30" s="26">
        <f t="shared" si="7"/>
        <v>0</v>
      </c>
      <c r="AJ30" s="26">
        <f t="shared" si="7"/>
        <v>0</v>
      </c>
      <c r="AK30" s="26">
        <f t="shared" si="7"/>
        <v>0</v>
      </c>
      <c r="AL30" s="26">
        <f t="shared" si="7"/>
        <v>0</v>
      </c>
    </row>
    <row r="31" spans="2:38" s="4" customFormat="1" x14ac:dyDescent="0.35">
      <c r="B31" s="4" t="s">
        <v>126</v>
      </c>
      <c r="C31" s="24" t="e">
        <f t="shared" ref="C31:O31" si="8">C30/C28</f>
        <v>#DIV/0!</v>
      </c>
      <c r="D31" s="24" t="e">
        <f t="shared" si="8"/>
        <v>#DIV/0!</v>
      </c>
      <c r="E31" s="46">
        <f t="shared" si="8"/>
        <v>0.47109826589595377</v>
      </c>
      <c r="F31" s="24">
        <f t="shared" si="8"/>
        <v>0.730202075368651</v>
      </c>
      <c r="G31" s="24">
        <f t="shared" si="8"/>
        <v>0.70773294908741591</v>
      </c>
      <c r="H31" s="24">
        <f t="shared" si="8"/>
        <v>0.4760758570386579</v>
      </c>
      <c r="I31" s="46">
        <f t="shared" si="8"/>
        <v>0.13194831072171595</v>
      </c>
      <c r="J31" s="24">
        <f t="shared" si="8"/>
        <v>0.19991750309363399</v>
      </c>
      <c r="K31" s="24">
        <f t="shared" si="8"/>
        <v>0.23212057693267454</v>
      </c>
      <c r="L31" s="24">
        <f t="shared" si="8"/>
        <v>0.12253113599194868</v>
      </c>
      <c r="M31" s="46">
        <f t="shared" si="8"/>
        <v>0.20170663945115383</v>
      </c>
      <c r="N31" s="24">
        <f t="shared" si="8"/>
        <v>0.24151706700379266</v>
      </c>
      <c r="O31" s="24" t="e">
        <f t="shared" si="8"/>
        <v>#DIV/0!</v>
      </c>
      <c r="P31" s="24"/>
      <c r="Q31" s="24"/>
      <c r="R31" s="24"/>
      <c r="S31" s="24"/>
      <c r="T31" s="8"/>
      <c r="U31" s="8"/>
      <c r="V31" s="8"/>
      <c r="W31" s="8"/>
      <c r="X31" s="8"/>
      <c r="Y31" s="8"/>
      <c r="Z31" s="8"/>
      <c r="AA31" s="24">
        <f t="shared" ref="AA31:AL31" si="9">AA30/AA28</f>
        <v>0.46746987951807228</v>
      </c>
      <c r="AB31" s="24">
        <f t="shared" si="9"/>
        <v>0.55716496174675489</v>
      </c>
      <c r="AC31" s="24">
        <f t="shared" si="9"/>
        <v>0.17260879110643931</v>
      </c>
      <c r="AD31" s="24" t="e">
        <f t="shared" si="9"/>
        <v>#DIV/0!</v>
      </c>
      <c r="AE31" s="24" t="e">
        <f t="shared" si="9"/>
        <v>#DIV/0!</v>
      </c>
      <c r="AF31" s="24" t="e">
        <f t="shared" si="9"/>
        <v>#DIV/0!</v>
      </c>
      <c r="AG31" s="24" t="e">
        <f t="shared" si="9"/>
        <v>#DIV/0!</v>
      </c>
      <c r="AH31" s="24" t="e">
        <f t="shared" si="9"/>
        <v>#DIV/0!</v>
      </c>
      <c r="AI31" s="24" t="e">
        <f t="shared" si="9"/>
        <v>#DIV/0!</v>
      </c>
      <c r="AJ31" s="24" t="e">
        <f t="shared" si="9"/>
        <v>#DIV/0!</v>
      </c>
      <c r="AK31" s="24" t="e">
        <f t="shared" si="9"/>
        <v>#DIV/0!</v>
      </c>
      <c r="AL31" s="24" t="e">
        <f t="shared" si="9"/>
        <v>#DIV/0!</v>
      </c>
    </row>
    <row r="32" spans="2:38" s="26" customFormat="1" x14ac:dyDescent="0.35">
      <c r="B32" s="26" t="s">
        <v>129</v>
      </c>
      <c r="E32" s="42">
        <f t="shared" ref="E32:N32" si="10">E28+E21</f>
        <v>18192</v>
      </c>
      <c r="F32" s="26">
        <f t="shared" si="10"/>
        <v>11280</v>
      </c>
      <c r="G32" s="26">
        <f t="shared" si="10"/>
        <v>5287</v>
      </c>
      <c r="H32" s="26">
        <f t="shared" si="10"/>
        <v>27478</v>
      </c>
      <c r="I32" s="42">
        <f t="shared" si="10"/>
        <v>40703</v>
      </c>
      <c r="J32" s="26">
        <f t="shared" si="10"/>
        <v>55474</v>
      </c>
      <c r="K32" s="26">
        <f t="shared" si="10"/>
        <v>63057</v>
      </c>
      <c r="L32" s="26">
        <f t="shared" si="10"/>
        <v>51762</v>
      </c>
      <c r="M32" s="42">
        <f t="shared" si="10"/>
        <v>54895</v>
      </c>
      <c r="N32" s="26">
        <f t="shared" si="10"/>
        <v>62045</v>
      </c>
      <c r="AA32" s="26">
        <f>AA28+AA21</f>
        <v>35160</v>
      </c>
      <c r="AB32" s="26">
        <f>AB28+AB21</f>
        <v>62237</v>
      </c>
      <c r="AC32" s="26">
        <f>AC28+AC21</f>
        <v>210996</v>
      </c>
    </row>
    <row r="33" spans="2:38" x14ac:dyDescent="0.35">
      <c r="C33" s="2"/>
      <c r="D33" s="2"/>
      <c r="E33" s="43"/>
      <c r="F33" s="2"/>
      <c r="G33" s="2"/>
      <c r="H33" s="2"/>
      <c r="I33" s="43"/>
      <c r="J33" s="2"/>
      <c r="K33" s="2"/>
      <c r="L33" s="2"/>
      <c r="M33" s="43"/>
      <c r="N33" s="2"/>
      <c r="O33" s="2"/>
      <c r="P33" s="2"/>
      <c r="Q33" s="2"/>
      <c r="R33" s="2"/>
      <c r="S33" s="2"/>
      <c r="T33" s="7"/>
      <c r="U33" s="7"/>
      <c r="V33" s="7"/>
      <c r="W33" s="7"/>
      <c r="X33" s="7"/>
      <c r="Y33" s="7"/>
      <c r="Z33" s="7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2:38" x14ac:dyDescent="0.35">
      <c r="C34" s="2"/>
      <c r="D34" s="2"/>
      <c r="E34" s="43"/>
      <c r="F34" s="2"/>
      <c r="G34" s="2"/>
      <c r="H34" s="2"/>
      <c r="I34" s="43"/>
      <c r="J34" s="2"/>
      <c r="K34" s="2"/>
      <c r="L34" s="7"/>
      <c r="M34" s="39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2"/>
      <c r="AB34" s="2"/>
      <c r="AC34" s="7"/>
      <c r="AD34" s="7"/>
      <c r="AE34" s="7"/>
    </row>
    <row r="35" spans="2:38" x14ac:dyDescent="0.35">
      <c r="C35" s="2"/>
      <c r="D35" s="2"/>
      <c r="E35" s="43"/>
      <c r="F35" s="2"/>
      <c r="G35" s="2"/>
      <c r="H35" s="2"/>
      <c r="I35" s="43"/>
      <c r="J35" s="2"/>
      <c r="K35" s="2"/>
      <c r="L35" s="7"/>
      <c r="M35" s="39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2"/>
      <c r="AB35" s="2"/>
      <c r="AC35" s="7"/>
      <c r="AD35" s="7"/>
      <c r="AE35" s="7"/>
    </row>
    <row r="36" spans="2:38" s="21" customFormat="1" x14ac:dyDescent="0.35">
      <c r="B36" s="25" t="s">
        <v>130</v>
      </c>
      <c r="C36" s="22"/>
      <c r="D36" s="22"/>
      <c r="E36" s="41"/>
      <c r="F36" s="22"/>
      <c r="G36" s="22"/>
      <c r="H36" s="22"/>
      <c r="I36" s="41"/>
      <c r="J36" s="22"/>
      <c r="K36" s="22"/>
      <c r="L36" s="22"/>
      <c r="M36" s="41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</row>
    <row r="37" spans="2:38" x14ac:dyDescent="0.35">
      <c r="B37" t="s">
        <v>120</v>
      </c>
      <c r="C37" s="7">
        <f t="shared" ref="C37:O37" si="11">C21</f>
        <v>0</v>
      </c>
      <c r="D37" s="7">
        <f t="shared" si="11"/>
        <v>0</v>
      </c>
      <c r="E37" s="39">
        <f t="shared" si="11"/>
        <v>16462</v>
      </c>
      <c r="F37" s="7">
        <f t="shared" si="11"/>
        <v>7618</v>
      </c>
      <c r="G37" s="7">
        <f t="shared" si="11"/>
        <v>1123</v>
      </c>
      <c r="H37" s="7">
        <f t="shared" si="11"/>
        <v>13768</v>
      </c>
      <c r="I37" s="39">
        <f t="shared" si="11"/>
        <v>6576</v>
      </c>
      <c r="J37" s="7">
        <f t="shared" si="11"/>
        <v>19109</v>
      </c>
      <c r="K37" s="7">
        <f t="shared" si="11"/>
        <v>22983</v>
      </c>
      <c r="L37" s="7">
        <f t="shared" si="11"/>
        <v>12017</v>
      </c>
      <c r="M37" s="39">
        <f t="shared" si="11"/>
        <v>19621</v>
      </c>
      <c r="N37" s="7">
        <f t="shared" si="11"/>
        <v>22495</v>
      </c>
      <c r="O37" s="7">
        <f t="shared" si="11"/>
        <v>0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>
        <f>SUM(AA19:AA20)</f>
        <v>33085</v>
      </c>
      <c r="AB37" s="7">
        <f>SUM(AB19:AB20)</f>
        <v>38971</v>
      </c>
      <c r="AC37" s="7">
        <f>SUM(AC19:AC20)</f>
        <v>60685</v>
      </c>
      <c r="AD37" s="7"/>
      <c r="AE37" s="7"/>
    </row>
    <row r="38" spans="2:38" s="4" customFormat="1" x14ac:dyDescent="0.35">
      <c r="B38" s="4" t="s">
        <v>34</v>
      </c>
      <c r="C38" s="8">
        <f t="shared" ref="C38:O38" si="12">C28</f>
        <v>0</v>
      </c>
      <c r="D38" s="8">
        <f t="shared" si="12"/>
        <v>0</v>
      </c>
      <c r="E38" s="40">
        <f t="shared" si="12"/>
        <v>1730</v>
      </c>
      <c r="F38" s="8">
        <f t="shared" si="12"/>
        <v>3662</v>
      </c>
      <c r="G38" s="8">
        <f t="shared" si="12"/>
        <v>4164</v>
      </c>
      <c r="H38" s="8">
        <f t="shared" si="12"/>
        <v>13710</v>
      </c>
      <c r="I38" s="40">
        <f t="shared" si="12"/>
        <v>34127</v>
      </c>
      <c r="J38" s="8">
        <f t="shared" si="12"/>
        <v>36365</v>
      </c>
      <c r="K38" s="8">
        <f t="shared" si="12"/>
        <v>40074</v>
      </c>
      <c r="L38" s="8">
        <f t="shared" si="12"/>
        <v>39745</v>
      </c>
      <c r="M38" s="40">
        <f t="shared" si="12"/>
        <v>35274</v>
      </c>
      <c r="N38" s="8">
        <f t="shared" si="12"/>
        <v>39550</v>
      </c>
      <c r="O38" s="8">
        <f t="shared" si="12"/>
        <v>0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>
        <f>SUM(AA26:AA27)</f>
        <v>2075</v>
      </c>
      <c r="AB38" s="8">
        <f>SUM(AB26:AB27)</f>
        <v>23266</v>
      </c>
      <c r="AC38" s="8">
        <f>SUM(AC26:AC27)</f>
        <v>150311</v>
      </c>
      <c r="AD38" s="8"/>
      <c r="AE38" s="8"/>
    </row>
    <row r="39" spans="2:38" s="14" customFormat="1" x14ac:dyDescent="0.35">
      <c r="B39" s="14" t="s">
        <v>119</v>
      </c>
      <c r="C39" s="26">
        <f t="shared" ref="C39:O39" si="13">SUM(C37:C38)</f>
        <v>0</v>
      </c>
      <c r="D39" s="26">
        <f t="shared" si="13"/>
        <v>0</v>
      </c>
      <c r="E39" s="42">
        <f t="shared" si="13"/>
        <v>18192</v>
      </c>
      <c r="F39" s="26">
        <f t="shared" si="13"/>
        <v>11280</v>
      </c>
      <c r="G39" s="26">
        <f t="shared" si="13"/>
        <v>5287</v>
      </c>
      <c r="H39" s="26">
        <f t="shared" si="13"/>
        <v>27478</v>
      </c>
      <c r="I39" s="42">
        <f t="shared" si="13"/>
        <v>40703</v>
      </c>
      <c r="J39" s="26">
        <f t="shared" si="13"/>
        <v>55474</v>
      </c>
      <c r="K39" s="26">
        <f t="shared" si="13"/>
        <v>63057</v>
      </c>
      <c r="L39" s="26">
        <f t="shared" si="13"/>
        <v>51762</v>
      </c>
      <c r="M39" s="42">
        <f t="shared" si="13"/>
        <v>54895</v>
      </c>
      <c r="N39" s="26">
        <f t="shared" si="13"/>
        <v>62045</v>
      </c>
      <c r="O39" s="26">
        <f t="shared" si="13"/>
        <v>0</v>
      </c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>
        <f t="shared" ref="AA39:AL39" si="14">SUM(AA37:AA38)</f>
        <v>35160</v>
      </c>
      <c r="AB39" s="26">
        <f t="shared" si="14"/>
        <v>62237</v>
      </c>
      <c r="AC39" s="26">
        <f t="shared" si="14"/>
        <v>210996</v>
      </c>
      <c r="AD39" s="26">
        <f t="shared" si="14"/>
        <v>0</v>
      </c>
      <c r="AE39" s="26">
        <f t="shared" si="14"/>
        <v>0</v>
      </c>
      <c r="AF39" s="26">
        <f t="shared" si="14"/>
        <v>0</v>
      </c>
      <c r="AG39" s="26">
        <f t="shared" si="14"/>
        <v>0</v>
      </c>
      <c r="AH39" s="26">
        <f t="shared" si="14"/>
        <v>0</v>
      </c>
      <c r="AI39" s="26">
        <f t="shared" si="14"/>
        <v>0</v>
      </c>
      <c r="AJ39" s="26">
        <f t="shared" si="14"/>
        <v>0</v>
      </c>
      <c r="AK39" s="26">
        <f t="shared" si="14"/>
        <v>0</v>
      </c>
      <c r="AL39" s="26">
        <f t="shared" si="14"/>
        <v>0</v>
      </c>
    </row>
    <row r="40" spans="2:38" x14ac:dyDescent="0.35">
      <c r="D40" s="7"/>
      <c r="E40" s="39"/>
      <c r="F40" s="7"/>
      <c r="G40" s="7"/>
      <c r="H40" s="7"/>
      <c r="I40" s="39"/>
      <c r="J40" s="7"/>
      <c r="K40" s="7"/>
      <c r="L40" s="7"/>
      <c r="M40" s="39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spans="2:38" x14ac:dyDescent="0.35">
      <c r="B41" t="s">
        <v>131</v>
      </c>
      <c r="D41" s="7"/>
      <c r="E41" s="39"/>
      <c r="F41" s="7"/>
      <c r="G41" s="7"/>
      <c r="H41" s="7"/>
      <c r="I41" s="39"/>
      <c r="J41" s="7"/>
      <c r="K41" s="7"/>
      <c r="L41" s="7"/>
      <c r="M41" s="39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spans="2:38" x14ac:dyDescent="0.35">
      <c r="B42" t="s">
        <v>132</v>
      </c>
      <c r="C42" s="13" t="e">
        <f t="shared" ref="C42:L42" si="15">(C19+C26)/C32</f>
        <v>#DIV/0!</v>
      </c>
      <c r="D42" s="13" t="e">
        <f t="shared" si="15"/>
        <v>#DIV/0!</v>
      </c>
      <c r="E42" s="44">
        <f t="shared" si="15"/>
        <v>0</v>
      </c>
      <c r="F42" s="13">
        <f t="shared" si="15"/>
        <v>0</v>
      </c>
      <c r="G42" s="13">
        <f t="shared" si="15"/>
        <v>0</v>
      </c>
      <c r="H42" s="13">
        <f t="shared" si="15"/>
        <v>0</v>
      </c>
      <c r="I42" s="44">
        <f t="shared" si="15"/>
        <v>0</v>
      </c>
      <c r="J42" s="13">
        <f t="shared" si="15"/>
        <v>0</v>
      </c>
      <c r="K42" s="13">
        <f t="shared" si="15"/>
        <v>0</v>
      </c>
      <c r="L42" s="13">
        <f t="shared" si="15"/>
        <v>0</v>
      </c>
      <c r="M42" s="44">
        <f>M14/M16</f>
        <v>0.52212405501411785</v>
      </c>
      <c r="N42" s="13">
        <f>N14/N16</f>
        <v>0.57490531066161654</v>
      </c>
      <c r="O42" s="13" t="e">
        <f>O14/O16</f>
        <v>#DIV/0!</v>
      </c>
      <c r="P42" s="13"/>
      <c r="Q42" s="13"/>
      <c r="R42" s="13"/>
      <c r="S42" s="13"/>
      <c r="T42" s="7"/>
      <c r="U42" s="7"/>
      <c r="V42" s="7"/>
      <c r="W42" s="7"/>
      <c r="X42" s="7"/>
      <c r="Y42" s="7"/>
      <c r="Z42" s="7"/>
      <c r="AA42" s="13">
        <f t="shared" ref="AA42:AL42" si="16">(AA19+AA26)/AA32</f>
        <v>0.96424914675767914</v>
      </c>
      <c r="AB42" s="13">
        <f t="shared" si="16"/>
        <v>0.78978742548644698</v>
      </c>
      <c r="AC42" s="13">
        <f t="shared" si="16"/>
        <v>0.57508673150201894</v>
      </c>
      <c r="AD42" s="13" t="e">
        <f t="shared" si="16"/>
        <v>#DIV/0!</v>
      </c>
      <c r="AE42" s="13" t="e">
        <f t="shared" si="16"/>
        <v>#DIV/0!</v>
      </c>
      <c r="AF42" s="13" t="e">
        <f t="shared" si="16"/>
        <v>#DIV/0!</v>
      </c>
      <c r="AG42" s="13" t="e">
        <f t="shared" si="16"/>
        <v>#DIV/0!</v>
      </c>
      <c r="AH42" s="13" t="e">
        <f t="shared" si="16"/>
        <v>#DIV/0!</v>
      </c>
      <c r="AI42" s="13" t="e">
        <f t="shared" si="16"/>
        <v>#DIV/0!</v>
      </c>
      <c r="AJ42" s="13" t="e">
        <f t="shared" si="16"/>
        <v>#DIV/0!</v>
      </c>
      <c r="AK42" s="13" t="e">
        <f t="shared" si="16"/>
        <v>#DIV/0!</v>
      </c>
      <c r="AL42" s="13" t="e">
        <f t="shared" si="16"/>
        <v>#DIV/0!</v>
      </c>
    </row>
    <row r="43" spans="2:38" s="4" customFormat="1" x14ac:dyDescent="0.35">
      <c r="B43" s="4" t="s">
        <v>133</v>
      </c>
      <c r="C43" s="23" t="e">
        <f t="shared" ref="C43:L43" si="17">(C20+C27)/C32</f>
        <v>#DIV/0!</v>
      </c>
      <c r="D43" s="23" t="e">
        <f t="shared" si="17"/>
        <v>#DIV/0!</v>
      </c>
      <c r="E43" s="45">
        <f t="shared" si="17"/>
        <v>0</v>
      </c>
      <c r="F43" s="23">
        <f t="shared" si="17"/>
        <v>0</v>
      </c>
      <c r="G43" s="23">
        <f t="shared" si="17"/>
        <v>0</v>
      </c>
      <c r="H43" s="23">
        <f t="shared" si="17"/>
        <v>0</v>
      </c>
      <c r="I43" s="45">
        <f t="shared" si="17"/>
        <v>0</v>
      </c>
      <c r="J43" s="23">
        <f t="shared" si="17"/>
        <v>0</v>
      </c>
      <c r="K43" s="23">
        <f t="shared" si="17"/>
        <v>0</v>
      </c>
      <c r="L43" s="23">
        <f t="shared" si="17"/>
        <v>0</v>
      </c>
      <c r="M43" s="45">
        <f>M15/M16</f>
        <v>0.47787594498588215</v>
      </c>
      <c r="N43" s="23">
        <f>N15/N16</f>
        <v>0.42509468933838346</v>
      </c>
      <c r="O43" s="23" t="e">
        <f>O15/O16</f>
        <v>#DIV/0!</v>
      </c>
      <c r="P43" s="23"/>
      <c r="Q43" s="23"/>
      <c r="R43" s="23"/>
      <c r="S43" s="23"/>
      <c r="T43" s="8"/>
      <c r="U43" s="8"/>
      <c r="V43" s="8"/>
      <c r="W43" s="8"/>
      <c r="X43" s="8"/>
      <c r="Y43" s="8"/>
      <c r="Z43" s="8"/>
      <c r="AA43" s="23">
        <f t="shared" ref="AA43:AL43" si="18">(AA20+AA27)/AA32</f>
        <v>3.5750853242320822E-2</v>
      </c>
      <c r="AB43" s="23">
        <f t="shared" si="18"/>
        <v>0.21021257451355302</v>
      </c>
      <c r="AC43" s="23">
        <f t="shared" si="18"/>
        <v>0.424913268497981</v>
      </c>
      <c r="AD43" s="23" t="e">
        <f t="shared" si="18"/>
        <v>#DIV/0!</v>
      </c>
      <c r="AE43" s="23" t="e">
        <f t="shared" si="18"/>
        <v>#DIV/0!</v>
      </c>
      <c r="AF43" s="23" t="e">
        <f t="shared" si="18"/>
        <v>#DIV/0!</v>
      </c>
      <c r="AG43" s="23" t="e">
        <f t="shared" si="18"/>
        <v>#DIV/0!</v>
      </c>
      <c r="AH43" s="23" t="e">
        <f t="shared" si="18"/>
        <v>#DIV/0!</v>
      </c>
      <c r="AI43" s="23" t="e">
        <f t="shared" si="18"/>
        <v>#DIV/0!</v>
      </c>
      <c r="AJ43" s="23" t="e">
        <f t="shared" si="18"/>
        <v>#DIV/0!</v>
      </c>
      <c r="AK43" s="23" t="e">
        <f t="shared" si="18"/>
        <v>#DIV/0!</v>
      </c>
      <c r="AL43" s="23" t="e">
        <f t="shared" si="18"/>
        <v>#DIV/0!</v>
      </c>
    </row>
    <row r="44" spans="2:38" x14ac:dyDescent="0.35">
      <c r="B44" t="s">
        <v>119</v>
      </c>
      <c r="C44" s="2" t="e">
        <f t="shared" ref="C44:O44" si="19">SUM(C42:C43)</f>
        <v>#DIV/0!</v>
      </c>
      <c r="D44" s="2" t="e">
        <f t="shared" si="19"/>
        <v>#DIV/0!</v>
      </c>
      <c r="E44" s="43">
        <f t="shared" si="19"/>
        <v>0</v>
      </c>
      <c r="F44" s="2">
        <f t="shared" si="19"/>
        <v>0</v>
      </c>
      <c r="G44" s="2">
        <f t="shared" si="19"/>
        <v>0</v>
      </c>
      <c r="H44" s="2">
        <f t="shared" si="19"/>
        <v>0</v>
      </c>
      <c r="I44" s="43">
        <f t="shared" si="19"/>
        <v>0</v>
      </c>
      <c r="J44" s="2">
        <f t="shared" si="19"/>
        <v>0</v>
      </c>
      <c r="K44" s="2">
        <f t="shared" si="19"/>
        <v>0</v>
      </c>
      <c r="L44" s="2">
        <f t="shared" si="19"/>
        <v>0</v>
      </c>
      <c r="M44" s="43">
        <f t="shared" si="19"/>
        <v>1</v>
      </c>
      <c r="N44" s="2">
        <f t="shared" si="19"/>
        <v>1</v>
      </c>
      <c r="O44" s="2" t="e">
        <f t="shared" si="19"/>
        <v>#DIV/0!</v>
      </c>
      <c r="P44" s="2"/>
      <c r="Q44" s="2"/>
      <c r="R44" s="2"/>
      <c r="S44" s="2"/>
      <c r="T44" s="7"/>
      <c r="U44" s="7"/>
      <c r="V44" s="7"/>
      <c r="W44" s="7"/>
      <c r="X44" s="7"/>
      <c r="Y44" s="7"/>
      <c r="Z44" s="7"/>
      <c r="AA44" s="2">
        <f t="shared" ref="AA44:AL44" si="20">SUM(AA42:AA43)</f>
        <v>1</v>
      </c>
      <c r="AB44" s="2">
        <f t="shared" si="20"/>
        <v>1</v>
      </c>
      <c r="AC44" s="2">
        <f t="shared" si="20"/>
        <v>1</v>
      </c>
      <c r="AD44" s="2" t="e">
        <f t="shared" si="20"/>
        <v>#DIV/0!</v>
      </c>
      <c r="AE44" s="2" t="e">
        <f t="shared" si="20"/>
        <v>#DIV/0!</v>
      </c>
      <c r="AF44" s="2" t="e">
        <f t="shared" si="20"/>
        <v>#DIV/0!</v>
      </c>
      <c r="AG44" s="2" t="e">
        <f t="shared" si="20"/>
        <v>#DIV/0!</v>
      </c>
      <c r="AH44" s="2" t="e">
        <f t="shared" si="20"/>
        <v>#DIV/0!</v>
      </c>
      <c r="AI44" s="2" t="e">
        <f t="shared" si="20"/>
        <v>#DIV/0!</v>
      </c>
      <c r="AJ44" s="2" t="e">
        <f t="shared" si="20"/>
        <v>#DIV/0!</v>
      </c>
      <c r="AK44" s="2" t="e">
        <f t="shared" si="20"/>
        <v>#DIV/0!</v>
      </c>
      <c r="AL44" s="2" t="e">
        <f t="shared" si="20"/>
        <v>#DIV/0!</v>
      </c>
    </row>
    <row r="45" spans="2:38" x14ac:dyDescent="0.35">
      <c r="C45" s="2"/>
      <c r="D45" s="2"/>
      <c r="E45" s="43"/>
      <c r="F45" s="2"/>
      <c r="G45" s="2"/>
      <c r="H45" s="2"/>
      <c r="I45" s="43"/>
      <c r="J45" s="2"/>
      <c r="K45" s="2"/>
      <c r="L45" s="2"/>
      <c r="M45" s="43"/>
      <c r="N45" s="2"/>
      <c r="O45" s="2"/>
      <c r="P45" s="2"/>
      <c r="Q45" s="2"/>
      <c r="R45" s="2"/>
      <c r="S45" s="2"/>
      <c r="T45" s="7"/>
      <c r="U45" s="7"/>
      <c r="V45" s="7"/>
      <c r="W45" s="7"/>
      <c r="X45" s="7"/>
      <c r="Y45" s="7"/>
      <c r="Z45" s="7"/>
      <c r="AA45" s="2"/>
      <c r="AB45" s="2"/>
      <c r="AC45" s="2"/>
      <c r="AD45" s="7"/>
      <c r="AE45" s="7"/>
    </row>
    <row r="46" spans="2:38" x14ac:dyDescent="0.35">
      <c r="B46" t="s">
        <v>120</v>
      </c>
      <c r="C46" s="2" t="e">
        <f t="shared" ref="C46:O46" si="21">C37/C39</f>
        <v>#DIV/0!</v>
      </c>
      <c r="D46" s="2" t="e">
        <f t="shared" si="21"/>
        <v>#DIV/0!</v>
      </c>
      <c r="E46" s="43">
        <f t="shared" si="21"/>
        <v>0.90490325417766049</v>
      </c>
      <c r="F46" s="2">
        <f t="shared" si="21"/>
        <v>0.67535460992907803</v>
      </c>
      <c r="G46" s="2">
        <f t="shared" si="21"/>
        <v>0.2124077926990732</v>
      </c>
      <c r="H46" s="2">
        <f t="shared" si="21"/>
        <v>0.50105538976635855</v>
      </c>
      <c r="I46" s="43">
        <f t="shared" si="21"/>
        <v>0.16156057293074222</v>
      </c>
      <c r="J46" s="2">
        <f t="shared" si="21"/>
        <v>0.34446767855211452</v>
      </c>
      <c r="K46" s="2">
        <f t="shared" si="21"/>
        <v>0.36447975641086638</v>
      </c>
      <c r="L46" s="2">
        <f t="shared" si="21"/>
        <v>0.23215872647888414</v>
      </c>
      <c r="M46" s="43">
        <f t="shared" si="21"/>
        <v>0.35742781674105112</v>
      </c>
      <c r="N46" s="2">
        <f t="shared" si="21"/>
        <v>0.36255943266983642</v>
      </c>
      <c r="O46" s="2" t="e">
        <f t="shared" si="21"/>
        <v>#DIV/0!</v>
      </c>
      <c r="P46" s="2"/>
      <c r="Q46" s="2"/>
      <c r="R46" s="2"/>
      <c r="S46" s="2"/>
      <c r="T46" s="7"/>
      <c r="U46" s="7"/>
      <c r="V46" s="7"/>
      <c r="W46" s="7"/>
      <c r="X46" s="7"/>
      <c r="Y46" s="7"/>
      <c r="Z46" s="7"/>
      <c r="AA46" s="2">
        <f t="shared" ref="AA46:AL46" si="22">AA37/AA39</f>
        <v>0.9409840728100114</v>
      </c>
      <c r="AB46" s="2">
        <f t="shared" si="22"/>
        <v>0.62617092726191814</v>
      </c>
      <c r="AC46" s="2">
        <f t="shared" si="22"/>
        <v>0.28761208743293709</v>
      </c>
      <c r="AD46" s="2" t="e">
        <f t="shared" si="22"/>
        <v>#DIV/0!</v>
      </c>
      <c r="AE46" s="2" t="e">
        <f t="shared" si="22"/>
        <v>#DIV/0!</v>
      </c>
      <c r="AF46" s="2" t="e">
        <f t="shared" si="22"/>
        <v>#DIV/0!</v>
      </c>
      <c r="AG46" s="2" t="e">
        <f t="shared" si="22"/>
        <v>#DIV/0!</v>
      </c>
      <c r="AH46" s="2" t="e">
        <f t="shared" si="22"/>
        <v>#DIV/0!</v>
      </c>
      <c r="AI46" s="2" t="e">
        <f t="shared" si="22"/>
        <v>#DIV/0!</v>
      </c>
      <c r="AJ46" s="2" t="e">
        <f t="shared" si="22"/>
        <v>#DIV/0!</v>
      </c>
      <c r="AK46" s="2" t="e">
        <f t="shared" si="22"/>
        <v>#DIV/0!</v>
      </c>
      <c r="AL46" s="2" t="e">
        <f t="shared" si="22"/>
        <v>#DIV/0!</v>
      </c>
    </row>
    <row r="47" spans="2:38" s="4" customFormat="1" x14ac:dyDescent="0.35">
      <c r="B47" s="4" t="s">
        <v>34</v>
      </c>
      <c r="C47" s="24" t="e">
        <f t="shared" ref="C47:O47" si="23">C38/C39</f>
        <v>#DIV/0!</v>
      </c>
      <c r="D47" s="24" t="e">
        <f t="shared" si="23"/>
        <v>#DIV/0!</v>
      </c>
      <c r="E47" s="46">
        <f t="shared" si="23"/>
        <v>9.5096745822339485E-2</v>
      </c>
      <c r="F47" s="24">
        <f t="shared" si="23"/>
        <v>0.32464539007092197</v>
      </c>
      <c r="G47" s="24">
        <f t="shared" si="23"/>
        <v>0.78759220730092683</v>
      </c>
      <c r="H47" s="24">
        <f t="shared" si="23"/>
        <v>0.49894461023364145</v>
      </c>
      <c r="I47" s="46">
        <f t="shared" si="23"/>
        <v>0.83843942706925778</v>
      </c>
      <c r="J47" s="24">
        <f t="shared" si="23"/>
        <v>0.65553232144788554</v>
      </c>
      <c r="K47" s="24">
        <f t="shared" si="23"/>
        <v>0.63552024358913362</v>
      </c>
      <c r="L47" s="24">
        <f t="shared" si="23"/>
        <v>0.76784127352111586</v>
      </c>
      <c r="M47" s="46">
        <f t="shared" si="23"/>
        <v>0.64257218325894894</v>
      </c>
      <c r="N47" s="24">
        <f t="shared" si="23"/>
        <v>0.63744056733016363</v>
      </c>
      <c r="O47" s="24" t="e">
        <f t="shared" si="23"/>
        <v>#DIV/0!</v>
      </c>
      <c r="P47" s="24"/>
      <c r="Q47" s="24"/>
      <c r="R47" s="24"/>
      <c r="S47" s="24"/>
      <c r="T47" s="8"/>
      <c r="U47" s="8"/>
      <c r="V47" s="8"/>
      <c r="W47" s="8"/>
      <c r="X47" s="8"/>
      <c r="Y47" s="8"/>
      <c r="Z47" s="8"/>
      <c r="AA47" s="24">
        <f t="shared" ref="AA47:AL47" si="24">AA38/AA39</f>
        <v>5.9015927189988625E-2</v>
      </c>
      <c r="AB47" s="24">
        <f t="shared" si="24"/>
        <v>0.37382907273808186</v>
      </c>
      <c r="AC47" s="24">
        <f t="shared" si="24"/>
        <v>0.71238791256706291</v>
      </c>
      <c r="AD47" s="24" t="e">
        <f t="shared" si="24"/>
        <v>#DIV/0!</v>
      </c>
      <c r="AE47" s="24" t="e">
        <f t="shared" si="24"/>
        <v>#DIV/0!</v>
      </c>
      <c r="AF47" s="24" t="e">
        <f t="shared" si="24"/>
        <v>#DIV/0!</v>
      </c>
      <c r="AG47" s="24" t="e">
        <f t="shared" si="24"/>
        <v>#DIV/0!</v>
      </c>
      <c r="AH47" s="24" t="e">
        <f t="shared" si="24"/>
        <v>#DIV/0!</v>
      </c>
      <c r="AI47" s="24" t="e">
        <f t="shared" si="24"/>
        <v>#DIV/0!</v>
      </c>
      <c r="AJ47" s="24" t="e">
        <f t="shared" si="24"/>
        <v>#DIV/0!</v>
      </c>
      <c r="AK47" s="24" t="e">
        <f t="shared" si="24"/>
        <v>#DIV/0!</v>
      </c>
      <c r="AL47" s="24" t="e">
        <f t="shared" si="24"/>
        <v>#DIV/0!</v>
      </c>
    </row>
    <row r="48" spans="2:38" x14ac:dyDescent="0.35">
      <c r="B48" t="s">
        <v>119</v>
      </c>
      <c r="C48" s="13" t="e">
        <f t="shared" ref="C48:O48" si="25">SUM(C46:C47)</f>
        <v>#DIV/0!</v>
      </c>
      <c r="D48" s="13" t="e">
        <f t="shared" si="25"/>
        <v>#DIV/0!</v>
      </c>
      <c r="E48" s="44">
        <f t="shared" si="25"/>
        <v>1</v>
      </c>
      <c r="F48" s="13">
        <f t="shared" si="25"/>
        <v>1</v>
      </c>
      <c r="G48" s="13">
        <f t="shared" si="25"/>
        <v>1</v>
      </c>
      <c r="H48" s="13">
        <f t="shared" si="25"/>
        <v>1</v>
      </c>
      <c r="I48" s="44">
        <f t="shared" si="25"/>
        <v>1</v>
      </c>
      <c r="J48" s="13">
        <f t="shared" si="25"/>
        <v>1</v>
      </c>
      <c r="K48" s="13">
        <f t="shared" si="25"/>
        <v>1</v>
      </c>
      <c r="L48" s="13">
        <f t="shared" si="25"/>
        <v>1</v>
      </c>
      <c r="M48" s="44">
        <f t="shared" si="25"/>
        <v>1</v>
      </c>
      <c r="N48" s="13">
        <f t="shared" si="25"/>
        <v>1</v>
      </c>
      <c r="O48" s="13" t="e">
        <f t="shared" si="25"/>
        <v>#DIV/0!</v>
      </c>
      <c r="P48" s="13"/>
      <c r="Q48" s="13"/>
      <c r="R48" s="13"/>
      <c r="S48" s="13"/>
      <c r="T48" s="7"/>
      <c r="U48" s="7"/>
      <c r="V48" s="7"/>
      <c r="W48" s="7"/>
      <c r="X48" s="7"/>
      <c r="Y48" s="7"/>
      <c r="Z48" s="7"/>
      <c r="AA48" s="13">
        <f t="shared" ref="AA48:AL48" si="26">SUM(AA46:AA47)</f>
        <v>1</v>
      </c>
      <c r="AB48" s="13">
        <f t="shared" si="26"/>
        <v>1</v>
      </c>
      <c r="AC48" s="13">
        <f t="shared" si="26"/>
        <v>1</v>
      </c>
      <c r="AD48" s="13" t="e">
        <f t="shared" si="26"/>
        <v>#DIV/0!</v>
      </c>
      <c r="AE48" s="13" t="e">
        <f t="shared" si="26"/>
        <v>#DIV/0!</v>
      </c>
      <c r="AF48" s="13" t="e">
        <f t="shared" si="26"/>
        <v>#DIV/0!</v>
      </c>
      <c r="AG48" s="13" t="e">
        <f t="shared" si="26"/>
        <v>#DIV/0!</v>
      </c>
      <c r="AH48" s="13" t="e">
        <f t="shared" si="26"/>
        <v>#DIV/0!</v>
      </c>
      <c r="AI48" s="13" t="e">
        <f t="shared" si="26"/>
        <v>#DIV/0!</v>
      </c>
      <c r="AJ48" s="13" t="e">
        <f t="shared" si="26"/>
        <v>#DIV/0!</v>
      </c>
      <c r="AK48" s="13" t="e">
        <f t="shared" si="26"/>
        <v>#DIV/0!</v>
      </c>
      <c r="AL48" s="13" t="e">
        <f t="shared" si="26"/>
        <v>#DIV/0!</v>
      </c>
    </row>
    <row r="49" spans="2:31" x14ac:dyDescent="0.35">
      <c r="D49" s="7"/>
      <c r="E49" s="39"/>
      <c r="F49" s="7"/>
      <c r="G49" s="7"/>
      <c r="H49" s="7"/>
      <c r="I49" s="39"/>
      <c r="J49" s="7"/>
      <c r="K49" s="7"/>
      <c r="L49" s="7"/>
      <c r="M49" s="39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spans="2:31" s="6" customFormat="1" x14ac:dyDescent="0.35">
      <c r="B50" s="6" t="s">
        <v>455</v>
      </c>
      <c r="D50" s="9"/>
      <c r="E50" s="47"/>
      <c r="F50" s="9"/>
      <c r="G50" s="9"/>
      <c r="H50" s="12">
        <f>AB50-G50-F50-E50</f>
        <v>0</v>
      </c>
      <c r="I50" s="47"/>
      <c r="J50" s="9"/>
      <c r="K50" s="9"/>
      <c r="L50" s="9"/>
      <c r="M50" s="47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</row>
    <row r="51" spans="2:31" s="14" customFormat="1" x14ac:dyDescent="0.35">
      <c r="B51" s="14" t="s">
        <v>134</v>
      </c>
      <c r="C51" s="14">
        <v>10670</v>
      </c>
      <c r="D51" s="26">
        <f>35160-C51</f>
        <v>24490</v>
      </c>
      <c r="E51" s="42">
        <v>18192</v>
      </c>
      <c r="F51" s="26">
        <v>11280</v>
      </c>
      <c r="G51" s="26">
        <v>5287</v>
      </c>
      <c r="H51" s="26">
        <f>AB51-G51-F51-E51</f>
        <v>27478</v>
      </c>
      <c r="I51" s="42">
        <v>40703</v>
      </c>
      <c r="J51" s="26">
        <v>55474</v>
      </c>
      <c r="K51" s="26">
        <v>63057</v>
      </c>
      <c r="L51" s="26">
        <f>AC51-K51-J51-I51</f>
        <v>51762</v>
      </c>
      <c r="M51" s="42">
        <v>54895</v>
      </c>
      <c r="N51" s="26">
        <v>62045</v>
      </c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>
        <v>35160</v>
      </c>
      <c r="AB51" s="26">
        <v>62237</v>
      </c>
      <c r="AC51" s="26">
        <v>210996</v>
      </c>
      <c r="AD51" s="26"/>
      <c r="AE51" s="26"/>
    </row>
    <row r="52" spans="2:31" s="4" customFormat="1" x14ac:dyDescent="0.35">
      <c r="B52" s="4" t="s">
        <v>135</v>
      </c>
      <c r="C52" s="4">
        <v>12555</v>
      </c>
      <c r="D52" s="8">
        <f>46977-C52</f>
        <v>34422</v>
      </c>
      <c r="E52" s="40">
        <v>16781</v>
      </c>
      <c r="F52" s="8">
        <v>8817</v>
      </c>
      <c r="G52" s="8">
        <v>17738</v>
      </c>
      <c r="H52" s="8">
        <f>AB52-G52-F52-E52</f>
        <v>20794</v>
      </c>
      <c r="I52" s="40">
        <v>36968</v>
      </c>
      <c r="J52" s="8">
        <v>50516</v>
      </c>
      <c r="K52" s="8">
        <v>54590</v>
      </c>
      <c r="L52" s="8">
        <f>AC52-K52-J52-I52</f>
        <v>49932</v>
      </c>
      <c r="M52" s="40">
        <v>48538</v>
      </c>
      <c r="N52" s="8">
        <v>47452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>
        <v>46977</v>
      </c>
      <c r="AB52" s="8">
        <v>64130</v>
      </c>
      <c r="AC52" s="8">
        <v>192006</v>
      </c>
      <c r="AD52" s="8"/>
      <c r="AE52" s="8"/>
    </row>
    <row r="53" spans="2:31" s="14" customFormat="1" x14ac:dyDescent="0.35">
      <c r="B53" s="14" t="s">
        <v>136</v>
      </c>
      <c r="C53" s="26">
        <f t="shared" ref="C53:O53" si="27">C51-C52</f>
        <v>-1885</v>
      </c>
      <c r="D53" s="26">
        <f t="shared" si="27"/>
        <v>-9932</v>
      </c>
      <c r="E53" s="42">
        <f t="shared" si="27"/>
        <v>1411</v>
      </c>
      <c r="F53" s="26">
        <f t="shared" si="27"/>
        <v>2463</v>
      </c>
      <c r="G53" s="26">
        <f t="shared" si="27"/>
        <v>-12451</v>
      </c>
      <c r="H53" s="26">
        <f t="shared" si="27"/>
        <v>6684</v>
      </c>
      <c r="I53" s="42">
        <f t="shared" si="27"/>
        <v>3735</v>
      </c>
      <c r="J53" s="26">
        <f t="shared" si="27"/>
        <v>4958</v>
      </c>
      <c r="K53" s="26">
        <f t="shared" si="27"/>
        <v>8467</v>
      </c>
      <c r="L53" s="26">
        <f t="shared" si="27"/>
        <v>1830</v>
      </c>
      <c r="M53" s="42">
        <f t="shared" si="27"/>
        <v>6357</v>
      </c>
      <c r="N53" s="26">
        <f t="shared" si="27"/>
        <v>14593</v>
      </c>
      <c r="O53" s="26">
        <f t="shared" si="27"/>
        <v>0</v>
      </c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>
        <f>AA51-AA52</f>
        <v>-11817</v>
      </c>
      <c r="AB53" s="26">
        <f>AB51-AB52</f>
        <v>-1893</v>
      </c>
      <c r="AC53" s="26">
        <f>AC51-AC52</f>
        <v>18990</v>
      </c>
      <c r="AD53" s="26"/>
      <c r="AE53" s="26"/>
    </row>
    <row r="54" spans="2:31" s="21" customFormat="1" x14ac:dyDescent="0.35">
      <c r="B54" s="30" t="s">
        <v>137</v>
      </c>
      <c r="C54" s="22"/>
      <c r="D54" s="22"/>
      <c r="E54" s="41"/>
      <c r="F54" s="22"/>
      <c r="G54" s="22"/>
      <c r="H54" s="22"/>
      <c r="I54" s="41"/>
      <c r="J54" s="22"/>
      <c r="K54" s="22"/>
      <c r="L54" s="22"/>
      <c r="M54" s="41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</row>
    <row r="55" spans="2:31" x14ac:dyDescent="0.35">
      <c r="B55" t="s">
        <v>138</v>
      </c>
      <c r="C55">
        <v>4903</v>
      </c>
      <c r="D55" s="7">
        <f>19142-C55</f>
        <v>14239</v>
      </c>
      <c r="E55" s="39">
        <v>7078</v>
      </c>
      <c r="F55" s="7">
        <v>8529</v>
      </c>
      <c r="G55" s="7">
        <v>14189</v>
      </c>
      <c r="H55" s="7">
        <f>AB55-G55-F55-E55</f>
        <v>11969</v>
      </c>
      <c r="I55" s="39">
        <v>13477</v>
      </c>
      <c r="J55" s="7">
        <v>19165</v>
      </c>
      <c r="K55" s="7">
        <v>17508</v>
      </c>
      <c r="L55" s="7">
        <f>AC55-K55-J55-I55</f>
        <v>15018</v>
      </c>
      <c r="M55" s="39">
        <v>23905</v>
      </c>
      <c r="N55" s="7">
        <v>31035</v>
      </c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>
        <v>19142</v>
      </c>
      <c r="AB55" s="7">
        <v>41765</v>
      </c>
      <c r="AC55" s="7">
        <v>65168</v>
      </c>
      <c r="AD55" s="7"/>
      <c r="AE55" s="7"/>
    </row>
    <row r="56" spans="2:31" s="4" customFormat="1" x14ac:dyDescent="0.35">
      <c r="B56" s="4" t="s">
        <v>139</v>
      </c>
      <c r="C56" s="4">
        <v>6057</v>
      </c>
      <c r="D56" s="8">
        <f>23993-C56</f>
        <v>17936</v>
      </c>
      <c r="E56" s="40">
        <v>6624</v>
      </c>
      <c r="F56" s="8">
        <v>7068</v>
      </c>
      <c r="G56" s="8">
        <v>25655</v>
      </c>
      <c r="H56" s="8">
        <f>AB56-G56-F56-E56</f>
        <v>19048</v>
      </c>
      <c r="I56" s="40">
        <v>23078</v>
      </c>
      <c r="J56" s="8">
        <v>18952</v>
      </c>
      <c r="K56" s="8">
        <v>22961</v>
      </c>
      <c r="L56" s="8">
        <f>AC56-K56-J56-I56</f>
        <v>24035</v>
      </c>
      <c r="M56" s="40">
        <v>28469</v>
      </c>
      <c r="N56" s="8">
        <v>28717</v>
      </c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>
        <v>23993</v>
      </c>
      <c r="AB56" s="8">
        <v>58395</v>
      </c>
      <c r="AC56" s="8">
        <v>89026</v>
      </c>
      <c r="AD56" s="8"/>
      <c r="AE56" s="8"/>
    </row>
    <row r="57" spans="2:31" s="34" customFormat="1" x14ac:dyDescent="0.35">
      <c r="B57" s="34" t="s">
        <v>140</v>
      </c>
      <c r="C57" s="35">
        <f t="shared" ref="C57:O57" si="28">C55+C56</f>
        <v>10960</v>
      </c>
      <c r="D57" s="35">
        <f t="shared" si="28"/>
        <v>32175</v>
      </c>
      <c r="E57" s="48">
        <f t="shared" si="28"/>
        <v>13702</v>
      </c>
      <c r="F57" s="35">
        <f t="shared" si="28"/>
        <v>15597</v>
      </c>
      <c r="G57" s="35">
        <f t="shared" si="28"/>
        <v>39844</v>
      </c>
      <c r="H57" s="35">
        <f t="shared" si="28"/>
        <v>31017</v>
      </c>
      <c r="I57" s="48">
        <f t="shared" si="28"/>
        <v>36555</v>
      </c>
      <c r="J57" s="35">
        <f t="shared" si="28"/>
        <v>38117</v>
      </c>
      <c r="K57" s="35">
        <f t="shared" si="28"/>
        <v>40469</v>
      </c>
      <c r="L57" s="35">
        <f t="shared" si="28"/>
        <v>39053</v>
      </c>
      <c r="M57" s="48">
        <f t="shared" si="28"/>
        <v>52374</v>
      </c>
      <c r="N57" s="35">
        <f t="shared" si="28"/>
        <v>59752</v>
      </c>
      <c r="O57" s="35">
        <f t="shared" si="28"/>
        <v>0</v>
      </c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>
        <f>+AA55+AA56</f>
        <v>43135</v>
      </c>
      <c r="AB57" s="35">
        <f>+AB55+AB56</f>
        <v>100160</v>
      </c>
      <c r="AC57" s="35">
        <f>+AC55+AC56</f>
        <v>154194</v>
      </c>
      <c r="AD57" s="35"/>
      <c r="AE57" s="35"/>
    </row>
    <row r="58" spans="2:31" s="14" customFormat="1" x14ac:dyDescent="0.35">
      <c r="B58" s="14" t="s">
        <v>141</v>
      </c>
      <c r="C58" s="26">
        <f t="shared" ref="C58:O58" si="29">C53-C57</f>
        <v>-12845</v>
      </c>
      <c r="D58" s="26">
        <f t="shared" si="29"/>
        <v>-42107</v>
      </c>
      <c r="E58" s="42">
        <f t="shared" si="29"/>
        <v>-12291</v>
      </c>
      <c r="F58" s="26">
        <f t="shared" si="29"/>
        <v>-13134</v>
      </c>
      <c r="G58" s="26">
        <f t="shared" si="29"/>
        <v>-52295</v>
      </c>
      <c r="H58" s="26">
        <f t="shared" si="29"/>
        <v>-24333</v>
      </c>
      <c r="I58" s="42">
        <f t="shared" si="29"/>
        <v>-32820</v>
      </c>
      <c r="J58" s="26">
        <f t="shared" si="29"/>
        <v>-33159</v>
      </c>
      <c r="K58" s="26">
        <f t="shared" si="29"/>
        <v>-32002</v>
      </c>
      <c r="L58" s="26">
        <f t="shared" si="29"/>
        <v>-37223</v>
      </c>
      <c r="M58" s="42">
        <f t="shared" si="29"/>
        <v>-46017</v>
      </c>
      <c r="N58" s="26">
        <f t="shared" si="29"/>
        <v>-45159</v>
      </c>
      <c r="O58" s="26">
        <f t="shared" si="29"/>
        <v>0</v>
      </c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>
        <f>AA53-AA57</f>
        <v>-54952</v>
      </c>
      <c r="AB58" s="26">
        <f>AB53-AB57</f>
        <v>-102053</v>
      </c>
      <c r="AC58" s="26">
        <f>AC53-AC57</f>
        <v>-135204</v>
      </c>
      <c r="AD58" s="26"/>
      <c r="AE58" s="26"/>
    </row>
    <row r="59" spans="2:31" x14ac:dyDescent="0.35">
      <c r="B59" t="s">
        <v>142</v>
      </c>
      <c r="C59">
        <v>-29</v>
      </c>
      <c r="D59" s="7">
        <f>224-C59</f>
        <v>253</v>
      </c>
      <c r="E59" s="39">
        <v>-127</v>
      </c>
      <c r="F59" s="7">
        <v>-275</v>
      </c>
      <c r="G59" s="7">
        <v>-2977</v>
      </c>
      <c r="H59" s="7">
        <f>AB59-G59-F59-E59</f>
        <v>-2749</v>
      </c>
      <c r="I59" s="39">
        <v>-2989</v>
      </c>
      <c r="J59" s="7">
        <v>-2432</v>
      </c>
      <c r="K59" s="7">
        <v>-1486</v>
      </c>
      <c r="L59" s="7">
        <f>AC59-K59-J59-I59</f>
        <v>-892</v>
      </c>
      <c r="M59" s="39">
        <v>-685</v>
      </c>
      <c r="N59" s="7">
        <v>-745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>
        <v>224</v>
      </c>
      <c r="AB59" s="7">
        <v>-6128</v>
      </c>
      <c r="AC59" s="7">
        <v>-7799</v>
      </c>
      <c r="AD59" s="7"/>
      <c r="AE59" s="7"/>
    </row>
    <row r="60" spans="2:31" x14ac:dyDescent="0.35">
      <c r="B60" t="s">
        <v>143</v>
      </c>
      <c r="C60">
        <v>-129</v>
      </c>
      <c r="D60" s="7">
        <f>2420-C60</f>
        <v>2549</v>
      </c>
      <c r="E60" s="39">
        <v>-279</v>
      </c>
      <c r="F60" s="7">
        <v>-126</v>
      </c>
      <c r="G60" s="7">
        <v>16</v>
      </c>
      <c r="H60" s="7">
        <f>AB60-G60-F60-E60</f>
        <v>-178</v>
      </c>
      <c r="I60" s="39">
        <v>-20</v>
      </c>
      <c r="J60" s="7">
        <v>-3876</v>
      </c>
      <c r="K60" s="7">
        <v>-51</v>
      </c>
      <c r="L60" s="7">
        <f>AC60-K60-J60-I60</f>
        <v>-488</v>
      </c>
      <c r="M60" s="39">
        <v>134</v>
      </c>
      <c r="N60" s="7">
        <v>-90</v>
      </c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>
        <v>2420</v>
      </c>
      <c r="AB60" s="7">
        <v>-567</v>
      </c>
      <c r="AC60" s="7">
        <v>-4435</v>
      </c>
      <c r="AD60" s="7"/>
      <c r="AE60" s="7"/>
    </row>
    <row r="61" spans="2:31" x14ac:dyDescent="0.35">
      <c r="B61" t="s">
        <v>144</v>
      </c>
      <c r="C61">
        <v>-562</v>
      </c>
      <c r="D61" s="7">
        <f>-2417-C61</f>
        <v>-1855</v>
      </c>
      <c r="E61" s="39">
        <v>-3030</v>
      </c>
      <c r="F61" s="7">
        <v>-2448</v>
      </c>
      <c r="G61" s="7">
        <v>-33947</v>
      </c>
      <c r="H61" s="7">
        <f>AB61-G61-F61-E61</f>
        <v>24131</v>
      </c>
      <c r="I61" s="39">
        <v>13482</v>
      </c>
      <c r="J61" s="7">
        <v>0</v>
      </c>
      <c r="K61" s="7">
        <v>0</v>
      </c>
      <c r="L61" s="7">
        <f>AC61-K61-J61-I61</f>
        <v>0</v>
      </c>
      <c r="M61" s="39">
        <v>0</v>
      </c>
      <c r="N61" s="7">
        <v>0</v>
      </c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>
        <v>-2417</v>
      </c>
      <c r="AB61" s="7">
        <v>-15294</v>
      </c>
      <c r="AC61" s="7">
        <v>13482</v>
      </c>
      <c r="AD61" s="7"/>
      <c r="AE61" s="7"/>
    </row>
    <row r="62" spans="2:31" s="4" customFormat="1" x14ac:dyDescent="0.35">
      <c r="B62" s="4" t="s">
        <v>145</v>
      </c>
      <c r="C62" s="4">
        <v>-40</v>
      </c>
      <c r="D62" s="8">
        <f>187-C62</f>
        <v>227</v>
      </c>
      <c r="E62" s="40">
        <v>109</v>
      </c>
      <c r="F62" s="8">
        <v>-242</v>
      </c>
      <c r="G62" s="8">
        <v>-450</v>
      </c>
      <c r="H62" s="8">
        <f>AB62-G62-F62-E62</f>
        <v>-215</v>
      </c>
      <c r="I62" s="40">
        <v>26</v>
      </c>
      <c r="J62" s="8">
        <v>-23</v>
      </c>
      <c r="K62" s="8">
        <v>622</v>
      </c>
      <c r="L62" s="8">
        <f>AC62-K62-J62-I62</f>
        <v>385</v>
      </c>
      <c r="M62" s="40">
        <v>1477</v>
      </c>
      <c r="N62" s="8">
        <v>866</v>
      </c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>
        <v>187</v>
      </c>
      <c r="AB62" s="8">
        <v>-798</v>
      </c>
      <c r="AC62" s="8">
        <v>1010</v>
      </c>
      <c r="AD62" s="8"/>
      <c r="AE62" s="8"/>
    </row>
    <row r="63" spans="2:31" s="14" customFormat="1" x14ac:dyDescent="0.35">
      <c r="B63" s="14" t="s">
        <v>146</v>
      </c>
      <c r="C63" s="26">
        <f t="shared" ref="C63:O63" si="30">SUM(C58:C62)</f>
        <v>-13605</v>
      </c>
      <c r="D63" s="26">
        <f t="shared" si="30"/>
        <v>-40933</v>
      </c>
      <c r="E63" s="42">
        <f t="shared" si="30"/>
        <v>-15618</v>
      </c>
      <c r="F63" s="26">
        <f t="shared" si="30"/>
        <v>-16225</v>
      </c>
      <c r="G63" s="26">
        <f t="shared" si="30"/>
        <v>-89653</v>
      </c>
      <c r="H63" s="26">
        <f t="shared" si="30"/>
        <v>-3344</v>
      </c>
      <c r="I63" s="42">
        <f t="shared" si="30"/>
        <v>-22321</v>
      </c>
      <c r="J63" s="26">
        <f t="shared" si="30"/>
        <v>-39490</v>
      </c>
      <c r="K63" s="26">
        <f t="shared" si="30"/>
        <v>-32917</v>
      </c>
      <c r="L63" s="26">
        <f t="shared" si="30"/>
        <v>-38218</v>
      </c>
      <c r="M63" s="42">
        <f t="shared" si="30"/>
        <v>-45091</v>
      </c>
      <c r="N63" s="26">
        <f t="shared" si="30"/>
        <v>-45128</v>
      </c>
      <c r="O63" s="26">
        <f t="shared" si="30"/>
        <v>0</v>
      </c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>
        <f>SUM(AA58:AA62)</f>
        <v>-54538</v>
      </c>
      <c r="AB63" s="26">
        <f>SUM(AB58:AB62)</f>
        <v>-124840</v>
      </c>
      <c r="AC63" s="26">
        <f>SUM(AC58:AC62)</f>
        <v>-132946</v>
      </c>
      <c r="AD63" s="26"/>
      <c r="AE63" s="26"/>
    </row>
    <row r="64" spans="2:31" s="4" customFormat="1" x14ac:dyDescent="0.35">
      <c r="B64" s="4" t="s">
        <v>147</v>
      </c>
      <c r="C64" s="4">
        <v>1000</v>
      </c>
      <c r="D64" s="8">
        <f>-467-C64</f>
        <v>-1467</v>
      </c>
      <c r="E64" s="40">
        <v>-264</v>
      </c>
      <c r="F64" s="8">
        <v>-440</v>
      </c>
      <c r="G64" s="8">
        <v>1684</v>
      </c>
      <c r="H64" s="8">
        <f>AB64-G64-F64-E64</f>
        <v>6540</v>
      </c>
      <c r="I64" s="40">
        <v>-4388</v>
      </c>
      <c r="J64" s="8">
        <v>2073</v>
      </c>
      <c r="K64" s="8">
        <v>-1693</v>
      </c>
      <c r="L64" s="8">
        <f>AC64-K64-J64-I64</f>
        <v>1010</v>
      </c>
      <c r="M64" s="40">
        <v>-526</v>
      </c>
      <c r="N64" s="8">
        <v>-761</v>
      </c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>
        <v>-467</v>
      </c>
      <c r="AB64" s="8">
        <v>7520</v>
      </c>
      <c r="AC64" s="8">
        <v>-2998</v>
      </c>
      <c r="AD64" s="8"/>
      <c r="AE64" s="8"/>
    </row>
    <row r="65" spans="2:31" s="14" customFormat="1" x14ac:dyDescent="0.35">
      <c r="B65" s="14" t="s">
        <v>148</v>
      </c>
      <c r="C65" s="26">
        <f t="shared" ref="C65:O65" si="31">SUM(C63:C64)</f>
        <v>-12605</v>
      </c>
      <c r="D65" s="26">
        <f t="shared" si="31"/>
        <v>-42400</v>
      </c>
      <c r="E65" s="42">
        <f t="shared" si="31"/>
        <v>-15882</v>
      </c>
      <c r="F65" s="26">
        <f t="shared" si="31"/>
        <v>-16665</v>
      </c>
      <c r="G65" s="26">
        <f t="shared" si="31"/>
        <v>-87969</v>
      </c>
      <c r="H65" s="26">
        <f t="shared" si="31"/>
        <v>3196</v>
      </c>
      <c r="I65" s="42">
        <f t="shared" si="31"/>
        <v>-26709</v>
      </c>
      <c r="J65" s="26">
        <f t="shared" si="31"/>
        <v>-37417</v>
      </c>
      <c r="K65" s="26">
        <f t="shared" si="31"/>
        <v>-34610</v>
      </c>
      <c r="L65" s="26">
        <f t="shared" si="31"/>
        <v>-37208</v>
      </c>
      <c r="M65" s="42">
        <f t="shared" si="31"/>
        <v>-45617</v>
      </c>
      <c r="N65" s="26">
        <f t="shared" si="31"/>
        <v>-45889</v>
      </c>
      <c r="O65" s="26">
        <f t="shared" si="31"/>
        <v>0</v>
      </c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>
        <f>AA63+AA64</f>
        <v>-55005</v>
      </c>
      <c r="AB65" s="26">
        <f>AB63+AB64</f>
        <v>-117320</v>
      </c>
      <c r="AC65" s="26">
        <f>AC63+AC64</f>
        <v>-135944</v>
      </c>
      <c r="AD65" s="26"/>
      <c r="AE65" s="26"/>
    </row>
    <row r="66" spans="2:31" x14ac:dyDescent="0.35">
      <c r="B66" t="s">
        <v>149</v>
      </c>
      <c r="C66">
        <v>0</v>
      </c>
      <c r="D66" s="7">
        <v>1134</v>
      </c>
      <c r="E66" s="39">
        <v>741</v>
      </c>
      <c r="F66" s="7">
        <v>333</v>
      </c>
      <c r="G66" s="7">
        <v>-1008</v>
      </c>
      <c r="H66" s="7">
        <f>AB66-G66-F66-E66</f>
        <v>187</v>
      </c>
      <c r="I66" s="39">
        <v>876</v>
      </c>
      <c r="J66" s="7">
        <v>-1030</v>
      </c>
      <c r="K66" s="7">
        <v>-4655</v>
      </c>
      <c r="L66" s="7">
        <f>AC66-K66-J66-I66</f>
        <v>5409</v>
      </c>
      <c r="M66" s="39">
        <v>-938</v>
      </c>
      <c r="N66" s="7">
        <v>-1516</v>
      </c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>
        <v>1134</v>
      </c>
      <c r="AB66" s="7">
        <v>253</v>
      </c>
      <c r="AC66" s="7">
        <v>600</v>
      </c>
      <c r="AD66" s="7"/>
      <c r="AE66" s="7"/>
    </row>
    <row r="67" spans="2:31" s="4" customFormat="1" x14ac:dyDescent="0.35">
      <c r="B67" s="4" t="s">
        <v>150</v>
      </c>
      <c r="C67" s="4">
        <v>0</v>
      </c>
      <c r="D67" s="8">
        <v>0</v>
      </c>
      <c r="E67" s="40">
        <v>0</v>
      </c>
      <c r="F67" s="8">
        <v>0</v>
      </c>
      <c r="G67" s="8">
        <v>0</v>
      </c>
      <c r="H67" s="8">
        <f>AB67-G67-F67-E67</f>
        <v>0</v>
      </c>
      <c r="I67" s="40">
        <v>0</v>
      </c>
      <c r="J67" s="8">
        <v>0</v>
      </c>
      <c r="K67" s="8">
        <v>-855</v>
      </c>
      <c r="L67" s="8">
        <f>AC67-K67-J67-I67</f>
        <v>83</v>
      </c>
      <c r="M67" s="40">
        <v>368</v>
      </c>
      <c r="N67" s="8">
        <v>-814</v>
      </c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>
        <v>0</v>
      </c>
      <c r="AB67" s="8">
        <v>0</v>
      </c>
      <c r="AC67" s="8">
        <v>-772</v>
      </c>
      <c r="AD67" s="8"/>
      <c r="AE67" s="8"/>
    </row>
    <row r="68" spans="2:31" s="14" customFormat="1" x14ac:dyDescent="0.35">
      <c r="B68" s="14" t="s">
        <v>151</v>
      </c>
      <c r="C68" s="26">
        <f t="shared" ref="C68:O68" si="32">SUM(C65:C67)</f>
        <v>-12605</v>
      </c>
      <c r="D68" s="26">
        <f t="shared" si="32"/>
        <v>-41266</v>
      </c>
      <c r="E68" s="42">
        <f t="shared" si="32"/>
        <v>-15141</v>
      </c>
      <c r="F68" s="26">
        <f t="shared" si="32"/>
        <v>-16332</v>
      </c>
      <c r="G68" s="26">
        <f t="shared" si="32"/>
        <v>-88977</v>
      </c>
      <c r="H68" s="26">
        <f t="shared" si="32"/>
        <v>3383</v>
      </c>
      <c r="I68" s="42">
        <f t="shared" si="32"/>
        <v>-25833</v>
      </c>
      <c r="J68" s="26">
        <f t="shared" si="32"/>
        <v>-38447</v>
      </c>
      <c r="K68" s="26">
        <f t="shared" si="32"/>
        <v>-40120</v>
      </c>
      <c r="L68" s="26">
        <f t="shared" si="32"/>
        <v>-31716</v>
      </c>
      <c r="M68" s="42">
        <f t="shared" si="32"/>
        <v>-46187</v>
      </c>
      <c r="N68" s="26">
        <f t="shared" si="32"/>
        <v>-48219</v>
      </c>
      <c r="O68" s="26">
        <f t="shared" si="32"/>
        <v>0</v>
      </c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>
        <f>AA65+AA66</f>
        <v>-53871</v>
      </c>
      <c r="AB68" s="26">
        <f>AB65+AB66</f>
        <v>-117067</v>
      </c>
      <c r="AC68" s="26">
        <f>AC65+AC66</f>
        <v>-135344</v>
      </c>
      <c r="AD68" s="26"/>
      <c r="AE68" s="26"/>
    </row>
    <row r="69" spans="2:31" x14ac:dyDescent="0.35">
      <c r="B69" t="s">
        <v>152</v>
      </c>
      <c r="C69" s="11" t="e">
        <f t="shared" ref="C69:O69" si="33">C68/C70</f>
        <v>#DIV/0!</v>
      </c>
      <c r="D69" s="11">
        <f t="shared" si="33"/>
        <v>-0.54718638579692647</v>
      </c>
      <c r="E69" s="49">
        <f t="shared" si="33"/>
        <v>-0.19208111021638463</v>
      </c>
      <c r="F69" s="11">
        <f t="shared" si="33"/>
        <v>-0.20683603479870644</v>
      </c>
      <c r="G69" s="11">
        <f t="shared" si="33"/>
        <v>-0.38979413405060442</v>
      </c>
      <c r="H69" s="11">
        <f t="shared" si="33"/>
        <v>-1.9204261463652644E-2</v>
      </c>
      <c r="I69" s="49">
        <f t="shared" si="33"/>
        <v>-5.6589850276833525E-2</v>
      </c>
      <c r="J69" s="11">
        <f t="shared" si="33"/>
        <v>-8.2731550799616679E-2</v>
      </c>
      <c r="K69" s="11">
        <f t="shared" si="33"/>
        <v>-8.5403714031692057E-2</v>
      </c>
      <c r="L69" s="11">
        <f t="shared" si="33"/>
        <v>-6.8028845122626094E-2</v>
      </c>
      <c r="M69" s="49">
        <f t="shared" si="33"/>
        <v>-9.6990819251023902E-2</v>
      </c>
      <c r="N69" s="11">
        <f t="shared" si="33"/>
        <v>-0.10051156109327146</v>
      </c>
      <c r="O69" s="11" t="e">
        <f t="shared" si="33"/>
        <v>#DIV/0!</v>
      </c>
      <c r="P69" s="11"/>
      <c r="Q69" s="11"/>
      <c r="R69" s="11"/>
      <c r="S69" s="11"/>
      <c r="T69" s="7"/>
      <c r="U69" s="7"/>
      <c r="V69" s="7"/>
      <c r="W69" s="7"/>
      <c r="X69" s="7"/>
      <c r="Y69" s="7"/>
      <c r="Z69" s="7"/>
      <c r="AA69" s="11">
        <f>AA68/AA70</f>
        <v>-0.71432844931096362</v>
      </c>
      <c r="AB69" s="11">
        <f>AB68/AB70</f>
        <v>-0.55774077514947951</v>
      </c>
      <c r="AC69" s="11">
        <f>AC68/AC70</f>
        <v>-0.29030439330668456</v>
      </c>
      <c r="AD69" s="7"/>
      <c r="AE69" s="7"/>
    </row>
    <row r="70" spans="2:31" x14ac:dyDescent="0.35">
      <c r="B70" t="s">
        <v>1</v>
      </c>
      <c r="D70" s="7">
        <v>75414.888000000006</v>
      </c>
      <c r="E70" s="39">
        <v>78826.074999999997</v>
      </c>
      <c r="F70" s="7">
        <v>78961.096000000005</v>
      </c>
      <c r="G70" s="7">
        <v>228266.647</v>
      </c>
      <c r="H70" s="7">
        <f>AB70-G70-F70-E70</f>
        <v>-176158.818</v>
      </c>
      <c r="I70" s="39">
        <v>456495.288</v>
      </c>
      <c r="J70" s="7">
        <v>464719.924</v>
      </c>
      <c r="K70" s="7">
        <v>469768.79700000002</v>
      </c>
      <c r="L70" s="7">
        <v>466214</v>
      </c>
      <c r="M70" s="39">
        <v>476199.71</v>
      </c>
      <c r="N70" s="7">
        <v>479735.85800000001</v>
      </c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>
        <v>75414.888000000006</v>
      </c>
      <c r="AB70" s="7">
        <v>209895</v>
      </c>
      <c r="AC70" s="7">
        <v>466214.09499999997</v>
      </c>
      <c r="AD70" s="7"/>
      <c r="AE70" s="7"/>
    </row>
    <row r="71" spans="2:31" x14ac:dyDescent="0.35">
      <c r="D71" s="7"/>
      <c r="E71" s="39"/>
      <c r="F71" s="7"/>
      <c r="G71" s="7"/>
      <c r="H71" s="7"/>
      <c r="I71" s="39"/>
      <c r="J71" s="7"/>
      <c r="K71" s="7"/>
      <c r="L71" s="7"/>
      <c r="M71" s="39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</row>
    <row r="72" spans="2:31" s="30" customFormat="1" x14ac:dyDescent="0.35">
      <c r="B72" s="30" t="s">
        <v>153</v>
      </c>
      <c r="D72" s="31"/>
      <c r="E72" s="50"/>
      <c r="F72" s="31"/>
      <c r="G72" s="31"/>
      <c r="H72" s="31"/>
      <c r="I72" s="50"/>
      <c r="J72" s="31"/>
      <c r="K72" s="31"/>
      <c r="L72" s="31"/>
      <c r="M72" s="50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</row>
    <row r="73" spans="2:31" s="2" customFormat="1" x14ac:dyDescent="0.35">
      <c r="B73" s="2" t="s">
        <v>154</v>
      </c>
      <c r="C73" s="2">
        <f t="shared" ref="C73:L73" si="34">C55/C53</f>
        <v>-2.6010610079575596</v>
      </c>
      <c r="D73" s="2">
        <f t="shared" si="34"/>
        <v>-1.4336488119210633</v>
      </c>
      <c r="E73" s="43">
        <f t="shared" si="34"/>
        <v>5.0163004961020556</v>
      </c>
      <c r="F73" s="2">
        <f t="shared" si="34"/>
        <v>3.4628501827040195</v>
      </c>
      <c r="G73" s="2">
        <f t="shared" si="34"/>
        <v>-1.1395871817524696</v>
      </c>
      <c r="H73" s="2">
        <f t="shared" si="34"/>
        <v>1.7906941950927588</v>
      </c>
      <c r="I73" s="43">
        <f t="shared" si="34"/>
        <v>3.6082998661311914</v>
      </c>
      <c r="J73" s="2">
        <f t="shared" si="34"/>
        <v>3.8654699475594998</v>
      </c>
      <c r="K73" s="2">
        <f t="shared" si="34"/>
        <v>2.0677926065902916</v>
      </c>
      <c r="L73" s="2">
        <f t="shared" si="34"/>
        <v>8.2065573770491795</v>
      </c>
      <c r="M73" s="43">
        <f t="shared" ref="M73:O73" si="35">M55/M53</f>
        <v>3.760421582507472</v>
      </c>
      <c r="N73" s="2">
        <f t="shared" si="35"/>
        <v>2.1267045843897758</v>
      </c>
      <c r="O73" s="2" t="e">
        <f t="shared" si="35"/>
        <v>#DIV/0!</v>
      </c>
      <c r="AA73" s="2">
        <f>AA55/AA53</f>
        <v>-1.61986967927562</v>
      </c>
      <c r="AB73" s="2">
        <f>AB55/AB53</f>
        <v>-22.062863180137349</v>
      </c>
      <c r="AC73" s="2">
        <f>AC55/AC53</f>
        <v>3.4317008952080044</v>
      </c>
    </row>
    <row r="74" spans="2:31" s="2" customFormat="1" x14ac:dyDescent="0.35">
      <c r="B74" s="2" t="s">
        <v>155</v>
      </c>
      <c r="C74" s="2">
        <f t="shared" ref="C74:L74" si="36">C56/C53</f>
        <v>-3.2132625994694961</v>
      </c>
      <c r="D74" s="2">
        <f t="shared" si="36"/>
        <v>-1.8058799838904551</v>
      </c>
      <c r="E74" s="43">
        <f t="shared" si="36"/>
        <v>4.6945428773919202</v>
      </c>
      <c r="F74" s="2">
        <f t="shared" si="36"/>
        <v>2.8696711327649207</v>
      </c>
      <c r="G74" s="2">
        <f t="shared" si="36"/>
        <v>-2.06047707011485</v>
      </c>
      <c r="H74" s="2">
        <f t="shared" si="36"/>
        <v>2.8497905445840814</v>
      </c>
      <c r="I74" s="43">
        <f t="shared" si="36"/>
        <v>6.1788487282463187</v>
      </c>
      <c r="J74" s="2">
        <f t="shared" si="36"/>
        <v>3.8225090762404195</v>
      </c>
      <c r="K74" s="2">
        <f t="shared" si="36"/>
        <v>2.711822369198063</v>
      </c>
      <c r="L74" s="2">
        <f t="shared" si="36"/>
        <v>13.133879781420765</v>
      </c>
      <c r="M74" s="43">
        <f t="shared" ref="M74:O74" si="37">M56/M53</f>
        <v>4.4783703004561897</v>
      </c>
      <c r="N74" s="2">
        <f t="shared" si="37"/>
        <v>1.9678613033646268</v>
      </c>
      <c r="O74" s="2" t="e">
        <f t="shared" si="37"/>
        <v>#DIV/0!</v>
      </c>
      <c r="AA74" s="2">
        <f>AA56/AA53</f>
        <v>-2.0303799610730304</v>
      </c>
      <c r="AB74" s="2">
        <f>AB56/AB53</f>
        <v>-30.847860538827259</v>
      </c>
      <c r="AC74" s="2">
        <f>AC56/AC53</f>
        <v>4.6880463401790413</v>
      </c>
    </row>
    <row r="75" spans="2:31" s="2" customFormat="1" x14ac:dyDescent="0.35">
      <c r="E75" s="43"/>
      <c r="I75" s="43"/>
      <c r="M75" s="43"/>
    </row>
    <row r="76" spans="2:31" x14ac:dyDescent="0.35">
      <c r="D76" s="7"/>
      <c r="E76" s="39"/>
      <c r="F76" s="7"/>
      <c r="G76" s="7"/>
      <c r="H76" s="7"/>
      <c r="I76" s="39"/>
      <c r="J76" s="7"/>
      <c r="K76" s="7"/>
      <c r="L76" s="7"/>
      <c r="M76" s="39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</row>
    <row r="77" spans="2:31" x14ac:dyDescent="0.35">
      <c r="D77" s="7"/>
      <c r="E77" s="39"/>
      <c r="F77" s="7"/>
      <c r="G77" s="7"/>
      <c r="H77" s="7"/>
      <c r="I77" s="39"/>
      <c r="J77" s="7"/>
      <c r="K77" s="7"/>
      <c r="L77" s="7"/>
      <c r="M77" s="39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</row>
    <row r="78" spans="2:31" x14ac:dyDescent="0.35">
      <c r="B78" t="s">
        <v>156</v>
      </c>
      <c r="D78" s="7"/>
      <c r="E78" s="39"/>
      <c r="F78" s="7"/>
      <c r="G78" s="7"/>
      <c r="H78" s="7"/>
      <c r="I78" s="39"/>
      <c r="J78" s="7"/>
      <c r="K78" s="7"/>
      <c r="L78" s="7"/>
      <c r="M78" s="39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</row>
    <row r="79" spans="2:31" x14ac:dyDescent="0.35">
      <c r="B79" t="s">
        <v>157</v>
      </c>
      <c r="C79" s="13">
        <f t="shared" ref="C79:L79" si="38">C53/C51</f>
        <v>-0.17666354264292408</v>
      </c>
      <c r="D79" s="13">
        <f t="shared" si="38"/>
        <v>-0.40555328705594118</v>
      </c>
      <c r="E79" s="44">
        <f t="shared" si="38"/>
        <v>7.7561565523306952E-2</v>
      </c>
      <c r="F79" s="13">
        <f t="shared" si="38"/>
        <v>0.21835106382978722</v>
      </c>
      <c r="G79" s="13">
        <f t="shared" si="38"/>
        <v>-2.3550217514658596</v>
      </c>
      <c r="H79" s="13">
        <f t="shared" si="38"/>
        <v>0.24324914477036175</v>
      </c>
      <c r="I79" s="44">
        <f t="shared" si="38"/>
        <v>9.1762277964769184E-2</v>
      </c>
      <c r="J79" s="13">
        <f t="shared" si="38"/>
        <v>8.937520279770704E-2</v>
      </c>
      <c r="K79" s="13">
        <f t="shared" si="38"/>
        <v>0.13427533818608561</v>
      </c>
      <c r="L79" s="13">
        <f t="shared" si="38"/>
        <v>3.5354120783586414E-2</v>
      </c>
      <c r="M79" s="39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</row>
    <row r="80" spans="2:31" x14ac:dyDescent="0.35">
      <c r="B80" t="s">
        <v>158</v>
      </c>
      <c r="C80" s="13">
        <f t="shared" ref="C80:L80" si="39">C65/C51</f>
        <v>-1.1813495782567947</v>
      </c>
      <c r="D80" s="13">
        <f t="shared" si="39"/>
        <v>-1.7313189056757861</v>
      </c>
      <c r="E80" s="44">
        <f t="shared" si="39"/>
        <v>-0.87302110817941958</v>
      </c>
      <c r="F80" s="13">
        <f t="shared" si="39"/>
        <v>-1.4773936170212767</v>
      </c>
      <c r="G80" s="13">
        <f t="shared" si="39"/>
        <v>-16.638736523548324</v>
      </c>
      <c r="H80" s="13">
        <f t="shared" si="39"/>
        <v>0.11631123080282407</v>
      </c>
      <c r="I80" s="44">
        <f t="shared" si="39"/>
        <v>-0.6561924182492691</v>
      </c>
      <c r="J80" s="13">
        <f t="shared" si="39"/>
        <v>-0.67449616036341353</v>
      </c>
      <c r="K80" s="13">
        <f t="shared" si="39"/>
        <v>-0.54886848406996847</v>
      </c>
      <c r="L80" s="13">
        <f t="shared" si="39"/>
        <v>-0.71882848421622036</v>
      </c>
      <c r="M80" s="39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</row>
    <row r="81" spans="2:31" x14ac:dyDescent="0.35">
      <c r="C81" s="13"/>
      <c r="D81" s="13"/>
      <c r="E81" s="44"/>
      <c r="F81" s="13"/>
      <c r="G81" s="13"/>
      <c r="H81" s="13"/>
      <c r="I81" s="44"/>
      <c r="J81" s="13"/>
      <c r="K81" s="13"/>
      <c r="L81" s="13"/>
      <c r="M81" s="39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</row>
    <row r="82" spans="2:31" x14ac:dyDescent="0.35">
      <c r="C82" s="13"/>
      <c r="D82" s="13"/>
      <c r="E82" s="44"/>
      <c r="F82" s="13"/>
      <c r="G82" s="13"/>
      <c r="H82" s="13"/>
      <c r="I82" s="44"/>
      <c r="J82" s="13"/>
      <c r="K82" s="13"/>
      <c r="L82" s="13"/>
      <c r="M82" s="39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13"/>
      <c r="AB82" s="7"/>
      <c r="AC82" s="7"/>
      <c r="AD82" s="7"/>
      <c r="AE82" s="7"/>
    </row>
    <row r="83" spans="2:31" x14ac:dyDescent="0.35">
      <c r="B83" t="s">
        <v>159</v>
      </c>
      <c r="C83" s="13"/>
      <c r="D83" s="13">
        <f t="shared" ref="D83:L83" si="40">D51/C51-1</f>
        <v>1.2952202436738518</v>
      </c>
      <c r="E83" s="44">
        <f t="shared" si="40"/>
        <v>-0.2571661902817477</v>
      </c>
      <c r="F83" s="13">
        <f t="shared" si="40"/>
        <v>-0.37994722955145122</v>
      </c>
      <c r="G83" s="13">
        <f t="shared" si="40"/>
        <v>-0.53129432624113471</v>
      </c>
      <c r="H83" s="13">
        <f t="shared" si="40"/>
        <v>4.1972763381880087</v>
      </c>
      <c r="I83" s="44">
        <f t="shared" si="40"/>
        <v>0.48129412621005896</v>
      </c>
      <c r="J83" s="13">
        <f t="shared" si="40"/>
        <v>0.36289708375304031</v>
      </c>
      <c r="K83" s="13">
        <f t="shared" si="40"/>
        <v>0.13669466777228978</v>
      </c>
      <c r="L83" s="13">
        <f t="shared" si="40"/>
        <v>-0.17912365003092445</v>
      </c>
      <c r="M83" s="39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13"/>
      <c r="AB83" s="13">
        <f>AB51/AA51-1</f>
        <v>0.77010807736063702</v>
      </c>
      <c r="AC83" s="7"/>
      <c r="AD83" s="7"/>
      <c r="AE83" s="7"/>
    </row>
    <row r="84" spans="2:31" x14ac:dyDescent="0.35">
      <c r="B84" t="s">
        <v>160</v>
      </c>
      <c r="D84" s="13">
        <f t="shared" ref="D84:L84" si="41">D65/C65-1</f>
        <v>2.3637445458151527</v>
      </c>
      <c r="E84" s="44">
        <f t="shared" si="41"/>
        <v>-0.62542452830188677</v>
      </c>
      <c r="F84" s="13">
        <f t="shared" si="41"/>
        <v>4.930109557990181E-2</v>
      </c>
      <c r="G84" s="13">
        <f t="shared" si="41"/>
        <v>4.2786678667866784</v>
      </c>
      <c r="H84" s="13">
        <f t="shared" si="41"/>
        <v>-1.0363309802316725</v>
      </c>
      <c r="I84" s="44">
        <f t="shared" si="41"/>
        <v>-9.3570087609511887</v>
      </c>
      <c r="J84" s="13">
        <f t="shared" si="41"/>
        <v>0.40091354973978799</v>
      </c>
      <c r="K84" s="13">
        <f t="shared" si="41"/>
        <v>-7.5019376219365497E-2</v>
      </c>
      <c r="L84" s="13">
        <f t="shared" si="41"/>
        <v>7.5065010112684183E-2</v>
      </c>
      <c r="M84" s="39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13">
        <f>AB65/AA65-1</f>
        <v>1.132897009362785</v>
      </c>
      <c r="AC84" s="7"/>
      <c r="AD84" s="7"/>
      <c r="AE84" s="7"/>
    </row>
    <row r="85" spans="2:31" x14ac:dyDescent="0.35">
      <c r="B85" t="s">
        <v>161</v>
      </c>
      <c r="D85" s="7"/>
      <c r="E85" s="39"/>
      <c r="F85" s="7"/>
      <c r="G85" s="7"/>
      <c r="H85" s="7"/>
      <c r="I85" s="39"/>
      <c r="J85" s="7"/>
      <c r="K85" s="7"/>
      <c r="L85" s="7"/>
      <c r="M85" s="39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</row>
    <row r="86" spans="2:31" x14ac:dyDescent="0.35">
      <c r="D86" s="7"/>
      <c r="E86" s="39"/>
      <c r="F86" s="7"/>
      <c r="G86" s="7"/>
      <c r="H86" s="7"/>
      <c r="I86" s="39"/>
      <c r="J86" s="7"/>
      <c r="K86" s="7"/>
      <c r="L86" s="7"/>
      <c r="M86" s="39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</row>
    <row r="87" spans="2:31" x14ac:dyDescent="0.35">
      <c r="D87" s="7"/>
      <c r="E87" s="39"/>
      <c r="F87" s="7"/>
      <c r="G87" s="7"/>
      <c r="H87" s="7"/>
      <c r="I87" s="39"/>
      <c r="J87" s="7"/>
      <c r="K87" s="7"/>
      <c r="L87" s="7"/>
      <c r="M87" s="39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</row>
    <row r="88" spans="2:31" x14ac:dyDescent="0.35">
      <c r="D88" s="7"/>
      <c r="E88" s="39"/>
      <c r="F88" s="7"/>
      <c r="G88" s="7"/>
      <c r="H88" s="7"/>
      <c r="I88" s="39"/>
      <c r="J88" s="7"/>
      <c r="K88" s="7"/>
      <c r="L88" s="7"/>
      <c r="M88" s="39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</row>
    <row r="89" spans="2:31" x14ac:dyDescent="0.35">
      <c r="D89" s="7"/>
      <c r="E89" s="39"/>
      <c r="F89" s="7"/>
      <c r="G89" s="7"/>
      <c r="H89" s="7"/>
      <c r="I89" s="39"/>
      <c r="J89" s="7"/>
      <c r="K89" s="7"/>
      <c r="L89" s="7"/>
      <c r="M89" s="39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</row>
    <row r="90" spans="2:31" x14ac:dyDescent="0.35">
      <c r="C90" s="7"/>
      <c r="E90" s="39"/>
      <c r="F90" s="7"/>
      <c r="G90" s="7"/>
      <c r="H90" s="7"/>
      <c r="I90" s="39"/>
      <c r="J90" s="7"/>
      <c r="K90" s="7"/>
      <c r="L90" s="7"/>
      <c r="M90" s="39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</row>
    <row r="91" spans="2:31" s="6" customFormat="1" x14ac:dyDescent="0.35">
      <c r="B91" s="6" t="s">
        <v>454</v>
      </c>
      <c r="E91" s="47"/>
      <c r="F91" s="9"/>
      <c r="G91" s="9"/>
      <c r="H91" s="9"/>
      <c r="I91" s="47"/>
      <c r="J91" s="9"/>
      <c r="K91" s="9"/>
      <c r="L91" s="9"/>
      <c r="M91" s="47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</row>
    <row r="92" spans="2:31" s="32" customFormat="1" x14ac:dyDescent="0.35">
      <c r="B92" s="30" t="s">
        <v>162</v>
      </c>
      <c r="E92" s="51"/>
      <c r="F92" s="33"/>
      <c r="G92" s="33"/>
      <c r="H92" s="33"/>
      <c r="I92" s="51"/>
      <c r="J92" s="33"/>
      <c r="K92" s="33"/>
      <c r="L92" s="33"/>
      <c r="M92" s="51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</row>
    <row r="93" spans="2:31" x14ac:dyDescent="0.35">
      <c r="B93" t="s">
        <v>163</v>
      </c>
      <c r="C93" s="7">
        <v>924370</v>
      </c>
      <c r="D93" s="7">
        <v>865903</v>
      </c>
      <c r="E93" s="39">
        <v>425453</v>
      </c>
      <c r="F93" s="7">
        <v>44846</v>
      </c>
      <c r="G93" s="7">
        <v>792660</v>
      </c>
      <c r="H93" s="7">
        <v>690959</v>
      </c>
      <c r="I93" s="39">
        <v>603144</v>
      </c>
      <c r="J93" s="7">
        <v>542511</v>
      </c>
      <c r="K93" s="7">
        <v>333279</v>
      </c>
      <c r="L93" s="7">
        <f t="shared" ref="L93:L98" si="42">AC93</f>
        <v>242515</v>
      </c>
      <c r="M93" s="39">
        <v>208365</v>
      </c>
      <c r="N93" s="7">
        <v>197160</v>
      </c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>
        <v>52792</v>
      </c>
      <c r="AB93" s="7">
        <v>690959</v>
      </c>
      <c r="AC93" s="7">
        <v>242515</v>
      </c>
      <c r="AD93" s="7"/>
      <c r="AE93" s="7"/>
    </row>
    <row r="94" spans="2:31" x14ac:dyDescent="0.35">
      <c r="B94" t="s">
        <v>164</v>
      </c>
      <c r="C94" s="7">
        <v>0</v>
      </c>
      <c r="D94" s="7">
        <v>0</v>
      </c>
      <c r="E94" s="39">
        <v>0</v>
      </c>
      <c r="F94" s="7">
        <v>0</v>
      </c>
      <c r="G94" s="7">
        <v>0</v>
      </c>
      <c r="H94" s="7">
        <v>0</v>
      </c>
      <c r="I94" s="39">
        <v>0</v>
      </c>
      <c r="J94" s="7">
        <v>0</v>
      </c>
      <c r="K94" s="7">
        <v>169428</v>
      </c>
      <c r="L94" s="7">
        <f t="shared" si="42"/>
        <v>229276</v>
      </c>
      <c r="M94" s="39">
        <v>190357</v>
      </c>
      <c r="N94" s="7">
        <v>144018</v>
      </c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>
        <v>0</v>
      </c>
      <c r="AB94" s="7">
        <v>0</v>
      </c>
      <c r="AC94" s="7">
        <v>229276</v>
      </c>
      <c r="AD94" s="7"/>
      <c r="AE94" s="7"/>
    </row>
    <row r="95" spans="2:31" x14ac:dyDescent="0.35">
      <c r="B95" t="s">
        <v>165</v>
      </c>
      <c r="C95" s="7">
        <v>0</v>
      </c>
      <c r="D95" s="7">
        <v>0</v>
      </c>
      <c r="E95" s="39">
        <v>0</v>
      </c>
      <c r="F95" s="7">
        <v>0</v>
      </c>
      <c r="G95" s="7">
        <v>13336</v>
      </c>
      <c r="H95" s="7">
        <v>13957</v>
      </c>
      <c r="I95" s="39">
        <v>32990</v>
      </c>
      <c r="J95" s="7">
        <v>40183</v>
      </c>
      <c r="K95" s="7">
        <v>57732</v>
      </c>
      <c r="L95" s="7">
        <f t="shared" si="42"/>
        <v>36572</v>
      </c>
      <c r="M95" s="39">
        <v>50690</v>
      </c>
      <c r="N95" s="7">
        <v>25175</v>
      </c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>
        <v>2730</v>
      </c>
      <c r="AB95" s="7">
        <v>13957</v>
      </c>
      <c r="AC95" s="7">
        <v>36572</v>
      </c>
      <c r="AD95" s="7"/>
      <c r="AE95" s="7"/>
    </row>
    <row r="96" spans="2:31" x14ac:dyDescent="0.35">
      <c r="B96" t="s">
        <v>166</v>
      </c>
      <c r="C96" s="7">
        <v>0</v>
      </c>
      <c r="D96" s="7">
        <v>0</v>
      </c>
      <c r="E96" s="39">
        <v>0</v>
      </c>
      <c r="F96" s="7">
        <v>0</v>
      </c>
      <c r="G96" s="7">
        <v>73</v>
      </c>
      <c r="H96" s="7">
        <v>2490</v>
      </c>
      <c r="I96" s="39">
        <v>5853</v>
      </c>
      <c r="J96" s="7">
        <v>4393</v>
      </c>
      <c r="K96" s="7">
        <v>9063</v>
      </c>
      <c r="L96" s="7">
        <f t="shared" si="42"/>
        <v>9451</v>
      </c>
      <c r="M96" s="39">
        <v>12558</v>
      </c>
      <c r="N96" s="7">
        <v>16714</v>
      </c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>
        <v>2045</v>
      </c>
      <c r="AB96" s="7">
        <v>2490</v>
      </c>
      <c r="AC96" s="7">
        <v>9451</v>
      </c>
      <c r="AD96" s="7"/>
      <c r="AE96" s="7"/>
    </row>
    <row r="97" spans="2:34" x14ac:dyDescent="0.35">
      <c r="B97" t="s">
        <v>167</v>
      </c>
      <c r="C97" s="7">
        <v>0</v>
      </c>
      <c r="D97" s="7">
        <v>0</v>
      </c>
      <c r="E97" s="39">
        <v>0</v>
      </c>
      <c r="F97" s="7">
        <v>0</v>
      </c>
      <c r="G97" s="7">
        <v>38365</v>
      </c>
      <c r="H97" s="7">
        <v>47904</v>
      </c>
      <c r="I97" s="39">
        <v>77888</v>
      </c>
      <c r="J97" s="7">
        <v>85683</v>
      </c>
      <c r="K97" s="7">
        <v>86138</v>
      </c>
      <c r="L97" s="7">
        <f t="shared" si="42"/>
        <v>92279</v>
      </c>
      <c r="M97" s="39">
        <v>98453</v>
      </c>
      <c r="N97" s="7">
        <v>102234</v>
      </c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>
        <v>26135</v>
      </c>
      <c r="AB97" s="7">
        <v>47904</v>
      </c>
      <c r="AC97" s="7">
        <v>92279</v>
      </c>
      <c r="AD97" s="7"/>
      <c r="AE97" s="7"/>
    </row>
    <row r="98" spans="2:34" s="4" customFormat="1" x14ac:dyDescent="0.35">
      <c r="B98" s="4" t="s">
        <v>168</v>
      </c>
      <c r="C98" s="8">
        <v>428150</v>
      </c>
      <c r="D98" s="8">
        <v>366647</v>
      </c>
      <c r="E98" s="40">
        <v>352250</v>
      </c>
      <c r="F98" s="8">
        <v>284625</v>
      </c>
      <c r="G98" s="8">
        <v>10582</v>
      </c>
      <c r="H98" s="8">
        <v>19454</v>
      </c>
      <c r="I98" s="40">
        <v>26307</v>
      </c>
      <c r="J98" s="8">
        <v>33646</v>
      </c>
      <c r="K98" s="8">
        <v>43810</v>
      </c>
      <c r="L98" s="8">
        <f t="shared" si="42"/>
        <v>52201</v>
      </c>
      <c r="M98" s="40">
        <f>63203+11630</f>
        <v>74833</v>
      </c>
      <c r="N98" s="8">
        <f>63520+11384</f>
        <v>74904</v>
      </c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>
        <v>9412</v>
      </c>
      <c r="AB98" s="8">
        <v>19454</v>
      </c>
      <c r="AC98" s="8">
        <v>52201</v>
      </c>
      <c r="AD98" s="8"/>
      <c r="AE98" s="8"/>
    </row>
    <row r="99" spans="2:34" s="14" customFormat="1" x14ac:dyDescent="0.35">
      <c r="B99" s="14" t="s">
        <v>169</v>
      </c>
      <c r="C99" s="26">
        <f t="shared" ref="C99:W99" si="43">SUM(C93:C98)</f>
        <v>1352520</v>
      </c>
      <c r="D99" s="26">
        <f t="shared" si="43"/>
        <v>1232550</v>
      </c>
      <c r="E99" s="42">
        <f t="shared" si="43"/>
        <v>777703</v>
      </c>
      <c r="F99" s="26">
        <f t="shared" si="43"/>
        <v>329471</v>
      </c>
      <c r="G99" s="26">
        <f t="shared" si="43"/>
        <v>855016</v>
      </c>
      <c r="H99" s="26">
        <f t="shared" si="43"/>
        <v>774764</v>
      </c>
      <c r="I99" s="42">
        <f t="shared" si="43"/>
        <v>746182</v>
      </c>
      <c r="J99" s="26">
        <f t="shared" si="43"/>
        <v>706416</v>
      </c>
      <c r="K99" s="26">
        <f t="shared" si="43"/>
        <v>699450</v>
      </c>
      <c r="L99" s="26">
        <f t="shared" si="43"/>
        <v>662294</v>
      </c>
      <c r="M99" s="42">
        <f t="shared" si="43"/>
        <v>635256</v>
      </c>
      <c r="N99" s="26">
        <f t="shared" si="43"/>
        <v>560205</v>
      </c>
      <c r="O99" s="26">
        <f t="shared" si="43"/>
        <v>0</v>
      </c>
      <c r="P99" s="26"/>
      <c r="Q99" s="26"/>
      <c r="R99" s="26"/>
      <c r="S99" s="26"/>
      <c r="T99" s="26">
        <f t="shared" si="43"/>
        <v>0</v>
      </c>
      <c r="U99" s="26">
        <f t="shared" si="43"/>
        <v>0</v>
      </c>
      <c r="V99" s="26">
        <f t="shared" si="43"/>
        <v>0</v>
      </c>
      <c r="W99" s="26">
        <f t="shared" si="43"/>
        <v>0</v>
      </c>
      <c r="X99" s="26"/>
      <c r="Y99" s="26"/>
      <c r="Z99" s="26"/>
      <c r="AA99" s="26">
        <f t="shared" ref="AA99:AH99" si="44">SUM(AA93:AA98)</f>
        <v>93114</v>
      </c>
      <c r="AB99" s="26">
        <f t="shared" si="44"/>
        <v>774764</v>
      </c>
      <c r="AC99" s="26">
        <f t="shared" si="44"/>
        <v>662294</v>
      </c>
      <c r="AD99" s="26">
        <f t="shared" si="44"/>
        <v>0</v>
      </c>
      <c r="AE99" s="26">
        <f t="shared" si="44"/>
        <v>0</v>
      </c>
      <c r="AF99" s="26">
        <f t="shared" si="44"/>
        <v>0</v>
      </c>
      <c r="AG99" s="26">
        <f t="shared" si="44"/>
        <v>0</v>
      </c>
      <c r="AH99" s="26">
        <f t="shared" si="44"/>
        <v>0</v>
      </c>
    </row>
    <row r="100" spans="2:34" s="30" customFormat="1" x14ac:dyDescent="0.35">
      <c r="B100" s="30" t="s">
        <v>170</v>
      </c>
      <c r="C100" s="31"/>
      <c r="D100" s="31"/>
      <c r="E100" s="50"/>
      <c r="F100" s="31"/>
      <c r="G100" s="31"/>
      <c r="H100" s="31"/>
      <c r="I100" s="50"/>
      <c r="J100" s="31"/>
      <c r="K100" s="31"/>
      <c r="L100" s="31"/>
      <c r="M100" s="50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</row>
    <row r="101" spans="2:34" x14ac:dyDescent="0.35">
      <c r="B101" t="s">
        <v>171</v>
      </c>
      <c r="C101" s="7">
        <v>300000</v>
      </c>
      <c r="D101" s="7">
        <v>321327.39600000001</v>
      </c>
      <c r="E101" s="39">
        <v>3200009.656</v>
      </c>
      <c r="F101" s="7">
        <v>0</v>
      </c>
      <c r="G101" s="7">
        <v>0</v>
      </c>
      <c r="H101" s="7">
        <v>0</v>
      </c>
      <c r="I101" s="39">
        <v>0</v>
      </c>
      <c r="J101" s="7">
        <v>0</v>
      </c>
      <c r="K101" s="7">
        <v>0</v>
      </c>
      <c r="L101" s="7">
        <f t="shared" ref="L101:L111" si="45">AC101</f>
        <v>0</v>
      </c>
      <c r="M101" s="39">
        <v>0</v>
      </c>
      <c r="N101" s="7">
        <v>0</v>
      </c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>
        <v>0</v>
      </c>
      <c r="AB101" s="7">
        <v>0</v>
      </c>
      <c r="AC101" s="7">
        <v>0</v>
      </c>
      <c r="AD101" s="7"/>
      <c r="AE101" s="7"/>
    </row>
    <row r="102" spans="2:34" x14ac:dyDescent="0.35">
      <c r="B102" t="s">
        <v>172</v>
      </c>
      <c r="C102" s="7">
        <v>0</v>
      </c>
      <c r="D102" s="7">
        <v>0</v>
      </c>
      <c r="E102" s="39">
        <v>0</v>
      </c>
      <c r="F102" s="7">
        <v>0</v>
      </c>
      <c r="G102" s="7">
        <v>54859</v>
      </c>
      <c r="H102" s="7">
        <v>65339</v>
      </c>
      <c r="I102" s="39">
        <v>99554</v>
      </c>
      <c r="J102" s="7">
        <v>97031</v>
      </c>
      <c r="K102" s="7">
        <v>93547</v>
      </c>
      <c r="L102" s="7">
        <f t="shared" si="45"/>
        <v>101514</v>
      </c>
      <c r="M102" s="39">
        <v>95981</v>
      </c>
      <c r="N102" s="7">
        <v>120004</v>
      </c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>
        <v>49832</v>
      </c>
      <c r="AB102" s="7">
        <v>65339</v>
      </c>
      <c r="AC102" s="7">
        <v>101514</v>
      </c>
      <c r="AD102" s="7"/>
      <c r="AE102" s="7"/>
    </row>
    <row r="103" spans="2:34" x14ac:dyDescent="0.35">
      <c r="B103" t="s">
        <v>173</v>
      </c>
      <c r="C103" s="7">
        <v>0</v>
      </c>
      <c r="D103" s="7">
        <v>0</v>
      </c>
      <c r="E103" s="39">
        <v>0</v>
      </c>
      <c r="F103" s="7">
        <v>0</v>
      </c>
      <c r="G103" s="7">
        <v>9892</v>
      </c>
      <c r="H103" s="7">
        <v>57487</v>
      </c>
      <c r="I103" s="39">
        <v>87617</v>
      </c>
      <c r="J103" s="7">
        <v>84503</v>
      </c>
      <c r="K103" s="7">
        <v>82980</v>
      </c>
      <c r="L103" s="7">
        <f t="shared" si="45"/>
        <v>79692</v>
      </c>
      <c r="M103" s="39">
        <v>76495</v>
      </c>
      <c r="N103" s="7">
        <v>73309</v>
      </c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>
        <v>11349</v>
      </c>
      <c r="AB103" s="7">
        <v>57487</v>
      </c>
      <c r="AC103" s="7">
        <v>79692</v>
      </c>
      <c r="AD103" s="7"/>
      <c r="AE103" s="7"/>
    </row>
    <row r="104" spans="2:34" x14ac:dyDescent="0.35">
      <c r="B104" t="s">
        <v>174</v>
      </c>
      <c r="C104" s="7">
        <v>0</v>
      </c>
      <c r="D104" s="7">
        <v>0</v>
      </c>
      <c r="E104" s="39">
        <v>0</v>
      </c>
      <c r="F104" s="7">
        <v>0</v>
      </c>
      <c r="G104" s="7">
        <v>3195</v>
      </c>
      <c r="H104" s="7">
        <v>43308</v>
      </c>
      <c r="I104" s="39">
        <v>58767</v>
      </c>
      <c r="J104" s="7">
        <v>58281</v>
      </c>
      <c r="K104" s="7">
        <v>59929</v>
      </c>
      <c r="L104" s="7">
        <f t="shared" si="45"/>
        <v>71020</v>
      </c>
      <c r="M104" s="39">
        <v>71020</v>
      </c>
      <c r="N104" s="7">
        <v>71020</v>
      </c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>
        <v>3133</v>
      </c>
      <c r="AB104" s="7">
        <v>43308</v>
      </c>
      <c r="AC104" s="7">
        <v>71020</v>
      </c>
      <c r="AD104" s="7"/>
      <c r="AE104" s="7"/>
    </row>
    <row r="105" spans="2:34" x14ac:dyDescent="0.35">
      <c r="B105" t="s">
        <v>175</v>
      </c>
      <c r="C105" s="7">
        <v>0</v>
      </c>
      <c r="D105" s="7">
        <v>0</v>
      </c>
      <c r="E105" s="39">
        <v>0</v>
      </c>
      <c r="F105" s="7">
        <v>0</v>
      </c>
      <c r="G105" s="7">
        <v>25379</v>
      </c>
      <c r="H105" s="7">
        <v>28424</v>
      </c>
      <c r="I105" s="39">
        <v>33448</v>
      </c>
      <c r="J105" s="7">
        <v>31365</v>
      </c>
      <c r="K105" s="7">
        <v>32214</v>
      </c>
      <c r="L105" s="7">
        <f t="shared" si="45"/>
        <v>35239</v>
      </c>
      <c r="M105" s="39">
        <v>34839</v>
      </c>
      <c r="N105" s="7">
        <v>47586</v>
      </c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>
        <v>26902</v>
      </c>
      <c r="AB105" s="7">
        <v>28424</v>
      </c>
      <c r="AC105" s="7">
        <v>35239</v>
      </c>
      <c r="AD105" s="7"/>
      <c r="AE105" s="7"/>
    </row>
    <row r="106" spans="2:34" x14ac:dyDescent="0.35">
      <c r="B106" t="s">
        <v>176</v>
      </c>
      <c r="C106" s="7">
        <v>0</v>
      </c>
      <c r="D106" s="7">
        <v>0</v>
      </c>
      <c r="E106" s="39">
        <v>0</v>
      </c>
      <c r="F106" s="7">
        <v>0</v>
      </c>
      <c r="G106" s="7">
        <v>0</v>
      </c>
      <c r="H106" s="7"/>
      <c r="I106" s="39">
        <v>16073</v>
      </c>
      <c r="J106" s="7">
        <v>15921</v>
      </c>
      <c r="K106" s="7">
        <v>15768</v>
      </c>
      <c r="L106" s="7">
        <f t="shared" si="45"/>
        <v>15614</v>
      </c>
      <c r="M106" s="39">
        <v>15458</v>
      </c>
      <c r="N106" s="7">
        <v>15302</v>
      </c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>
        <v>15614</v>
      </c>
      <c r="AD106" s="7"/>
      <c r="AE106" s="7"/>
    </row>
    <row r="107" spans="2:34" x14ac:dyDescent="0.35">
      <c r="B107" t="s">
        <v>164</v>
      </c>
      <c r="C107" s="7">
        <v>0</v>
      </c>
      <c r="D107" s="7">
        <v>0</v>
      </c>
      <c r="E107" s="39">
        <v>0</v>
      </c>
      <c r="F107" s="7">
        <v>0</v>
      </c>
      <c r="G107" s="7">
        <v>0</v>
      </c>
      <c r="H107" s="7"/>
      <c r="I107" s="39">
        <v>0</v>
      </c>
      <c r="J107" s="7">
        <v>0</v>
      </c>
      <c r="K107" s="7">
        <v>9751</v>
      </c>
      <c r="L107" s="7">
        <f t="shared" si="45"/>
        <v>9193</v>
      </c>
      <c r="M107" s="39">
        <v>47920</v>
      </c>
      <c r="N107" s="7">
        <v>73941</v>
      </c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>
        <v>9193</v>
      </c>
      <c r="AD107" s="7"/>
      <c r="AE107" s="7"/>
    </row>
    <row r="108" spans="2:34" x14ac:dyDescent="0.35">
      <c r="B108" t="s">
        <v>177</v>
      </c>
      <c r="C108" s="7">
        <v>0</v>
      </c>
      <c r="D108" s="7">
        <v>0</v>
      </c>
      <c r="E108" s="39">
        <v>0</v>
      </c>
      <c r="F108" s="7">
        <v>0</v>
      </c>
      <c r="G108" s="7">
        <v>1129</v>
      </c>
      <c r="H108" s="7">
        <v>1116</v>
      </c>
      <c r="I108" s="39">
        <v>4632</v>
      </c>
      <c r="J108" s="7">
        <v>4118</v>
      </c>
      <c r="K108" s="7">
        <v>3008</v>
      </c>
      <c r="L108" s="7">
        <f t="shared" si="45"/>
        <v>3356</v>
      </c>
      <c r="M108" s="39">
        <v>3337</v>
      </c>
      <c r="N108" s="7">
        <v>3594</v>
      </c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>
        <v>1141</v>
      </c>
      <c r="AB108" s="7">
        <v>1116</v>
      </c>
      <c r="AC108" s="7">
        <v>3356</v>
      </c>
      <c r="AD108" s="7"/>
      <c r="AE108" s="7"/>
    </row>
    <row r="109" spans="2:34" x14ac:dyDescent="0.35">
      <c r="B109" t="s">
        <v>178</v>
      </c>
      <c r="C109" s="7">
        <v>0</v>
      </c>
      <c r="D109" s="7">
        <v>0</v>
      </c>
      <c r="E109" s="39">
        <v>0</v>
      </c>
      <c r="F109" s="7">
        <v>0</v>
      </c>
      <c r="G109" s="7">
        <v>5907</v>
      </c>
      <c r="H109" s="7">
        <v>5859</v>
      </c>
      <c r="I109" s="39">
        <v>7221</v>
      </c>
      <c r="J109" s="7">
        <v>4447</v>
      </c>
      <c r="K109" s="7">
        <v>3243</v>
      </c>
      <c r="L109" s="7">
        <f t="shared" si="45"/>
        <v>3898</v>
      </c>
      <c r="M109" s="39">
        <v>3500</v>
      </c>
      <c r="N109" s="7">
        <v>3641</v>
      </c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>
        <v>2398</v>
      </c>
      <c r="AB109" s="7">
        <v>5859</v>
      </c>
      <c r="AC109" s="7">
        <v>3898</v>
      </c>
      <c r="AD109" s="7"/>
      <c r="AE109" s="7"/>
    </row>
    <row r="110" spans="2:34" x14ac:dyDescent="0.35">
      <c r="B110" t="s">
        <v>179</v>
      </c>
      <c r="C110" s="7">
        <v>0</v>
      </c>
      <c r="D110" s="7">
        <v>0</v>
      </c>
      <c r="E110" s="39">
        <v>0</v>
      </c>
      <c r="F110" s="7">
        <v>320014519</v>
      </c>
      <c r="G110" s="7"/>
      <c r="H110" s="7"/>
      <c r="I110" s="39">
        <v>0</v>
      </c>
      <c r="J110" s="7">
        <v>0</v>
      </c>
      <c r="K110" s="7">
        <v>0</v>
      </c>
      <c r="L110" s="7">
        <f t="shared" si="45"/>
        <v>0</v>
      </c>
      <c r="M110" s="39">
        <v>0</v>
      </c>
      <c r="N110" s="7">
        <v>0</v>
      </c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>
        <v>0</v>
      </c>
      <c r="AD110" s="7"/>
      <c r="AE110" s="7"/>
    </row>
    <row r="111" spans="2:34" s="4" customFormat="1" x14ac:dyDescent="0.35">
      <c r="B111" s="4" t="s">
        <v>180</v>
      </c>
      <c r="C111" s="8">
        <v>0</v>
      </c>
      <c r="D111" s="8">
        <v>0</v>
      </c>
      <c r="E111" s="40">
        <v>0</v>
      </c>
      <c r="F111" s="8">
        <v>0</v>
      </c>
      <c r="G111" s="8">
        <v>0</v>
      </c>
      <c r="H111" s="8">
        <v>4550</v>
      </c>
      <c r="I111" s="40">
        <v>3990</v>
      </c>
      <c r="J111" s="8">
        <v>2670</v>
      </c>
      <c r="K111" s="8">
        <v>1472</v>
      </c>
      <c r="L111" s="8">
        <f t="shared" si="45"/>
        <v>7303</v>
      </c>
      <c r="M111" s="40">
        <v>7102</v>
      </c>
      <c r="N111" s="8">
        <v>12894</v>
      </c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>
        <v>0</v>
      </c>
      <c r="AB111" s="8">
        <v>4550</v>
      </c>
      <c r="AC111" s="8">
        <v>7303</v>
      </c>
      <c r="AD111" s="8"/>
      <c r="AE111" s="8"/>
    </row>
    <row r="112" spans="2:34" s="70" customFormat="1" x14ac:dyDescent="0.35">
      <c r="B112" s="67" t="s">
        <v>449</v>
      </c>
      <c r="C112" s="68"/>
      <c r="D112" s="68"/>
      <c r="E112" s="69"/>
      <c r="F112" s="68"/>
      <c r="G112" s="68">
        <f t="shared" ref="G112:H112" si="46">SUM(G101:G111)</f>
        <v>100361</v>
      </c>
      <c r="H112" s="68">
        <f t="shared" si="46"/>
        <v>206083</v>
      </c>
      <c r="I112" s="69">
        <f>SUM(I101:I111)</f>
        <v>311302</v>
      </c>
      <c r="J112" s="68">
        <f t="shared" ref="J112:N112" si="47">SUM(J101:J111)</f>
        <v>298336</v>
      </c>
      <c r="K112" s="68">
        <f t="shared" si="47"/>
        <v>301912</v>
      </c>
      <c r="L112" s="68">
        <f t="shared" si="47"/>
        <v>326829</v>
      </c>
      <c r="M112" s="69">
        <f>SUM(M101:M111)</f>
        <v>355652</v>
      </c>
      <c r="N112" s="68">
        <f t="shared" si="47"/>
        <v>421291</v>
      </c>
      <c r="O112" s="68">
        <f t="shared" ref="O112" si="48">SUM(O101:O111)</f>
        <v>0</v>
      </c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>
        <f>SUM(AA101:AA111)</f>
        <v>94755</v>
      </c>
      <c r="AB112" s="68">
        <f t="shared" ref="AB112:AH112" si="49">SUM(AB101:AB111)</f>
        <v>206083</v>
      </c>
      <c r="AC112" s="68">
        <f t="shared" si="49"/>
        <v>326829</v>
      </c>
      <c r="AD112" s="68">
        <f t="shared" si="49"/>
        <v>0</v>
      </c>
      <c r="AE112" s="68">
        <f t="shared" si="49"/>
        <v>0</v>
      </c>
      <c r="AF112" s="68">
        <f t="shared" si="49"/>
        <v>0</v>
      </c>
      <c r="AG112" s="68">
        <f t="shared" si="49"/>
        <v>0</v>
      </c>
      <c r="AH112" s="68">
        <f t="shared" si="49"/>
        <v>0</v>
      </c>
    </row>
    <row r="113" spans="2:34" s="14" customFormat="1" x14ac:dyDescent="0.35">
      <c r="B113" s="14" t="s">
        <v>373</v>
      </c>
      <c r="C113" s="26">
        <f t="shared" ref="C113:W113" si="50">SUM(C99:C111)</f>
        <v>1652520</v>
      </c>
      <c r="D113" s="26">
        <f t="shared" si="50"/>
        <v>1553877.3959999999</v>
      </c>
      <c r="E113" s="42">
        <f t="shared" si="50"/>
        <v>3977712.656</v>
      </c>
      <c r="F113" s="26">
        <f t="shared" si="50"/>
        <v>320343990</v>
      </c>
      <c r="G113" s="26">
        <f t="shared" ref="G113:H113" si="51">G112+G99</f>
        <v>955377</v>
      </c>
      <c r="H113" s="26">
        <f t="shared" si="51"/>
        <v>980847</v>
      </c>
      <c r="I113" s="42">
        <f>I112+I99</f>
        <v>1057484</v>
      </c>
      <c r="J113" s="26">
        <f t="shared" ref="J113:N113" si="52">J112+J99</f>
        <v>1004752</v>
      </c>
      <c r="K113" s="26">
        <f t="shared" si="52"/>
        <v>1001362</v>
      </c>
      <c r="L113" s="26">
        <f t="shared" si="52"/>
        <v>989123</v>
      </c>
      <c r="M113" s="42">
        <f>M112+M99</f>
        <v>990908</v>
      </c>
      <c r="N113" s="26">
        <f t="shared" si="52"/>
        <v>981496</v>
      </c>
      <c r="O113" s="26">
        <f t="shared" ref="O113" si="53">O112+O99</f>
        <v>0</v>
      </c>
      <c r="P113" s="26"/>
      <c r="Q113" s="26"/>
      <c r="R113" s="26"/>
      <c r="S113" s="26"/>
      <c r="T113" s="26">
        <f t="shared" si="50"/>
        <v>0</v>
      </c>
      <c r="U113" s="26">
        <f t="shared" si="50"/>
        <v>0</v>
      </c>
      <c r="V113" s="26">
        <f t="shared" si="50"/>
        <v>0</v>
      </c>
      <c r="W113" s="26">
        <f t="shared" si="50"/>
        <v>0</v>
      </c>
      <c r="X113" s="26"/>
      <c r="Y113" s="26"/>
      <c r="Z113" s="26"/>
      <c r="AA113" s="26">
        <f>AA112+AA99</f>
        <v>187869</v>
      </c>
      <c r="AB113" s="26">
        <f t="shared" ref="AB113:AH113" si="54">AB112+AB99</f>
        <v>980847</v>
      </c>
      <c r="AC113" s="26">
        <f t="shared" si="54"/>
        <v>989123</v>
      </c>
      <c r="AD113" s="26">
        <f t="shared" si="54"/>
        <v>0</v>
      </c>
      <c r="AE113" s="26">
        <f t="shared" si="54"/>
        <v>0</v>
      </c>
      <c r="AF113" s="26">
        <f t="shared" si="54"/>
        <v>0</v>
      </c>
      <c r="AG113" s="26">
        <f t="shared" si="54"/>
        <v>0</v>
      </c>
      <c r="AH113" s="26">
        <f t="shared" si="54"/>
        <v>0</v>
      </c>
    </row>
    <row r="114" spans="2:34" s="28" customFormat="1" x14ac:dyDescent="0.35">
      <c r="B114" s="30" t="s">
        <v>162</v>
      </c>
      <c r="C114" s="29"/>
      <c r="D114" s="29"/>
      <c r="E114" s="52"/>
      <c r="F114" s="29"/>
      <c r="G114" s="29"/>
      <c r="H114" s="29"/>
      <c r="I114" s="52"/>
      <c r="J114" s="29"/>
      <c r="K114" s="29"/>
      <c r="L114" s="29"/>
      <c r="M114" s="52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</row>
    <row r="115" spans="2:34" x14ac:dyDescent="0.35">
      <c r="B115" t="s">
        <v>181</v>
      </c>
      <c r="C115" s="7">
        <v>0</v>
      </c>
      <c r="D115" s="7">
        <v>0</v>
      </c>
      <c r="E115" s="39">
        <v>0</v>
      </c>
      <c r="F115" s="7">
        <v>0</v>
      </c>
      <c r="G115" s="7">
        <v>2205</v>
      </c>
      <c r="H115" s="7">
        <v>3489</v>
      </c>
      <c r="I115" s="39">
        <v>15106</v>
      </c>
      <c r="J115" s="7">
        <v>14156</v>
      </c>
      <c r="K115" s="7">
        <v>13266</v>
      </c>
      <c r="L115" s="7">
        <f t="shared" ref="L115:L120" si="55">AC115</f>
        <v>12084</v>
      </c>
      <c r="M115" s="39">
        <v>22852</v>
      </c>
      <c r="N115" s="7">
        <v>25867</v>
      </c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>
        <v>3368</v>
      </c>
      <c r="AB115" s="7">
        <v>3489</v>
      </c>
      <c r="AC115" s="7">
        <v>12084</v>
      </c>
      <c r="AD115" s="7"/>
      <c r="AE115" s="7"/>
    </row>
    <row r="116" spans="2:34" x14ac:dyDescent="0.35">
      <c r="B116" t="s">
        <v>182</v>
      </c>
      <c r="C116" s="7">
        <v>600</v>
      </c>
      <c r="D116" s="7">
        <v>217395</v>
      </c>
      <c r="E116" s="39">
        <v>1692954</v>
      </c>
      <c r="F116" s="7">
        <v>2390.0120000000002</v>
      </c>
      <c r="G116" s="7">
        <v>7219</v>
      </c>
      <c r="H116" s="7">
        <v>10977</v>
      </c>
      <c r="I116" s="39">
        <v>17051</v>
      </c>
      <c r="J116" s="7">
        <v>11468</v>
      </c>
      <c r="K116" s="7">
        <v>9586</v>
      </c>
      <c r="L116" s="7">
        <f t="shared" si="55"/>
        <v>8723</v>
      </c>
      <c r="M116" s="39">
        <v>8678</v>
      </c>
      <c r="N116" s="7">
        <v>6492</v>
      </c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>
        <v>6571</v>
      </c>
      <c r="AB116" s="7">
        <v>10977</v>
      </c>
      <c r="AC116" s="7">
        <v>8723</v>
      </c>
      <c r="AD116" s="7"/>
      <c r="AE116" s="7"/>
    </row>
    <row r="117" spans="2:34" x14ac:dyDescent="0.35">
      <c r="B117" t="s">
        <v>183</v>
      </c>
      <c r="C117" s="7">
        <v>0</v>
      </c>
      <c r="D117" s="7">
        <v>0</v>
      </c>
      <c r="E117" s="39">
        <v>0</v>
      </c>
      <c r="F117" s="7">
        <v>0</v>
      </c>
      <c r="G117" s="7">
        <v>5652</v>
      </c>
      <c r="H117" s="7">
        <v>8266</v>
      </c>
      <c r="I117" s="39">
        <v>22958</v>
      </c>
      <c r="J117" s="7">
        <v>13632</v>
      </c>
      <c r="K117" s="7">
        <v>8560</v>
      </c>
      <c r="L117" s="7">
        <f t="shared" si="55"/>
        <v>8634</v>
      </c>
      <c r="M117" s="39">
        <v>12333</v>
      </c>
      <c r="N117" s="7">
        <v>14138</v>
      </c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>
        <v>4582</v>
      </c>
      <c r="AB117" s="7">
        <v>8266</v>
      </c>
      <c r="AC117" s="7">
        <v>8634</v>
      </c>
      <c r="AD117" s="7"/>
      <c r="AE117" s="7"/>
    </row>
    <row r="118" spans="2:34" x14ac:dyDescent="0.35">
      <c r="B118" t="s">
        <v>184</v>
      </c>
      <c r="C118" s="7">
        <v>0</v>
      </c>
      <c r="D118" s="7">
        <v>0</v>
      </c>
      <c r="E118" s="39">
        <v>0</v>
      </c>
      <c r="F118" s="7">
        <v>0</v>
      </c>
      <c r="G118" s="7">
        <v>51163</v>
      </c>
      <c r="H118" s="7">
        <v>59749</v>
      </c>
      <c r="I118" s="39">
        <v>97116</v>
      </c>
      <c r="J118" s="7">
        <v>90659</v>
      </c>
      <c r="K118" s="7">
        <v>112649</v>
      </c>
      <c r="L118" s="7">
        <f t="shared" si="55"/>
        <v>108344</v>
      </c>
      <c r="M118" s="39">
        <v>125635</v>
      </c>
      <c r="N118" s="7">
        <v>134574</v>
      </c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>
        <v>26132</v>
      </c>
      <c r="AB118" s="7">
        <v>59749</v>
      </c>
      <c r="AC118" s="7">
        <v>108344</v>
      </c>
      <c r="AD118" s="7"/>
      <c r="AE118" s="7"/>
    </row>
    <row r="119" spans="2:34" x14ac:dyDescent="0.35">
      <c r="B119" t="s">
        <v>185</v>
      </c>
      <c r="C119" s="7">
        <v>0</v>
      </c>
      <c r="D119" s="7">
        <v>0</v>
      </c>
      <c r="E119" s="39">
        <v>0</v>
      </c>
      <c r="F119" s="7">
        <v>0</v>
      </c>
      <c r="G119" s="7">
        <v>2807</v>
      </c>
      <c r="H119" s="7">
        <v>2827</v>
      </c>
      <c r="I119" s="39">
        <v>2846</v>
      </c>
      <c r="J119" s="7">
        <v>2866</v>
      </c>
      <c r="K119" s="7">
        <v>2886</v>
      </c>
      <c r="L119" s="7">
        <f t="shared" si="55"/>
        <v>2906</v>
      </c>
      <c r="M119" s="39">
        <v>2934</v>
      </c>
      <c r="N119" s="7">
        <v>104381</v>
      </c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>
        <v>0</v>
      </c>
      <c r="AB119" s="7">
        <v>2827</v>
      </c>
      <c r="AC119" s="7">
        <v>2906</v>
      </c>
      <c r="AD119" s="7"/>
      <c r="AE119" s="7"/>
    </row>
    <row r="120" spans="2:34" s="4" customFormat="1" x14ac:dyDescent="0.35">
      <c r="B120" s="4" t="s">
        <v>186</v>
      </c>
      <c r="C120" s="8">
        <v>0</v>
      </c>
      <c r="D120" s="8">
        <v>0</v>
      </c>
      <c r="E120" s="40">
        <v>0</v>
      </c>
      <c r="F120" s="8">
        <v>0</v>
      </c>
      <c r="G120" s="8">
        <v>7698</v>
      </c>
      <c r="H120" s="8">
        <v>10999</v>
      </c>
      <c r="I120" s="40">
        <v>18307</v>
      </c>
      <c r="J120" s="8">
        <v>11320</v>
      </c>
      <c r="K120" s="8">
        <v>14393</v>
      </c>
      <c r="L120" s="8">
        <f t="shared" si="55"/>
        <v>22249</v>
      </c>
      <c r="M120" s="40">
        <v>24863</v>
      </c>
      <c r="N120" s="8">
        <v>20489</v>
      </c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>
        <v>7766</v>
      </c>
      <c r="AB120" s="8">
        <v>10999</v>
      </c>
      <c r="AC120" s="8">
        <v>22249</v>
      </c>
      <c r="AD120" s="8"/>
      <c r="AE120" s="8"/>
    </row>
    <row r="121" spans="2:34" s="14" customFormat="1" x14ac:dyDescent="0.35">
      <c r="B121" s="14" t="s">
        <v>187</v>
      </c>
      <c r="C121" s="26">
        <f t="shared" ref="C121:N121" si="56">SUM(C115:C120)</f>
        <v>600</v>
      </c>
      <c r="D121" s="26">
        <f t="shared" si="56"/>
        <v>217395</v>
      </c>
      <c r="E121" s="42">
        <f t="shared" si="56"/>
        <v>1692954</v>
      </c>
      <c r="F121" s="26">
        <f t="shared" si="56"/>
        <v>2390.0120000000002</v>
      </c>
      <c r="G121" s="26">
        <f t="shared" si="56"/>
        <v>76744</v>
      </c>
      <c r="H121" s="26">
        <f t="shared" si="56"/>
        <v>96307</v>
      </c>
      <c r="I121" s="42">
        <f t="shared" si="56"/>
        <v>173384</v>
      </c>
      <c r="J121" s="26">
        <f t="shared" si="56"/>
        <v>144101</v>
      </c>
      <c r="K121" s="26">
        <f t="shared" si="56"/>
        <v>161340</v>
      </c>
      <c r="L121" s="26">
        <f t="shared" si="56"/>
        <v>162940</v>
      </c>
      <c r="M121" s="72">
        <f t="shared" si="56"/>
        <v>197295</v>
      </c>
      <c r="N121" s="26">
        <f t="shared" si="56"/>
        <v>305941</v>
      </c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>
        <f>SUM(AA115:AA120)</f>
        <v>48419</v>
      </c>
      <c r="AB121" s="26">
        <f>SUM(AB115:AB120)</f>
        <v>96307</v>
      </c>
      <c r="AC121" s="26">
        <f>SUM(AC115:AC120)</f>
        <v>162940</v>
      </c>
      <c r="AD121" s="26">
        <f t="shared" ref="AD121:AH121" si="57">SUM(AD115:AD120)</f>
        <v>0</v>
      </c>
      <c r="AE121" s="26">
        <f t="shared" si="57"/>
        <v>0</v>
      </c>
      <c r="AF121" s="26">
        <f t="shared" si="57"/>
        <v>0</v>
      </c>
      <c r="AG121" s="26">
        <f t="shared" si="57"/>
        <v>0</v>
      </c>
      <c r="AH121" s="26">
        <f t="shared" si="57"/>
        <v>0</v>
      </c>
    </row>
    <row r="122" spans="2:34" s="30" customFormat="1" x14ac:dyDescent="0.35">
      <c r="B122" s="30" t="s">
        <v>170</v>
      </c>
      <c r="C122" s="31"/>
      <c r="D122" s="31"/>
      <c r="E122" s="50"/>
      <c r="F122" s="31"/>
      <c r="G122" s="31"/>
      <c r="H122" s="31"/>
      <c r="I122" s="50"/>
      <c r="J122" s="31"/>
      <c r="K122" s="31"/>
      <c r="L122" s="31"/>
      <c r="M122" s="50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</row>
    <row r="123" spans="2:34" x14ac:dyDescent="0.35">
      <c r="B123" t="s">
        <v>188</v>
      </c>
      <c r="C123" s="7">
        <v>0</v>
      </c>
      <c r="D123" s="7">
        <v>24562667</v>
      </c>
      <c r="E123" s="39">
        <v>46197334</v>
      </c>
      <c r="F123" s="7">
        <v>46116001</v>
      </c>
      <c r="G123" s="7">
        <v>0</v>
      </c>
      <c r="H123" s="7">
        <v>0</v>
      </c>
      <c r="I123" s="39">
        <v>0</v>
      </c>
      <c r="J123" s="7">
        <v>0</v>
      </c>
      <c r="K123" s="7">
        <v>0</v>
      </c>
      <c r="L123" s="7">
        <v>0</v>
      </c>
      <c r="M123" s="39">
        <v>0</v>
      </c>
      <c r="N123" s="7">
        <v>0</v>
      </c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>
        <v>0</v>
      </c>
      <c r="AD123" s="7"/>
      <c r="AE123" s="7"/>
    </row>
    <row r="124" spans="2:34" x14ac:dyDescent="0.35">
      <c r="B124" t="s">
        <v>189</v>
      </c>
      <c r="C124" s="7">
        <v>0</v>
      </c>
      <c r="D124" s="7">
        <v>0</v>
      </c>
      <c r="E124" s="39">
        <v>0</v>
      </c>
      <c r="F124" s="7">
        <v>0</v>
      </c>
      <c r="G124" s="7">
        <v>96616</v>
      </c>
      <c r="H124" s="7">
        <v>97297</v>
      </c>
      <c r="I124" s="39">
        <v>97967</v>
      </c>
      <c r="J124" s="7">
        <v>98649</v>
      </c>
      <c r="K124" s="7">
        <v>99344</v>
      </c>
      <c r="L124" s="7">
        <f>AC124</f>
        <v>100043</v>
      </c>
      <c r="M124" s="39">
        <v>100724</v>
      </c>
      <c r="N124" s="7">
        <v>0</v>
      </c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>
        <v>0</v>
      </c>
      <c r="AB124" s="7">
        <v>97297</v>
      </c>
      <c r="AC124" s="7">
        <v>100043</v>
      </c>
      <c r="AD124" s="7"/>
      <c r="AE124" s="7"/>
    </row>
    <row r="125" spans="2:34" x14ac:dyDescent="0.35">
      <c r="B125" t="s">
        <v>190</v>
      </c>
      <c r="C125" s="7">
        <v>0</v>
      </c>
      <c r="D125" s="7">
        <v>0</v>
      </c>
      <c r="E125" s="39">
        <v>0</v>
      </c>
      <c r="F125" s="7">
        <v>0</v>
      </c>
      <c r="G125" s="7">
        <v>25915</v>
      </c>
      <c r="H125" s="7">
        <v>28302</v>
      </c>
      <c r="I125" s="39">
        <v>32303</v>
      </c>
      <c r="J125" s="7">
        <v>30370</v>
      </c>
      <c r="K125" s="7">
        <v>31588</v>
      </c>
      <c r="L125" s="7">
        <f>AC125</f>
        <v>34266</v>
      </c>
      <c r="M125" s="39">
        <v>33870</v>
      </c>
      <c r="N125" s="7">
        <v>43169</v>
      </c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>
        <v>27299</v>
      </c>
      <c r="AB125" s="7">
        <v>28302</v>
      </c>
      <c r="AC125" s="7">
        <v>34266</v>
      </c>
      <c r="AD125" s="7"/>
      <c r="AE125" s="7"/>
    </row>
    <row r="126" spans="2:34" x14ac:dyDescent="0.35">
      <c r="B126" t="s">
        <v>191</v>
      </c>
      <c r="C126" s="7">
        <v>0</v>
      </c>
      <c r="D126" s="7">
        <v>0</v>
      </c>
      <c r="E126" s="39">
        <v>0</v>
      </c>
      <c r="F126" s="7">
        <v>0</v>
      </c>
      <c r="G126" s="7">
        <v>0</v>
      </c>
      <c r="H126" s="7"/>
      <c r="I126" s="39">
        <v>15825</v>
      </c>
      <c r="J126" s="7">
        <v>15744</v>
      </c>
      <c r="K126" s="7">
        <v>15656</v>
      </c>
      <c r="L126" s="7">
        <f>AC126</f>
        <v>15568</v>
      </c>
      <c r="M126" s="39">
        <v>15478</v>
      </c>
      <c r="N126" s="7">
        <v>15385</v>
      </c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>
        <v>15568</v>
      </c>
      <c r="AD126" s="7"/>
      <c r="AE126" s="7"/>
    </row>
    <row r="127" spans="2:34" x14ac:dyDescent="0.35">
      <c r="B127" t="s">
        <v>192</v>
      </c>
      <c r="C127" s="7">
        <v>0</v>
      </c>
      <c r="D127" s="7">
        <v>0</v>
      </c>
      <c r="E127" s="39">
        <v>0</v>
      </c>
      <c r="F127" s="7">
        <v>0</v>
      </c>
      <c r="G127" s="7">
        <v>0</v>
      </c>
      <c r="H127" s="7">
        <v>466</v>
      </c>
      <c r="I127" s="39">
        <v>509</v>
      </c>
      <c r="J127" s="7">
        <v>17</v>
      </c>
      <c r="K127" s="7">
        <v>22</v>
      </c>
      <c r="L127" s="7">
        <f>AC127</f>
        <v>95</v>
      </c>
      <c r="M127" s="39">
        <v>170</v>
      </c>
      <c r="N127" s="7">
        <v>237</v>
      </c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>
        <v>0</v>
      </c>
      <c r="AB127" s="7">
        <v>466</v>
      </c>
      <c r="AC127" s="7">
        <v>95</v>
      </c>
      <c r="AD127" s="7"/>
      <c r="AE127" s="7"/>
    </row>
    <row r="128" spans="2:34" x14ac:dyDescent="0.35">
      <c r="B128" t="s">
        <v>193</v>
      </c>
      <c r="C128" s="7">
        <v>10500000</v>
      </c>
      <c r="D128" s="7">
        <v>11200000</v>
      </c>
      <c r="E128" s="39">
        <v>11200000</v>
      </c>
      <c r="F128" s="7">
        <v>11200000</v>
      </c>
      <c r="G128" s="7">
        <v>0</v>
      </c>
      <c r="H128" s="7">
        <v>0</v>
      </c>
      <c r="I128" s="39">
        <v>0</v>
      </c>
      <c r="J128" s="7">
        <v>0</v>
      </c>
      <c r="K128" s="7">
        <v>0</v>
      </c>
      <c r="L128" s="7">
        <v>0</v>
      </c>
      <c r="M128" s="39">
        <v>0</v>
      </c>
      <c r="N128" s="7">
        <v>0</v>
      </c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>
        <v>0</v>
      </c>
      <c r="AD128" s="7"/>
      <c r="AE128" s="7"/>
    </row>
    <row r="129" spans="2:34" x14ac:dyDescent="0.35">
      <c r="B129" t="s">
        <v>194</v>
      </c>
      <c r="C129" s="7">
        <v>0</v>
      </c>
      <c r="D129" s="7">
        <v>0</v>
      </c>
      <c r="E129" s="39">
        <v>0</v>
      </c>
      <c r="F129" s="7">
        <v>0</v>
      </c>
      <c r="G129" s="7">
        <v>81984</v>
      </c>
      <c r="H129" s="7">
        <v>58227</v>
      </c>
      <c r="I129" s="39">
        <v>0</v>
      </c>
      <c r="J129" s="7">
        <v>0</v>
      </c>
      <c r="K129" s="7">
        <v>0</v>
      </c>
      <c r="L129" s="7">
        <f>AC129</f>
        <v>0</v>
      </c>
      <c r="M129" s="39">
        <v>0</v>
      </c>
      <c r="N129" s="7">
        <v>0</v>
      </c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>
        <v>0</v>
      </c>
      <c r="AB129" s="7">
        <v>58227</v>
      </c>
      <c r="AC129" s="7">
        <v>0</v>
      </c>
      <c r="AD129" s="7"/>
      <c r="AE129" s="7"/>
    </row>
    <row r="130" spans="2:34" s="4" customFormat="1" x14ac:dyDescent="0.35">
      <c r="B130" s="4" t="s">
        <v>195</v>
      </c>
      <c r="C130" s="8">
        <v>0</v>
      </c>
      <c r="D130" s="8">
        <v>0</v>
      </c>
      <c r="E130" s="40">
        <v>0</v>
      </c>
      <c r="F130" s="8">
        <v>0</v>
      </c>
      <c r="G130" s="8">
        <v>0</v>
      </c>
      <c r="H130" s="8">
        <v>1800</v>
      </c>
      <c r="I130" s="40">
        <v>4901</v>
      </c>
      <c r="J130" s="8">
        <v>2417</v>
      </c>
      <c r="K130" s="8">
        <v>2576</v>
      </c>
      <c r="L130" s="7">
        <f>AC130</f>
        <v>3005</v>
      </c>
      <c r="M130" s="40">
        <v>3353</v>
      </c>
      <c r="N130" s="8">
        <v>5716</v>
      </c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>
        <v>3899</v>
      </c>
      <c r="AB130" s="8">
        <v>1800</v>
      </c>
      <c r="AC130" s="8">
        <v>3005</v>
      </c>
      <c r="AD130" s="8"/>
      <c r="AE130" s="8"/>
    </row>
    <row r="131" spans="2:34" s="34" customFormat="1" x14ac:dyDescent="0.35">
      <c r="B131" s="34" t="s">
        <v>196</v>
      </c>
      <c r="C131" s="35">
        <f t="shared" ref="C131:N131" si="58">SUM(C123:C130)</f>
        <v>10500000</v>
      </c>
      <c r="D131" s="35">
        <f t="shared" si="58"/>
        <v>35762667</v>
      </c>
      <c r="E131" s="48">
        <f t="shared" si="58"/>
        <v>57397334</v>
      </c>
      <c r="F131" s="35">
        <f t="shared" si="58"/>
        <v>57316001</v>
      </c>
      <c r="G131" s="35">
        <f t="shared" si="58"/>
        <v>204515</v>
      </c>
      <c r="H131" s="35">
        <f t="shared" si="58"/>
        <v>186092</v>
      </c>
      <c r="I131" s="48">
        <f t="shared" si="58"/>
        <v>151505</v>
      </c>
      <c r="J131" s="35">
        <f t="shared" si="58"/>
        <v>147197</v>
      </c>
      <c r="K131" s="35">
        <f t="shared" si="58"/>
        <v>149186</v>
      </c>
      <c r="L131" s="35">
        <f t="shared" si="58"/>
        <v>152977</v>
      </c>
      <c r="M131" s="48">
        <f t="shared" si="58"/>
        <v>153595</v>
      </c>
      <c r="N131" s="35">
        <f t="shared" si="58"/>
        <v>64507</v>
      </c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>
        <f>SUM(AA123:AA130)</f>
        <v>31198</v>
      </c>
      <c r="AB131" s="35">
        <f>SUM(AB123:AB130)</f>
        <v>186092</v>
      </c>
      <c r="AC131" s="35">
        <f>SUM(AC123:AC130)</f>
        <v>152977</v>
      </c>
      <c r="AD131" s="35">
        <f t="shared" ref="AD131:AH131" si="59">SUM(AD123:AD130)</f>
        <v>0</v>
      </c>
      <c r="AE131" s="35">
        <f t="shared" si="59"/>
        <v>0</v>
      </c>
      <c r="AF131" s="35">
        <f t="shared" si="59"/>
        <v>0</v>
      </c>
      <c r="AG131" s="35">
        <f t="shared" si="59"/>
        <v>0</v>
      </c>
      <c r="AH131" s="35">
        <f t="shared" si="59"/>
        <v>0</v>
      </c>
    </row>
    <row r="132" spans="2:34" s="14" customFormat="1" x14ac:dyDescent="0.35">
      <c r="B132" s="14" t="s">
        <v>197</v>
      </c>
      <c r="C132" s="26">
        <f t="shared" ref="C132:N132" si="60">C131+C121</f>
        <v>10500600</v>
      </c>
      <c r="D132" s="26">
        <f t="shared" si="60"/>
        <v>35980062</v>
      </c>
      <c r="E132" s="42">
        <f t="shared" si="60"/>
        <v>59090288</v>
      </c>
      <c r="F132" s="26">
        <f t="shared" si="60"/>
        <v>57318391.012000002</v>
      </c>
      <c r="G132" s="26">
        <f t="shared" si="60"/>
        <v>281259</v>
      </c>
      <c r="H132" s="26">
        <f t="shared" si="60"/>
        <v>282399</v>
      </c>
      <c r="I132" s="42">
        <f t="shared" si="60"/>
        <v>324889</v>
      </c>
      <c r="J132" s="26">
        <f t="shared" si="60"/>
        <v>291298</v>
      </c>
      <c r="K132" s="26">
        <f t="shared" si="60"/>
        <v>310526</v>
      </c>
      <c r="L132" s="26">
        <f t="shared" si="60"/>
        <v>315917</v>
      </c>
      <c r="M132" s="42">
        <f t="shared" si="60"/>
        <v>350890</v>
      </c>
      <c r="N132" s="26">
        <f t="shared" si="60"/>
        <v>370448</v>
      </c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>
        <f>AA131+AA121</f>
        <v>79617</v>
      </c>
      <c r="AB132" s="26">
        <f>AB131+AB121</f>
        <v>282399</v>
      </c>
      <c r="AC132" s="26">
        <f>AC131+AC121</f>
        <v>315917</v>
      </c>
      <c r="AD132" s="26">
        <f t="shared" ref="AD132:AH132" si="61">AD131+AD121</f>
        <v>0</v>
      </c>
      <c r="AE132" s="26">
        <f t="shared" si="61"/>
        <v>0</v>
      </c>
      <c r="AF132" s="26">
        <f t="shared" si="61"/>
        <v>0</v>
      </c>
      <c r="AG132" s="26">
        <f t="shared" si="61"/>
        <v>0</v>
      </c>
      <c r="AH132" s="26">
        <f t="shared" si="61"/>
        <v>0</v>
      </c>
    </row>
    <row r="133" spans="2:34" s="30" customFormat="1" x14ac:dyDescent="0.35">
      <c r="B133" s="30" t="s">
        <v>198</v>
      </c>
      <c r="C133" s="31"/>
      <c r="D133" s="31"/>
      <c r="E133" s="50"/>
      <c r="F133" s="31"/>
      <c r="G133" s="31"/>
      <c r="H133" s="31"/>
      <c r="I133" s="50"/>
      <c r="J133" s="31"/>
      <c r="K133" s="31"/>
      <c r="L133" s="31"/>
      <c r="M133" s="50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</row>
    <row r="134" spans="2:34" x14ac:dyDescent="0.35">
      <c r="B134" t="s">
        <v>199</v>
      </c>
      <c r="C134" s="7">
        <v>285851910</v>
      </c>
      <c r="D134" s="7">
        <v>280257330</v>
      </c>
      <c r="E134" s="39">
        <v>0</v>
      </c>
      <c r="F134" s="7">
        <v>0</v>
      </c>
      <c r="G134" s="7">
        <v>0</v>
      </c>
      <c r="H134" s="7">
        <v>0</v>
      </c>
      <c r="I134" s="39">
        <v>0</v>
      </c>
      <c r="J134" s="7">
        <v>0</v>
      </c>
      <c r="K134" s="7">
        <v>0</v>
      </c>
      <c r="L134" s="7">
        <f t="shared" ref="L134:L143" si="62">AC134</f>
        <v>0</v>
      </c>
      <c r="M134" s="39">
        <v>0</v>
      </c>
      <c r="N134" s="7">
        <v>0</v>
      </c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>
        <v>0</v>
      </c>
      <c r="AB134" s="7">
        <v>0</v>
      </c>
      <c r="AC134" s="7">
        <v>0</v>
      </c>
      <c r="AD134" s="7"/>
      <c r="AE134" s="7"/>
    </row>
    <row r="135" spans="2:34" x14ac:dyDescent="0.35">
      <c r="B135" t="s">
        <v>200</v>
      </c>
      <c r="C135" s="7">
        <v>141</v>
      </c>
      <c r="D135" s="7">
        <v>397</v>
      </c>
      <c r="E135" s="39"/>
      <c r="F135" s="7">
        <v>320000</v>
      </c>
      <c r="G135" s="7" t="s">
        <v>201</v>
      </c>
      <c r="H135" s="7" t="s">
        <v>201</v>
      </c>
      <c r="I135" s="39" t="s">
        <v>201</v>
      </c>
      <c r="J135" s="7" t="s">
        <v>201</v>
      </c>
      <c r="K135" s="7" t="s">
        <v>201</v>
      </c>
      <c r="L135" s="7">
        <f t="shared" si="62"/>
        <v>0</v>
      </c>
      <c r="M135" s="39">
        <v>0</v>
      </c>
      <c r="N135" s="7">
        <v>0</v>
      </c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>
        <v>5500</v>
      </c>
      <c r="AB135" s="7">
        <v>0</v>
      </c>
      <c r="AC135" s="7">
        <v>0</v>
      </c>
      <c r="AD135" s="7"/>
      <c r="AE135" s="7"/>
    </row>
    <row r="136" spans="2:34" x14ac:dyDescent="0.35">
      <c r="B136" t="s">
        <v>202</v>
      </c>
      <c r="C136" s="7">
        <v>863</v>
      </c>
      <c r="D136" s="7">
        <v>800</v>
      </c>
      <c r="E136" s="39"/>
      <c r="F136" s="7">
        <v>800</v>
      </c>
      <c r="G136" s="7" t="s">
        <v>201</v>
      </c>
      <c r="H136" s="7" t="s">
        <v>201</v>
      </c>
      <c r="I136" s="39" t="s">
        <v>201</v>
      </c>
      <c r="J136" s="7" t="s">
        <v>201</v>
      </c>
      <c r="K136" s="7" t="s">
        <v>201</v>
      </c>
      <c r="L136" s="7">
        <f t="shared" si="62"/>
        <v>0</v>
      </c>
      <c r="M136" s="39">
        <v>0</v>
      </c>
      <c r="N136" s="7">
        <v>0</v>
      </c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>
        <v>21503</v>
      </c>
      <c r="AB136" s="7">
        <v>0</v>
      </c>
      <c r="AC136" s="7">
        <v>0</v>
      </c>
      <c r="AD136" s="7"/>
      <c r="AE136" s="7"/>
    </row>
    <row r="137" spans="2:34" x14ac:dyDescent="0.35">
      <c r="B137" t="s">
        <v>203</v>
      </c>
      <c r="C137" s="7">
        <v>0</v>
      </c>
      <c r="D137" s="7">
        <v>0</v>
      </c>
      <c r="E137" s="39"/>
      <c r="F137" s="7" t="s">
        <v>201</v>
      </c>
      <c r="G137" s="7" t="s">
        <v>201</v>
      </c>
      <c r="H137" s="7" t="s">
        <v>201</v>
      </c>
      <c r="I137" s="39" t="s">
        <v>201</v>
      </c>
      <c r="J137" s="7" t="s">
        <v>201</v>
      </c>
      <c r="K137" s="7" t="s">
        <v>201</v>
      </c>
      <c r="L137" s="7">
        <f t="shared" si="62"/>
        <v>0</v>
      </c>
      <c r="M137" s="39">
        <v>0</v>
      </c>
      <c r="N137" s="7">
        <v>0</v>
      </c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>
        <v>16471</v>
      </c>
      <c r="AB137" s="7">
        <v>0</v>
      </c>
      <c r="AC137" s="7">
        <v>0</v>
      </c>
      <c r="AD137" s="7"/>
      <c r="AE137" s="7"/>
    </row>
    <row r="138" spans="2:34" x14ac:dyDescent="0.35">
      <c r="B138" t="s">
        <v>204</v>
      </c>
      <c r="C138" s="7">
        <v>0</v>
      </c>
      <c r="D138" s="7">
        <v>0</v>
      </c>
      <c r="E138" s="39"/>
      <c r="F138" s="7" t="s">
        <v>201</v>
      </c>
      <c r="G138" s="7" t="s">
        <v>201</v>
      </c>
      <c r="H138" s="7" t="s">
        <v>201</v>
      </c>
      <c r="I138" s="39" t="s">
        <v>201</v>
      </c>
      <c r="J138" s="7" t="s">
        <v>201</v>
      </c>
      <c r="K138" s="7" t="s">
        <v>201</v>
      </c>
      <c r="L138" s="7">
        <f t="shared" si="62"/>
        <v>0</v>
      </c>
      <c r="M138" s="39">
        <v>0</v>
      </c>
      <c r="N138" s="7">
        <v>0</v>
      </c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>
        <v>73364</v>
      </c>
      <c r="AB138" s="7">
        <v>0</v>
      </c>
      <c r="AC138" s="7">
        <v>0</v>
      </c>
      <c r="AD138" s="7"/>
      <c r="AE138" s="7"/>
    </row>
    <row r="139" spans="2:34" x14ac:dyDescent="0.35">
      <c r="B139" t="s">
        <v>205</v>
      </c>
      <c r="C139" s="7">
        <v>0</v>
      </c>
      <c r="D139" s="7">
        <v>0</v>
      </c>
      <c r="E139" s="39"/>
      <c r="F139" s="7">
        <v>0</v>
      </c>
      <c r="G139" s="7" t="s">
        <v>201</v>
      </c>
      <c r="H139" s="7" t="s">
        <v>201</v>
      </c>
      <c r="I139" s="39" t="s">
        <v>201</v>
      </c>
      <c r="J139" s="7" t="s">
        <v>201</v>
      </c>
      <c r="K139" s="7" t="s">
        <v>201</v>
      </c>
      <c r="L139" s="7">
        <f t="shared" si="62"/>
        <v>0</v>
      </c>
      <c r="M139" s="39">
        <v>0</v>
      </c>
      <c r="N139" s="7">
        <v>0</v>
      </c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>
        <f>137622+20500</f>
        <v>158122</v>
      </c>
      <c r="AB139" s="7">
        <v>0</v>
      </c>
      <c r="AC139" s="7">
        <v>0</v>
      </c>
      <c r="AD139" s="7"/>
      <c r="AE139" s="7"/>
    </row>
    <row r="140" spans="2:34" x14ac:dyDescent="0.35">
      <c r="B140" t="s">
        <v>206</v>
      </c>
      <c r="C140" s="7">
        <v>0</v>
      </c>
      <c r="D140" s="7">
        <v>0</v>
      </c>
      <c r="E140" s="39"/>
      <c r="F140" s="7">
        <v>0</v>
      </c>
      <c r="G140" s="7">
        <v>45</v>
      </c>
      <c r="H140" s="7">
        <v>45</v>
      </c>
      <c r="I140" s="39">
        <v>46</v>
      </c>
      <c r="J140" s="7">
        <v>47</v>
      </c>
      <c r="K140" s="7">
        <v>45</v>
      </c>
      <c r="L140" s="7">
        <f t="shared" si="62"/>
        <v>48</v>
      </c>
      <c r="M140" s="39">
        <v>48</v>
      </c>
      <c r="N140" s="7">
        <v>48</v>
      </c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>
        <v>8</v>
      </c>
      <c r="AB140" s="7">
        <v>45</v>
      </c>
      <c r="AC140" s="7">
        <v>48</v>
      </c>
      <c r="AD140" s="7"/>
      <c r="AE140" s="7"/>
    </row>
    <row r="141" spans="2:34" x14ac:dyDescent="0.35">
      <c r="B141" t="s">
        <v>207</v>
      </c>
      <c r="C141" s="7">
        <v>5019704</v>
      </c>
      <c r="D141" s="7">
        <v>17340758</v>
      </c>
      <c r="E141" s="39"/>
      <c r="F141" s="7">
        <v>0</v>
      </c>
      <c r="G141" s="7">
        <v>981159</v>
      </c>
      <c r="H141" s="7">
        <v>1002106</v>
      </c>
      <c r="I141" s="39">
        <v>1062085</v>
      </c>
      <c r="J141" s="7">
        <v>1081390</v>
      </c>
      <c r="K141" s="7">
        <v>1098892</v>
      </c>
      <c r="L141" s="7">
        <f t="shared" si="62"/>
        <v>1112977</v>
      </c>
      <c r="M141" s="39">
        <v>1125976</v>
      </c>
      <c r="N141" s="7">
        <v>1145225</v>
      </c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>
        <v>19920</v>
      </c>
      <c r="AB141" s="7">
        <v>1002106</v>
      </c>
      <c r="AC141" s="7">
        <v>1112977</v>
      </c>
      <c r="AD141" s="7"/>
      <c r="AE141" s="7"/>
    </row>
    <row r="142" spans="2:34" x14ac:dyDescent="0.35">
      <c r="B142" t="s">
        <v>208</v>
      </c>
      <c r="C142" s="7">
        <v>-20698</v>
      </c>
      <c r="D142" s="7">
        <v>-12341951</v>
      </c>
      <c r="E142" s="39"/>
      <c r="F142" s="7">
        <v>-59362</v>
      </c>
      <c r="G142" s="7">
        <v>-308207</v>
      </c>
      <c r="H142" s="7">
        <v>-305011</v>
      </c>
      <c r="I142" s="39">
        <v>-331720</v>
      </c>
      <c r="J142" s="7">
        <v>-369137</v>
      </c>
      <c r="K142" s="7">
        <v>-403747</v>
      </c>
      <c r="L142" s="7">
        <f t="shared" si="62"/>
        <v>-440955</v>
      </c>
      <c r="M142" s="39">
        <v>-486572</v>
      </c>
      <c r="N142" s="7">
        <v>-532461</v>
      </c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>
        <v>-187691</v>
      </c>
      <c r="AB142" s="7">
        <v>-305011</v>
      </c>
      <c r="AC142" s="7">
        <v>-440955</v>
      </c>
      <c r="AD142" s="7"/>
      <c r="AE142" s="7"/>
    </row>
    <row r="143" spans="2:34" s="4" customFormat="1" x14ac:dyDescent="0.35">
      <c r="B143" s="4" t="s">
        <v>209</v>
      </c>
      <c r="C143" s="8">
        <v>0</v>
      </c>
      <c r="D143" s="8">
        <v>0</v>
      </c>
      <c r="E143" s="40"/>
      <c r="F143" s="8">
        <v>0</v>
      </c>
      <c r="G143" s="8">
        <v>1121</v>
      </c>
      <c r="H143" s="8">
        <v>1308</v>
      </c>
      <c r="I143" s="40">
        <v>2184</v>
      </c>
      <c r="J143" s="8">
        <v>1154</v>
      </c>
      <c r="K143" s="8">
        <v>-4356</v>
      </c>
      <c r="L143" s="7">
        <f t="shared" si="62"/>
        <v>1136</v>
      </c>
      <c r="M143" s="40">
        <v>566</v>
      </c>
      <c r="N143" s="8">
        <v>-1764</v>
      </c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>
        <v>1055</v>
      </c>
      <c r="AB143" s="8">
        <v>1308</v>
      </c>
      <c r="AC143" s="8">
        <v>1136</v>
      </c>
      <c r="AD143" s="8"/>
      <c r="AE143" s="8"/>
    </row>
    <row r="144" spans="2:34" s="34" customFormat="1" x14ac:dyDescent="0.35">
      <c r="B144" s="34" t="s">
        <v>210</v>
      </c>
      <c r="C144" s="35">
        <f>SUM(C135:C143)</f>
        <v>5000010</v>
      </c>
      <c r="D144" s="35">
        <f>SUM(D135:D143)</f>
        <v>5000004</v>
      </c>
      <c r="E144" s="48">
        <f t="shared" ref="E144:N144" si="63">SUM(E140:E143)</f>
        <v>0</v>
      </c>
      <c r="F144" s="35">
        <f t="shared" si="63"/>
        <v>-59362</v>
      </c>
      <c r="G144" s="35">
        <f t="shared" si="63"/>
        <v>674118</v>
      </c>
      <c r="H144" s="35">
        <f t="shared" si="63"/>
        <v>698448</v>
      </c>
      <c r="I144" s="48">
        <f t="shared" si="63"/>
        <v>732595</v>
      </c>
      <c r="J144" s="35">
        <f t="shared" si="63"/>
        <v>713454</v>
      </c>
      <c r="K144" s="35">
        <f t="shared" si="63"/>
        <v>690834</v>
      </c>
      <c r="L144" s="35">
        <f t="shared" si="63"/>
        <v>673206</v>
      </c>
      <c r="M144" s="48">
        <f t="shared" si="63"/>
        <v>640018</v>
      </c>
      <c r="N144" s="35">
        <f t="shared" si="63"/>
        <v>611048</v>
      </c>
      <c r="O144" s="35">
        <f t="shared" ref="O144" si="64">SUM(O140:O143)</f>
        <v>0</v>
      </c>
      <c r="P144" s="35">
        <f t="shared" ref="P144" si="65">SUM(P140:P143)</f>
        <v>0</v>
      </c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>
        <f>SUM(AA140:AA143)</f>
        <v>-166708</v>
      </c>
      <c r="AB144" s="35">
        <f>SUM(AB140:AB143)</f>
        <v>698448</v>
      </c>
      <c r="AC144" s="35">
        <f>SUM(AC140:AC143)</f>
        <v>673206</v>
      </c>
      <c r="AD144" s="35">
        <f t="shared" ref="AD144:AH144" si="66">SUM(AD140:AD143)</f>
        <v>0</v>
      </c>
      <c r="AE144" s="35">
        <f t="shared" si="66"/>
        <v>0</v>
      </c>
      <c r="AF144" s="35">
        <f t="shared" si="66"/>
        <v>0</v>
      </c>
      <c r="AG144" s="35">
        <f t="shared" si="66"/>
        <v>0</v>
      </c>
      <c r="AH144" s="35">
        <f t="shared" si="66"/>
        <v>0</v>
      </c>
    </row>
    <row r="145" spans="2:34" s="14" customFormat="1" x14ac:dyDescent="0.35">
      <c r="B145" s="14" t="s">
        <v>211</v>
      </c>
      <c r="C145" s="26">
        <f>SUM(C132:C143)</f>
        <v>301352520</v>
      </c>
      <c r="D145" s="26">
        <f>D144+D132+D134</f>
        <v>321237396</v>
      </c>
      <c r="E145" s="42">
        <f t="shared" ref="E145:L145" si="67">SUM(E132:E143)</f>
        <v>59090288</v>
      </c>
      <c r="F145" s="26">
        <f t="shared" si="67"/>
        <v>57579829.012000002</v>
      </c>
      <c r="G145" s="26">
        <f t="shared" si="67"/>
        <v>955377</v>
      </c>
      <c r="H145" s="26">
        <f t="shared" si="67"/>
        <v>980847</v>
      </c>
      <c r="I145" s="42">
        <f t="shared" si="67"/>
        <v>1057484</v>
      </c>
      <c r="J145" s="26">
        <f t="shared" si="67"/>
        <v>1004752</v>
      </c>
      <c r="K145" s="26">
        <f t="shared" si="67"/>
        <v>1001360</v>
      </c>
      <c r="L145" s="26">
        <f t="shared" si="67"/>
        <v>989123</v>
      </c>
      <c r="M145" s="42">
        <f t="shared" ref="M145:N145" si="68">SUM(M132:M143)</f>
        <v>990908</v>
      </c>
      <c r="N145" s="26">
        <f t="shared" si="68"/>
        <v>981496</v>
      </c>
      <c r="O145" s="26">
        <f t="shared" ref="O145:P145" si="69">SUM(O132:O143)</f>
        <v>0</v>
      </c>
      <c r="P145" s="26">
        <f t="shared" si="69"/>
        <v>0</v>
      </c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>
        <f>SUM(AA132:AA143)</f>
        <v>187869</v>
      </c>
      <c r="AB145" s="26">
        <f>SUM(AB132:AB143)</f>
        <v>980847</v>
      </c>
      <c r="AC145" s="26">
        <f>SUM(AC132:AC143)</f>
        <v>989123</v>
      </c>
      <c r="AD145" s="26">
        <f t="shared" ref="AD145:AH145" si="70">SUM(AD132:AD143)</f>
        <v>0</v>
      </c>
      <c r="AE145" s="26">
        <f t="shared" si="70"/>
        <v>0</v>
      </c>
      <c r="AF145" s="26">
        <f t="shared" si="70"/>
        <v>0</v>
      </c>
      <c r="AG145" s="26">
        <f t="shared" si="70"/>
        <v>0</v>
      </c>
      <c r="AH145" s="26">
        <f t="shared" si="70"/>
        <v>0</v>
      </c>
    </row>
    <row r="146" spans="2:34" x14ac:dyDescent="0.35">
      <c r="E146" s="39"/>
      <c r="F146" s="7"/>
      <c r="G146" s="7"/>
      <c r="H146" s="7"/>
      <c r="I146" s="39"/>
      <c r="J146" s="7"/>
      <c r="K146" s="7"/>
      <c r="L146" s="7"/>
      <c r="M146" s="39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</row>
    <row r="147" spans="2:34" x14ac:dyDescent="0.35">
      <c r="B147" t="s">
        <v>212</v>
      </c>
      <c r="C147" s="27">
        <f t="shared" ref="C147:N147" si="71">C99/C121</f>
        <v>2254.1999999999998</v>
      </c>
      <c r="D147" s="27">
        <f t="shared" si="71"/>
        <v>5.6696336162285244</v>
      </c>
      <c r="E147" s="53">
        <f t="shared" si="71"/>
        <v>0.45937633272965478</v>
      </c>
      <c r="F147" s="27">
        <f t="shared" si="71"/>
        <v>137.85328274502388</v>
      </c>
      <c r="G147" s="27">
        <f t="shared" si="71"/>
        <v>11.141144584592933</v>
      </c>
      <c r="H147" s="27">
        <f t="shared" si="71"/>
        <v>8.0447319509485293</v>
      </c>
      <c r="I147" s="53">
        <f t="shared" si="71"/>
        <v>4.3036381673049418</v>
      </c>
      <c r="J147" s="27">
        <f t="shared" si="71"/>
        <v>4.9022282982075076</v>
      </c>
      <c r="K147" s="27">
        <f t="shared" si="71"/>
        <v>4.3352547415396057</v>
      </c>
      <c r="L147" s="27">
        <f t="shared" si="71"/>
        <v>4.0646495642567819</v>
      </c>
      <c r="M147" s="53">
        <f t="shared" si="71"/>
        <v>3.2198281760815024</v>
      </c>
      <c r="N147" s="27">
        <f t="shared" si="71"/>
        <v>1.8310883470996042</v>
      </c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27">
        <f>AA99/AA121</f>
        <v>1.9230880439496891</v>
      </c>
      <c r="AB147" s="27">
        <f>AB99/AB121</f>
        <v>8.0447319509485293</v>
      </c>
      <c r="AC147" s="27">
        <f>AC99/AC121</f>
        <v>4.0646495642567819</v>
      </c>
      <c r="AD147" s="7"/>
      <c r="AE147" s="7"/>
    </row>
    <row r="149" spans="2:34" s="10" customFormat="1" x14ac:dyDescent="0.35">
      <c r="B149" s="6" t="s">
        <v>213</v>
      </c>
      <c r="C149" s="6"/>
      <c r="D149" s="6"/>
      <c r="E149" s="54"/>
      <c r="I149" s="54"/>
      <c r="M149" s="54"/>
    </row>
    <row r="150" spans="2:34" s="7" customFormat="1" x14ac:dyDescent="0.35">
      <c r="B150" s="7" t="s">
        <v>214</v>
      </c>
      <c r="E150" s="39"/>
      <c r="G150" s="7">
        <v>-49877</v>
      </c>
      <c r="H150" s="7">
        <v>-21914</v>
      </c>
      <c r="I150" s="39">
        <v>-26339</v>
      </c>
      <c r="J150" s="7">
        <f>-64595-I150</f>
        <v>-38256</v>
      </c>
      <c r="K150" s="7">
        <v>-22997</v>
      </c>
      <c r="M150" s="39">
        <v>-25385</v>
      </c>
      <c r="N150" s="7">
        <f>-31449-M150</f>
        <v>-6064</v>
      </c>
      <c r="AA150" s="7">
        <v>-27757</v>
      </c>
      <c r="AB150" s="7">
        <v>-71791</v>
      </c>
      <c r="AC150" s="7">
        <v>-106538</v>
      </c>
    </row>
    <row r="151" spans="2:34" s="8" customFormat="1" x14ac:dyDescent="0.35">
      <c r="B151" s="8" t="s">
        <v>215</v>
      </c>
      <c r="E151" s="40"/>
      <c r="G151" s="8">
        <v>-11447</v>
      </c>
      <c r="H151" s="8">
        <v>-14252</v>
      </c>
      <c r="I151" s="40">
        <v>-6242</v>
      </c>
      <c r="J151" s="8">
        <f>-19070-I151</f>
        <v>-12828</v>
      </c>
      <c r="K151" s="8">
        <v>-8349</v>
      </c>
      <c r="M151" s="40">
        <v>-12674</v>
      </c>
      <c r="N151" s="8">
        <f>-23246-M151</f>
        <v>-10572</v>
      </c>
      <c r="AA151" s="8">
        <v>-25121</v>
      </c>
      <c r="AB151" s="8">
        <v>-25699</v>
      </c>
      <c r="AC151" s="8">
        <v>-42412</v>
      </c>
    </row>
    <row r="152" spans="2:34" s="7" customFormat="1" x14ac:dyDescent="0.35">
      <c r="B152" s="7" t="s">
        <v>216</v>
      </c>
      <c r="C152" s="7">
        <f t="shared" ref="C152:N152" si="72">C150+C151</f>
        <v>0</v>
      </c>
      <c r="D152" s="7">
        <f t="shared" si="72"/>
        <v>0</v>
      </c>
      <c r="E152" s="39">
        <f t="shared" si="72"/>
        <v>0</v>
      </c>
      <c r="F152" s="7">
        <f t="shared" si="72"/>
        <v>0</v>
      </c>
      <c r="G152" s="7">
        <f t="shared" si="72"/>
        <v>-61324</v>
      </c>
      <c r="H152" s="7">
        <f t="shared" si="72"/>
        <v>-36166</v>
      </c>
      <c r="I152" s="39">
        <f t="shared" si="72"/>
        <v>-32581</v>
      </c>
      <c r="J152" s="7">
        <f t="shared" si="72"/>
        <v>-51084</v>
      </c>
      <c r="K152" s="7">
        <f t="shared" si="72"/>
        <v>-31346</v>
      </c>
      <c r="M152" s="7">
        <f t="shared" si="72"/>
        <v>-38059</v>
      </c>
      <c r="N152" s="7">
        <f t="shared" si="72"/>
        <v>-16636</v>
      </c>
      <c r="AA152" s="7">
        <f>AA150+AA151</f>
        <v>-52878</v>
      </c>
      <c r="AB152" s="7">
        <f>AB150+AB151</f>
        <v>-97490</v>
      </c>
      <c r="AC152" s="7">
        <f>AC150+AC151</f>
        <v>-148950</v>
      </c>
      <c r="AD152" s="7">
        <f t="shared" ref="AD152:AH152" si="73">AD150+AD151</f>
        <v>0</v>
      </c>
      <c r="AE152" s="7">
        <f t="shared" si="73"/>
        <v>0</v>
      </c>
      <c r="AF152" s="7">
        <f t="shared" si="73"/>
        <v>0</v>
      </c>
      <c r="AG152" s="7">
        <f t="shared" si="73"/>
        <v>0</v>
      </c>
      <c r="AH152" s="7">
        <f t="shared" si="73"/>
        <v>0</v>
      </c>
    </row>
    <row r="154" spans="2:34" s="7" customFormat="1" x14ac:dyDescent="0.35">
      <c r="B154" s="7" t="s">
        <v>450</v>
      </c>
      <c r="E154" s="39"/>
      <c r="I154" s="39">
        <v>0</v>
      </c>
      <c r="J154" s="7">
        <v>0</v>
      </c>
      <c r="M154" s="39">
        <v>0</v>
      </c>
      <c r="N154" s="7">
        <v>0</v>
      </c>
    </row>
    <row r="155" spans="2:34" s="7" customFormat="1" x14ac:dyDescent="0.35">
      <c r="B155" s="7" t="s">
        <v>451</v>
      </c>
      <c r="E155" s="39"/>
      <c r="I155" s="39">
        <v>11958</v>
      </c>
      <c r="J155" s="7">
        <f>28827-I155</f>
        <v>16869</v>
      </c>
      <c r="M155" s="39">
        <v>14036</v>
      </c>
      <c r="N155" s="7">
        <f>29300-M155</f>
        <v>15264</v>
      </c>
    </row>
    <row r="156" spans="2:34" s="7" customFormat="1" x14ac:dyDescent="0.35">
      <c r="B156" s="7" t="s">
        <v>452</v>
      </c>
      <c r="E156" s="39"/>
      <c r="I156" s="39">
        <v>0</v>
      </c>
      <c r="J156" s="7">
        <v>0</v>
      </c>
      <c r="M156" s="39">
        <v>0</v>
      </c>
      <c r="N156" s="7" t="s">
        <v>21</v>
      </c>
    </row>
    <row r="157" spans="2:34" s="7" customFormat="1" x14ac:dyDescent="0.35">
      <c r="B157" s="7" t="s">
        <v>453</v>
      </c>
      <c r="E157" s="39"/>
      <c r="I157" s="39">
        <v>0</v>
      </c>
      <c r="J157" s="7">
        <v>0</v>
      </c>
      <c r="M157" s="39">
        <v>0</v>
      </c>
      <c r="N157" s="7">
        <v>0</v>
      </c>
    </row>
    <row r="160" spans="2:34" s="6" customFormat="1" x14ac:dyDescent="0.35">
      <c r="B160" s="6" t="s">
        <v>217</v>
      </c>
      <c r="E160" s="55"/>
      <c r="I160" s="55"/>
      <c r="M160" s="55"/>
    </row>
    <row r="161" spans="2:34" s="79" customFormat="1" x14ac:dyDescent="0.35">
      <c r="B161" s="79" t="s">
        <v>218</v>
      </c>
      <c r="E161" s="80"/>
      <c r="I161" s="80"/>
      <c r="M161" s="80"/>
      <c r="AA161" s="79">
        <f>AA7*AA162</f>
        <v>767723.55984</v>
      </c>
      <c r="AB161" s="79">
        <f>AB7*AB162</f>
        <v>2531333.7000000002</v>
      </c>
      <c r="AC161" s="79">
        <f>AC7*AC162</f>
        <v>2363705.46165</v>
      </c>
    </row>
    <row r="162" spans="2:34" x14ac:dyDescent="0.35">
      <c r="B162" t="s">
        <v>1</v>
      </c>
      <c r="AA162" s="7">
        <f>AA70</f>
        <v>75414.888000000006</v>
      </c>
      <c r="AB162" s="7">
        <f>AB70</f>
        <v>209895</v>
      </c>
      <c r="AC162" s="7">
        <f>AC70</f>
        <v>466214.09499999997</v>
      </c>
    </row>
    <row r="163" spans="2:34" x14ac:dyDescent="0.35">
      <c r="B163" t="s">
        <v>457</v>
      </c>
      <c r="AA163" s="78">
        <f>AA161/AA51</f>
        <v>21.835141064846418</v>
      </c>
      <c r="AB163" s="78">
        <f>AB161/AB51</f>
        <v>40.672489033854461</v>
      </c>
      <c r="AC163" s="78">
        <f>AC161/AC51</f>
        <v>11.202607924557812</v>
      </c>
    </row>
    <row r="164" spans="2:34" x14ac:dyDescent="0.35">
      <c r="B164" t="s">
        <v>458</v>
      </c>
      <c r="AA164" s="78">
        <f>AA161/AA68</f>
        <v>-14.251147367600378</v>
      </c>
      <c r="AB164" s="78">
        <f>AB161/AB68</f>
        <v>-21.622948397071763</v>
      </c>
      <c r="AC164" s="78">
        <f>AC161/AC68</f>
        <v>-17.464427397224849</v>
      </c>
    </row>
    <row r="165" spans="2:34" x14ac:dyDescent="0.35">
      <c r="B165" t="s">
        <v>460</v>
      </c>
      <c r="AA165" s="78">
        <f>AA161/AA144</f>
        <v>-4.6051992696211341</v>
      </c>
      <c r="AB165" s="78">
        <f>AB161/AB144</f>
        <v>3.6242264277369256</v>
      </c>
      <c r="AC165" s="78">
        <f>AC161/AC144</f>
        <v>3.511117639548667</v>
      </c>
    </row>
    <row r="166" spans="2:34" x14ac:dyDescent="0.35">
      <c r="B166" t="s">
        <v>459</v>
      </c>
      <c r="AA166" s="78">
        <f>AA161/AA152</f>
        <v>-14.518770752297742</v>
      </c>
      <c r="AB166" s="78">
        <f>AB161/AB152</f>
        <v>-25.965060006154481</v>
      </c>
      <c r="AC166" s="78">
        <f>AC161/AC152</f>
        <v>-15.869120252769385</v>
      </c>
    </row>
    <row r="168" spans="2:34" s="30" customFormat="1" x14ac:dyDescent="0.35">
      <c r="B168" s="30" t="s">
        <v>461</v>
      </c>
      <c r="E168" s="73"/>
      <c r="I168" s="73"/>
      <c r="M168" s="73"/>
    </row>
    <row r="169" spans="2:34" s="2" customFormat="1" x14ac:dyDescent="0.35">
      <c r="B169" s="2" t="s">
        <v>134</v>
      </c>
      <c r="E169" s="43"/>
      <c r="I169" s="43"/>
      <c r="M169" s="43"/>
      <c r="AA169" s="2" t="e">
        <f>(AA51-Z51)/ABS(Z51)</f>
        <v>#DIV/0!</v>
      </c>
      <c r="AB169" s="2">
        <f>(AB51-AA51)/ABS(AA51)</f>
        <v>0.77010807736063713</v>
      </c>
      <c r="AC169" s="2">
        <f>(AC51-AB51)/ABS(AB51)</f>
        <v>2.390201969889294</v>
      </c>
      <c r="AD169" s="2">
        <f t="shared" ref="AD169:AH169" si="74">(AD51-AC51)/ABS(AC51)</f>
        <v>-1</v>
      </c>
      <c r="AE169" s="2" t="e">
        <f t="shared" si="74"/>
        <v>#DIV/0!</v>
      </c>
      <c r="AF169" s="2" t="e">
        <f t="shared" si="74"/>
        <v>#DIV/0!</v>
      </c>
      <c r="AG169" s="2" t="e">
        <f t="shared" si="74"/>
        <v>#DIV/0!</v>
      </c>
      <c r="AH169" s="2" t="e">
        <f t="shared" si="74"/>
        <v>#DIV/0!</v>
      </c>
    </row>
    <row r="170" spans="2:34" s="2" customFormat="1" x14ac:dyDescent="0.35">
      <c r="B170" s="2" t="s">
        <v>462</v>
      </c>
      <c r="E170" s="43"/>
      <c r="I170" s="43"/>
      <c r="M170" s="43"/>
      <c r="AA170" s="2" t="e">
        <f>(AA68-Z68)/ABS(Z68)</f>
        <v>#DIV/0!</v>
      </c>
      <c r="AB170" s="2">
        <f>(AB68-AA68)/ABS(AA68)</f>
        <v>-1.1730986987432941</v>
      </c>
      <c r="AC170" s="2">
        <f>(AC68-AB68)/ABS(AB68)</f>
        <v>-0.15612427071676904</v>
      </c>
      <c r="AD170" s="2">
        <f t="shared" ref="AD170:AH170" si="75">(AD68-AC68)/ABS(AC68)</f>
        <v>1</v>
      </c>
      <c r="AE170" s="2" t="e">
        <f t="shared" si="75"/>
        <v>#DIV/0!</v>
      </c>
      <c r="AF170" s="2" t="e">
        <f t="shared" si="75"/>
        <v>#DIV/0!</v>
      </c>
      <c r="AG170" s="2" t="e">
        <f t="shared" si="75"/>
        <v>#DIV/0!</v>
      </c>
      <c r="AH170" s="2" t="e">
        <f t="shared" si="75"/>
        <v>#DIV/0!</v>
      </c>
    </row>
    <row r="171" spans="2:34" s="2" customFormat="1" x14ac:dyDescent="0.35">
      <c r="B171" s="2" t="s">
        <v>216</v>
      </c>
      <c r="E171" s="43"/>
      <c r="I171" s="43"/>
      <c r="M171" s="43"/>
      <c r="AA171" s="2" t="e">
        <f>(AA152-Z152)/ABS(Z152)</f>
        <v>#DIV/0!</v>
      </c>
      <c r="AB171" s="2">
        <f>(AB152-AA152)/ABS(AA152)</f>
        <v>-0.8436779000718635</v>
      </c>
      <c r="AC171" s="2">
        <f>(AC152-AB152)/ABS(AB152)</f>
        <v>-0.52784901015488772</v>
      </c>
      <c r="AD171" s="2">
        <f t="shared" ref="AD171:AH171" si="76">(AD152-AC152)/ABS(AC152)</f>
        <v>1</v>
      </c>
      <c r="AE171" s="2" t="e">
        <f t="shared" si="76"/>
        <v>#DIV/0!</v>
      </c>
      <c r="AF171" s="2" t="e">
        <f t="shared" si="76"/>
        <v>#DIV/0!</v>
      </c>
      <c r="AG171" s="2" t="e">
        <f t="shared" si="76"/>
        <v>#DIV/0!</v>
      </c>
      <c r="AH171" s="2" t="e">
        <f t="shared" si="76"/>
        <v>#DIV/0!</v>
      </c>
    </row>
    <row r="175" spans="2:34" s="30" customFormat="1" x14ac:dyDescent="0.35">
      <c r="B175" s="30" t="s">
        <v>456</v>
      </c>
      <c r="E175" s="73"/>
      <c r="I175" s="73"/>
      <c r="M175" s="74"/>
      <c r="N175" s="75"/>
      <c r="O175" s="31"/>
      <c r="P175" s="31"/>
      <c r="Q175" s="31"/>
      <c r="R175" s="31"/>
      <c r="S175" s="31"/>
      <c r="T175" s="31"/>
      <c r="V175" s="31"/>
      <c r="W175" s="31"/>
    </row>
    <row r="176" spans="2:34" s="11" customFormat="1" x14ac:dyDescent="0.35">
      <c r="B176" s="11" t="s">
        <v>219</v>
      </c>
      <c r="C176" s="11" t="e">
        <f t="shared" ref="C176:K176" si="77">C93/C70</f>
        <v>#DIV/0!</v>
      </c>
      <c r="D176" s="11">
        <f t="shared" si="77"/>
        <v>11.481857534549411</v>
      </c>
      <c r="E176" s="11">
        <f t="shared" si="77"/>
        <v>5.3973637530474532</v>
      </c>
      <c r="F176" s="11">
        <f t="shared" si="77"/>
        <v>0.567950576572544</v>
      </c>
      <c r="G176" s="11">
        <f t="shared" si="77"/>
        <v>3.4725178225446141</v>
      </c>
      <c r="H176" s="11">
        <f t="shared" si="77"/>
        <v>-3.9223639659071736</v>
      </c>
      <c r="I176" s="49">
        <f t="shared" si="77"/>
        <v>1.3212491253578942</v>
      </c>
      <c r="J176" s="11">
        <f t="shared" si="77"/>
        <v>1.1673934599799942</v>
      </c>
      <c r="K176" s="11">
        <f t="shared" si="77"/>
        <v>0.70945325046780405</v>
      </c>
      <c r="M176" s="56"/>
      <c r="N176" s="11">
        <f t="shared" ref="N176" si="78">N93/N70</f>
        <v>0.41097615846760405</v>
      </c>
      <c r="O176" s="7"/>
      <c r="P176" s="7"/>
      <c r="Q176" s="7"/>
      <c r="R176" s="7"/>
      <c r="S176" s="7"/>
      <c r="T176" s="7"/>
      <c r="V176" s="7"/>
      <c r="W176" s="7"/>
      <c r="AA176" s="11">
        <f>AA93/AA70</f>
        <v>0.70002092955438711</v>
      </c>
      <c r="AB176" s="11">
        <f>AB93/AB70</f>
        <v>3.291926915838872</v>
      </c>
      <c r="AC176" s="11">
        <f>AC93/AC70</f>
        <v>0.52017946819046734</v>
      </c>
    </row>
    <row r="177" spans="2:29" s="11" customFormat="1" x14ac:dyDescent="0.35">
      <c r="B177" s="11" t="s">
        <v>220</v>
      </c>
      <c r="C177" s="11" t="e">
        <f t="shared" ref="C177:K177" si="79">(C118+C125)/C70</f>
        <v>#DIV/0!</v>
      </c>
      <c r="D177" s="11">
        <f t="shared" si="79"/>
        <v>0</v>
      </c>
      <c r="E177" s="11">
        <f t="shared" si="79"/>
        <v>0</v>
      </c>
      <c r="F177" s="11">
        <f t="shared" si="79"/>
        <v>0</v>
      </c>
      <c r="G177" s="11">
        <f t="shared" si="79"/>
        <v>0.3376665010547949</v>
      </c>
      <c r="H177" s="11">
        <f t="shared" si="79"/>
        <v>-0.49983873075260982</v>
      </c>
      <c r="I177" s="49">
        <f t="shared" si="79"/>
        <v>0.28350566457544685</v>
      </c>
      <c r="J177" s="11">
        <f t="shared" si="79"/>
        <v>0.26043428256370604</v>
      </c>
      <c r="K177" s="11">
        <f t="shared" si="79"/>
        <v>0.30703827270162432</v>
      </c>
      <c r="M177" s="56"/>
      <c r="N177" s="11">
        <f t="shared" ref="N177" si="80">(N118+N125)/N70</f>
        <v>0.37050180226469542</v>
      </c>
      <c r="O177" s="7"/>
      <c r="P177" s="7"/>
      <c r="Q177" s="7"/>
      <c r="R177" s="7"/>
      <c r="S177" s="7"/>
      <c r="T177" s="7"/>
      <c r="V177" s="7"/>
      <c r="AA177" s="11">
        <f>(AA118+AA125)/AA70</f>
        <v>0.70849405756592776</v>
      </c>
      <c r="AB177" s="11">
        <f>(AB118+AB125)/AB70</f>
        <v>0.41950022630362799</v>
      </c>
      <c r="AC177" s="11">
        <f>(AC118+AC125)/AC70</f>
        <v>0.30588950769495721</v>
      </c>
    </row>
    <row r="178" spans="2:29" x14ac:dyDescent="0.35">
      <c r="N178" s="57"/>
      <c r="O178" s="7"/>
      <c r="P178" s="7"/>
      <c r="Q178" s="7"/>
      <c r="R178" s="7"/>
      <c r="S178" s="7"/>
      <c r="T178" s="7"/>
    </row>
    <row r="179" spans="2:29" x14ac:dyDescent="0.35">
      <c r="N179" s="57"/>
      <c r="O179" s="7"/>
      <c r="P179" s="7"/>
      <c r="Q179" s="7"/>
      <c r="R179" s="7"/>
      <c r="S179" s="7"/>
      <c r="T179" s="7"/>
    </row>
    <row r="180" spans="2:29" x14ac:dyDescent="0.35">
      <c r="N180" s="57"/>
    </row>
    <row r="181" spans="2:29" x14ac:dyDescent="0.35">
      <c r="V181" s="39"/>
    </row>
    <row r="182" spans="2:29" x14ac:dyDescent="0.35">
      <c r="V182" s="39"/>
    </row>
    <row r="183" spans="2:29" x14ac:dyDescent="0.35">
      <c r="W183" s="7">
        <f t="shared" ref="W183:W188" si="81">V183-V182</f>
        <v>0</v>
      </c>
    </row>
    <row r="184" spans="2:29" s="7" customFormat="1" x14ac:dyDescent="0.35">
      <c r="E184" s="39"/>
      <c r="I184" s="39"/>
      <c r="M184" s="39"/>
      <c r="W184" s="7">
        <f t="shared" si="81"/>
        <v>0</v>
      </c>
    </row>
    <row r="185" spans="2:29" s="7" customFormat="1" x14ac:dyDescent="0.35">
      <c r="E185" s="39"/>
      <c r="I185" s="39"/>
      <c r="M185" s="39"/>
      <c r="W185" s="7">
        <f t="shared" si="81"/>
        <v>0</v>
      </c>
    </row>
    <row r="186" spans="2:29" s="7" customFormat="1" x14ac:dyDescent="0.35">
      <c r="E186" s="39"/>
      <c r="I186" s="39"/>
      <c r="M186" s="39"/>
      <c r="W186" s="7">
        <f t="shared" si="81"/>
        <v>0</v>
      </c>
    </row>
    <row r="187" spans="2:29" s="7" customFormat="1" x14ac:dyDescent="0.35">
      <c r="E187" s="39"/>
      <c r="I187" s="39"/>
      <c r="M187" s="39"/>
      <c r="W187" s="7">
        <f t="shared" si="81"/>
        <v>0</v>
      </c>
    </row>
    <row r="188" spans="2:29" s="7" customFormat="1" x14ac:dyDescent="0.35">
      <c r="E188" s="39"/>
      <c r="I188" s="39"/>
      <c r="M188" s="39"/>
      <c r="W188" s="7">
        <f t="shared" si="81"/>
        <v>0</v>
      </c>
    </row>
    <row r="189" spans="2:29" s="7" customFormat="1" x14ac:dyDescent="0.35">
      <c r="E189" s="39"/>
      <c r="I189" s="39"/>
      <c r="M189" s="39"/>
    </row>
  </sheetData>
  <pageMargins left="0.7" right="0.7" top="0.75" bottom="0.75" header="0.3" footer="0.3"/>
  <pageSetup orientation="portrait"/>
  <ignoredErrors>
    <ignoredError sqref="M113" formula="1"/>
    <ignoredError sqref="M144:M145 N144 AB144:AC145" formulaRange="1"/>
  </ignoredError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40"/>
  <sheetViews>
    <sheetView zoomScale="85" zoomScaleNormal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74" sqref="D74"/>
    </sheetView>
  </sheetViews>
  <sheetFormatPr defaultRowHeight="14.5" x14ac:dyDescent="0.35"/>
  <cols>
    <col min="2" max="2" width="18.453125" customWidth="1"/>
    <col min="3" max="3" width="15.1796875" style="62" customWidth="1"/>
    <col min="5" max="5" width="10.26953125" customWidth="1"/>
  </cols>
  <sheetData>
    <row r="1" spans="1:16" x14ac:dyDescent="0.35">
      <c r="A1" s="19" t="s">
        <v>221</v>
      </c>
    </row>
    <row r="2" spans="1:16" x14ac:dyDescent="0.35">
      <c r="E2" s="5">
        <v>43450</v>
      </c>
      <c r="F2" s="66">
        <v>0.27291666666666659</v>
      </c>
      <c r="G2" t="s">
        <v>42</v>
      </c>
      <c r="H2" s="5" t="s">
        <v>69</v>
      </c>
      <c r="I2" t="s">
        <v>83</v>
      </c>
      <c r="J2">
        <v>78</v>
      </c>
      <c r="K2" t="s">
        <v>71</v>
      </c>
      <c r="L2" t="s">
        <v>77</v>
      </c>
      <c r="M2" t="b">
        <v>0</v>
      </c>
      <c r="N2">
        <v>1</v>
      </c>
      <c r="O2" t="s">
        <v>84</v>
      </c>
      <c r="P2" t="s">
        <v>85</v>
      </c>
    </row>
    <row r="4" spans="1:16" s="6" customFormat="1" x14ac:dyDescent="0.35">
      <c r="B4" s="6" t="s">
        <v>222</v>
      </c>
      <c r="C4" s="63"/>
    </row>
    <row r="5" spans="1:16" s="30" customFormat="1" x14ac:dyDescent="0.35">
      <c r="B5" s="30" t="s">
        <v>223</v>
      </c>
      <c r="C5" s="64"/>
    </row>
    <row r="6" spans="1:16" x14ac:dyDescent="0.35">
      <c r="B6" t="s">
        <v>56</v>
      </c>
      <c r="C6" s="65">
        <v>42882</v>
      </c>
    </row>
    <row r="7" spans="1:16" x14ac:dyDescent="0.35">
      <c r="B7" t="s">
        <v>57</v>
      </c>
      <c r="C7" s="66">
        <v>0.18055555555555561</v>
      </c>
    </row>
    <row r="8" spans="1:16" x14ac:dyDescent="0.35">
      <c r="B8" t="s">
        <v>58</v>
      </c>
      <c r="C8" s="62" t="s">
        <v>42</v>
      </c>
    </row>
    <row r="9" spans="1:16" x14ac:dyDescent="0.35">
      <c r="B9" t="s">
        <v>59</v>
      </c>
      <c r="C9" s="62" t="s">
        <v>69</v>
      </c>
    </row>
    <row r="10" spans="1:16" x14ac:dyDescent="0.35">
      <c r="B10" t="s">
        <v>60</v>
      </c>
      <c r="C10" s="62" t="s">
        <v>70</v>
      </c>
    </row>
    <row r="11" spans="1:16" x14ac:dyDescent="0.35">
      <c r="B11" t="s">
        <v>224</v>
      </c>
      <c r="C11" s="62">
        <v>0</v>
      </c>
    </row>
    <row r="12" spans="1:16" x14ac:dyDescent="0.35">
      <c r="B12" t="s">
        <v>62</v>
      </c>
      <c r="C12" s="62" t="s">
        <v>225</v>
      </c>
    </row>
    <row r="13" spans="1:16" x14ac:dyDescent="0.35">
      <c r="B13" t="s">
        <v>63</v>
      </c>
      <c r="C13" s="62" t="s">
        <v>72</v>
      </c>
    </row>
    <row r="14" spans="1:16" x14ac:dyDescent="0.35">
      <c r="B14" t="s">
        <v>64</v>
      </c>
      <c r="C14" s="62" t="b">
        <v>0</v>
      </c>
    </row>
    <row r="15" spans="1:16" x14ac:dyDescent="0.35">
      <c r="B15" t="s">
        <v>66</v>
      </c>
      <c r="C15" s="62" t="s">
        <v>226</v>
      </c>
    </row>
    <row r="16" spans="1:16" x14ac:dyDescent="0.35">
      <c r="B16" t="s">
        <v>67</v>
      </c>
      <c r="C16" s="62" t="s">
        <v>227</v>
      </c>
    </row>
    <row r="17" spans="2:3" s="30" customFormat="1" x14ac:dyDescent="0.35">
      <c r="B17" s="30" t="s">
        <v>74</v>
      </c>
      <c r="C17" s="64"/>
    </row>
    <row r="18" spans="2:3" x14ac:dyDescent="0.35">
      <c r="B18" t="s">
        <v>56</v>
      </c>
      <c r="C18" s="65">
        <v>43121</v>
      </c>
    </row>
    <row r="19" spans="2:3" x14ac:dyDescent="0.35">
      <c r="B19" t="s">
        <v>57</v>
      </c>
      <c r="C19" s="66">
        <v>7.1527777777777773E-2</v>
      </c>
    </row>
    <row r="20" spans="2:3" x14ac:dyDescent="0.35">
      <c r="B20" t="s">
        <v>58</v>
      </c>
      <c r="C20" s="62" t="s">
        <v>42</v>
      </c>
    </row>
    <row r="21" spans="2:3" x14ac:dyDescent="0.35">
      <c r="B21" t="s">
        <v>59</v>
      </c>
      <c r="C21" s="62" t="s">
        <v>69</v>
      </c>
    </row>
    <row r="22" spans="2:3" x14ac:dyDescent="0.35">
      <c r="B22" t="s">
        <v>60</v>
      </c>
      <c r="C22" s="62" t="s">
        <v>75</v>
      </c>
    </row>
    <row r="23" spans="2:3" x14ac:dyDescent="0.35">
      <c r="B23" t="s">
        <v>224</v>
      </c>
      <c r="C23" s="62">
        <v>13</v>
      </c>
    </row>
    <row r="24" spans="2:3" x14ac:dyDescent="0.35">
      <c r="B24" t="s">
        <v>62</v>
      </c>
      <c r="C24" s="62" t="s">
        <v>228</v>
      </c>
    </row>
    <row r="25" spans="2:3" x14ac:dyDescent="0.35">
      <c r="B25" t="s">
        <v>63</v>
      </c>
      <c r="C25" s="62" t="s">
        <v>77</v>
      </c>
    </row>
    <row r="26" spans="2:3" x14ac:dyDescent="0.35">
      <c r="B26" t="s">
        <v>64</v>
      </c>
      <c r="C26" s="62" t="b">
        <v>0</v>
      </c>
    </row>
    <row r="27" spans="2:3" x14ac:dyDescent="0.35">
      <c r="B27" t="s">
        <v>66</v>
      </c>
      <c r="C27" s="62" t="s">
        <v>78</v>
      </c>
    </row>
    <row r="28" spans="2:3" x14ac:dyDescent="0.35">
      <c r="B28" t="s">
        <v>67</v>
      </c>
    </row>
    <row r="29" spans="2:3" s="30" customFormat="1" x14ac:dyDescent="0.35">
      <c r="B29" s="30" t="s">
        <v>79</v>
      </c>
      <c r="C29" s="64"/>
    </row>
    <row r="30" spans="2:3" x14ac:dyDescent="0.35">
      <c r="B30" t="s">
        <v>56</v>
      </c>
      <c r="C30" s="65">
        <v>43415</v>
      </c>
    </row>
    <row r="31" spans="2:3" x14ac:dyDescent="0.35">
      <c r="B31" t="s">
        <v>57</v>
      </c>
      <c r="C31" s="66">
        <v>0.15972222222222221</v>
      </c>
    </row>
    <row r="32" spans="2:3" x14ac:dyDescent="0.35">
      <c r="B32" t="s">
        <v>58</v>
      </c>
      <c r="C32" s="62" t="s">
        <v>42</v>
      </c>
    </row>
    <row r="33" spans="2:3" x14ac:dyDescent="0.35">
      <c r="B33" t="s">
        <v>59</v>
      </c>
      <c r="C33" s="62" t="s">
        <v>69</v>
      </c>
    </row>
    <row r="34" spans="2:3" x14ac:dyDescent="0.35">
      <c r="B34" t="s">
        <v>60</v>
      </c>
      <c r="C34" s="62" t="s">
        <v>80</v>
      </c>
    </row>
    <row r="35" spans="2:3" x14ac:dyDescent="0.35">
      <c r="B35" t="s">
        <v>224</v>
      </c>
      <c r="C35" s="62">
        <v>45</v>
      </c>
    </row>
    <row r="36" spans="2:3" x14ac:dyDescent="0.35">
      <c r="B36" t="s">
        <v>62</v>
      </c>
      <c r="C36" s="62" t="s">
        <v>71</v>
      </c>
    </row>
    <row r="37" spans="2:3" x14ac:dyDescent="0.35">
      <c r="B37" t="s">
        <v>63</v>
      </c>
      <c r="C37" s="62" t="s">
        <v>77</v>
      </c>
    </row>
    <row r="38" spans="2:3" x14ac:dyDescent="0.35">
      <c r="B38" t="s">
        <v>64</v>
      </c>
      <c r="C38" s="62" t="b">
        <v>0</v>
      </c>
    </row>
    <row r="39" spans="2:3" x14ac:dyDescent="0.35">
      <c r="B39" t="s">
        <v>66</v>
      </c>
      <c r="C39" s="62" t="s">
        <v>81</v>
      </c>
    </row>
    <row r="40" spans="2:3" x14ac:dyDescent="0.35">
      <c r="B40" t="s">
        <v>67</v>
      </c>
      <c r="C40" s="62" t="s">
        <v>70</v>
      </c>
    </row>
    <row r="41" spans="2:3" s="30" customFormat="1" x14ac:dyDescent="0.35">
      <c r="B41" s="30" t="s">
        <v>82</v>
      </c>
      <c r="C41" s="64"/>
    </row>
    <row r="42" spans="2:3" x14ac:dyDescent="0.35">
      <c r="B42" t="s">
        <v>56</v>
      </c>
      <c r="C42" s="65">
        <v>43450</v>
      </c>
    </row>
    <row r="43" spans="2:3" x14ac:dyDescent="0.35">
      <c r="B43" t="s">
        <v>57</v>
      </c>
      <c r="C43" s="66">
        <v>0.27291666666666659</v>
      </c>
    </row>
    <row r="44" spans="2:3" x14ac:dyDescent="0.35">
      <c r="B44" t="s">
        <v>58</v>
      </c>
      <c r="C44" s="62" t="s">
        <v>42</v>
      </c>
    </row>
    <row r="45" spans="2:3" x14ac:dyDescent="0.35">
      <c r="B45" t="s">
        <v>59</v>
      </c>
      <c r="C45" s="62" t="s">
        <v>69</v>
      </c>
    </row>
    <row r="46" spans="2:3" x14ac:dyDescent="0.35">
      <c r="B46" t="s">
        <v>60</v>
      </c>
      <c r="C46" s="62" t="s">
        <v>83</v>
      </c>
    </row>
    <row r="47" spans="2:3" x14ac:dyDescent="0.35">
      <c r="B47" t="s">
        <v>224</v>
      </c>
      <c r="C47" s="62">
        <v>78</v>
      </c>
    </row>
    <row r="48" spans="2:3" x14ac:dyDescent="0.35">
      <c r="B48" t="s">
        <v>62</v>
      </c>
      <c r="C48" s="62" t="s">
        <v>71</v>
      </c>
    </row>
    <row r="49" spans="2:3" x14ac:dyDescent="0.35">
      <c r="B49" t="s">
        <v>63</v>
      </c>
      <c r="C49" s="62" t="s">
        <v>77</v>
      </c>
    </row>
    <row r="50" spans="2:3" x14ac:dyDescent="0.35">
      <c r="B50" t="s">
        <v>64</v>
      </c>
      <c r="C50" s="62" t="b">
        <v>0</v>
      </c>
    </row>
    <row r="51" spans="2:3" x14ac:dyDescent="0.35">
      <c r="B51" t="s">
        <v>66</v>
      </c>
      <c r="C51" s="62" t="s">
        <v>84</v>
      </c>
    </row>
    <row r="52" spans="2:3" x14ac:dyDescent="0.35">
      <c r="B52" t="s">
        <v>67</v>
      </c>
      <c r="C52" s="62" t="s">
        <v>85</v>
      </c>
    </row>
    <row r="53" spans="2:3" s="30" customFormat="1" x14ac:dyDescent="0.35">
      <c r="B53" s="30" t="s">
        <v>229</v>
      </c>
      <c r="C53" s="64"/>
    </row>
    <row r="54" spans="2:3" x14ac:dyDescent="0.35">
      <c r="B54" t="s">
        <v>56</v>
      </c>
      <c r="C54" s="65">
        <v>43552</v>
      </c>
    </row>
    <row r="55" spans="2:3" x14ac:dyDescent="0.35">
      <c r="B55" t="s">
        <v>57</v>
      </c>
      <c r="C55" s="66">
        <v>0.9770833333333333</v>
      </c>
    </row>
    <row r="56" spans="2:3" x14ac:dyDescent="0.35">
      <c r="B56" t="s">
        <v>58</v>
      </c>
      <c r="C56" s="62" t="s">
        <v>42</v>
      </c>
    </row>
    <row r="57" spans="2:3" x14ac:dyDescent="0.35">
      <c r="B57" t="s">
        <v>59</v>
      </c>
      <c r="C57" s="62" t="s">
        <v>69</v>
      </c>
    </row>
    <row r="58" spans="2:3" x14ac:dyDescent="0.35">
      <c r="B58" t="s">
        <v>60</v>
      </c>
      <c r="C58" s="62" t="s">
        <v>230</v>
      </c>
    </row>
    <row r="59" spans="2:3" x14ac:dyDescent="0.35">
      <c r="B59" t="s">
        <v>224</v>
      </c>
      <c r="C59" s="62">
        <v>150</v>
      </c>
    </row>
    <row r="60" spans="2:3" x14ac:dyDescent="0.35">
      <c r="B60" t="s">
        <v>62</v>
      </c>
      <c r="C60" s="62" t="s">
        <v>231</v>
      </c>
    </row>
    <row r="61" spans="2:3" x14ac:dyDescent="0.35">
      <c r="B61" t="s">
        <v>63</v>
      </c>
      <c r="C61" s="62" t="s">
        <v>77</v>
      </c>
    </row>
    <row r="62" spans="2:3" x14ac:dyDescent="0.35">
      <c r="B62" t="s">
        <v>64</v>
      </c>
      <c r="C62" s="62" t="b">
        <v>0</v>
      </c>
    </row>
    <row r="63" spans="2:3" x14ac:dyDescent="0.35">
      <c r="B63" t="s">
        <v>66</v>
      </c>
      <c r="C63" s="62" t="s">
        <v>232</v>
      </c>
    </row>
    <row r="64" spans="2:3" x14ac:dyDescent="0.35">
      <c r="B64" t="s">
        <v>67</v>
      </c>
      <c r="C64" s="62" t="s">
        <v>70</v>
      </c>
    </row>
    <row r="65" spans="2:3" s="30" customFormat="1" x14ac:dyDescent="0.35">
      <c r="B65" s="30" t="s">
        <v>233</v>
      </c>
      <c r="C65" s="64"/>
    </row>
    <row r="66" spans="2:3" x14ac:dyDescent="0.35">
      <c r="B66" t="s">
        <v>56</v>
      </c>
      <c r="C66" s="65">
        <v>43590</v>
      </c>
    </row>
    <row r="67" spans="2:3" x14ac:dyDescent="0.35">
      <c r="B67" t="s">
        <v>57</v>
      </c>
      <c r="C67" s="66">
        <v>0.25</v>
      </c>
    </row>
    <row r="68" spans="2:3" x14ac:dyDescent="0.35">
      <c r="B68" t="s">
        <v>58</v>
      </c>
      <c r="C68" s="62" t="s">
        <v>42</v>
      </c>
    </row>
    <row r="69" spans="2:3" x14ac:dyDescent="0.35">
      <c r="B69" t="s">
        <v>59</v>
      </c>
      <c r="C69" s="62" t="s">
        <v>69</v>
      </c>
    </row>
    <row r="70" spans="2:3" x14ac:dyDescent="0.35">
      <c r="B70" t="s">
        <v>60</v>
      </c>
      <c r="C70" s="62" t="s">
        <v>234</v>
      </c>
    </row>
    <row r="71" spans="2:3" x14ac:dyDescent="0.35">
      <c r="B71" t="s">
        <v>224</v>
      </c>
      <c r="C71" s="62">
        <v>180</v>
      </c>
    </row>
    <row r="72" spans="2:3" x14ac:dyDescent="0.35">
      <c r="B72" t="s">
        <v>62</v>
      </c>
      <c r="C72" s="62" t="s">
        <v>235</v>
      </c>
    </row>
    <row r="73" spans="2:3" x14ac:dyDescent="0.35">
      <c r="B73" t="s">
        <v>63</v>
      </c>
      <c r="C73" s="62" t="s">
        <v>77</v>
      </c>
    </row>
    <row r="74" spans="2:3" x14ac:dyDescent="0.35">
      <c r="B74" t="s">
        <v>64</v>
      </c>
      <c r="C74" s="62" t="b">
        <v>0</v>
      </c>
    </row>
    <row r="75" spans="2:3" x14ac:dyDescent="0.35">
      <c r="B75" t="s">
        <v>66</v>
      </c>
      <c r="C75" s="62" t="s">
        <v>236</v>
      </c>
    </row>
    <row r="76" spans="2:3" x14ac:dyDescent="0.35">
      <c r="B76" t="s">
        <v>67</v>
      </c>
      <c r="C76" s="62" t="s">
        <v>70</v>
      </c>
    </row>
    <row r="77" spans="2:3" s="30" customFormat="1" x14ac:dyDescent="0.35">
      <c r="B77" s="30" t="s">
        <v>237</v>
      </c>
      <c r="C77" s="64"/>
    </row>
    <row r="78" spans="2:3" x14ac:dyDescent="0.35">
      <c r="B78" t="s">
        <v>56</v>
      </c>
      <c r="C78" s="65">
        <v>43645</v>
      </c>
    </row>
    <row r="79" spans="2:3" x14ac:dyDescent="0.35">
      <c r="B79" t="s">
        <v>57</v>
      </c>
      <c r="C79" s="66">
        <v>0.1875</v>
      </c>
    </row>
    <row r="80" spans="2:3" x14ac:dyDescent="0.35">
      <c r="B80" t="s">
        <v>58</v>
      </c>
      <c r="C80" s="62" t="s">
        <v>42</v>
      </c>
    </row>
    <row r="81" spans="2:3" x14ac:dyDescent="0.35">
      <c r="B81" t="s">
        <v>59</v>
      </c>
      <c r="C81" s="62" t="s">
        <v>69</v>
      </c>
    </row>
    <row r="82" spans="2:3" x14ac:dyDescent="0.35">
      <c r="B82" t="s">
        <v>60</v>
      </c>
      <c r="C82" s="62" t="s">
        <v>238</v>
      </c>
    </row>
    <row r="83" spans="2:3" x14ac:dyDescent="0.35">
      <c r="B83" t="s">
        <v>224</v>
      </c>
      <c r="C83" s="62">
        <v>80</v>
      </c>
    </row>
    <row r="84" spans="2:3" x14ac:dyDescent="0.35">
      <c r="B84" t="s">
        <v>62</v>
      </c>
      <c r="C84" s="62" t="s">
        <v>239</v>
      </c>
    </row>
    <row r="85" spans="2:3" x14ac:dyDescent="0.35">
      <c r="B85" t="s">
        <v>63</v>
      </c>
      <c r="C85" s="62" t="s">
        <v>77</v>
      </c>
    </row>
    <row r="86" spans="2:3" x14ac:dyDescent="0.35">
      <c r="B86" t="s">
        <v>64</v>
      </c>
      <c r="C86" s="62" t="b">
        <v>0</v>
      </c>
    </row>
    <row r="87" spans="2:3" x14ac:dyDescent="0.35">
      <c r="B87" t="s">
        <v>66</v>
      </c>
      <c r="C87" s="62" t="s">
        <v>240</v>
      </c>
    </row>
    <row r="88" spans="2:3" x14ac:dyDescent="0.35">
      <c r="B88" t="s">
        <v>67</v>
      </c>
    </row>
    <row r="89" spans="2:3" s="30" customFormat="1" x14ac:dyDescent="0.35">
      <c r="C89" s="64"/>
    </row>
    <row r="90" spans="2:3" x14ac:dyDescent="0.35">
      <c r="B90" t="s">
        <v>56</v>
      </c>
    </row>
    <row r="91" spans="2:3" x14ac:dyDescent="0.35">
      <c r="B91" t="s">
        <v>57</v>
      </c>
    </row>
    <row r="92" spans="2:3" x14ac:dyDescent="0.35">
      <c r="B92" t="s">
        <v>58</v>
      </c>
    </row>
    <row r="93" spans="2:3" x14ac:dyDescent="0.35">
      <c r="B93" t="s">
        <v>59</v>
      </c>
    </row>
    <row r="94" spans="2:3" x14ac:dyDescent="0.35">
      <c r="B94" t="s">
        <v>60</v>
      </c>
    </row>
    <row r="95" spans="2:3" x14ac:dyDescent="0.35">
      <c r="B95" t="s">
        <v>62</v>
      </c>
    </row>
    <row r="96" spans="2:3" x14ac:dyDescent="0.35">
      <c r="B96" t="s">
        <v>63</v>
      </c>
    </row>
    <row r="97" spans="2:3" x14ac:dyDescent="0.35">
      <c r="B97" t="s">
        <v>64</v>
      </c>
    </row>
    <row r="98" spans="2:3" x14ac:dyDescent="0.35">
      <c r="B98" t="s">
        <v>66</v>
      </c>
    </row>
    <row r="99" spans="2:3" x14ac:dyDescent="0.35">
      <c r="B99" t="s">
        <v>67</v>
      </c>
    </row>
    <row r="100" spans="2:3" s="30" customFormat="1" x14ac:dyDescent="0.35">
      <c r="C100" s="64"/>
    </row>
    <row r="101" spans="2:3" x14ac:dyDescent="0.35">
      <c r="B101" t="s">
        <v>56</v>
      </c>
    </row>
    <row r="102" spans="2:3" x14ac:dyDescent="0.35">
      <c r="B102" t="s">
        <v>57</v>
      </c>
    </row>
    <row r="103" spans="2:3" x14ac:dyDescent="0.35">
      <c r="B103" t="s">
        <v>58</v>
      </c>
    </row>
    <row r="104" spans="2:3" x14ac:dyDescent="0.35">
      <c r="B104" t="s">
        <v>59</v>
      </c>
    </row>
    <row r="105" spans="2:3" x14ac:dyDescent="0.35">
      <c r="B105" t="s">
        <v>60</v>
      </c>
    </row>
    <row r="106" spans="2:3" x14ac:dyDescent="0.35">
      <c r="B106" t="s">
        <v>62</v>
      </c>
    </row>
    <row r="107" spans="2:3" x14ac:dyDescent="0.35">
      <c r="B107" t="s">
        <v>63</v>
      </c>
    </row>
    <row r="108" spans="2:3" x14ac:dyDescent="0.35">
      <c r="B108" t="s">
        <v>64</v>
      </c>
    </row>
    <row r="109" spans="2:3" x14ac:dyDescent="0.35">
      <c r="B109" t="s">
        <v>66</v>
      </c>
    </row>
    <row r="110" spans="2:3" x14ac:dyDescent="0.35">
      <c r="B110" t="s">
        <v>67</v>
      </c>
    </row>
    <row r="111" spans="2:3" s="30" customFormat="1" x14ac:dyDescent="0.35">
      <c r="C111" s="64"/>
    </row>
    <row r="112" spans="2:3" x14ac:dyDescent="0.35">
      <c r="B112" t="s">
        <v>56</v>
      </c>
    </row>
    <row r="113" spans="2:3" x14ac:dyDescent="0.35">
      <c r="B113" t="s">
        <v>57</v>
      </c>
    </row>
    <row r="114" spans="2:3" x14ac:dyDescent="0.35">
      <c r="B114" t="s">
        <v>58</v>
      </c>
    </row>
    <row r="115" spans="2:3" x14ac:dyDescent="0.35">
      <c r="B115" t="s">
        <v>59</v>
      </c>
    </row>
    <row r="116" spans="2:3" x14ac:dyDescent="0.35">
      <c r="B116" t="s">
        <v>60</v>
      </c>
    </row>
    <row r="117" spans="2:3" x14ac:dyDescent="0.35">
      <c r="B117" t="s">
        <v>62</v>
      </c>
    </row>
    <row r="118" spans="2:3" x14ac:dyDescent="0.35">
      <c r="B118" t="s">
        <v>63</v>
      </c>
    </row>
    <row r="119" spans="2:3" x14ac:dyDescent="0.35">
      <c r="B119" t="s">
        <v>64</v>
      </c>
    </row>
    <row r="120" spans="2:3" x14ac:dyDescent="0.35">
      <c r="B120" t="s">
        <v>66</v>
      </c>
    </row>
    <row r="121" spans="2:3" x14ac:dyDescent="0.35">
      <c r="B121" t="s">
        <v>67</v>
      </c>
    </row>
    <row r="122" spans="2:3" s="30" customFormat="1" x14ac:dyDescent="0.35">
      <c r="C122" s="64"/>
    </row>
    <row r="123" spans="2:3" x14ac:dyDescent="0.35">
      <c r="B123" t="s">
        <v>56</v>
      </c>
    </row>
    <row r="124" spans="2:3" x14ac:dyDescent="0.35">
      <c r="B124" t="s">
        <v>57</v>
      </c>
    </row>
    <row r="125" spans="2:3" x14ac:dyDescent="0.35">
      <c r="B125" t="s">
        <v>58</v>
      </c>
    </row>
    <row r="126" spans="2:3" x14ac:dyDescent="0.35">
      <c r="B126" t="s">
        <v>59</v>
      </c>
    </row>
    <row r="127" spans="2:3" x14ac:dyDescent="0.35">
      <c r="B127" t="s">
        <v>60</v>
      </c>
    </row>
    <row r="128" spans="2:3" x14ac:dyDescent="0.35">
      <c r="B128" t="s">
        <v>62</v>
      </c>
    </row>
    <row r="129" spans="1:13" x14ac:dyDescent="0.35">
      <c r="B129" t="s">
        <v>63</v>
      </c>
    </row>
    <row r="130" spans="1:13" x14ac:dyDescent="0.35">
      <c r="B130" t="s">
        <v>64</v>
      </c>
    </row>
    <row r="131" spans="1:13" x14ac:dyDescent="0.35">
      <c r="B131" t="s">
        <v>66</v>
      </c>
    </row>
    <row r="132" spans="1:13" x14ac:dyDescent="0.35">
      <c r="B132" t="s">
        <v>67</v>
      </c>
    </row>
    <row r="136" spans="1:13" x14ac:dyDescent="0.35">
      <c r="A136" t="s">
        <v>68</v>
      </c>
      <c r="B136" s="5">
        <v>42880</v>
      </c>
      <c r="C136" s="66">
        <v>0.18055555555555561</v>
      </c>
      <c r="D136" t="s">
        <v>42</v>
      </c>
      <c r="E136" s="5" t="s">
        <v>69</v>
      </c>
      <c r="F136" t="s">
        <v>70</v>
      </c>
      <c r="G136">
        <v>0</v>
      </c>
      <c r="H136" t="s">
        <v>71</v>
      </c>
      <c r="I136" t="s">
        <v>72</v>
      </c>
      <c r="J136" t="b">
        <v>0</v>
      </c>
      <c r="K136">
        <v>1</v>
      </c>
      <c r="L136" t="s">
        <v>73</v>
      </c>
    </row>
    <row r="137" spans="1:13" x14ac:dyDescent="0.35">
      <c r="A137" t="s">
        <v>74</v>
      </c>
      <c r="B137" s="5">
        <v>43121</v>
      </c>
      <c r="C137" s="66">
        <v>7.1527777777777773E-2</v>
      </c>
      <c r="D137" t="s">
        <v>42</v>
      </c>
      <c r="E137" s="5" t="s">
        <v>69</v>
      </c>
      <c r="F137" t="s">
        <v>75</v>
      </c>
      <c r="G137">
        <v>13</v>
      </c>
      <c r="H137" t="s">
        <v>76</v>
      </c>
      <c r="I137" t="s">
        <v>77</v>
      </c>
      <c r="J137" t="b">
        <v>0</v>
      </c>
      <c r="K137">
        <v>2</v>
      </c>
      <c r="L137" t="s">
        <v>78</v>
      </c>
    </row>
    <row r="138" spans="1:13" x14ac:dyDescent="0.35">
      <c r="A138" t="s">
        <v>79</v>
      </c>
      <c r="B138" s="5">
        <v>43415</v>
      </c>
      <c r="C138" s="66">
        <v>0.15972222222222221</v>
      </c>
      <c r="D138" t="s">
        <v>42</v>
      </c>
      <c r="E138" s="5" t="s">
        <v>69</v>
      </c>
      <c r="F138" t="s">
        <v>80</v>
      </c>
      <c r="G138">
        <v>45</v>
      </c>
      <c r="H138" t="s">
        <v>71</v>
      </c>
      <c r="I138" t="s">
        <v>77</v>
      </c>
      <c r="J138" t="b">
        <v>0</v>
      </c>
      <c r="K138">
        <v>4</v>
      </c>
      <c r="L138" t="s">
        <v>81</v>
      </c>
    </row>
    <row r="139" spans="1:13" x14ac:dyDescent="0.35">
      <c r="A139" t="s">
        <v>82</v>
      </c>
      <c r="B139" s="5">
        <v>43450</v>
      </c>
      <c r="C139" s="66">
        <v>0.27291666666666659</v>
      </c>
      <c r="D139" t="s">
        <v>42</v>
      </c>
      <c r="E139" s="5" t="s">
        <v>69</v>
      </c>
      <c r="F139" t="s">
        <v>83</v>
      </c>
      <c r="G139">
        <v>78</v>
      </c>
      <c r="H139" t="s">
        <v>71</v>
      </c>
      <c r="I139" t="s">
        <v>77</v>
      </c>
      <c r="J139" t="b">
        <v>0</v>
      </c>
      <c r="K139">
        <v>1</v>
      </c>
      <c r="L139" t="s">
        <v>84</v>
      </c>
      <c r="M139" t="s">
        <v>85</v>
      </c>
    </row>
    <row r="140" spans="1:13" x14ac:dyDescent="0.35">
      <c r="D140" t="s">
        <v>42</v>
      </c>
      <c r="E140" s="5"/>
    </row>
  </sheetData>
  <hyperlinks>
    <hyperlink ref="A1" r:id="rId1" display="Launches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5"/>
  <sheetViews>
    <sheetView workbookViewId="0">
      <selection activeCell="I37" sqref="I37"/>
    </sheetView>
  </sheetViews>
  <sheetFormatPr defaultRowHeight="14.5" x14ac:dyDescent="0.35"/>
  <cols>
    <col min="1" max="1" width="20.90625" customWidth="1"/>
  </cols>
  <sheetData>
    <row r="1" spans="1:18" x14ac:dyDescent="0.35"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</row>
    <row r="2" spans="1:18" x14ac:dyDescent="0.35">
      <c r="A2" s="1" t="s">
        <v>241</v>
      </c>
      <c r="B2" t="s">
        <v>242</v>
      </c>
      <c r="C2" t="s">
        <v>242</v>
      </c>
      <c r="D2" t="s">
        <v>242</v>
      </c>
      <c r="E2" t="s">
        <v>242</v>
      </c>
      <c r="F2" t="s">
        <v>242</v>
      </c>
      <c r="G2" t="s">
        <v>242</v>
      </c>
      <c r="H2" t="s">
        <v>242</v>
      </c>
      <c r="I2" t="s">
        <v>242</v>
      </c>
      <c r="J2" t="s">
        <v>242</v>
      </c>
      <c r="K2" t="s">
        <v>242</v>
      </c>
      <c r="L2" t="s">
        <v>242</v>
      </c>
      <c r="M2" t="s">
        <v>242</v>
      </c>
      <c r="N2" t="s">
        <v>242</v>
      </c>
      <c r="O2" t="s">
        <v>242</v>
      </c>
      <c r="P2" t="s">
        <v>242</v>
      </c>
      <c r="Q2" t="s">
        <v>243</v>
      </c>
      <c r="R2" t="s">
        <v>244</v>
      </c>
    </row>
    <row r="3" spans="1:18" x14ac:dyDescent="0.35">
      <c r="A3" s="1" t="s">
        <v>245</v>
      </c>
      <c r="B3" t="s">
        <v>242</v>
      </c>
      <c r="C3" t="s">
        <v>242</v>
      </c>
      <c r="D3" t="s">
        <v>242</v>
      </c>
      <c r="E3" t="s">
        <v>242</v>
      </c>
      <c r="F3" t="s">
        <v>242</v>
      </c>
      <c r="G3" t="s">
        <v>242</v>
      </c>
      <c r="H3" t="s">
        <v>242</v>
      </c>
      <c r="I3" t="s">
        <v>242</v>
      </c>
      <c r="J3" t="s">
        <v>242</v>
      </c>
      <c r="K3" t="s">
        <v>242</v>
      </c>
      <c r="L3" t="s">
        <v>242</v>
      </c>
      <c r="M3" t="s">
        <v>242</v>
      </c>
      <c r="N3" t="s">
        <v>242</v>
      </c>
      <c r="O3" t="s">
        <v>242</v>
      </c>
      <c r="P3" t="s">
        <v>242</v>
      </c>
      <c r="Q3" t="s">
        <v>246</v>
      </c>
      <c r="R3" t="s">
        <v>247</v>
      </c>
    </row>
    <row r="4" spans="1:18" x14ac:dyDescent="0.35">
      <c r="A4" s="1" t="s">
        <v>248</v>
      </c>
      <c r="B4" t="s">
        <v>242</v>
      </c>
      <c r="C4" t="s">
        <v>242</v>
      </c>
      <c r="D4" t="s">
        <v>242</v>
      </c>
      <c r="E4" t="s">
        <v>242</v>
      </c>
      <c r="F4" t="s">
        <v>242</v>
      </c>
      <c r="G4" t="s">
        <v>242</v>
      </c>
      <c r="H4" t="s">
        <v>242</v>
      </c>
      <c r="I4" t="s">
        <v>242</v>
      </c>
      <c r="J4" t="s">
        <v>242</v>
      </c>
      <c r="K4" t="s">
        <v>242</v>
      </c>
      <c r="L4" t="s">
        <v>242</v>
      </c>
      <c r="M4" t="s">
        <v>242</v>
      </c>
      <c r="N4" t="s">
        <v>242</v>
      </c>
      <c r="O4" t="s">
        <v>242</v>
      </c>
      <c r="P4" t="s">
        <v>242</v>
      </c>
      <c r="Q4" t="s">
        <v>249</v>
      </c>
      <c r="R4" t="s">
        <v>250</v>
      </c>
    </row>
    <row r="5" spans="1:18" x14ac:dyDescent="0.35">
      <c r="A5" s="1" t="s">
        <v>251</v>
      </c>
      <c r="B5" t="s">
        <v>242</v>
      </c>
      <c r="C5" t="s">
        <v>242</v>
      </c>
      <c r="D5" t="s">
        <v>242</v>
      </c>
      <c r="E5" t="s">
        <v>242</v>
      </c>
      <c r="F5" t="s">
        <v>242</v>
      </c>
      <c r="G5" t="s">
        <v>242</v>
      </c>
      <c r="H5" t="s">
        <v>242</v>
      </c>
      <c r="I5" t="s">
        <v>242</v>
      </c>
      <c r="J5" t="s">
        <v>242</v>
      </c>
      <c r="K5" t="s">
        <v>242</v>
      </c>
      <c r="L5" t="s">
        <v>242</v>
      </c>
      <c r="M5" t="s">
        <v>242</v>
      </c>
      <c r="N5" t="s">
        <v>242</v>
      </c>
      <c r="O5" t="s">
        <v>242</v>
      </c>
      <c r="P5" t="s">
        <v>242</v>
      </c>
      <c r="Q5" t="s">
        <v>242</v>
      </c>
      <c r="R5" t="s">
        <v>242</v>
      </c>
    </row>
    <row r="6" spans="1:18" x14ac:dyDescent="0.35">
      <c r="A6" s="1" t="s">
        <v>252</v>
      </c>
      <c r="B6" t="s">
        <v>242</v>
      </c>
      <c r="C6" t="s">
        <v>242</v>
      </c>
      <c r="D6" t="s">
        <v>242</v>
      </c>
      <c r="E6" t="s">
        <v>242</v>
      </c>
      <c r="F6" t="s">
        <v>242</v>
      </c>
      <c r="G6" t="s">
        <v>242</v>
      </c>
      <c r="H6" t="s">
        <v>242</v>
      </c>
      <c r="I6" t="s">
        <v>242</v>
      </c>
      <c r="J6" t="s">
        <v>242</v>
      </c>
      <c r="K6" t="s">
        <v>242</v>
      </c>
      <c r="L6" t="s">
        <v>242</v>
      </c>
      <c r="M6" t="s">
        <v>242</v>
      </c>
      <c r="N6" t="s">
        <v>242</v>
      </c>
      <c r="O6" t="s">
        <v>242</v>
      </c>
      <c r="P6" t="s">
        <v>242</v>
      </c>
      <c r="Q6" t="s">
        <v>253</v>
      </c>
      <c r="R6" t="s">
        <v>243</v>
      </c>
    </row>
    <row r="7" spans="1:18" x14ac:dyDescent="0.35">
      <c r="A7" s="1" t="s">
        <v>254</v>
      </c>
      <c r="B7" t="s">
        <v>242</v>
      </c>
      <c r="C7" t="s">
        <v>242</v>
      </c>
      <c r="D7" t="s">
        <v>242</v>
      </c>
      <c r="E7" t="s">
        <v>242</v>
      </c>
      <c r="F7" t="s">
        <v>242</v>
      </c>
      <c r="G7" t="s">
        <v>242</v>
      </c>
      <c r="H7" t="s">
        <v>242</v>
      </c>
      <c r="I7" t="s">
        <v>242</v>
      </c>
      <c r="J7" t="s">
        <v>242</v>
      </c>
      <c r="K7" t="s">
        <v>242</v>
      </c>
      <c r="L7" t="s">
        <v>242</v>
      </c>
      <c r="M7" t="s">
        <v>242</v>
      </c>
      <c r="N7" t="s">
        <v>242</v>
      </c>
      <c r="O7" t="s">
        <v>242</v>
      </c>
      <c r="P7" t="s">
        <v>242</v>
      </c>
      <c r="Q7" t="s">
        <v>255</v>
      </c>
      <c r="R7" t="s">
        <v>256</v>
      </c>
    </row>
    <row r="8" spans="1:18" x14ac:dyDescent="0.35">
      <c r="A8" s="1" t="s">
        <v>257</v>
      </c>
      <c r="B8" t="s">
        <v>242</v>
      </c>
      <c r="C8" t="s">
        <v>242</v>
      </c>
      <c r="D8" t="s">
        <v>242</v>
      </c>
      <c r="E8" t="s">
        <v>242</v>
      </c>
      <c r="F8" t="s">
        <v>242</v>
      </c>
      <c r="G8" t="s">
        <v>242</v>
      </c>
      <c r="H8" t="s">
        <v>242</v>
      </c>
      <c r="I8" t="s">
        <v>242</v>
      </c>
      <c r="J8" t="s">
        <v>242</v>
      </c>
      <c r="K8" t="s">
        <v>242</v>
      </c>
      <c r="L8" t="s">
        <v>242</v>
      </c>
      <c r="M8" t="s">
        <v>242</v>
      </c>
      <c r="N8" t="s">
        <v>242</v>
      </c>
      <c r="O8" t="s">
        <v>242</v>
      </c>
      <c r="P8" t="s">
        <v>242</v>
      </c>
      <c r="Q8" t="s">
        <v>258</v>
      </c>
      <c r="R8" t="s">
        <v>259</v>
      </c>
    </row>
    <row r="9" spans="1:18" x14ac:dyDescent="0.35">
      <c r="A9" s="1" t="s">
        <v>260</v>
      </c>
      <c r="B9" t="s">
        <v>242</v>
      </c>
      <c r="C9" t="s">
        <v>242</v>
      </c>
      <c r="D9" t="s">
        <v>242</v>
      </c>
      <c r="E9" t="s">
        <v>242</v>
      </c>
      <c r="F9" t="s">
        <v>242</v>
      </c>
      <c r="G9" t="s">
        <v>242</v>
      </c>
      <c r="H9" t="s">
        <v>242</v>
      </c>
      <c r="I9" t="s">
        <v>242</v>
      </c>
      <c r="J9" t="s">
        <v>242</v>
      </c>
      <c r="K9" t="s">
        <v>242</v>
      </c>
      <c r="L9" t="s">
        <v>242</v>
      </c>
      <c r="M9" t="s">
        <v>242</v>
      </c>
      <c r="N9" t="s">
        <v>242</v>
      </c>
      <c r="O9" t="s">
        <v>242</v>
      </c>
      <c r="P9" t="s">
        <v>242</v>
      </c>
      <c r="Q9" t="s">
        <v>261</v>
      </c>
      <c r="R9" t="s">
        <v>262</v>
      </c>
    </row>
    <row r="10" spans="1:18" x14ac:dyDescent="0.35">
      <c r="A10" s="1" t="s">
        <v>263</v>
      </c>
      <c r="B10" t="s">
        <v>242</v>
      </c>
      <c r="C10" t="s">
        <v>242</v>
      </c>
      <c r="D10" t="s">
        <v>242</v>
      </c>
      <c r="E10" t="s">
        <v>242</v>
      </c>
      <c r="F10" t="s">
        <v>242</v>
      </c>
      <c r="G10" t="s">
        <v>242</v>
      </c>
      <c r="H10" t="s">
        <v>242</v>
      </c>
      <c r="I10" t="s">
        <v>242</v>
      </c>
      <c r="J10" t="s">
        <v>242</v>
      </c>
      <c r="K10" t="s">
        <v>242</v>
      </c>
      <c r="L10" t="s">
        <v>242</v>
      </c>
      <c r="M10" t="s">
        <v>242</v>
      </c>
      <c r="N10" t="s">
        <v>242</v>
      </c>
      <c r="O10" t="s">
        <v>242</v>
      </c>
      <c r="P10" t="s">
        <v>242</v>
      </c>
      <c r="Q10" t="s">
        <v>264</v>
      </c>
      <c r="R10" t="s">
        <v>265</v>
      </c>
    </row>
    <row r="11" spans="1:18" x14ac:dyDescent="0.35">
      <c r="A11" s="1" t="s">
        <v>266</v>
      </c>
      <c r="B11" t="s">
        <v>242</v>
      </c>
      <c r="C11" t="s">
        <v>242</v>
      </c>
      <c r="D11" t="s">
        <v>242</v>
      </c>
      <c r="E11" t="s">
        <v>242</v>
      </c>
      <c r="F11" t="s">
        <v>242</v>
      </c>
      <c r="G11" t="s">
        <v>242</v>
      </c>
      <c r="H11" t="s">
        <v>242</v>
      </c>
      <c r="I11" t="s">
        <v>242</v>
      </c>
      <c r="J11" t="s">
        <v>242</v>
      </c>
      <c r="K11" t="s">
        <v>242</v>
      </c>
      <c r="L11" t="s">
        <v>242</v>
      </c>
      <c r="M11" t="s">
        <v>242</v>
      </c>
      <c r="N11" t="s">
        <v>242</v>
      </c>
      <c r="O11" t="s">
        <v>242</v>
      </c>
      <c r="P11" t="s">
        <v>242</v>
      </c>
      <c r="Q11" t="s">
        <v>242</v>
      </c>
      <c r="R11" t="s">
        <v>242</v>
      </c>
    </row>
    <row r="12" spans="1:18" x14ac:dyDescent="0.35">
      <c r="A12" s="1" t="s">
        <v>267</v>
      </c>
      <c r="B12" t="s">
        <v>242</v>
      </c>
      <c r="C12" t="s">
        <v>242</v>
      </c>
      <c r="D12" t="s">
        <v>242</v>
      </c>
      <c r="E12" t="s">
        <v>242</v>
      </c>
      <c r="F12" t="s">
        <v>242</v>
      </c>
      <c r="G12" t="s">
        <v>242</v>
      </c>
      <c r="H12" t="s">
        <v>242</v>
      </c>
      <c r="I12" t="s">
        <v>242</v>
      </c>
      <c r="J12" t="s">
        <v>242</v>
      </c>
      <c r="K12" t="s">
        <v>242</v>
      </c>
      <c r="L12" t="s">
        <v>242</v>
      </c>
      <c r="M12" t="s">
        <v>242</v>
      </c>
      <c r="N12" t="s">
        <v>242</v>
      </c>
      <c r="O12" t="s">
        <v>242</v>
      </c>
      <c r="P12" t="s">
        <v>242</v>
      </c>
      <c r="Q12" t="s">
        <v>268</v>
      </c>
      <c r="R12" t="s">
        <v>269</v>
      </c>
    </row>
    <row r="13" spans="1:18" x14ac:dyDescent="0.35">
      <c r="A13" s="1" t="s">
        <v>270</v>
      </c>
      <c r="B13" t="s">
        <v>242</v>
      </c>
      <c r="C13" t="s">
        <v>242</v>
      </c>
      <c r="D13" t="s">
        <v>242</v>
      </c>
      <c r="E13" t="s">
        <v>242</v>
      </c>
      <c r="F13" t="s">
        <v>242</v>
      </c>
      <c r="G13" t="s">
        <v>242</v>
      </c>
      <c r="H13" t="s">
        <v>242</v>
      </c>
      <c r="I13" t="s">
        <v>242</v>
      </c>
      <c r="J13" t="s">
        <v>242</v>
      </c>
      <c r="K13" t="s">
        <v>242</v>
      </c>
      <c r="L13" t="s">
        <v>242</v>
      </c>
      <c r="M13" t="s">
        <v>242</v>
      </c>
      <c r="N13" t="s">
        <v>242</v>
      </c>
      <c r="O13" t="s">
        <v>242</v>
      </c>
      <c r="P13" t="s">
        <v>242</v>
      </c>
      <c r="Q13" t="s">
        <v>271</v>
      </c>
      <c r="R13" t="s">
        <v>272</v>
      </c>
    </row>
    <row r="14" spans="1:18" x14ac:dyDescent="0.35">
      <c r="A14" s="1" t="s">
        <v>273</v>
      </c>
      <c r="B14" t="s">
        <v>242</v>
      </c>
      <c r="C14" t="s">
        <v>242</v>
      </c>
      <c r="D14" t="s">
        <v>242</v>
      </c>
      <c r="E14" t="s">
        <v>242</v>
      </c>
      <c r="F14" t="s">
        <v>242</v>
      </c>
      <c r="G14" t="s">
        <v>242</v>
      </c>
      <c r="H14" t="s">
        <v>242</v>
      </c>
      <c r="I14" t="s">
        <v>242</v>
      </c>
      <c r="J14" t="s">
        <v>242</v>
      </c>
      <c r="K14" t="s">
        <v>242</v>
      </c>
      <c r="L14" t="s">
        <v>242</v>
      </c>
      <c r="M14" t="s">
        <v>242</v>
      </c>
      <c r="N14" t="s">
        <v>242</v>
      </c>
      <c r="O14" t="s">
        <v>242</v>
      </c>
      <c r="P14" t="s">
        <v>242</v>
      </c>
      <c r="Q14" t="s">
        <v>274</v>
      </c>
      <c r="R14" t="s">
        <v>275</v>
      </c>
    </row>
    <row r="15" spans="1:18" x14ac:dyDescent="0.35">
      <c r="A15" s="1" t="s">
        <v>276</v>
      </c>
      <c r="B15" t="s">
        <v>242</v>
      </c>
      <c r="C15" t="s">
        <v>242</v>
      </c>
      <c r="D15" t="s">
        <v>242</v>
      </c>
      <c r="E15" t="s">
        <v>242</v>
      </c>
      <c r="F15" t="s">
        <v>242</v>
      </c>
      <c r="G15" t="s">
        <v>242</v>
      </c>
      <c r="H15" t="s">
        <v>242</v>
      </c>
      <c r="I15" t="s">
        <v>242</v>
      </c>
      <c r="J15" t="s">
        <v>242</v>
      </c>
      <c r="K15" t="s">
        <v>242</v>
      </c>
      <c r="L15" t="s">
        <v>242</v>
      </c>
      <c r="M15" t="s">
        <v>242</v>
      </c>
      <c r="N15" t="s">
        <v>242</v>
      </c>
      <c r="O15" t="s">
        <v>242</v>
      </c>
      <c r="P15" t="s">
        <v>242</v>
      </c>
      <c r="Q15" t="s">
        <v>277</v>
      </c>
      <c r="R15" t="s">
        <v>278</v>
      </c>
    </row>
    <row r="16" spans="1:18" x14ac:dyDescent="0.35">
      <c r="A16" s="1" t="s">
        <v>279</v>
      </c>
      <c r="B16" t="s">
        <v>242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242</v>
      </c>
      <c r="J16" t="s">
        <v>242</v>
      </c>
      <c r="K16" t="s">
        <v>242</v>
      </c>
      <c r="L16" t="s">
        <v>242</v>
      </c>
      <c r="M16" t="s">
        <v>242</v>
      </c>
      <c r="N16" t="s">
        <v>242</v>
      </c>
      <c r="O16" t="s">
        <v>242</v>
      </c>
      <c r="P16" t="s">
        <v>242</v>
      </c>
      <c r="Q16" t="s">
        <v>280</v>
      </c>
      <c r="R16" t="s">
        <v>281</v>
      </c>
    </row>
    <row r="17" spans="1:18" x14ac:dyDescent="0.35">
      <c r="A17" s="1" t="s">
        <v>282</v>
      </c>
      <c r="B17" t="s">
        <v>242</v>
      </c>
      <c r="C17" t="s">
        <v>242</v>
      </c>
      <c r="D17" t="s">
        <v>242</v>
      </c>
      <c r="E17" t="s">
        <v>242</v>
      </c>
      <c r="F17" t="s">
        <v>242</v>
      </c>
      <c r="G17" t="s">
        <v>242</v>
      </c>
      <c r="H17" t="s">
        <v>242</v>
      </c>
      <c r="I17" t="s">
        <v>242</v>
      </c>
      <c r="J17" t="s">
        <v>242</v>
      </c>
      <c r="K17" t="s">
        <v>242</v>
      </c>
      <c r="L17" t="s">
        <v>242</v>
      </c>
      <c r="M17" t="s">
        <v>242</v>
      </c>
      <c r="N17" t="s">
        <v>242</v>
      </c>
      <c r="O17" t="s">
        <v>242</v>
      </c>
      <c r="P17" t="s">
        <v>242</v>
      </c>
      <c r="Q17" t="s">
        <v>283</v>
      </c>
      <c r="R17" t="s">
        <v>284</v>
      </c>
    </row>
    <row r="18" spans="1:18" x14ac:dyDescent="0.35">
      <c r="A18" s="1" t="s">
        <v>285</v>
      </c>
      <c r="B18" t="s">
        <v>242</v>
      </c>
      <c r="C18" t="s">
        <v>242</v>
      </c>
      <c r="D18" t="s">
        <v>242</v>
      </c>
      <c r="E18" t="s">
        <v>242</v>
      </c>
      <c r="F18" t="s">
        <v>242</v>
      </c>
      <c r="G18" t="s">
        <v>242</v>
      </c>
      <c r="H18" t="s">
        <v>242</v>
      </c>
      <c r="I18" t="s">
        <v>242</v>
      </c>
      <c r="J18" t="s">
        <v>242</v>
      </c>
      <c r="K18" t="s">
        <v>242</v>
      </c>
      <c r="L18" t="s">
        <v>242</v>
      </c>
      <c r="M18" t="s">
        <v>242</v>
      </c>
      <c r="N18" t="s">
        <v>242</v>
      </c>
      <c r="O18" t="s">
        <v>242</v>
      </c>
      <c r="P18" t="s">
        <v>242</v>
      </c>
      <c r="Q18" t="s">
        <v>286</v>
      </c>
      <c r="R18" t="s">
        <v>287</v>
      </c>
    </row>
    <row r="19" spans="1:18" x14ac:dyDescent="0.35">
      <c r="A19" s="1" t="s">
        <v>288</v>
      </c>
      <c r="B19" t="s">
        <v>242</v>
      </c>
      <c r="C19" t="s">
        <v>242</v>
      </c>
      <c r="D19" t="s">
        <v>242</v>
      </c>
      <c r="E19" t="s">
        <v>242</v>
      </c>
      <c r="F19" t="s">
        <v>242</v>
      </c>
      <c r="G19" t="s">
        <v>242</v>
      </c>
      <c r="H19" t="s">
        <v>242</v>
      </c>
      <c r="I19" t="s">
        <v>242</v>
      </c>
      <c r="J19" t="s">
        <v>242</v>
      </c>
      <c r="K19" t="s">
        <v>242</v>
      </c>
      <c r="L19" t="s">
        <v>242</v>
      </c>
      <c r="M19" t="s">
        <v>242</v>
      </c>
      <c r="N19" t="s">
        <v>242</v>
      </c>
      <c r="O19" t="s">
        <v>242</v>
      </c>
      <c r="P19" t="s">
        <v>242</v>
      </c>
      <c r="Q19" t="s">
        <v>242</v>
      </c>
      <c r="R19" t="s">
        <v>289</v>
      </c>
    </row>
    <row r="20" spans="1:18" x14ac:dyDescent="0.35">
      <c r="A20" s="1" t="s">
        <v>290</v>
      </c>
      <c r="B20" t="s">
        <v>242</v>
      </c>
      <c r="C20" t="s">
        <v>242</v>
      </c>
      <c r="D20" t="s">
        <v>242</v>
      </c>
      <c r="E20" t="s">
        <v>242</v>
      </c>
      <c r="F20" t="s">
        <v>242</v>
      </c>
      <c r="G20" t="s">
        <v>242</v>
      </c>
      <c r="H20" t="s">
        <v>242</v>
      </c>
      <c r="I20" t="s">
        <v>242</v>
      </c>
      <c r="J20" t="s">
        <v>242</v>
      </c>
      <c r="K20" t="s">
        <v>242</v>
      </c>
      <c r="L20" t="s">
        <v>242</v>
      </c>
      <c r="M20" t="s">
        <v>242</v>
      </c>
      <c r="N20" t="s">
        <v>242</v>
      </c>
      <c r="O20" t="s">
        <v>242</v>
      </c>
      <c r="P20" t="s">
        <v>242</v>
      </c>
      <c r="Q20" t="s">
        <v>291</v>
      </c>
      <c r="R20" t="s">
        <v>292</v>
      </c>
    </row>
    <row r="21" spans="1:18" x14ac:dyDescent="0.35">
      <c r="A21" s="1" t="s">
        <v>293</v>
      </c>
      <c r="B21" t="s">
        <v>242</v>
      </c>
      <c r="C21" t="s">
        <v>242</v>
      </c>
      <c r="D21" t="s">
        <v>242</v>
      </c>
      <c r="E21" t="s">
        <v>242</v>
      </c>
      <c r="F21" t="s">
        <v>242</v>
      </c>
      <c r="G21" t="s">
        <v>242</v>
      </c>
      <c r="H21" t="s">
        <v>242</v>
      </c>
      <c r="I21" t="s">
        <v>242</v>
      </c>
      <c r="J21" t="s">
        <v>242</v>
      </c>
      <c r="K21" t="s">
        <v>242</v>
      </c>
      <c r="L21" t="s">
        <v>242</v>
      </c>
      <c r="M21" t="s">
        <v>242</v>
      </c>
      <c r="N21" t="s">
        <v>242</v>
      </c>
      <c r="O21" t="s">
        <v>242</v>
      </c>
      <c r="P21" t="s">
        <v>242</v>
      </c>
      <c r="Q21" t="s">
        <v>294</v>
      </c>
      <c r="R21" t="s">
        <v>295</v>
      </c>
    </row>
    <row r="22" spans="1:18" x14ac:dyDescent="0.35">
      <c r="A22" s="1" t="s">
        <v>296</v>
      </c>
      <c r="B22" t="s">
        <v>242</v>
      </c>
      <c r="C22" t="s">
        <v>242</v>
      </c>
      <c r="D22" t="s">
        <v>242</v>
      </c>
      <c r="E22" t="s">
        <v>242</v>
      </c>
      <c r="F22" t="s">
        <v>242</v>
      </c>
      <c r="G22" t="s">
        <v>242</v>
      </c>
      <c r="H22" t="s">
        <v>242</v>
      </c>
      <c r="I22" t="s">
        <v>242</v>
      </c>
      <c r="J22" t="s">
        <v>242</v>
      </c>
      <c r="K22" t="s">
        <v>242</v>
      </c>
      <c r="L22" t="s">
        <v>242</v>
      </c>
      <c r="M22" t="s">
        <v>242</v>
      </c>
      <c r="N22" t="s">
        <v>242</v>
      </c>
      <c r="O22" t="s">
        <v>242</v>
      </c>
      <c r="P22" t="s">
        <v>242</v>
      </c>
      <c r="Q22" t="s">
        <v>297</v>
      </c>
      <c r="R22" t="s">
        <v>298</v>
      </c>
    </row>
    <row r="23" spans="1:18" x14ac:dyDescent="0.35">
      <c r="A23" s="1" t="s">
        <v>299</v>
      </c>
      <c r="B23" t="s">
        <v>242</v>
      </c>
      <c r="C23" t="s">
        <v>242</v>
      </c>
      <c r="D23" t="s">
        <v>242</v>
      </c>
      <c r="E23" t="s">
        <v>242</v>
      </c>
      <c r="F23" t="s">
        <v>242</v>
      </c>
      <c r="G23" t="s">
        <v>242</v>
      </c>
      <c r="H23" t="s">
        <v>242</v>
      </c>
      <c r="I23" t="s">
        <v>242</v>
      </c>
      <c r="J23" t="s">
        <v>242</v>
      </c>
      <c r="K23" t="s">
        <v>242</v>
      </c>
      <c r="L23" t="s">
        <v>242</v>
      </c>
      <c r="M23" t="s">
        <v>242</v>
      </c>
      <c r="N23" t="s">
        <v>242</v>
      </c>
      <c r="O23" t="s">
        <v>242</v>
      </c>
      <c r="P23" t="s">
        <v>242</v>
      </c>
      <c r="Q23" t="s">
        <v>300</v>
      </c>
      <c r="R23" t="s">
        <v>301</v>
      </c>
    </row>
    <row r="24" spans="1:18" x14ac:dyDescent="0.35">
      <c r="A24" s="1" t="s">
        <v>302</v>
      </c>
      <c r="B24" t="s">
        <v>242</v>
      </c>
      <c r="C24" t="s">
        <v>242</v>
      </c>
      <c r="D24" t="s">
        <v>242</v>
      </c>
      <c r="E24" t="s">
        <v>242</v>
      </c>
      <c r="F24" t="s">
        <v>242</v>
      </c>
      <c r="G24" t="s">
        <v>242</v>
      </c>
      <c r="H24" t="s">
        <v>242</v>
      </c>
      <c r="I24" t="s">
        <v>242</v>
      </c>
      <c r="J24" t="s">
        <v>242</v>
      </c>
      <c r="K24" t="s">
        <v>242</v>
      </c>
      <c r="L24" t="s">
        <v>242</v>
      </c>
      <c r="M24" t="s">
        <v>242</v>
      </c>
      <c r="N24" t="s">
        <v>242</v>
      </c>
      <c r="O24" t="s">
        <v>242</v>
      </c>
      <c r="P24" t="s">
        <v>242</v>
      </c>
      <c r="Q24" t="s">
        <v>303</v>
      </c>
      <c r="R24" t="s">
        <v>303</v>
      </c>
    </row>
    <row r="25" spans="1:18" x14ac:dyDescent="0.35">
      <c r="A25" s="1" t="s">
        <v>304</v>
      </c>
      <c r="B25" t="s">
        <v>242</v>
      </c>
      <c r="C25" t="s">
        <v>242</v>
      </c>
      <c r="D25" t="s">
        <v>242</v>
      </c>
      <c r="E25" t="s">
        <v>242</v>
      </c>
      <c r="F25" t="s">
        <v>242</v>
      </c>
      <c r="G25" t="s">
        <v>242</v>
      </c>
      <c r="H25" t="s">
        <v>242</v>
      </c>
      <c r="I25" t="s">
        <v>242</v>
      </c>
      <c r="J25" t="s">
        <v>242</v>
      </c>
      <c r="K25" t="s">
        <v>242</v>
      </c>
      <c r="L25" t="s">
        <v>242</v>
      </c>
      <c r="M25" t="s">
        <v>242</v>
      </c>
      <c r="N25" t="s">
        <v>242</v>
      </c>
      <c r="O25" t="s">
        <v>242</v>
      </c>
      <c r="P25" t="s">
        <v>242</v>
      </c>
      <c r="Q25" t="s">
        <v>242</v>
      </c>
      <c r="R25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1"/>
  <sheetViews>
    <sheetView workbookViewId="0">
      <selection activeCell="B24" sqref="B24"/>
    </sheetView>
  </sheetViews>
  <sheetFormatPr defaultRowHeight="14.5" x14ac:dyDescent="0.35"/>
  <cols>
    <col min="1" max="1" width="17.54296875" customWidth="1"/>
  </cols>
  <sheetData>
    <row r="1" spans="1:2" x14ac:dyDescent="0.35">
      <c r="B1" s="1" t="s">
        <v>305</v>
      </c>
    </row>
    <row r="2" spans="1:2" x14ac:dyDescent="0.35">
      <c r="A2" s="1" t="s">
        <v>134</v>
      </c>
      <c r="B2" t="s">
        <v>268</v>
      </c>
    </row>
    <row r="3" spans="1:2" x14ac:dyDescent="0.35">
      <c r="A3" s="1" t="s">
        <v>306</v>
      </c>
      <c r="B3" t="s">
        <v>307</v>
      </c>
    </row>
    <row r="4" spans="1:2" x14ac:dyDescent="0.35">
      <c r="A4" s="1" t="s">
        <v>136</v>
      </c>
      <c r="B4" t="s">
        <v>308</v>
      </c>
    </row>
    <row r="5" spans="1:2" x14ac:dyDescent="0.35">
      <c r="A5" s="1" t="s">
        <v>309</v>
      </c>
      <c r="B5" t="s">
        <v>310</v>
      </c>
    </row>
    <row r="6" spans="1:2" x14ac:dyDescent="0.35">
      <c r="A6" s="1" t="s">
        <v>311</v>
      </c>
      <c r="B6" t="s">
        <v>312</v>
      </c>
    </row>
    <row r="7" spans="1:2" x14ac:dyDescent="0.35">
      <c r="A7" s="1" t="s">
        <v>313</v>
      </c>
      <c r="B7" t="s">
        <v>314</v>
      </c>
    </row>
    <row r="8" spans="1:2" x14ac:dyDescent="0.35">
      <c r="A8" s="1" t="s">
        <v>315</v>
      </c>
      <c r="B8" t="s">
        <v>316</v>
      </c>
    </row>
    <row r="9" spans="1:2" x14ac:dyDescent="0.35">
      <c r="A9" s="1" t="s">
        <v>317</v>
      </c>
      <c r="B9" t="s">
        <v>242</v>
      </c>
    </row>
    <row r="10" spans="1:2" x14ac:dyDescent="0.35">
      <c r="A10" s="1" t="s">
        <v>318</v>
      </c>
      <c r="B10" t="s">
        <v>242</v>
      </c>
    </row>
    <row r="11" spans="1:2" x14ac:dyDescent="0.35">
      <c r="A11" s="1" t="s">
        <v>319</v>
      </c>
      <c r="B11" t="s">
        <v>242</v>
      </c>
    </row>
    <row r="12" spans="1:2" x14ac:dyDescent="0.35">
      <c r="A12" s="1" t="s">
        <v>320</v>
      </c>
      <c r="B12" t="s">
        <v>321</v>
      </c>
    </row>
    <row r="13" spans="1:2" x14ac:dyDescent="0.35">
      <c r="A13" s="1" t="s">
        <v>322</v>
      </c>
      <c r="B13" t="s">
        <v>242</v>
      </c>
    </row>
    <row r="14" spans="1:2" x14ac:dyDescent="0.35">
      <c r="A14" s="1" t="s">
        <v>323</v>
      </c>
      <c r="B14" t="s">
        <v>324</v>
      </c>
    </row>
    <row r="15" spans="1:2" x14ac:dyDescent="0.35">
      <c r="A15" s="1" t="s">
        <v>325</v>
      </c>
      <c r="B15" t="s">
        <v>274</v>
      </c>
    </row>
    <row r="16" spans="1:2" x14ac:dyDescent="0.35">
      <c r="A16" s="1" t="s">
        <v>326</v>
      </c>
      <c r="B16" t="s">
        <v>327</v>
      </c>
    </row>
    <row r="17" spans="1:2" x14ac:dyDescent="0.35">
      <c r="A17" s="1" t="s">
        <v>328</v>
      </c>
      <c r="B17" t="s">
        <v>329</v>
      </c>
    </row>
    <row r="18" spans="1:2" x14ac:dyDescent="0.35">
      <c r="A18" s="1" t="s">
        <v>330</v>
      </c>
      <c r="B18" t="s">
        <v>331</v>
      </c>
    </row>
    <row r="19" spans="1:2" x14ac:dyDescent="0.35">
      <c r="A19" s="1" t="s">
        <v>332</v>
      </c>
      <c r="B19" t="s">
        <v>333</v>
      </c>
    </row>
    <row r="20" spans="1:2" x14ac:dyDescent="0.35">
      <c r="A20" s="1" t="s">
        <v>334</v>
      </c>
      <c r="B20" t="s">
        <v>335</v>
      </c>
    </row>
    <row r="21" spans="1:2" x14ac:dyDescent="0.35">
      <c r="A21" s="1" t="s">
        <v>336</v>
      </c>
      <c r="B21" t="s">
        <v>337</v>
      </c>
    </row>
    <row r="22" spans="1:2" x14ac:dyDescent="0.35">
      <c r="A22" s="1" t="s">
        <v>338</v>
      </c>
      <c r="B22" t="s">
        <v>339</v>
      </c>
    </row>
    <row r="23" spans="1:2" x14ac:dyDescent="0.35">
      <c r="A23" s="1" t="s">
        <v>340</v>
      </c>
      <c r="B23" t="s">
        <v>341</v>
      </c>
    </row>
    <row r="24" spans="1:2" x14ac:dyDescent="0.35">
      <c r="A24" s="1" t="s">
        <v>148</v>
      </c>
      <c r="B24">
        <v>-117</v>
      </c>
    </row>
    <row r="25" spans="1:2" x14ac:dyDescent="0.35">
      <c r="A25" s="1" t="s">
        <v>342</v>
      </c>
      <c r="B25" t="s">
        <v>343</v>
      </c>
    </row>
    <row r="26" spans="1:2" x14ac:dyDescent="0.35">
      <c r="A26" s="1" t="s">
        <v>152</v>
      </c>
      <c r="B26" t="s">
        <v>344</v>
      </c>
    </row>
    <row r="27" spans="1:2" x14ac:dyDescent="0.35">
      <c r="A27" s="1" t="s">
        <v>345</v>
      </c>
      <c r="B27" t="s">
        <v>344</v>
      </c>
    </row>
    <row r="28" spans="1:2" x14ac:dyDescent="0.35">
      <c r="A28" s="1" t="s">
        <v>346</v>
      </c>
      <c r="B28" t="s">
        <v>258</v>
      </c>
    </row>
    <row r="29" spans="1:2" x14ac:dyDescent="0.35">
      <c r="A29" s="1" t="s">
        <v>347</v>
      </c>
      <c r="B29" t="s">
        <v>258</v>
      </c>
    </row>
    <row r="31" spans="1:2" x14ac:dyDescent="0.35">
      <c r="A31" s="3" t="s">
        <v>348</v>
      </c>
      <c r="B31" s="2">
        <f>B4/B2</f>
        <v>-3.2258064516129031E-2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0"/>
  <sheetViews>
    <sheetView workbookViewId="0"/>
  </sheetViews>
  <sheetFormatPr defaultRowHeight="14.5" x14ac:dyDescent="0.35"/>
  <sheetData>
    <row r="1" spans="1:2" x14ac:dyDescent="0.35">
      <c r="B1" s="1" t="s">
        <v>305</v>
      </c>
    </row>
    <row r="2" spans="1:2" x14ac:dyDescent="0.35">
      <c r="A2" s="1" t="s">
        <v>349</v>
      </c>
      <c r="B2" t="s">
        <v>350</v>
      </c>
    </row>
    <row r="3" spans="1:2" x14ac:dyDescent="0.35">
      <c r="A3" s="1" t="s">
        <v>351</v>
      </c>
      <c r="B3" t="s">
        <v>242</v>
      </c>
    </row>
    <row r="4" spans="1:2" x14ac:dyDescent="0.35">
      <c r="A4" s="1" t="s">
        <v>352</v>
      </c>
      <c r="B4" t="s">
        <v>350</v>
      </c>
    </row>
    <row r="5" spans="1:2" x14ac:dyDescent="0.35">
      <c r="A5" s="1" t="s">
        <v>353</v>
      </c>
      <c r="B5" t="s">
        <v>354</v>
      </c>
    </row>
    <row r="6" spans="1:2" x14ac:dyDescent="0.35">
      <c r="A6" s="1" t="s">
        <v>355</v>
      </c>
      <c r="B6" t="s">
        <v>356</v>
      </c>
    </row>
    <row r="7" spans="1:2" x14ac:dyDescent="0.35">
      <c r="A7" s="1" t="s">
        <v>357</v>
      </c>
      <c r="B7" t="s">
        <v>358</v>
      </c>
    </row>
    <row r="8" spans="1:2" x14ac:dyDescent="0.35">
      <c r="A8" s="1" t="s">
        <v>359</v>
      </c>
      <c r="B8" t="s">
        <v>360</v>
      </c>
    </row>
    <row r="9" spans="1:2" x14ac:dyDescent="0.35">
      <c r="A9" s="1" t="s">
        <v>172</v>
      </c>
      <c r="B9" t="s">
        <v>361</v>
      </c>
    </row>
    <row r="10" spans="1:2" x14ac:dyDescent="0.35">
      <c r="A10" s="1" t="s">
        <v>174</v>
      </c>
      <c r="B10" t="s">
        <v>362</v>
      </c>
    </row>
    <row r="11" spans="1:2" x14ac:dyDescent="0.35">
      <c r="A11" s="1" t="s">
        <v>363</v>
      </c>
      <c r="B11" t="s">
        <v>364</v>
      </c>
    </row>
    <row r="12" spans="1:2" x14ac:dyDescent="0.35">
      <c r="A12" s="1" t="s">
        <v>365</v>
      </c>
      <c r="B12" t="s">
        <v>366</v>
      </c>
    </row>
    <row r="13" spans="1:2" x14ac:dyDescent="0.35">
      <c r="A13" s="1" t="s">
        <v>367</v>
      </c>
      <c r="B13" t="s">
        <v>242</v>
      </c>
    </row>
    <row r="14" spans="1:2" x14ac:dyDescent="0.35">
      <c r="A14" s="1" t="s">
        <v>368</v>
      </c>
      <c r="B14" t="s">
        <v>324</v>
      </c>
    </row>
    <row r="15" spans="1:2" x14ac:dyDescent="0.35">
      <c r="A15" s="1" t="s">
        <v>369</v>
      </c>
      <c r="B15" t="s">
        <v>324</v>
      </c>
    </row>
    <row r="16" spans="1:2" x14ac:dyDescent="0.35">
      <c r="A16" s="1" t="s">
        <v>370</v>
      </c>
      <c r="B16" t="s">
        <v>371</v>
      </c>
    </row>
    <row r="17" spans="1:2" x14ac:dyDescent="0.35">
      <c r="A17" s="1" t="s">
        <v>372</v>
      </c>
      <c r="B17" t="s">
        <v>242</v>
      </c>
    </row>
    <row r="18" spans="1:2" x14ac:dyDescent="0.35">
      <c r="A18" s="1" t="s">
        <v>373</v>
      </c>
      <c r="B18" t="s">
        <v>374</v>
      </c>
    </row>
    <row r="19" spans="1:2" x14ac:dyDescent="0.35">
      <c r="A19" s="1" t="s">
        <v>375</v>
      </c>
      <c r="B19" t="s">
        <v>376</v>
      </c>
    </row>
    <row r="20" spans="1:2" x14ac:dyDescent="0.35">
      <c r="A20" s="1" t="s">
        <v>377</v>
      </c>
      <c r="B20" t="s">
        <v>376</v>
      </c>
    </row>
    <row r="21" spans="1:2" x14ac:dyDescent="0.35">
      <c r="A21" s="1" t="s">
        <v>378</v>
      </c>
      <c r="B21" t="s">
        <v>242</v>
      </c>
    </row>
    <row r="22" spans="1:2" x14ac:dyDescent="0.35">
      <c r="A22" s="1" t="s">
        <v>379</v>
      </c>
      <c r="B22" t="s">
        <v>242</v>
      </c>
    </row>
    <row r="23" spans="1:2" x14ac:dyDescent="0.35">
      <c r="A23" s="1" t="s">
        <v>380</v>
      </c>
      <c r="B23" t="s">
        <v>381</v>
      </c>
    </row>
    <row r="24" spans="1:2" x14ac:dyDescent="0.35">
      <c r="A24" s="1" t="s">
        <v>382</v>
      </c>
      <c r="B24" t="s">
        <v>383</v>
      </c>
    </row>
    <row r="25" spans="1:2" x14ac:dyDescent="0.35">
      <c r="A25" s="1" t="s">
        <v>384</v>
      </c>
      <c r="B25" t="s">
        <v>242</v>
      </c>
    </row>
    <row r="26" spans="1:2" x14ac:dyDescent="0.35">
      <c r="A26" s="1" t="s">
        <v>385</v>
      </c>
      <c r="B26" t="s">
        <v>386</v>
      </c>
    </row>
    <row r="27" spans="1:2" x14ac:dyDescent="0.35">
      <c r="A27" s="1" t="s">
        <v>387</v>
      </c>
      <c r="B27" t="s">
        <v>388</v>
      </c>
    </row>
    <row r="28" spans="1:2" x14ac:dyDescent="0.35">
      <c r="A28" s="1" t="s">
        <v>389</v>
      </c>
      <c r="B28" t="s">
        <v>388</v>
      </c>
    </row>
    <row r="29" spans="1:2" x14ac:dyDescent="0.35">
      <c r="A29" s="1" t="s">
        <v>390</v>
      </c>
      <c r="B29" t="s">
        <v>242</v>
      </c>
    </row>
    <row r="30" spans="1:2" x14ac:dyDescent="0.35">
      <c r="A30" s="1" t="s">
        <v>391</v>
      </c>
      <c r="B30" t="s">
        <v>242</v>
      </c>
    </row>
    <row r="31" spans="1:2" x14ac:dyDescent="0.35">
      <c r="A31" s="1" t="s">
        <v>392</v>
      </c>
      <c r="B31" t="s">
        <v>393</v>
      </c>
    </row>
    <row r="32" spans="1:2" x14ac:dyDescent="0.35">
      <c r="A32" s="1" t="s">
        <v>394</v>
      </c>
      <c r="B32" t="s">
        <v>242</v>
      </c>
    </row>
    <row r="33" spans="1:2" x14ac:dyDescent="0.35">
      <c r="A33" s="1" t="s">
        <v>206</v>
      </c>
      <c r="B33" t="s">
        <v>386</v>
      </c>
    </row>
    <row r="34" spans="1:2" x14ac:dyDescent="0.35">
      <c r="A34" s="1" t="s">
        <v>395</v>
      </c>
      <c r="B34" t="s">
        <v>396</v>
      </c>
    </row>
    <row r="35" spans="1:2" x14ac:dyDescent="0.35">
      <c r="A35" s="1" t="s">
        <v>397</v>
      </c>
      <c r="B35" t="s">
        <v>398</v>
      </c>
    </row>
    <row r="36" spans="1:2" x14ac:dyDescent="0.35">
      <c r="A36" s="1" t="s">
        <v>399</v>
      </c>
      <c r="B36" t="s">
        <v>400</v>
      </c>
    </row>
    <row r="37" spans="1:2" x14ac:dyDescent="0.35">
      <c r="A37" s="1" t="s">
        <v>401</v>
      </c>
      <c r="B37" t="s">
        <v>291</v>
      </c>
    </row>
    <row r="38" spans="1:2" x14ac:dyDescent="0.35">
      <c r="A38" s="1" t="s">
        <v>402</v>
      </c>
      <c r="B38" t="s">
        <v>374</v>
      </c>
    </row>
    <row r="39" spans="1:2" x14ac:dyDescent="0.35">
      <c r="A39" s="1" t="s">
        <v>403</v>
      </c>
      <c r="B39" t="s">
        <v>242</v>
      </c>
    </row>
    <row r="40" spans="1:2" x14ac:dyDescent="0.35">
      <c r="A40" s="1" t="s">
        <v>404</v>
      </c>
      <c r="B40" t="s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9"/>
  <sheetViews>
    <sheetView workbookViewId="0"/>
  </sheetViews>
  <sheetFormatPr defaultRowHeight="14.5" x14ac:dyDescent="0.35"/>
  <sheetData>
    <row r="1" spans="1:2" x14ac:dyDescent="0.35">
      <c r="B1" s="1" t="s">
        <v>305</v>
      </c>
    </row>
    <row r="2" spans="1:2" x14ac:dyDescent="0.35">
      <c r="A2" s="1" t="s">
        <v>148</v>
      </c>
      <c r="B2" t="s">
        <v>277</v>
      </c>
    </row>
    <row r="3" spans="1:2" x14ac:dyDescent="0.35">
      <c r="A3" s="1" t="s">
        <v>325</v>
      </c>
      <c r="B3" t="s">
        <v>274</v>
      </c>
    </row>
    <row r="4" spans="1:2" x14ac:dyDescent="0.35">
      <c r="A4" s="1" t="s">
        <v>405</v>
      </c>
      <c r="B4" t="s">
        <v>406</v>
      </c>
    </row>
    <row r="5" spans="1:2" x14ac:dyDescent="0.35">
      <c r="A5" s="1" t="s">
        <v>407</v>
      </c>
      <c r="B5" t="s">
        <v>408</v>
      </c>
    </row>
    <row r="6" spans="1:2" x14ac:dyDescent="0.35">
      <c r="A6" s="1" t="s">
        <v>409</v>
      </c>
      <c r="B6" t="s">
        <v>410</v>
      </c>
    </row>
    <row r="7" spans="1:2" x14ac:dyDescent="0.35">
      <c r="A7" s="1" t="s">
        <v>411</v>
      </c>
      <c r="B7" t="s">
        <v>410</v>
      </c>
    </row>
    <row r="8" spans="1:2" x14ac:dyDescent="0.35">
      <c r="A8" s="1" t="s">
        <v>355</v>
      </c>
      <c r="B8" t="s">
        <v>412</v>
      </c>
    </row>
    <row r="9" spans="1:2" x14ac:dyDescent="0.35">
      <c r="A9" s="1" t="s">
        <v>375</v>
      </c>
      <c r="B9" t="s">
        <v>242</v>
      </c>
    </row>
    <row r="10" spans="1:2" x14ac:dyDescent="0.35">
      <c r="A10" s="1" t="s">
        <v>413</v>
      </c>
      <c r="B10" t="s">
        <v>414</v>
      </c>
    </row>
    <row r="11" spans="1:2" x14ac:dyDescent="0.35">
      <c r="A11" s="1" t="s">
        <v>415</v>
      </c>
      <c r="B11" t="s">
        <v>416</v>
      </c>
    </row>
    <row r="12" spans="1:2" x14ac:dyDescent="0.35">
      <c r="A12" s="1" t="s">
        <v>417</v>
      </c>
      <c r="B12" t="s">
        <v>418</v>
      </c>
    </row>
    <row r="13" spans="1:2" x14ac:dyDescent="0.35">
      <c r="A13" s="1" t="s">
        <v>419</v>
      </c>
      <c r="B13" t="s">
        <v>420</v>
      </c>
    </row>
    <row r="14" spans="1:2" x14ac:dyDescent="0.35">
      <c r="A14" s="1" t="s">
        <v>421</v>
      </c>
      <c r="B14" t="s">
        <v>242</v>
      </c>
    </row>
    <row r="15" spans="1:2" x14ac:dyDescent="0.35">
      <c r="A15" s="1" t="s">
        <v>422</v>
      </c>
      <c r="B15" t="s">
        <v>242</v>
      </c>
    </row>
    <row r="16" spans="1:2" x14ac:dyDescent="0.35">
      <c r="A16" s="1" t="s">
        <v>423</v>
      </c>
      <c r="B16" t="s">
        <v>242</v>
      </c>
    </row>
    <row r="17" spans="1:2" x14ac:dyDescent="0.35">
      <c r="A17" s="1" t="s">
        <v>424</v>
      </c>
      <c r="B17" t="s">
        <v>425</v>
      </c>
    </row>
    <row r="18" spans="1:2" x14ac:dyDescent="0.35">
      <c r="A18" s="1" t="s">
        <v>426</v>
      </c>
      <c r="B18" t="s">
        <v>427</v>
      </c>
    </row>
    <row r="19" spans="1:2" x14ac:dyDescent="0.35">
      <c r="A19" s="1" t="s">
        <v>428</v>
      </c>
      <c r="B19" t="s">
        <v>242</v>
      </c>
    </row>
    <row r="20" spans="1:2" x14ac:dyDescent="0.35">
      <c r="A20" s="1" t="s">
        <v>429</v>
      </c>
      <c r="B20" t="s">
        <v>376</v>
      </c>
    </row>
    <row r="21" spans="1:2" x14ac:dyDescent="0.35">
      <c r="A21" s="1" t="s">
        <v>430</v>
      </c>
      <c r="B21" t="s">
        <v>242</v>
      </c>
    </row>
    <row r="22" spans="1:2" x14ac:dyDescent="0.35">
      <c r="A22" s="1" t="s">
        <v>431</v>
      </c>
      <c r="B22" t="s">
        <v>242</v>
      </c>
    </row>
    <row r="23" spans="1:2" x14ac:dyDescent="0.35">
      <c r="A23" s="1" t="s">
        <v>432</v>
      </c>
      <c r="B23" t="s">
        <v>433</v>
      </c>
    </row>
    <row r="24" spans="1:2" x14ac:dyDescent="0.35">
      <c r="A24" s="1" t="s">
        <v>434</v>
      </c>
      <c r="B24" t="s">
        <v>435</v>
      </c>
    </row>
    <row r="25" spans="1:2" x14ac:dyDescent="0.35">
      <c r="A25" s="1" t="s">
        <v>436</v>
      </c>
      <c r="B25" t="s">
        <v>437</v>
      </c>
    </row>
    <row r="26" spans="1:2" x14ac:dyDescent="0.35">
      <c r="A26" s="1" t="s">
        <v>438</v>
      </c>
      <c r="B26" t="s">
        <v>439</v>
      </c>
    </row>
    <row r="27" spans="1:2" x14ac:dyDescent="0.35">
      <c r="A27" s="1" t="s">
        <v>440</v>
      </c>
      <c r="B27" t="s">
        <v>441</v>
      </c>
    </row>
    <row r="28" spans="1:2" x14ac:dyDescent="0.35">
      <c r="A28" s="1" t="s">
        <v>442</v>
      </c>
      <c r="B28" t="s">
        <v>242</v>
      </c>
    </row>
    <row r="29" spans="1:2" x14ac:dyDescent="0.35">
      <c r="A29" s="1" t="s">
        <v>443</v>
      </c>
      <c r="B29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Info</vt:lpstr>
      <vt:lpstr>Model</vt:lpstr>
      <vt:lpstr>Missions</vt:lpstr>
      <vt:lpstr>Summary</vt:lpstr>
      <vt:lpstr>Income Statement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2022-08-14T22:27:05Z</dcterms:created>
  <dcterms:modified xsi:type="dcterms:W3CDTF">2023-10-02T09:32:43Z</dcterms:modified>
</cp:coreProperties>
</file>