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534a1defcf7f9d1a/Company Models CloudSave/RKLB/"/>
    </mc:Choice>
  </mc:AlternateContent>
  <xr:revisionPtr revIDLastSave="3845" documentId="11_32F529B52D6BE98CFA6CB7C5EF4E847091985DFA" xr6:coauthVersionLast="47" xr6:coauthVersionMax="47" xr10:uidLastSave="{31352726-84BB-4DE4-AA1F-E593E947CB4B}"/>
  <bookViews>
    <workbookView xWindow="38290" yWindow="300" windowWidth="38620" windowHeight="21820" activeTab="1" xr2:uid="{00000000-000D-0000-FFFF-FFFF00000000}"/>
  </bookViews>
  <sheets>
    <sheet name="Main" sheetId="1" r:id="rId1"/>
    <sheet name="Info" sheetId="2" r:id="rId2"/>
    <sheet name="Model" sheetId="3" r:id="rId3"/>
    <sheet name="Competition" sheetId="9" r:id="rId4"/>
    <sheet name="Acquisitions" sheetId="16" r:id="rId5"/>
    <sheet name="Analysis" sheetId="14" r:id="rId6"/>
    <sheet name="Missions" sheetId="11" r:id="rId7"/>
    <sheet name="Highlights" sheetId="18" r:id="rId8"/>
    <sheet name="Contracts" sheetId="15" r:id="rId9"/>
    <sheet name="Management" sheetId="17"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1" i="11" l="1"/>
  <c r="A25" i="11"/>
  <c r="A26" i="11"/>
  <c r="A27" i="11"/>
  <c r="A28" i="11"/>
  <c r="A29" i="11"/>
  <c r="S170" i="3"/>
  <c r="S169" i="3"/>
  <c r="S168" i="3"/>
  <c r="S167" i="3"/>
  <c r="S164" i="3"/>
  <c r="S165" i="3" s="1"/>
  <c r="S163" i="3"/>
  <c r="S156" i="3"/>
  <c r="S155" i="3"/>
  <c r="S154" i="3"/>
  <c r="S153" i="3"/>
  <c r="S152" i="3"/>
  <c r="S151" i="3"/>
  <c r="S150" i="3"/>
  <c r="S149" i="3"/>
  <c r="S148" i="3"/>
  <c r="S147" i="3"/>
  <c r="S144" i="3"/>
  <c r="S143" i="3"/>
  <c r="S142" i="3"/>
  <c r="S141" i="3"/>
  <c r="S140" i="3"/>
  <c r="S139" i="3"/>
  <c r="S138" i="3"/>
  <c r="S137" i="3"/>
  <c r="S136" i="3"/>
  <c r="S133" i="3"/>
  <c r="S132" i="3"/>
  <c r="S131" i="3"/>
  <c r="S130" i="3"/>
  <c r="S129" i="3"/>
  <c r="S128" i="3"/>
  <c r="S124" i="3"/>
  <c r="S123" i="3"/>
  <c r="S122" i="3"/>
  <c r="S121" i="3"/>
  <c r="S120" i="3"/>
  <c r="S119" i="3"/>
  <c r="S118" i="3"/>
  <c r="S117" i="3"/>
  <c r="S116" i="3"/>
  <c r="S115" i="3"/>
  <c r="S114" i="3"/>
  <c r="S111" i="3"/>
  <c r="S110" i="3"/>
  <c r="S109" i="3"/>
  <c r="S108" i="3"/>
  <c r="S107" i="3"/>
  <c r="S106" i="3"/>
  <c r="S105" i="3"/>
  <c r="T112" i="3"/>
  <c r="U112" i="3"/>
  <c r="V112" i="3"/>
  <c r="W112" i="3"/>
  <c r="X112" i="3"/>
  <c r="Y112" i="3"/>
  <c r="V187" i="3"/>
  <c r="W187" i="3" s="1"/>
  <c r="T187" i="3"/>
  <c r="V186" i="3"/>
  <c r="T186" i="3"/>
  <c r="T185" i="3"/>
  <c r="U185" i="3" s="1"/>
  <c r="V185" i="3" s="1"/>
  <c r="W185" i="3" s="1"/>
  <c r="W184" i="3"/>
  <c r="V184" i="3"/>
  <c r="T184" i="3"/>
  <c r="U182" i="3"/>
  <c r="U181" i="3"/>
  <c r="T181" i="3"/>
  <c r="V181" i="3" s="1"/>
  <c r="W181" i="3" s="1"/>
  <c r="U180" i="3"/>
  <c r="V180" i="3" s="1"/>
  <c r="T180" i="3"/>
  <c r="T182" i="3" s="1"/>
  <c r="R187" i="3"/>
  <c r="P187" i="3"/>
  <c r="R186" i="3"/>
  <c r="P186" i="3"/>
  <c r="P185" i="3"/>
  <c r="Q185" i="3" s="1"/>
  <c r="R185" i="3" s="1"/>
  <c r="R184" i="3"/>
  <c r="S184" i="3" s="1"/>
  <c r="P184" i="3"/>
  <c r="Q181" i="3"/>
  <c r="R181" i="3" s="1"/>
  <c r="P181" i="3"/>
  <c r="Q180" i="3"/>
  <c r="R180" i="3" s="1"/>
  <c r="P180" i="3"/>
  <c r="P182" i="3" s="1"/>
  <c r="V12" i="3"/>
  <c r="V16" i="3" s="1"/>
  <c r="W12" i="3"/>
  <c r="W16" i="3" s="1"/>
  <c r="X12" i="3"/>
  <c r="X16" i="3" s="1"/>
  <c r="Y12" i="3"/>
  <c r="Y15" i="3" s="1"/>
  <c r="V15" i="3"/>
  <c r="W15" i="3"/>
  <c r="X15" i="3"/>
  <c r="V26" i="3"/>
  <c r="W26" i="3"/>
  <c r="X26" i="3"/>
  <c r="Y26" i="3"/>
  <c r="V38" i="3"/>
  <c r="W38" i="3"/>
  <c r="X38" i="3"/>
  <c r="Y38" i="3"/>
  <c r="V45" i="3"/>
  <c r="V46" i="3" s="1"/>
  <c r="W45" i="3"/>
  <c r="W46" i="3" s="1"/>
  <c r="X45" i="3"/>
  <c r="X46" i="3" s="1"/>
  <c r="Y45" i="3"/>
  <c r="Y46" i="3" s="1"/>
  <c r="V52" i="3"/>
  <c r="W52" i="3"/>
  <c r="W53" i="3" s="1"/>
  <c r="X52" i="3"/>
  <c r="X53" i="3" s="1"/>
  <c r="Y52" i="3"/>
  <c r="Y53" i="3" s="1"/>
  <c r="V53" i="3"/>
  <c r="V54" i="3"/>
  <c r="W54" i="3"/>
  <c r="X54" i="3"/>
  <c r="Y54" i="3"/>
  <c r="V59" i="3"/>
  <c r="W59" i="3"/>
  <c r="W61" i="3" s="1"/>
  <c r="X59" i="3"/>
  <c r="X61" i="3" s="1"/>
  <c r="Y59" i="3"/>
  <c r="V60" i="3"/>
  <c r="W60" i="3"/>
  <c r="X60" i="3"/>
  <c r="Y60" i="3"/>
  <c r="Y61" i="3" s="1"/>
  <c r="V61" i="3"/>
  <c r="V69" i="3"/>
  <c r="V95" i="3" s="1"/>
  <c r="W69" i="3"/>
  <c r="W95" i="3" s="1"/>
  <c r="X69" i="3"/>
  <c r="X95" i="3" s="1"/>
  <c r="Y69" i="3"/>
  <c r="Y95" i="3" s="1"/>
  <c r="V73" i="3"/>
  <c r="W73" i="3"/>
  <c r="X73" i="3"/>
  <c r="Y73" i="3"/>
  <c r="W74" i="3"/>
  <c r="W79" i="3" s="1"/>
  <c r="W81" i="3" s="1"/>
  <c r="Y74" i="3"/>
  <c r="Y79" i="3" s="1"/>
  <c r="Y81" i="3" s="1"/>
  <c r="V125" i="3"/>
  <c r="V126" i="3" s="1"/>
  <c r="W125" i="3"/>
  <c r="X125" i="3"/>
  <c r="Y125" i="3"/>
  <c r="W126" i="3"/>
  <c r="X126" i="3"/>
  <c r="Y126" i="3"/>
  <c r="V134" i="3"/>
  <c r="W134" i="3"/>
  <c r="X134" i="3"/>
  <c r="Y134" i="3"/>
  <c r="V144" i="3"/>
  <c r="V145" i="3" s="1"/>
  <c r="V158" i="3" s="1"/>
  <c r="W144" i="3"/>
  <c r="W145" i="3" s="1"/>
  <c r="W158" i="3" s="1"/>
  <c r="X144" i="3"/>
  <c r="X145" i="3" s="1"/>
  <c r="X158" i="3" s="1"/>
  <c r="Y144" i="3"/>
  <c r="Y145" i="3" s="1"/>
  <c r="Y158" i="3" s="1"/>
  <c r="V157" i="3"/>
  <c r="W157" i="3"/>
  <c r="X157" i="3"/>
  <c r="Y157" i="3"/>
  <c r="V165" i="3"/>
  <c r="W165" i="3"/>
  <c r="X165" i="3"/>
  <c r="Y165" i="3"/>
  <c r="X182" i="3"/>
  <c r="Y182" i="3"/>
  <c r="W194" i="3"/>
  <c r="X194" i="3"/>
  <c r="X199" i="3" s="1"/>
  <c r="Y194" i="3"/>
  <c r="Y199" i="3" s="1"/>
  <c r="V195" i="3"/>
  <c r="V194" i="3" s="1"/>
  <c r="W195" i="3"/>
  <c r="X195" i="3"/>
  <c r="Y195" i="3"/>
  <c r="X196" i="3"/>
  <c r="W198" i="3"/>
  <c r="X198" i="3"/>
  <c r="B5" i="1"/>
  <c r="AL3" i="3"/>
  <c r="AM3" i="3"/>
  <c r="AN3" i="3" s="1"/>
  <c r="AO3" i="3" s="1"/>
  <c r="AP3" i="3" s="1"/>
  <c r="AQ3" i="3" s="1"/>
  <c r="AR3" i="3" s="1"/>
  <c r="AK3" i="3"/>
  <c r="AL194" i="3"/>
  <c r="AL199" i="3" s="1"/>
  <c r="AM194" i="3"/>
  <c r="AM199" i="3" s="1"/>
  <c r="AJ195" i="3"/>
  <c r="AJ194" i="3" s="1"/>
  <c r="AK195" i="3"/>
  <c r="AK194" i="3" s="1"/>
  <c r="AL195" i="3"/>
  <c r="AM195" i="3"/>
  <c r="S46" i="3"/>
  <c r="U46" i="3"/>
  <c r="S45" i="3"/>
  <c r="T45" i="3"/>
  <c r="T46" i="3" s="1"/>
  <c r="U45" i="3"/>
  <c r="S44" i="3"/>
  <c r="S43" i="3"/>
  <c r="S54" i="3" s="1"/>
  <c r="S59" i="3"/>
  <c r="S61" i="3" s="1"/>
  <c r="T59" i="3"/>
  <c r="U59" i="3"/>
  <c r="S60" i="3"/>
  <c r="T60" i="3"/>
  <c r="U60" i="3"/>
  <c r="U61" i="3" s="1"/>
  <c r="S53" i="3"/>
  <c r="U53" i="3"/>
  <c r="S52" i="3"/>
  <c r="T52" i="3"/>
  <c r="T53" i="3" s="1"/>
  <c r="U52" i="3"/>
  <c r="S51" i="3"/>
  <c r="S50" i="3"/>
  <c r="S25" i="3"/>
  <c r="S24" i="3"/>
  <c r="S15" i="3"/>
  <c r="U15" i="3"/>
  <c r="S16" i="3"/>
  <c r="U16" i="3"/>
  <c r="S11" i="3"/>
  <c r="S10" i="3"/>
  <c r="C10" i="11"/>
  <c r="S4" i="9"/>
  <c r="S17" i="9"/>
  <c r="Q19" i="9"/>
  <c r="T19" i="9"/>
  <c r="S19" i="9"/>
  <c r="M19" i="9"/>
  <c r="T17" i="9"/>
  <c r="Q17" i="9"/>
  <c r="M17" i="9"/>
  <c r="T15" i="9"/>
  <c r="S15" i="9"/>
  <c r="Q15" i="9"/>
  <c r="M15" i="9"/>
  <c r="T14" i="9"/>
  <c r="S14" i="9"/>
  <c r="Q14" i="9"/>
  <c r="M14" i="9"/>
  <c r="T12" i="9"/>
  <c r="S12" i="9"/>
  <c r="Q12" i="9"/>
  <c r="T11" i="9"/>
  <c r="S11" i="9"/>
  <c r="Q11" i="9"/>
  <c r="M11" i="9"/>
  <c r="T9" i="9"/>
  <c r="S9" i="9"/>
  <c r="Q9" i="9"/>
  <c r="T8" i="9"/>
  <c r="S8" i="9"/>
  <c r="T7" i="9"/>
  <c r="S7" i="9"/>
  <c r="T5" i="9"/>
  <c r="S5" i="9"/>
  <c r="T4" i="9"/>
  <c r="Q8" i="9"/>
  <c r="M8" i="9"/>
  <c r="Q7" i="9"/>
  <c r="M7" i="9"/>
  <c r="Q5" i="9"/>
  <c r="M5" i="9"/>
  <c r="Q4" i="9"/>
  <c r="M4" i="9"/>
  <c r="S68" i="3"/>
  <c r="S67" i="3"/>
  <c r="T69" i="3"/>
  <c r="T95" i="3" s="1"/>
  <c r="U69" i="3"/>
  <c r="Z69" i="3"/>
  <c r="AA69" i="3"/>
  <c r="S86" i="3"/>
  <c r="S83" i="3"/>
  <c r="S82" i="3"/>
  <c r="S80" i="3"/>
  <c r="Z79" i="3"/>
  <c r="Z81" i="3" s="1"/>
  <c r="Z84" i="3" s="1"/>
  <c r="Z85" i="3" s="1"/>
  <c r="S78" i="3"/>
  <c r="S77" i="3"/>
  <c r="S76" i="3"/>
  <c r="S75" i="3"/>
  <c r="T73" i="3"/>
  <c r="U73" i="3"/>
  <c r="Z73" i="3"/>
  <c r="Z74" i="3" s="1"/>
  <c r="AA73" i="3"/>
  <c r="S72" i="3"/>
  <c r="S73" i="3" s="1"/>
  <c r="S71" i="3"/>
  <c r="AH176" i="3"/>
  <c r="AI174" i="3"/>
  <c r="AI176" i="3" s="1"/>
  <c r="AJ174" i="3"/>
  <c r="AJ176" i="3" s="1"/>
  <c r="AK174" i="3"/>
  <c r="AK176" i="3" s="1"/>
  <c r="AL174" i="3"/>
  <c r="AL176" i="3" s="1"/>
  <c r="AM174" i="3"/>
  <c r="AM176" i="3" s="1"/>
  <c r="AN174" i="3"/>
  <c r="AN176" i="3" s="1"/>
  <c r="AG174" i="3"/>
  <c r="AG176" i="3" s="1"/>
  <c r="AH174" i="3"/>
  <c r="O167" i="3"/>
  <c r="AJ59" i="3"/>
  <c r="AK59" i="3"/>
  <c r="AL59" i="3"/>
  <c r="AM59" i="3"/>
  <c r="AN59" i="3"/>
  <c r="AO59" i="3"/>
  <c r="AP59" i="3"/>
  <c r="AQ59" i="3"/>
  <c r="AR59" i="3"/>
  <c r="AJ60" i="3"/>
  <c r="AK60" i="3"/>
  <c r="AL60" i="3"/>
  <c r="AM60" i="3"/>
  <c r="AN60" i="3"/>
  <c r="AO60" i="3"/>
  <c r="AP60" i="3"/>
  <c r="AQ60" i="3"/>
  <c r="AR60" i="3"/>
  <c r="AJ50" i="3"/>
  <c r="AJ52" i="3" s="1"/>
  <c r="AJ53" i="3" s="1"/>
  <c r="AK50" i="3"/>
  <c r="AK52" i="3" s="1"/>
  <c r="AK53" i="3" s="1"/>
  <c r="AL50" i="3"/>
  <c r="AL52" i="3" s="1"/>
  <c r="AL53" i="3" s="1"/>
  <c r="AM50" i="3"/>
  <c r="AM52" i="3" s="1"/>
  <c r="AM53" i="3" s="1"/>
  <c r="AN50" i="3"/>
  <c r="AN52" i="3" s="1"/>
  <c r="AN53" i="3" s="1"/>
  <c r="AO50" i="3"/>
  <c r="AO52" i="3" s="1"/>
  <c r="AO53" i="3" s="1"/>
  <c r="AP50" i="3"/>
  <c r="AP52" i="3" s="1"/>
  <c r="AP53" i="3" s="1"/>
  <c r="AQ50" i="3"/>
  <c r="AQ52" i="3" s="1"/>
  <c r="AQ53" i="3" s="1"/>
  <c r="AR50" i="3"/>
  <c r="AR52" i="3" s="1"/>
  <c r="AR53" i="3" s="1"/>
  <c r="AJ43" i="3"/>
  <c r="AJ45" i="3" s="1"/>
  <c r="AJ46" i="3" s="1"/>
  <c r="AK43" i="3"/>
  <c r="AK45" i="3" s="1"/>
  <c r="AK46" i="3" s="1"/>
  <c r="AL43" i="3"/>
  <c r="AL45" i="3" s="1"/>
  <c r="AL46" i="3" s="1"/>
  <c r="AM43" i="3"/>
  <c r="AM45" i="3" s="1"/>
  <c r="AM46" i="3" s="1"/>
  <c r="AN43" i="3"/>
  <c r="AO43" i="3"/>
  <c r="AO45" i="3" s="1"/>
  <c r="AO46" i="3" s="1"/>
  <c r="AP43" i="3"/>
  <c r="AP45" i="3" s="1"/>
  <c r="AP46" i="3" s="1"/>
  <c r="AQ43" i="3"/>
  <c r="AQ45" i="3" s="1"/>
  <c r="AQ46" i="3" s="1"/>
  <c r="AR43" i="3"/>
  <c r="AJ73" i="3"/>
  <c r="AK73" i="3"/>
  <c r="AL73" i="3"/>
  <c r="AM73" i="3"/>
  <c r="AN73" i="3"/>
  <c r="AO73" i="3"/>
  <c r="AP73" i="3"/>
  <c r="AQ73" i="3"/>
  <c r="AR73" i="3"/>
  <c r="AJ69" i="3"/>
  <c r="AJ89" i="3" s="1"/>
  <c r="AK69" i="3"/>
  <c r="AK89" i="3" s="1"/>
  <c r="AL69" i="3"/>
  <c r="AL89" i="3" s="1"/>
  <c r="AM69" i="3"/>
  <c r="AM90" i="3" s="1"/>
  <c r="AN69" i="3"/>
  <c r="AN89" i="3" s="1"/>
  <c r="AO69" i="3"/>
  <c r="AO90" i="3" s="1"/>
  <c r="AP69" i="3"/>
  <c r="AP90" i="3" s="1"/>
  <c r="AQ69" i="3"/>
  <c r="AQ90" i="3" s="1"/>
  <c r="AR69" i="3"/>
  <c r="AR90" i="3" s="1"/>
  <c r="AI112" i="3"/>
  <c r="AH112" i="3"/>
  <c r="AG112" i="3"/>
  <c r="AJ112" i="3"/>
  <c r="N112" i="3"/>
  <c r="M112" i="3"/>
  <c r="L112" i="3"/>
  <c r="K112" i="3"/>
  <c r="J112" i="3"/>
  <c r="I112" i="3"/>
  <c r="H112" i="3"/>
  <c r="F112" i="3"/>
  <c r="AH216" i="3"/>
  <c r="AI216" i="3"/>
  <c r="AJ216" i="3"/>
  <c r="AK216" i="3"/>
  <c r="AL216" i="3"/>
  <c r="AM216" i="3"/>
  <c r="AN216" i="3"/>
  <c r="AG216" i="3"/>
  <c r="J216" i="3"/>
  <c r="I216" i="3"/>
  <c r="H216" i="3"/>
  <c r="N216" i="3"/>
  <c r="M216" i="3"/>
  <c r="L216" i="3"/>
  <c r="R216" i="3"/>
  <c r="Q216" i="3"/>
  <c r="P216" i="3"/>
  <c r="J215" i="3"/>
  <c r="I215" i="3"/>
  <c r="H215" i="3"/>
  <c r="N215" i="3"/>
  <c r="M215" i="3"/>
  <c r="L215" i="3"/>
  <c r="P215" i="3"/>
  <c r="Q215" i="3"/>
  <c r="R215" i="3"/>
  <c r="AH215" i="3"/>
  <c r="AI215" i="3"/>
  <c r="AJ215" i="3"/>
  <c r="AK215" i="3"/>
  <c r="AL215" i="3"/>
  <c r="AM215" i="3"/>
  <c r="AN215" i="3"/>
  <c r="AG215" i="3"/>
  <c r="C9" i="14"/>
  <c r="B9" i="14"/>
  <c r="C8" i="14"/>
  <c r="B8" i="14"/>
  <c r="C7" i="14"/>
  <c r="B7" i="14"/>
  <c r="C6" i="14"/>
  <c r="B6" i="14"/>
  <c r="C5" i="14"/>
  <c r="C4" i="14"/>
  <c r="B4" i="14"/>
  <c r="D4" i="14" s="1"/>
  <c r="B5" i="14"/>
  <c r="C3" i="14"/>
  <c r="K12" i="3"/>
  <c r="K11" i="3"/>
  <c r="K10" i="3"/>
  <c r="O11" i="3"/>
  <c r="O10" i="3"/>
  <c r="G25" i="3"/>
  <c r="G24" i="3"/>
  <c r="K25" i="3"/>
  <c r="K24" i="3"/>
  <c r="O25" i="3"/>
  <c r="O24" i="3"/>
  <c r="H153" i="3"/>
  <c r="H157" i="3" s="1"/>
  <c r="G156" i="3"/>
  <c r="G155" i="3"/>
  <c r="G154" i="3"/>
  <c r="G152" i="3"/>
  <c r="G151" i="3"/>
  <c r="G150" i="3"/>
  <c r="G149" i="3"/>
  <c r="G148" i="3"/>
  <c r="G147" i="3"/>
  <c r="G143" i="3"/>
  <c r="G142" i="3"/>
  <c r="G141" i="3"/>
  <c r="G140" i="3"/>
  <c r="G139" i="3"/>
  <c r="G138" i="3"/>
  <c r="G137" i="3"/>
  <c r="G136" i="3"/>
  <c r="G133" i="3"/>
  <c r="G132" i="3"/>
  <c r="G131" i="3"/>
  <c r="G130" i="3"/>
  <c r="G129" i="3"/>
  <c r="G128" i="3"/>
  <c r="E125" i="3"/>
  <c r="E126" i="3" s="1"/>
  <c r="F125" i="3"/>
  <c r="H125" i="3"/>
  <c r="I125" i="3"/>
  <c r="D125" i="3"/>
  <c r="D126" i="3" s="1"/>
  <c r="G120" i="3"/>
  <c r="G121" i="3"/>
  <c r="G122" i="3"/>
  <c r="G123" i="3"/>
  <c r="G124" i="3"/>
  <c r="G119" i="3"/>
  <c r="G118" i="3"/>
  <c r="G117" i="3"/>
  <c r="G116" i="3"/>
  <c r="G115" i="3"/>
  <c r="G114" i="3"/>
  <c r="G110" i="3"/>
  <c r="G109" i="3"/>
  <c r="G108" i="3"/>
  <c r="G107" i="3"/>
  <c r="G106" i="3"/>
  <c r="G105" i="3"/>
  <c r="G209" i="3" s="1"/>
  <c r="AG153" i="3"/>
  <c r="AG157" i="3" s="1"/>
  <c r="O170" i="3"/>
  <c r="O169" i="3"/>
  <c r="O168" i="3"/>
  <c r="O164" i="3"/>
  <c r="O163" i="3"/>
  <c r="K86" i="3"/>
  <c r="K195" i="3" s="1"/>
  <c r="K194" i="3" s="1"/>
  <c r="K199" i="3" s="1"/>
  <c r="H195" i="3"/>
  <c r="H194" i="3" s="1"/>
  <c r="H199" i="3" s="1"/>
  <c r="I195" i="3"/>
  <c r="I194" i="3" s="1"/>
  <c r="I199" i="3" s="1"/>
  <c r="J195" i="3"/>
  <c r="J194" i="3" s="1"/>
  <c r="J199" i="3" s="1"/>
  <c r="M195" i="3"/>
  <c r="M194" i="3" s="1"/>
  <c r="N195" i="3"/>
  <c r="N194" i="3" s="1"/>
  <c r="O195" i="3"/>
  <c r="O194" i="3" s="1"/>
  <c r="P195" i="3"/>
  <c r="P194" i="3" s="1"/>
  <c r="Q195" i="3"/>
  <c r="Q194" i="3" s="1"/>
  <c r="R195" i="3"/>
  <c r="R194" i="3" s="1"/>
  <c r="S195" i="3"/>
  <c r="S194" i="3" s="1"/>
  <c r="T195" i="3"/>
  <c r="T194" i="3" s="1"/>
  <c r="U195" i="3"/>
  <c r="U194" i="3" s="1"/>
  <c r="L195" i="3"/>
  <c r="L194" i="3" s="1"/>
  <c r="AH26" i="3"/>
  <c r="AI26" i="3"/>
  <c r="AJ26" i="3"/>
  <c r="AK26" i="3"/>
  <c r="AL26" i="3"/>
  <c r="AM26" i="3"/>
  <c r="AN26" i="3"/>
  <c r="AO26" i="3"/>
  <c r="AP26" i="3"/>
  <c r="AQ26" i="3"/>
  <c r="AR26" i="3"/>
  <c r="AG26" i="3"/>
  <c r="I12" i="3"/>
  <c r="I15" i="3" s="1"/>
  <c r="H12" i="3"/>
  <c r="H16" i="3" s="1"/>
  <c r="F26" i="3"/>
  <c r="S12" i="3"/>
  <c r="T12" i="3"/>
  <c r="T15" i="3" s="1"/>
  <c r="U12" i="3"/>
  <c r="T26" i="3"/>
  <c r="U26" i="3"/>
  <c r="R26" i="3"/>
  <c r="Q26" i="3"/>
  <c r="P26" i="3"/>
  <c r="N26" i="3"/>
  <c r="M26" i="3"/>
  <c r="L26" i="3"/>
  <c r="J26" i="3"/>
  <c r="I26" i="3"/>
  <c r="H26" i="3"/>
  <c r="C6" i="11"/>
  <c r="C5" i="11"/>
  <c r="C70" i="11"/>
  <c r="C15" i="11" s="1"/>
  <c r="C77" i="11"/>
  <c r="C16" i="11" s="1"/>
  <c r="C62" i="11"/>
  <c r="C14" i="11" s="1"/>
  <c r="C55" i="11"/>
  <c r="C13" i="11" s="1"/>
  <c r="C45" i="11"/>
  <c r="C12" i="11" s="1"/>
  <c r="C34" i="11"/>
  <c r="C11" i="11" s="1"/>
  <c r="N12" i="3"/>
  <c r="N16" i="3" s="1"/>
  <c r="M12" i="3"/>
  <c r="M16" i="3" s="1"/>
  <c r="P12" i="3"/>
  <c r="P16" i="3" s="1"/>
  <c r="R12" i="3"/>
  <c r="R16" i="3" s="1"/>
  <c r="Q12" i="3"/>
  <c r="Q16" i="3" s="1"/>
  <c r="AI37" i="3"/>
  <c r="O37" i="3" s="1"/>
  <c r="AJ37" i="3"/>
  <c r="S37" i="3" s="1"/>
  <c r="AK37" i="3"/>
  <c r="AL37" i="3"/>
  <c r="AM37" i="3"/>
  <c r="AN37" i="3"/>
  <c r="AO37" i="3"/>
  <c r="AP37" i="3"/>
  <c r="AQ37" i="3"/>
  <c r="AR37" i="3"/>
  <c r="AI36" i="3"/>
  <c r="AJ36" i="3"/>
  <c r="S36" i="3" s="1"/>
  <c r="AK36" i="3"/>
  <c r="AL36" i="3"/>
  <c r="AM36" i="3"/>
  <c r="AN36" i="3"/>
  <c r="AO36" i="3"/>
  <c r="AP36" i="3"/>
  <c r="AQ36" i="3"/>
  <c r="AR36" i="3"/>
  <c r="AB12" i="3"/>
  <c r="AC12" i="3"/>
  <c r="AD12" i="3"/>
  <c r="AE12" i="3"/>
  <c r="AF12" i="3"/>
  <c r="AG12" i="3"/>
  <c r="AI12" i="3"/>
  <c r="AI16" i="3" s="1"/>
  <c r="AJ12" i="3"/>
  <c r="AJ15" i="3" s="1"/>
  <c r="AK12" i="3"/>
  <c r="AK15" i="3" s="1"/>
  <c r="AL12" i="3"/>
  <c r="AL16" i="3" s="1"/>
  <c r="AM12" i="3"/>
  <c r="AM16" i="3" s="1"/>
  <c r="AN12" i="3"/>
  <c r="AN15" i="3" s="1"/>
  <c r="AO12" i="3"/>
  <c r="AO16" i="3" s="1"/>
  <c r="AP12" i="3"/>
  <c r="AP15" i="3" s="1"/>
  <c r="AQ12" i="3"/>
  <c r="AQ15" i="3" s="1"/>
  <c r="AR12" i="3"/>
  <c r="AA12" i="3"/>
  <c r="R54" i="3"/>
  <c r="T54" i="3"/>
  <c r="U54" i="3"/>
  <c r="R38" i="3"/>
  <c r="T38" i="3"/>
  <c r="U38" i="3"/>
  <c r="N187" i="3"/>
  <c r="L187" i="3"/>
  <c r="N186" i="3"/>
  <c r="L186" i="3"/>
  <c r="L185" i="3"/>
  <c r="M185" i="3" s="1"/>
  <c r="N185" i="3" s="1"/>
  <c r="N184" i="3"/>
  <c r="L184" i="3"/>
  <c r="L181" i="3"/>
  <c r="L180" i="3"/>
  <c r="T157" i="3"/>
  <c r="U157" i="3"/>
  <c r="R165" i="3"/>
  <c r="T165" i="3"/>
  <c r="U165" i="3"/>
  <c r="M168" i="3"/>
  <c r="Q168" i="3"/>
  <c r="M164" i="3"/>
  <c r="M181" i="3" s="1"/>
  <c r="M163" i="3"/>
  <c r="M180" i="3" s="1"/>
  <c r="Q164" i="3"/>
  <c r="Q163" i="3"/>
  <c r="U95" i="3"/>
  <c r="R144" i="3"/>
  <c r="T144" i="3"/>
  <c r="U144" i="3"/>
  <c r="R134" i="3"/>
  <c r="T134" i="3"/>
  <c r="U134" i="3"/>
  <c r="T125" i="3"/>
  <c r="U125" i="3"/>
  <c r="U126" i="3" s="1"/>
  <c r="R110" i="3"/>
  <c r="R112" i="3" s="1"/>
  <c r="AJ202" i="3"/>
  <c r="AK202" i="3"/>
  <c r="AL202" i="3"/>
  <c r="AM202" i="3"/>
  <c r="AN202" i="3"/>
  <c r="AH202" i="3"/>
  <c r="AG202" i="3"/>
  <c r="AI202" i="3"/>
  <c r="AJ165" i="3"/>
  <c r="AK165" i="3"/>
  <c r="AL165" i="3"/>
  <c r="AM165" i="3"/>
  <c r="AN165" i="3"/>
  <c r="AJ157" i="3"/>
  <c r="AK157" i="3"/>
  <c r="AL157" i="3"/>
  <c r="AM157" i="3"/>
  <c r="AN157" i="3"/>
  <c r="AJ144" i="3"/>
  <c r="AK144" i="3"/>
  <c r="AL144" i="3"/>
  <c r="AM144" i="3"/>
  <c r="AN144" i="3"/>
  <c r="AJ134" i="3"/>
  <c r="AK134" i="3"/>
  <c r="AL134" i="3"/>
  <c r="AM134" i="3"/>
  <c r="AN134" i="3"/>
  <c r="AH125" i="3"/>
  <c r="AI125" i="3"/>
  <c r="AJ125" i="3"/>
  <c r="AK125" i="3"/>
  <c r="AL125" i="3"/>
  <c r="AM125" i="3"/>
  <c r="AN125" i="3"/>
  <c r="AG125" i="3"/>
  <c r="AH195" i="3"/>
  <c r="AH194" i="3" s="1"/>
  <c r="AG195" i="3"/>
  <c r="AG194" i="3" s="1"/>
  <c r="AI195" i="3"/>
  <c r="AI194" i="3" s="1"/>
  <c r="Q54" i="3"/>
  <c r="Q38" i="3"/>
  <c r="Q210" i="3"/>
  <c r="Q209" i="3"/>
  <c r="R157" i="3"/>
  <c r="Q157" i="3"/>
  <c r="Q144" i="3"/>
  <c r="Q125" i="3"/>
  <c r="R125" i="3"/>
  <c r="Q110" i="3"/>
  <c r="Q112" i="3" s="1"/>
  <c r="P54" i="3"/>
  <c r="P38" i="3"/>
  <c r="P165" i="3"/>
  <c r="P157" i="3"/>
  <c r="P144" i="3"/>
  <c r="P134" i="3"/>
  <c r="Q134" i="3"/>
  <c r="K125" i="3"/>
  <c r="J125" i="3"/>
  <c r="M125" i="3"/>
  <c r="N125" i="3"/>
  <c r="L125" i="3"/>
  <c r="P125" i="3"/>
  <c r="P110" i="3"/>
  <c r="P112" i="3" s="1"/>
  <c r="AI210" i="3"/>
  <c r="AH210" i="3"/>
  <c r="AG210" i="3"/>
  <c r="N210" i="3"/>
  <c r="M210" i="3"/>
  <c r="L210" i="3"/>
  <c r="J210" i="3"/>
  <c r="I210" i="3"/>
  <c r="H210" i="3"/>
  <c r="F210" i="3"/>
  <c r="AI209" i="3"/>
  <c r="AH209" i="3"/>
  <c r="AG209" i="3"/>
  <c r="N209" i="3"/>
  <c r="M209" i="3"/>
  <c r="L209" i="3"/>
  <c r="J209" i="3"/>
  <c r="I209" i="3"/>
  <c r="H209" i="3"/>
  <c r="F209" i="3"/>
  <c r="AI165" i="3"/>
  <c r="AH165" i="3"/>
  <c r="AG165" i="3"/>
  <c r="AG204" i="3" s="1"/>
  <c r="N165" i="3"/>
  <c r="L165" i="3"/>
  <c r="K165" i="3"/>
  <c r="J165" i="3"/>
  <c r="I165" i="3"/>
  <c r="H165" i="3"/>
  <c r="G165" i="3"/>
  <c r="F165" i="3"/>
  <c r="AI157" i="3"/>
  <c r="AH157" i="3"/>
  <c r="N157" i="3"/>
  <c r="M157" i="3"/>
  <c r="L157" i="3"/>
  <c r="K157" i="3"/>
  <c r="J157" i="3"/>
  <c r="I157" i="3"/>
  <c r="F157" i="3"/>
  <c r="O156" i="3"/>
  <c r="O155" i="3"/>
  <c r="O154" i="3"/>
  <c r="O153" i="3"/>
  <c r="O152" i="3"/>
  <c r="O151" i="3"/>
  <c r="O150" i="3"/>
  <c r="O149" i="3"/>
  <c r="O148" i="3"/>
  <c r="O147" i="3"/>
  <c r="AI144" i="3"/>
  <c r="AH144" i="3"/>
  <c r="AG144" i="3"/>
  <c r="N144" i="3"/>
  <c r="M144" i="3"/>
  <c r="L144" i="3"/>
  <c r="K144" i="3"/>
  <c r="J144" i="3"/>
  <c r="I144" i="3"/>
  <c r="H144" i="3"/>
  <c r="F144" i="3"/>
  <c r="O143" i="3"/>
  <c r="O142" i="3"/>
  <c r="O140" i="3"/>
  <c r="O139" i="3"/>
  <c r="O138" i="3"/>
  <c r="O137" i="3"/>
  <c r="AI134" i="3"/>
  <c r="AH134" i="3"/>
  <c r="AG134" i="3"/>
  <c r="N134" i="3"/>
  <c r="M134" i="3"/>
  <c r="L134" i="3"/>
  <c r="K134" i="3"/>
  <c r="J134" i="3"/>
  <c r="I134" i="3"/>
  <c r="H134" i="3"/>
  <c r="F134" i="3"/>
  <c r="O133" i="3"/>
  <c r="O132" i="3"/>
  <c r="O131" i="3"/>
  <c r="O130" i="3"/>
  <c r="O129" i="3"/>
  <c r="O128" i="3"/>
  <c r="O124" i="3"/>
  <c r="O123" i="3"/>
  <c r="O122" i="3"/>
  <c r="O121" i="3"/>
  <c r="O120" i="3"/>
  <c r="O119" i="3"/>
  <c r="O118" i="3"/>
  <c r="O117" i="3"/>
  <c r="O116" i="3"/>
  <c r="O115" i="3"/>
  <c r="O114" i="3"/>
  <c r="AN112" i="3"/>
  <c r="AM112" i="3"/>
  <c r="AL112" i="3"/>
  <c r="AK112" i="3"/>
  <c r="AC112" i="3"/>
  <c r="AC126" i="3" s="1"/>
  <c r="AB112" i="3"/>
  <c r="AB126" i="3" s="1"/>
  <c r="AA112" i="3"/>
  <c r="AA126" i="3" s="1"/>
  <c r="Z112" i="3"/>
  <c r="Z126" i="3" s="1"/>
  <c r="O110" i="3"/>
  <c r="O109" i="3"/>
  <c r="O108" i="3"/>
  <c r="O107" i="3"/>
  <c r="O106" i="3"/>
  <c r="O105" i="3"/>
  <c r="O83" i="3"/>
  <c r="K83" i="3"/>
  <c r="O82" i="3"/>
  <c r="K82" i="3"/>
  <c r="O80" i="3"/>
  <c r="K80" i="3"/>
  <c r="G80" i="3"/>
  <c r="O78" i="3"/>
  <c r="K78" i="3"/>
  <c r="G78" i="3"/>
  <c r="O77" i="3"/>
  <c r="K77" i="3"/>
  <c r="G77" i="3"/>
  <c r="O76" i="3"/>
  <c r="K76" i="3"/>
  <c r="G76" i="3"/>
  <c r="O75" i="3"/>
  <c r="K75" i="3"/>
  <c r="G75" i="3"/>
  <c r="AI73" i="3"/>
  <c r="AH73" i="3"/>
  <c r="AG73" i="3"/>
  <c r="R73" i="3"/>
  <c r="Q73" i="3"/>
  <c r="P73" i="3"/>
  <c r="N73" i="3"/>
  <c r="M73" i="3"/>
  <c r="L73" i="3"/>
  <c r="J73" i="3"/>
  <c r="I73" i="3"/>
  <c r="H73" i="3"/>
  <c r="F73" i="3"/>
  <c r="O72" i="3"/>
  <c r="K72" i="3"/>
  <c r="G72" i="3"/>
  <c r="O71" i="3"/>
  <c r="K71" i="3"/>
  <c r="G71" i="3"/>
  <c r="AI69" i="3"/>
  <c r="AI89" i="3" s="1"/>
  <c r="AH69" i="3"/>
  <c r="AH89" i="3" s="1"/>
  <c r="AG69" i="3"/>
  <c r="AG89" i="3" s="1"/>
  <c r="R69" i="3"/>
  <c r="R89" i="3" s="1"/>
  <c r="Q69" i="3"/>
  <c r="Q89" i="3" s="1"/>
  <c r="P69" i="3"/>
  <c r="P90" i="3" s="1"/>
  <c r="N69" i="3"/>
  <c r="N89" i="3" s="1"/>
  <c r="M69" i="3"/>
  <c r="M89" i="3" s="1"/>
  <c r="L69" i="3"/>
  <c r="L89" i="3" s="1"/>
  <c r="J69" i="3"/>
  <c r="J95" i="3" s="1"/>
  <c r="I69" i="3"/>
  <c r="I89" i="3" s="1"/>
  <c r="H69" i="3"/>
  <c r="H95" i="3" s="1"/>
  <c r="F69" i="3"/>
  <c r="O68" i="3"/>
  <c r="K68" i="3"/>
  <c r="G68" i="3"/>
  <c r="O67" i="3"/>
  <c r="K67" i="3"/>
  <c r="G67" i="3"/>
  <c r="K66" i="3"/>
  <c r="AI60" i="3"/>
  <c r="AH60" i="3"/>
  <c r="AG60" i="3"/>
  <c r="R60" i="3"/>
  <c r="Q60" i="3"/>
  <c r="P60" i="3"/>
  <c r="N60" i="3"/>
  <c r="M60" i="3"/>
  <c r="L60" i="3"/>
  <c r="J60" i="3"/>
  <c r="I60" i="3"/>
  <c r="H60" i="3"/>
  <c r="G60" i="3"/>
  <c r="F60" i="3"/>
  <c r="AI59" i="3"/>
  <c r="AH59" i="3"/>
  <c r="AG59" i="3"/>
  <c r="R59" i="3"/>
  <c r="Q59" i="3"/>
  <c r="P59" i="3"/>
  <c r="N59" i="3"/>
  <c r="M59" i="3"/>
  <c r="L59" i="3"/>
  <c r="J59" i="3"/>
  <c r="I59" i="3"/>
  <c r="H59" i="3"/>
  <c r="G59" i="3"/>
  <c r="F59" i="3"/>
  <c r="AH54" i="3"/>
  <c r="AG54" i="3"/>
  <c r="N54" i="3"/>
  <c r="M54" i="3"/>
  <c r="L54" i="3"/>
  <c r="J54" i="3"/>
  <c r="I54" i="3"/>
  <c r="H54" i="3"/>
  <c r="AH52" i="3"/>
  <c r="AH53" i="3" s="1"/>
  <c r="AG52" i="3"/>
  <c r="AG53" i="3" s="1"/>
  <c r="R52" i="3"/>
  <c r="R53" i="3" s="1"/>
  <c r="Q52" i="3"/>
  <c r="Q53" i="3" s="1"/>
  <c r="P52" i="3"/>
  <c r="P53" i="3" s="1"/>
  <c r="N52" i="3"/>
  <c r="N53" i="3" s="1"/>
  <c r="M52" i="3"/>
  <c r="M53" i="3" s="1"/>
  <c r="L52" i="3"/>
  <c r="L53" i="3" s="1"/>
  <c r="J52" i="3"/>
  <c r="I52" i="3"/>
  <c r="I53" i="3" s="1"/>
  <c r="H52" i="3"/>
  <c r="H53" i="3" s="1"/>
  <c r="G52" i="3"/>
  <c r="G53" i="3" s="1"/>
  <c r="F52" i="3"/>
  <c r="F53" i="3" s="1"/>
  <c r="O51" i="3"/>
  <c r="K51" i="3"/>
  <c r="AI50" i="3"/>
  <c r="AI52" i="3" s="1"/>
  <c r="AI53" i="3" s="1"/>
  <c r="K50" i="3"/>
  <c r="AH45" i="3"/>
  <c r="AH46" i="3" s="1"/>
  <c r="AG45" i="3"/>
  <c r="AG46" i="3" s="1"/>
  <c r="R45" i="3"/>
  <c r="R46" i="3" s="1"/>
  <c r="Q45" i="3"/>
  <c r="Q46" i="3" s="1"/>
  <c r="P45" i="3"/>
  <c r="P46" i="3" s="1"/>
  <c r="N45" i="3"/>
  <c r="N46" i="3" s="1"/>
  <c r="M45" i="3"/>
  <c r="M46" i="3" s="1"/>
  <c r="L45" i="3"/>
  <c r="L46" i="3" s="1"/>
  <c r="J45" i="3"/>
  <c r="J46" i="3" s="1"/>
  <c r="I45" i="3"/>
  <c r="I46" i="3" s="1"/>
  <c r="H45" i="3"/>
  <c r="H46" i="3" s="1"/>
  <c r="G45" i="3"/>
  <c r="G46" i="3" s="1"/>
  <c r="F45" i="3"/>
  <c r="F46" i="3" s="1"/>
  <c r="O44" i="3"/>
  <c r="K44" i="3"/>
  <c r="AI43" i="3"/>
  <c r="O43" i="3" s="1"/>
  <c r="K43" i="3"/>
  <c r="K59" i="3" s="1"/>
  <c r="N38" i="3"/>
  <c r="M38" i="3"/>
  <c r="L38" i="3"/>
  <c r="J38" i="3"/>
  <c r="I38" i="3"/>
  <c r="H38" i="3"/>
  <c r="F38" i="3"/>
  <c r="AH37" i="3"/>
  <c r="K37" i="3" s="1"/>
  <c r="AG37" i="3"/>
  <c r="AH36" i="3"/>
  <c r="K36" i="3" s="1"/>
  <c r="AG36" i="3"/>
  <c r="G36" i="3"/>
  <c r="G38" i="3" s="1"/>
  <c r="AF3" i="3"/>
  <c r="AE3" i="3" s="1"/>
  <c r="AD3" i="3" s="1"/>
  <c r="AC3" i="3" s="1"/>
  <c r="AB3" i="3" s="1"/>
  <c r="B6" i="1"/>
  <c r="B3" i="1" a="1"/>
  <c r="B3" i="1" s="1"/>
  <c r="B2" i="1" a="1"/>
  <c r="B2" i="1" s="1"/>
  <c r="D9" i="14" l="1"/>
  <c r="E9" i="14" s="1"/>
  <c r="D5" i="14"/>
  <c r="E5" i="14" s="1"/>
  <c r="T16" i="3"/>
  <c r="T61" i="3"/>
  <c r="W186" i="3"/>
  <c r="S187" i="3"/>
  <c r="S186" i="3"/>
  <c r="S185" i="3"/>
  <c r="S181" i="3"/>
  <c r="S157" i="3"/>
  <c r="S198" i="3" s="1"/>
  <c r="S134" i="3"/>
  <c r="S125" i="3"/>
  <c r="S112" i="3"/>
  <c r="T126" i="3"/>
  <c r="W180" i="3"/>
  <c r="W182" i="3" s="1"/>
  <c r="W199" i="3" s="1"/>
  <c r="V182" i="3"/>
  <c r="V199" i="3" s="1"/>
  <c r="S180" i="3"/>
  <c r="S182" i="3" s="1"/>
  <c r="R182" i="3"/>
  <c r="Q182" i="3"/>
  <c r="Q199" i="3" s="1"/>
  <c r="Y96" i="3"/>
  <c r="Y84" i="3"/>
  <c r="Y85" i="3" s="1"/>
  <c r="V196" i="3"/>
  <c r="V198" i="3"/>
  <c r="W96" i="3"/>
  <c r="W84" i="3"/>
  <c r="W85" i="3" s="1"/>
  <c r="X74" i="3"/>
  <c r="X79" i="3" s="1"/>
  <c r="X81" i="3" s="1"/>
  <c r="V74" i="3"/>
  <c r="V79" i="3" s="1"/>
  <c r="V81" i="3" s="1"/>
  <c r="Y16" i="3"/>
  <c r="Y196" i="3"/>
  <c r="Y198" i="3"/>
  <c r="W196" i="3"/>
  <c r="B4" i="1"/>
  <c r="B7" i="1" s="1"/>
  <c r="B8" i="1" s="1"/>
  <c r="AK196" i="3"/>
  <c r="AK199" i="3"/>
  <c r="AK197" i="3"/>
  <c r="AK198" i="3"/>
  <c r="AJ198" i="3"/>
  <c r="AJ196" i="3"/>
  <c r="AJ197" i="3"/>
  <c r="AJ199" i="3"/>
  <c r="AL198" i="3"/>
  <c r="AM197" i="3"/>
  <c r="AL197" i="3"/>
  <c r="AM198" i="3"/>
  <c r="AL196" i="3"/>
  <c r="AM196" i="3"/>
  <c r="S26" i="3"/>
  <c r="S38" i="3"/>
  <c r="S69" i="3"/>
  <c r="S95" i="3" s="1"/>
  <c r="AA74" i="3"/>
  <c r="AA79" i="3" s="1"/>
  <c r="AA81" i="3" s="1"/>
  <c r="AA84" i="3" s="1"/>
  <c r="AA85" i="3" s="1"/>
  <c r="T74" i="3"/>
  <c r="T79" i="3" s="1"/>
  <c r="T81" i="3" s="1"/>
  <c r="T84" i="3" s="1"/>
  <c r="T85" i="3" s="1"/>
  <c r="D3" i="14"/>
  <c r="E4" i="14"/>
  <c r="C7" i="11"/>
  <c r="C8" i="11" s="1"/>
  <c r="S74" i="3"/>
  <c r="S79" i="3" s="1"/>
  <c r="S81" i="3" s="1"/>
  <c r="U74" i="3"/>
  <c r="U79" i="3" s="1"/>
  <c r="U81" i="3" s="1"/>
  <c r="AN61" i="3"/>
  <c r="AN65" i="3" s="1"/>
  <c r="AK61" i="3"/>
  <c r="AK65" i="3" s="1"/>
  <c r="AK64" i="3"/>
  <c r="AP61" i="3"/>
  <c r="AP64" i="3" s="1"/>
  <c r="AR61" i="3"/>
  <c r="AR64" i="3" s="1"/>
  <c r="AO61" i="3"/>
  <c r="AO64" i="3" s="1"/>
  <c r="AM15" i="3"/>
  <c r="AJ61" i="3"/>
  <c r="AJ65" i="3" s="1"/>
  <c r="AQ61" i="3"/>
  <c r="AQ64" i="3" s="1"/>
  <c r="AM61" i="3"/>
  <c r="AM65" i="3" s="1"/>
  <c r="AQ16" i="3"/>
  <c r="AP16" i="3"/>
  <c r="AO15" i="3"/>
  <c r="AL15" i="3"/>
  <c r="AL61" i="3"/>
  <c r="AL65" i="3" s="1"/>
  <c r="AN16" i="3"/>
  <c r="AK16" i="3"/>
  <c r="AJ16" i="3"/>
  <c r="AN160" i="3"/>
  <c r="I126" i="3"/>
  <c r="AN54" i="3"/>
  <c r="AJ74" i="3"/>
  <c r="AJ79" i="3" s="1"/>
  <c r="AJ81" i="3" s="1"/>
  <c r="AJ84" i="3" s="1"/>
  <c r="AJ85" i="3" s="1"/>
  <c r="AR54" i="3"/>
  <c r="T199" i="3"/>
  <c r="AR45" i="3"/>
  <c r="AR46" i="3" s="1"/>
  <c r="I196" i="3"/>
  <c r="I198" i="3"/>
  <c r="AL74" i="3"/>
  <c r="AL79" i="3" s="1"/>
  <c r="AL81" i="3" s="1"/>
  <c r="AL84" i="3" s="1"/>
  <c r="AL85" i="3" s="1"/>
  <c r="AQ54" i="3"/>
  <c r="AK74" i="3"/>
  <c r="AK79" i="3" s="1"/>
  <c r="AK81" i="3" s="1"/>
  <c r="AK84" i="3" s="1"/>
  <c r="AK85" i="3" s="1"/>
  <c r="AN90" i="3"/>
  <c r="AK160" i="3"/>
  <c r="AL160" i="3"/>
  <c r="AK90" i="3"/>
  <c r="AN45" i="3"/>
  <c r="AN46" i="3" s="1"/>
  <c r="AM160" i="3"/>
  <c r="AM74" i="3"/>
  <c r="AM79" i="3" s="1"/>
  <c r="AM81" i="3" s="1"/>
  <c r="AM84" i="3" s="1"/>
  <c r="AL90" i="3"/>
  <c r="AR74" i="3"/>
  <c r="AR79" i="3" s="1"/>
  <c r="AR81" i="3" s="1"/>
  <c r="AR84" i="3" s="1"/>
  <c r="AR85" i="3" s="1"/>
  <c r="AM54" i="3"/>
  <c r="AR89" i="3"/>
  <c r="R198" i="3"/>
  <c r="AJ160" i="3"/>
  <c r="AQ89" i="3"/>
  <c r="N196" i="3"/>
  <c r="J198" i="3"/>
  <c r="H15" i="3"/>
  <c r="AP89" i="3"/>
  <c r="Q196" i="3"/>
  <c r="AO89" i="3"/>
  <c r="AP74" i="3"/>
  <c r="AP79" i="3" s="1"/>
  <c r="AP81" i="3" s="1"/>
  <c r="AP84" i="3" s="1"/>
  <c r="AP85" i="3" s="1"/>
  <c r="AM89" i="3"/>
  <c r="AP54" i="3"/>
  <c r="N198" i="3"/>
  <c r="AO54" i="3"/>
  <c r="AQ74" i="3"/>
  <c r="AQ79" i="3" s="1"/>
  <c r="AQ81" i="3" s="1"/>
  <c r="AQ84" i="3" s="1"/>
  <c r="AQ85" i="3" s="1"/>
  <c r="AL54" i="3"/>
  <c r="Q198" i="3"/>
  <c r="AO74" i="3"/>
  <c r="AO79" i="3" s="1"/>
  <c r="AO81" i="3" s="1"/>
  <c r="AO84" i="3" s="1"/>
  <c r="AO85" i="3" s="1"/>
  <c r="AK54" i="3"/>
  <c r="AN74" i="3"/>
  <c r="AN79" i="3" s="1"/>
  <c r="AN81" i="3" s="1"/>
  <c r="AN84" i="3" s="1"/>
  <c r="AJ54" i="3"/>
  <c r="AJ90" i="3"/>
  <c r="F126" i="3"/>
  <c r="G26" i="3"/>
  <c r="U199" i="3"/>
  <c r="G125" i="3"/>
  <c r="T198" i="3"/>
  <c r="H126" i="3"/>
  <c r="AI15" i="3"/>
  <c r="S199" i="3"/>
  <c r="G153" i="3"/>
  <c r="G157" i="3" s="1"/>
  <c r="S196" i="3"/>
  <c r="M196" i="3"/>
  <c r="K196" i="3"/>
  <c r="H198" i="3"/>
  <c r="L196" i="3"/>
  <c r="L198" i="3"/>
  <c r="P196" i="3"/>
  <c r="P198" i="3"/>
  <c r="J196" i="3"/>
  <c r="O12" i="3"/>
  <c r="O15" i="3" s="1"/>
  <c r="H196" i="3"/>
  <c r="M198" i="3"/>
  <c r="K198" i="3"/>
  <c r="U196" i="3"/>
  <c r="T196" i="3"/>
  <c r="R196" i="3"/>
  <c r="O26" i="3"/>
  <c r="I16" i="3"/>
  <c r="O185" i="3"/>
  <c r="K26" i="3"/>
  <c r="O186" i="3"/>
  <c r="U198" i="3"/>
  <c r="O196" i="3"/>
  <c r="D8" i="14"/>
  <c r="E8" i="14" s="1"/>
  <c r="D7" i="14"/>
  <c r="E7" i="14" s="1"/>
  <c r="D6" i="14"/>
  <c r="E6" i="14" s="1"/>
  <c r="G210" i="3"/>
  <c r="G144" i="3"/>
  <c r="G134" i="3"/>
  <c r="G112" i="3"/>
  <c r="O184" i="3"/>
  <c r="O187" i="3"/>
  <c r="O165" i="3"/>
  <c r="K209" i="3"/>
  <c r="AO38" i="3"/>
  <c r="AJ38" i="3"/>
  <c r="AI38" i="3"/>
  <c r="AM38" i="3"/>
  <c r="N15" i="3"/>
  <c r="R15" i="3"/>
  <c r="Q15" i="3"/>
  <c r="O36" i="3"/>
  <c r="O38" i="3" s="1"/>
  <c r="AR38" i="3"/>
  <c r="P15" i="3"/>
  <c r="M15" i="3"/>
  <c r="C17" i="11"/>
  <c r="D10" i="11" s="1"/>
  <c r="AK38" i="3"/>
  <c r="AQ38" i="3"/>
  <c r="AP38" i="3"/>
  <c r="AN38" i="3"/>
  <c r="AL38" i="3"/>
  <c r="M182" i="3"/>
  <c r="M199" i="3" s="1"/>
  <c r="L182" i="3"/>
  <c r="L199" i="3" s="1"/>
  <c r="P199" i="3"/>
  <c r="N181" i="3"/>
  <c r="O181" i="3" s="1"/>
  <c r="R145" i="3"/>
  <c r="R158" i="3" s="1"/>
  <c r="N180" i="3"/>
  <c r="O180" i="3" s="1"/>
  <c r="AL204" i="3"/>
  <c r="U145" i="3"/>
  <c r="U158" i="3" s="1"/>
  <c r="T145" i="3"/>
  <c r="T158" i="3" s="1"/>
  <c r="AM204" i="3"/>
  <c r="Q95" i="3"/>
  <c r="AH204" i="3"/>
  <c r="R95" i="3"/>
  <c r="N126" i="3"/>
  <c r="AN204" i="3"/>
  <c r="AK126" i="3"/>
  <c r="AJ204" i="3"/>
  <c r="AG126" i="3"/>
  <c r="AI204" i="3"/>
  <c r="M126" i="3"/>
  <c r="AK204" i="3"/>
  <c r="P95" i="3"/>
  <c r="AJ126" i="3"/>
  <c r="AJ145" i="3"/>
  <c r="AJ158" i="3" s="1"/>
  <c r="AI126" i="3"/>
  <c r="AH126" i="3"/>
  <c r="AN145" i="3"/>
  <c r="AN158" i="3" s="1"/>
  <c r="AL126" i="3"/>
  <c r="AM126" i="3"/>
  <c r="AL145" i="3"/>
  <c r="AL158" i="3" s="1"/>
  <c r="AN126" i="3"/>
  <c r="AK145" i="3"/>
  <c r="AK158" i="3" s="1"/>
  <c r="AH199" i="3"/>
  <c r="AH198" i="3"/>
  <c r="AH196" i="3"/>
  <c r="AG199" i="3"/>
  <c r="AG198" i="3"/>
  <c r="AG196" i="3"/>
  <c r="AI199" i="3"/>
  <c r="AI198" i="3"/>
  <c r="AI196" i="3"/>
  <c r="Q165" i="3"/>
  <c r="P89" i="3"/>
  <c r="AM145" i="3"/>
  <c r="AM158" i="3" s="1"/>
  <c r="R90" i="3"/>
  <c r="Q160" i="3"/>
  <c r="R126" i="3"/>
  <c r="Q145" i="3"/>
  <c r="Q158" i="3" s="1"/>
  <c r="P126" i="3"/>
  <c r="P160" i="3"/>
  <c r="M165" i="3"/>
  <c r="Q126" i="3"/>
  <c r="Q90" i="3"/>
  <c r="O112" i="3"/>
  <c r="O125" i="3"/>
  <c r="AG160" i="3"/>
  <c r="M145" i="3"/>
  <c r="M158" i="3" s="1"/>
  <c r="J126" i="3"/>
  <c r="K126" i="3"/>
  <c r="L126" i="3"/>
  <c r="AH160" i="3"/>
  <c r="N145" i="3"/>
  <c r="N158" i="3" s="1"/>
  <c r="P145" i="3"/>
  <c r="P158" i="3" s="1"/>
  <c r="AI160" i="3"/>
  <c r="F74" i="3"/>
  <c r="F79" i="3" s="1"/>
  <c r="F81" i="3" s="1"/>
  <c r="F84" i="3" s="1"/>
  <c r="AG74" i="3"/>
  <c r="AG79" i="3" s="1"/>
  <c r="AG81" i="3" s="1"/>
  <c r="AG84" i="3" s="1"/>
  <c r="I145" i="3"/>
  <c r="I158" i="3" s="1"/>
  <c r="K54" i="3"/>
  <c r="O50" i="3"/>
  <c r="O54" i="3" s="1"/>
  <c r="J145" i="3"/>
  <c r="J158" i="3" s="1"/>
  <c r="O157" i="3"/>
  <c r="O198" i="3" s="1"/>
  <c r="F90" i="3"/>
  <c r="I74" i="3"/>
  <c r="I79" i="3" s="1"/>
  <c r="I81" i="3" s="1"/>
  <c r="I96" i="3" s="1"/>
  <c r="H90" i="3"/>
  <c r="I160" i="3"/>
  <c r="AI61" i="3"/>
  <c r="AI65" i="3" s="1"/>
  <c r="O69" i="3"/>
  <c r="O89" i="3" s="1"/>
  <c r="I95" i="3"/>
  <c r="J160" i="3"/>
  <c r="H74" i="3"/>
  <c r="H79" i="3" s="1"/>
  <c r="H81" i="3" s="1"/>
  <c r="K160" i="3"/>
  <c r="O134" i="3"/>
  <c r="L160" i="3"/>
  <c r="AH61" i="3"/>
  <c r="AH65" i="3" s="1"/>
  <c r="R74" i="3"/>
  <c r="R79" i="3" s="1"/>
  <c r="R81" i="3" s="1"/>
  <c r="N74" i="3"/>
  <c r="N79" i="3" s="1"/>
  <c r="N81" i="3" s="1"/>
  <c r="N96" i="3" s="1"/>
  <c r="H160" i="3"/>
  <c r="AG38" i="3"/>
  <c r="Q61" i="3"/>
  <c r="F145" i="3"/>
  <c r="F158" i="3" s="1"/>
  <c r="R61" i="3"/>
  <c r="P74" i="3"/>
  <c r="P79" i="3" s="1"/>
  <c r="P81" i="3" s="1"/>
  <c r="AG61" i="3"/>
  <c r="AG64" i="3" s="1"/>
  <c r="K69" i="3"/>
  <c r="K95" i="3" s="1"/>
  <c r="Q74" i="3"/>
  <c r="Q79" i="3" s="1"/>
  <c r="Q81" i="3" s="1"/>
  <c r="M160" i="3"/>
  <c r="K145" i="3"/>
  <c r="K158" i="3" s="1"/>
  <c r="H145" i="3"/>
  <c r="H158" i="3" s="1"/>
  <c r="N160" i="3"/>
  <c r="K52" i="3"/>
  <c r="K53" i="3" s="1"/>
  <c r="AI54" i="3"/>
  <c r="L145" i="3"/>
  <c r="L158" i="3" s="1"/>
  <c r="AG145" i="3"/>
  <c r="AG158" i="3" s="1"/>
  <c r="G69" i="3"/>
  <c r="G95" i="3" s="1"/>
  <c r="J53" i="3"/>
  <c r="G73" i="3"/>
  <c r="O144" i="3"/>
  <c r="AH145" i="3"/>
  <c r="AH158" i="3" s="1"/>
  <c r="AI45" i="3"/>
  <c r="AI46" i="3" s="1"/>
  <c r="J89" i="3"/>
  <c r="AI145" i="3"/>
  <c r="AI158" i="3" s="1"/>
  <c r="O59" i="3"/>
  <c r="O45" i="3"/>
  <c r="O46" i="3" s="1"/>
  <c r="F61" i="3"/>
  <c r="J74" i="3"/>
  <c r="J79" i="3" s="1"/>
  <c r="J81" i="3" s="1"/>
  <c r="F89" i="3"/>
  <c r="I90" i="3"/>
  <c r="L95" i="3"/>
  <c r="K45" i="3"/>
  <c r="K46" i="3" s="1"/>
  <c r="G61" i="3"/>
  <c r="K73" i="3"/>
  <c r="J90" i="3"/>
  <c r="M95" i="3"/>
  <c r="H61" i="3"/>
  <c r="L74" i="3"/>
  <c r="L79" i="3" s="1"/>
  <c r="L81" i="3" s="1"/>
  <c r="H89" i="3"/>
  <c r="N95" i="3"/>
  <c r="K210" i="3"/>
  <c r="I61" i="3"/>
  <c r="M74" i="3"/>
  <c r="M79" i="3" s="1"/>
  <c r="M81" i="3" s="1"/>
  <c r="L90" i="3"/>
  <c r="J61" i="3"/>
  <c r="M90" i="3"/>
  <c r="K60" i="3"/>
  <c r="K61" i="3" s="1"/>
  <c r="O73" i="3"/>
  <c r="N90" i="3"/>
  <c r="AH38" i="3"/>
  <c r="K38" i="3" s="1"/>
  <c r="L61" i="3"/>
  <c r="M61" i="3"/>
  <c r="AG90" i="3"/>
  <c r="N61" i="3"/>
  <c r="AH90" i="3"/>
  <c r="F160" i="3"/>
  <c r="AI90" i="3"/>
  <c r="P61" i="3"/>
  <c r="AH74" i="3"/>
  <c r="AH79" i="3" s="1"/>
  <c r="AH81" i="3" s="1"/>
  <c r="F95" i="3"/>
  <c r="AI74" i="3"/>
  <c r="AI79" i="3" s="1"/>
  <c r="AI81" i="3" s="1"/>
  <c r="AI84" i="3" s="1"/>
  <c r="S145" i="3" l="1"/>
  <c r="S158" i="3" s="1"/>
  <c r="S126" i="3"/>
  <c r="V96" i="3"/>
  <c r="V84" i="3"/>
  <c r="X96" i="3"/>
  <c r="X84" i="3"/>
  <c r="X85" i="3" s="1"/>
  <c r="T96" i="3"/>
  <c r="D10" i="14"/>
  <c r="E3" i="14"/>
  <c r="E10" i="14" s="1"/>
  <c r="U84" i="3"/>
  <c r="U85" i="3" s="1"/>
  <c r="U96" i="3"/>
  <c r="S84" i="3"/>
  <c r="S85" i="3" s="1"/>
  <c r="S96" i="3"/>
  <c r="AN64" i="3"/>
  <c r="AP65" i="3"/>
  <c r="AM64" i="3"/>
  <c r="AJ64" i="3"/>
  <c r="AQ65" i="3"/>
  <c r="AR65" i="3"/>
  <c r="AO65" i="3"/>
  <c r="AL64" i="3"/>
  <c r="AH64" i="3"/>
  <c r="AI64" i="3"/>
  <c r="AG65" i="3"/>
  <c r="AK203" i="3"/>
  <c r="AM203" i="3"/>
  <c r="AM85" i="3"/>
  <c r="AL203" i="3"/>
  <c r="G126" i="3"/>
  <c r="AN203" i="3"/>
  <c r="AN85" i="3"/>
  <c r="O16" i="3"/>
  <c r="F85" i="3"/>
  <c r="G145" i="3"/>
  <c r="G158" i="3" s="1"/>
  <c r="G160" i="3"/>
  <c r="O182" i="3"/>
  <c r="O199" i="3" s="1"/>
  <c r="N182" i="3"/>
  <c r="N199" i="3" s="1"/>
  <c r="D11" i="11"/>
  <c r="D15" i="11"/>
  <c r="D16" i="11"/>
  <c r="D14" i="11"/>
  <c r="D13" i="11"/>
  <c r="D12" i="11"/>
  <c r="R199" i="3"/>
  <c r="Q84" i="3"/>
  <c r="Q96" i="3"/>
  <c r="R84" i="3"/>
  <c r="R96" i="3"/>
  <c r="O126" i="3"/>
  <c r="P84" i="3"/>
  <c r="P96" i="3"/>
  <c r="AG85" i="3"/>
  <c r="AG203" i="3"/>
  <c r="AI85" i="3"/>
  <c r="AJ203" i="3"/>
  <c r="I84" i="3"/>
  <c r="AI197" i="3"/>
  <c r="AG197" i="3"/>
  <c r="O160" i="3"/>
  <c r="O52" i="3"/>
  <c r="O53" i="3" s="1"/>
  <c r="F96" i="3"/>
  <c r="O60" i="3"/>
  <c r="O61" i="3" s="1"/>
  <c r="O90" i="3"/>
  <c r="H84" i="3"/>
  <c r="O95" i="3"/>
  <c r="O74" i="3"/>
  <c r="O79" i="3" s="1"/>
  <c r="O81" i="3" s="1"/>
  <c r="O96" i="3" s="1"/>
  <c r="N84" i="3"/>
  <c r="H96" i="3"/>
  <c r="O145" i="3"/>
  <c r="O158" i="3" s="1"/>
  <c r="K89" i="3"/>
  <c r="K90" i="3"/>
  <c r="G89" i="3"/>
  <c r="K74" i="3"/>
  <c r="K79" i="3" s="1"/>
  <c r="K81" i="3" s="1"/>
  <c r="G90" i="3"/>
  <c r="G74" i="3"/>
  <c r="G79" i="3" s="1"/>
  <c r="G81" i="3" s="1"/>
  <c r="AH84" i="3"/>
  <c r="AH203" i="3" s="1"/>
  <c r="L96" i="3"/>
  <c r="L84" i="3"/>
  <c r="M96" i="3"/>
  <c r="M84" i="3"/>
  <c r="J96" i="3"/>
  <c r="J84" i="3"/>
  <c r="V85" i="3" l="1"/>
  <c r="Y197" i="3"/>
  <c r="X197" i="3"/>
  <c r="W197" i="3"/>
  <c r="V197" i="3"/>
  <c r="D17" i="11"/>
  <c r="M85" i="3"/>
  <c r="R85" i="3"/>
  <c r="U197" i="3"/>
  <c r="L85" i="3"/>
  <c r="Q85" i="3"/>
  <c r="T197" i="3"/>
  <c r="I85" i="3"/>
  <c r="L197" i="3"/>
  <c r="J85" i="3"/>
  <c r="M197" i="3"/>
  <c r="N85" i="3"/>
  <c r="Q197" i="3"/>
  <c r="P85" i="3"/>
  <c r="S197" i="3"/>
  <c r="H85" i="3"/>
  <c r="AI203" i="3"/>
  <c r="AH85" i="3"/>
  <c r="AH197" i="3"/>
  <c r="O84" i="3"/>
  <c r="P197" i="3" s="1"/>
  <c r="K96" i="3"/>
  <c r="K84" i="3"/>
  <c r="K197" i="3" s="1"/>
  <c r="G96" i="3"/>
  <c r="G84" i="3"/>
  <c r="G85" i="3" l="1"/>
  <c r="J197" i="3"/>
  <c r="I197" i="3"/>
  <c r="H197" i="3"/>
  <c r="K85" i="3"/>
  <c r="N197" i="3"/>
  <c r="O85" i="3"/>
  <c r="R197" i="3"/>
  <c r="O197"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J25" authorId="0" shapeId="0" xr:uid="{86010DE7-E9DA-463A-AAD2-27D341898452}">
      <text>
        <r>
          <rPr>
            <b/>
            <sz val="9"/>
            <color indexed="81"/>
            <rFont val="Tahoma"/>
            <family val="2"/>
          </rPr>
          <t>William:</t>
        </r>
        <r>
          <rPr>
            <sz val="9"/>
            <color indexed="81"/>
            <rFont val="Tahoma"/>
            <family val="2"/>
          </rPr>
          <t xml:space="preserve">
The decrease in cost per launch in the
three months ended September 30, 2022 was driven primarily by excess cost incurred on the mission launched in the third quarter of 2021 that includes the cost
of a replacement rocket and a higher launch cadence in 2022.
------------------------------
In other words, cost's were higher because they had to replace a rocket. </t>
        </r>
      </text>
    </comment>
    <comment ref="B32" authorId="0" shapeId="0" xr:uid="{00000000-0006-0000-0200-000001000000}">
      <text>
        <r>
          <rPr>
            <sz val="11"/>
            <color theme="1"/>
            <rFont val="Calibri"/>
            <family val="2"/>
            <scheme val="minor"/>
          </rPr>
          <t>William:
"Point-in-time": Cash payments initially accrued to the balance sheet as "deferred revenue" as contractual milestones are accomplished and then recognized as revnue once the final contractual obligation is completed.</t>
        </r>
      </text>
    </comment>
    <comment ref="B33" authorId="0" shapeId="0" xr:uid="{00000000-0006-0000-0200-000002000000}">
      <text>
        <r>
          <rPr>
            <sz val="11"/>
            <color theme="1"/>
            <rFont val="Calibri"/>
            <family val="2"/>
            <scheme val="minor"/>
          </rPr>
          <t>William:
"Over-time": Revenue recognition is base on an input measure of progress based on costs incurred compared to estimated total costs at completion. Each project has a contractual revenue value and an estimated cost. The "over-time" revenue is recognized based on the percentage of the total project cost that has been realized.</t>
        </r>
      </text>
    </comment>
    <comment ref="B40" authorId="0" shapeId="0" xr:uid="{00000000-0006-0000-0200-000003000000}">
      <text>
        <r>
          <rPr>
            <sz val="11"/>
            <color theme="1"/>
            <rFont val="Calibri"/>
            <family val="2"/>
            <scheme val="minor"/>
          </rPr>
          <t>William:
Launch Services provides launch services to cusomerts on a dedicated mission or ride share basis.</t>
        </r>
      </text>
    </comment>
    <comment ref="B47" authorId="0" shapeId="0" xr:uid="{00000000-0006-0000-0200-000004000000}">
      <text>
        <r>
          <rPr>
            <sz val="11"/>
            <color theme="1"/>
            <rFont val="Calibri"/>
            <family val="2"/>
            <scheme val="minor"/>
          </rPr>
          <t>William:
Space Systems is comprised of:
- space engineering 
- program management 
- spacecraft components 
- spacecraft manufacturing 
- mission operations</t>
        </r>
      </text>
    </comment>
    <comment ref="B86" authorId="0" shapeId="0" xr:uid="{00000000-0006-0000-0200-000005000000}">
      <text>
        <r>
          <rPr>
            <sz val="11"/>
            <color theme="1"/>
            <rFont val="Calibri"/>
            <family val="2"/>
            <scheme val="minor"/>
          </rPr>
          <t>William:
In thousands.
Ex: 209,895 = 209 million shares</t>
        </r>
      </text>
    </comment>
    <comment ref="B163" authorId="0" shapeId="0" xr:uid="{00000000-0006-0000-0200-000006000000}">
      <text>
        <r>
          <rPr>
            <sz val="11"/>
            <color theme="1"/>
            <rFont val="Calibri"/>
            <family val="2"/>
            <scheme val="minor"/>
          </rPr>
          <t>William:
"CASH FLOWS FROM INVESTING ACTIVITIES"</t>
        </r>
      </text>
    </comment>
    <comment ref="B164" authorId="0" shapeId="0" xr:uid="{00000000-0006-0000-0200-000007000000}">
      <text>
        <r>
          <rPr>
            <sz val="11"/>
            <color theme="1"/>
            <rFont val="Calibri"/>
            <family val="2"/>
            <scheme val="minor"/>
          </rPr>
          <t xml:space="preserve">William:
"Purchases of property, equipment, and software"
</t>
        </r>
      </text>
    </comment>
    <comment ref="B176" authorId="0" shapeId="0" xr:uid="{EA586D9B-1D4C-48BF-A942-DA6545D1B474}">
      <text>
        <r>
          <rPr>
            <b/>
            <sz val="9"/>
            <color indexed="81"/>
            <rFont val="Tahoma"/>
            <family val="2"/>
          </rPr>
          <t>William:</t>
        </r>
        <r>
          <rPr>
            <sz val="9"/>
            <color indexed="81"/>
            <rFont val="Tahoma"/>
            <family val="2"/>
          </rPr>
          <t xml:space="preserve">
Negative burn rate means they lost money. Positive, means they gained
</t>
        </r>
      </text>
    </comment>
    <comment ref="B180" authorId="0" shapeId="0" xr:uid="{9DF6EF6F-6205-4E32-A85E-A62D8B38EFFC}">
      <text>
        <r>
          <rPr>
            <sz val="11"/>
            <color theme="1"/>
            <rFont val="Calibri"/>
            <family val="2"/>
            <scheme val="minor"/>
          </rPr>
          <t>William:
"CASH FLOWS FROM INVESTING ACTIVITIES"</t>
        </r>
      </text>
    </comment>
    <comment ref="B181" authorId="0" shapeId="0" xr:uid="{B7A3EB4D-E392-4EEA-8FA8-A443F927443D}">
      <text>
        <r>
          <rPr>
            <sz val="11"/>
            <color theme="1"/>
            <rFont val="Calibri"/>
            <family val="2"/>
            <scheme val="minor"/>
          </rPr>
          <t xml:space="preserve">William:
"Purchases of property, equipment, and software"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T2" authorId="0" shapeId="0" xr:uid="{5DB605D9-C455-474A-BD97-60C40347A429}">
      <text>
        <r>
          <rPr>
            <b/>
            <sz val="9"/>
            <color indexed="81"/>
            <rFont val="Tahoma"/>
            <family val="2"/>
          </rPr>
          <t>William:</t>
        </r>
        <r>
          <rPr>
            <sz val="9"/>
            <color indexed="81"/>
            <rFont val="Tahoma"/>
            <family val="2"/>
          </rPr>
          <t xml:space="preserve">
Uses "LEO Payload" as that is the most common mission.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FAE40D5-7823-4C06-A8B3-D177E8AB9D8F}" keepAlive="1" name="Query - Document" description="Connection to the 'Document' query in the workbook." type="5" refreshedVersion="0" background="1" saveData="1">
    <dbPr connection="Provider=Microsoft.Mashup.OleDb.1;Data Source=$Workbook$;Location=Document;Extended Properties=&quot;&quot;" command="SELECT * FROM [Document]"/>
  </connection>
</connection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<sst xmlns="http://schemas.openxmlformats.org/spreadsheetml/2006/main" count="848" uniqueCount="493">
  <si>
    <t>Price</t>
  </si>
  <si>
    <t>Shares</t>
  </si>
  <si>
    <t>MC</t>
  </si>
  <si>
    <t>Cash</t>
  </si>
  <si>
    <t>Debt</t>
  </si>
  <si>
    <t>EV</t>
  </si>
  <si>
    <t>EV/Share</t>
  </si>
  <si>
    <t>Company Name</t>
  </si>
  <si>
    <t>Rocket Lab USA, Inc.</t>
  </si>
  <si>
    <t>Ticker</t>
  </si>
  <si>
    <t>RKLB</t>
  </si>
  <si>
    <t>Country</t>
  </si>
  <si>
    <t>USA</t>
  </si>
  <si>
    <t>Sector</t>
  </si>
  <si>
    <t>Industrials</t>
  </si>
  <si>
    <t>Industry</t>
  </si>
  <si>
    <t>Aerospace &amp; Defense</t>
  </si>
  <si>
    <t>Acquisitions</t>
  </si>
  <si>
    <t>Description</t>
  </si>
  <si>
    <t>Acquisition Date</t>
  </si>
  <si>
    <t xml:space="preserve"> </t>
  </si>
  <si>
    <t>Sinclair Interplanetary (Space hardware)</t>
  </si>
  <si>
    <t xml:space="preserve">Sinclair Interplanetary is a leading provider of high-quality, flight-proven spacecraft hardware, headquartered in Toronto, Canada. This acquisition aids in the companies ability to become a one stop shop for customers who desire to design, build, and launch a spacecraft. </t>
  </si>
  <si>
    <t>SolAero (Solar cells)</t>
  </si>
  <si>
    <t>Planetary Systems Corporation (Payload separation)</t>
  </si>
  <si>
    <t xml:space="preserve">Lightband Separtion Systems enable customers to lower their mission costs and streamline payload integration from days to just minutes. Over 20 years of service with 100% success rate. </t>
  </si>
  <si>
    <t>Advanced Solutions, Inc. (Flight software for spacecraft)</t>
  </si>
  <si>
    <t>Notable Mentions</t>
  </si>
  <si>
    <t>32 launches with electron rocket, 3 failures</t>
  </si>
  <si>
    <t>152 satelites deployed for customers such as NASA, Space Force, DARPA, Blacksky, Canon, and more</t>
  </si>
  <si>
    <t>Rocketlab's space software has been used for an accumulative 176 years, 251 days. ( as of 2022-12-22)</t>
  </si>
  <si>
    <t>Varda Space Industries is using Rocketlab's Photon spacecraft for their "in-space" manufacturing.</t>
  </si>
  <si>
    <t>Space Systems</t>
  </si>
  <si>
    <t>SOLIS</t>
  </si>
  <si>
    <t>Max Flight Software</t>
  </si>
  <si>
    <t>Max Ground Data System</t>
  </si>
  <si>
    <t>Electron</t>
  </si>
  <si>
    <t>Launch Sites</t>
  </si>
  <si>
    <t>Location</t>
  </si>
  <si>
    <t>Region</t>
  </si>
  <si>
    <t>Date est.</t>
  </si>
  <si>
    <t>Launch Complex 1</t>
  </si>
  <si>
    <t>New Zealand</t>
  </si>
  <si>
    <t>North Island - Māhia Peninsula</t>
  </si>
  <si>
    <t>Launch Complex 2</t>
  </si>
  <si>
    <t>Virginia</t>
  </si>
  <si>
    <t>Launches</t>
  </si>
  <si>
    <t>Launch Site</t>
  </si>
  <si>
    <t>Customers</t>
  </si>
  <si>
    <t>Failure</t>
  </si>
  <si>
    <t>Success</t>
  </si>
  <si>
    <t>NASA</t>
  </si>
  <si>
    <t>https://www.rocketlabusa.com/launch/electron/</t>
  </si>
  <si>
    <t>Q223</t>
  </si>
  <si>
    <t>Quarter</t>
  </si>
  <si>
    <t>Q320</t>
  </si>
  <si>
    <t>Q420</t>
  </si>
  <si>
    <t>Q121</t>
  </si>
  <si>
    <t>Q221</t>
  </si>
  <si>
    <t>Q321</t>
  </si>
  <si>
    <t>Q421</t>
  </si>
  <si>
    <t>Q122</t>
  </si>
  <si>
    <t>Q222</t>
  </si>
  <si>
    <t>Q322</t>
  </si>
  <si>
    <t>Filing Date</t>
  </si>
  <si>
    <t>Period of Report</t>
  </si>
  <si>
    <t>Revenue Breakdown</t>
  </si>
  <si>
    <t>Launch Services - Point-in-time</t>
  </si>
  <si>
    <t xml:space="preserve">  </t>
  </si>
  <si>
    <t>Launch Services - Over-time</t>
  </si>
  <si>
    <t>Space Systems - Point-in-time</t>
  </si>
  <si>
    <t>Space Systems - Over-time</t>
  </si>
  <si>
    <t>Total - Point-in-time</t>
  </si>
  <si>
    <t>Total - Over-time</t>
  </si>
  <si>
    <t>Total</t>
  </si>
  <si>
    <t>Launch Services</t>
  </si>
  <si>
    <t>Point-in-time Contract</t>
  </si>
  <si>
    <t>Over-time Contract</t>
  </si>
  <si>
    <t>Launch Services Revenue</t>
  </si>
  <si>
    <t>Cost of Revenue</t>
  </si>
  <si>
    <t>Launch Services Gross profit (loss)</t>
  </si>
  <si>
    <t>Margin</t>
  </si>
  <si>
    <t>Space Systems Revenue</t>
  </si>
  <si>
    <t>Space Systems Gross profit (loss)</t>
  </si>
  <si>
    <t>Total Revenues</t>
  </si>
  <si>
    <t>Revenue Mix</t>
  </si>
  <si>
    <t>Revenue</t>
  </si>
  <si>
    <t>COGs</t>
  </si>
  <si>
    <t>Gross Profit</t>
  </si>
  <si>
    <t>Operating expenses</t>
  </si>
  <si>
    <t>R&amp;D</t>
  </si>
  <si>
    <t>SG&amp;A</t>
  </si>
  <si>
    <t>Total Operating expenses</t>
  </si>
  <si>
    <t>Operating Profit</t>
  </si>
  <si>
    <t>Interest income (expense)</t>
  </si>
  <si>
    <t>Gain (loss) on foreign exchange</t>
  </si>
  <si>
    <t>Change in fair value of liability calssified warrants</t>
  </si>
  <si>
    <t>Other income (expense)</t>
  </si>
  <si>
    <t>Income before taxes</t>
  </si>
  <si>
    <t>Benefit (provision) for income taxes</t>
  </si>
  <si>
    <t>Net Income</t>
  </si>
  <si>
    <t>Foregin currency translation income</t>
  </si>
  <si>
    <t>Unrealized loss on available-for-sale marketable securities</t>
  </si>
  <si>
    <t>Comprehensive income</t>
  </si>
  <si>
    <t>EPS</t>
  </si>
  <si>
    <t>Operating Expenses/Gross Profit</t>
  </si>
  <si>
    <t>R&amp;D / Gross Profit</t>
  </si>
  <si>
    <t>SG&amp;A / Gross Profit</t>
  </si>
  <si>
    <t>Ratios</t>
  </si>
  <si>
    <t>Gross Profit Margin</t>
  </si>
  <si>
    <t>Net Profit Margin</t>
  </si>
  <si>
    <t>Current Liabilities</t>
  </si>
  <si>
    <t>Cash and cash equiv</t>
  </si>
  <si>
    <t>Marketable securities</t>
  </si>
  <si>
    <t>AR</t>
  </si>
  <si>
    <t>Contract assets</t>
  </si>
  <si>
    <t>Inventories</t>
  </si>
  <si>
    <t>Prepaids and other current assets</t>
  </si>
  <si>
    <t>Total current assets</t>
  </si>
  <si>
    <t>Non-current Liabilities</t>
  </si>
  <si>
    <t>*Cash held in trust account</t>
  </si>
  <si>
    <t>PP&amp;E</t>
  </si>
  <si>
    <t>Intangible assets</t>
  </si>
  <si>
    <t>Goodwill</t>
  </si>
  <si>
    <t>Right-of-use assets - operating lease</t>
  </si>
  <si>
    <t>Right-of-use assets - finance lease</t>
  </si>
  <si>
    <t>Restricted cash</t>
  </si>
  <si>
    <t>Deferred income tax assets</t>
  </si>
  <si>
    <t>Investments held in trust accounts</t>
  </si>
  <si>
    <t>Other non-current assets</t>
  </si>
  <si>
    <t>Trade payables</t>
  </si>
  <si>
    <t>Accrued expenses</t>
  </si>
  <si>
    <t>Employee benefits payable</t>
  </si>
  <si>
    <t>Contract liabilities</t>
  </si>
  <si>
    <t>Current installment of long-term borrowings</t>
  </si>
  <si>
    <t>Other current liabilities</t>
  </si>
  <si>
    <t>Total current liabilities</t>
  </si>
  <si>
    <t>Warrant liabilities</t>
  </si>
  <si>
    <t>Long-term borrowings, excluding current installments</t>
  </si>
  <si>
    <t>Non-current lease liabilities</t>
  </si>
  <si>
    <t>Non-current finance lease liabilities</t>
  </si>
  <si>
    <t>Deferred tax liabilities</t>
  </si>
  <si>
    <t>Deferred underwriting fee payable</t>
  </si>
  <si>
    <t>Public and private warrant liabilities</t>
  </si>
  <si>
    <t>Other non-current liabilities</t>
  </si>
  <si>
    <t>Total Non-current Liabilities</t>
  </si>
  <si>
    <t>Total liabilities</t>
  </si>
  <si>
    <t>Equity</t>
  </si>
  <si>
    <t>Class A shares possible to redemption</t>
  </si>
  <si>
    <t>Series A</t>
  </si>
  <si>
    <t>-</t>
  </si>
  <si>
    <t>Series B</t>
  </si>
  <si>
    <t>Seried C</t>
  </si>
  <si>
    <t>Series D</t>
  </si>
  <si>
    <t>Series E &amp; E-1</t>
  </si>
  <si>
    <t>Common Stock</t>
  </si>
  <si>
    <t>Additional paid-in capital</t>
  </si>
  <si>
    <t>Accumulated deficit</t>
  </si>
  <si>
    <t>Accumulated other comprehensive income</t>
  </si>
  <si>
    <t>Total stockholders' equity (deficit)</t>
  </si>
  <si>
    <t>Total liabilities and stockholder equity</t>
  </si>
  <si>
    <t>Current Ratio</t>
  </si>
  <si>
    <t>Operating Cash Flow</t>
  </si>
  <si>
    <t>CapEx</t>
  </si>
  <si>
    <t>FCF</t>
  </si>
  <si>
    <t>Stock Statistics</t>
  </si>
  <si>
    <t>Market Cap</t>
  </si>
  <si>
    <t>Cash/sh</t>
  </si>
  <si>
    <t>Debt/sh</t>
  </si>
  <si>
    <t>Missions</t>
  </si>
  <si>
    <t>DARPA</t>
  </si>
  <si>
    <t>Total Assets</t>
  </si>
  <si>
    <t>Stock Prices</t>
  </si>
  <si>
    <t xml:space="preserve">High </t>
  </si>
  <si>
    <t>Low</t>
  </si>
  <si>
    <t>Average</t>
  </si>
  <si>
    <t>Total Non-current Assets</t>
  </si>
  <si>
    <t>SBI</t>
  </si>
  <si>
    <t>SBC</t>
  </si>
  <si>
    <t>SBB</t>
  </si>
  <si>
    <t>Dividends</t>
  </si>
  <si>
    <t>Balance Sheet *in thousands, USD</t>
  </si>
  <si>
    <t>Income Statement *in thousands, USD</t>
  </si>
  <si>
    <t>Per/Share</t>
  </si>
  <si>
    <t>P/S</t>
  </si>
  <si>
    <t>P/E</t>
  </si>
  <si>
    <t>P/FCF</t>
  </si>
  <si>
    <t>P/B</t>
  </si>
  <si>
    <t>Growth</t>
  </si>
  <si>
    <t>Earnings</t>
  </si>
  <si>
    <t>Competition</t>
  </si>
  <si>
    <r>
      <rPr>
        <b/>
        <sz val="11"/>
        <color rgb="FF000000"/>
        <rFont val="Times New Roman"/>
        <family val="1"/>
      </rPr>
      <t xml:space="preserve">Companies providing dedicated and rideshare launch vehicles </t>
    </r>
    <r>
      <rPr>
        <sz val="11"/>
        <color rgb="FF000000"/>
        <rFont val="Times New Roman"/>
        <family val="1"/>
      </rPr>
      <t xml:space="preserve">to deliver payloads to generic and custom planes/inclinations and altitude trajectories, </t>
    </r>
    <r>
      <rPr>
        <b/>
        <sz val="11"/>
        <color rgb="FF000000"/>
        <rFont val="Times New Roman"/>
        <family val="1"/>
      </rPr>
      <t>such as Northrop Grumman, SpaceX, United Launch Alliance (a joint venture between Lockheed Martin Corporation and The Boeing Company), Virgin Orbit and established Russian, Indian, Chinese, European and Japanese launch providers</t>
    </r>
    <r>
      <rPr>
        <sz val="11"/>
        <color rgb="FF000000"/>
        <rFont val="Times New Roman"/>
        <family val="1"/>
      </rPr>
      <t>;</t>
    </r>
  </si>
  <si>
    <r>
      <rPr>
        <b/>
        <sz val="11"/>
        <color rgb="FF000000"/>
        <rFont val="Times New Roman"/>
        <family val="1"/>
      </rPr>
      <t xml:space="preserve">Companies that are reported to have plans to provide launch vehicles </t>
    </r>
    <r>
      <rPr>
        <sz val="11"/>
        <color rgb="FF000000"/>
        <rFont val="Times New Roman"/>
        <family val="1"/>
      </rPr>
      <t>that can deliver payloads to a range of planes/inclinations and altitude trajectories;</t>
    </r>
  </si>
  <si>
    <r>
      <rPr>
        <b/>
        <sz val="11"/>
        <color rgb="FF000000"/>
        <rFont val="Times New Roman"/>
        <family val="1"/>
      </rPr>
      <t>Companies providing spacecraft solutions</t>
    </r>
    <r>
      <rPr>
        <sz val="11"/>
        <color rgb="FF000000"/>
        <rFont val="Times New Roman"/>
        <family val="1"/>
      </rPr>
      <t xml:space="preserve">, such as </t>
    </r>
    <r>
      <rPr>
        <b/>
        <sz val="11"/>
        <color rgb="FF000000"/>
        <rFont val="Times New Roman"/>
        <family val="1"/>
      </rPr>
      <t>Airbus, Lockheed, Boeing, General Atomics, General Dynamics, Maxar Technology, Northrop Grumman, Raytheon Technologies, Thales Alenia Space, Astro Digital, Tyvak and York Space Systems</t>
    </r>
    <r>
      <rPr>
        <sz val="11"/>
        <color rgb="FF000000"/>
        <rFont val="Times New Roman"/>
        <family val="1"/>
      </rPr>
      <t xml:space="preserve">; </t>
    </r>
  </si>
  <si>
    <r>
      <rPr>
        <b/>
        <sz val="11"/>
        <color rgb="FF000000"/>
        <rFont val="Times New Roman"/>
        <family val="1"/>
      </rPr>
      <t xml:space="preserve">Companies providing spacecraft components </t>
    </r>
    <r>
      <rPr>
        <sz val="11"/>
        <color rgb="FF000000"/>
        <rFont val="Times New Roman"/>
        <family val="1"/>
      </rPr>
      <t xml:space="preserve">in the commercial marketplace, such as </t>
    </r>
    <r>
      <rPr>
        <b/>
        <sz val="11"/>
        <color rgb="FF000000"/>
        <rFont val="Times New Roman"/>
        <family val="1"/>
      </rPr>
      <t>Ball Aerospace, Raytheon, Collins Aerospace, Bradford Space, Honeywell Aerospace, GOMSpace, Redwire and Beyond Gravity.</t>
    </r>
  </si>
  <si>
    <t xml:space="preserve">Risks </t>
  </si>
  <si>
    <t>The expansion of our operations subjects us to additional risks that can adversely affect our operating results.</t>
  </si>
  <si>
    <t>Acquisitions or divestitures could result in adverse impacts on our operations.</t>
  </si>
  <si>
    <r>
      <t xml:space="preserve">We have experienced rapid growth in </t>
    </r>
    <r>
      <rPr>
        <b/>
        <sz val="11"/>
        <color rgb="FF231F20"/>
        <rFont val="Calibri"/>
        <family val="2"/>
        <scheme val="minor"/>
      </rPr>
      <t>recent periods and those growth rates may not be indicative of our future growth</t>
    </r>
    <r>
      <rPr>
        <sz val="11"/>
        <color rgb="FF231F20"/>
        <rFont val="Calibri"/>
        <family val="2"/>
        <scheme val="minor"/>
      </rPr>
      <t>. If we fail to manage our growth effectively, we may be unable to execute our business plan and our business, results of operations, and financial condition could be harmed.</t>
    </r>
  </si>
  <si>
    <r>
      <rPr>
        <b/>
        <sz val="11"/>
        <color rgb="FF231F20"/>
        <rFont val="Calibri"/>
        <family val="2"/>
        <scheme val="minor"/>
      </rPr>
      <t>We have a limited operating history in an evolving industry</t>
    </r>
    <r>
      <rPr>
        <sz val="11"/>
        <color rgb="FF231F20"/>
        <rFont val="Calibri"/>
        <family val="2"/>
        <scheme val="minor"/>
      </rPr>
      <t>, which makes it difficult to forecast our revenue, plan our expenses and evaluate our business and future prospects.</t>
    </r>
  </si>
  <si>
    <r>
      <rPr>
        <b/>
        <sz val="11"/>
        <color rgb="FF231F20"/>
        <rFont val="Calibri"/>
        <family val="2"/>
        <scheme val="minor"/>
      </rPr>
      <t>We have a history of losses, we anticipate increasing operating expenses and capital expenditures in the future</t>
    </r>
    <r>
      <rPr>
        <sz val="11"/>
        <color rgb="FF231F20"/>
        <rFont val="Calibri"/>
        <family val="2"/>
        <scheme val="minor"/>
      </rPr>
      <t>, and we may not be able to achieve and, if ever achieved, maintain profitability.</t>
    </r>
  </si>
  <si>
    <r>
      <t xml:space="preserve">Our future revenue and </t>
    </r>
    <r>
      <rPr>
        <b/>
        <sz val="11"/>
        <color rgb="FF231F20"/>
        <rFont val="Calibri"/>
        <family val="2"/>
        <scheme val="minor"/>
      </rPr>
      <t xml:space="preserve">operating results are dependent on our ability to generate a sustainable order rate </t>
    </r>
    <r>
      <rPr>
        <sz val="11"/>
        <color rgb="FF231F20"/>
        <rFont val="Calibri"/>
        <family val="2"/>
        <scheme val="minor"/>
      </rPr>
      <t>for our products and services and develop new technologies to meet the needs of our customers or potential new customers.</t>
    </r>
  </si>
  <si>
    <r>
      <t xml:space="preserve">Our business with various governmental entities is </t>
    </r>
    <r>
      <rPr>
        <b/>
        <sz val="11"/>
        <color rgb="FF231F20"/>
        <rFont val="Calibri"/>
        <family val="2"/>
        <scheme val="minor"/>
      </rPr>
      <t>subject to the policies, priorities, regulations, mandates and funding levels of such governmental entities</t>
    </r>
    <r>
      <rPr>
        <sz val="11"/>
        <color rgb="FF231F20"/>
        <rFont val="Calibri"/>
        <family val="2"/>
        <scheme val="minor"/>
      </rPr>
      <t xml:space="preserve"> and may be negatively or positively impacted by any change thereto.</t>
    </r>
  </si>
  <si>
    <r>
      <rPr>
        <b/>
        <sz val="11"/>
        <color rgb="FF231F20"/>
        <rFont val="Calibri"/>
        <family val="2"/>
        <scheme val="minor"/>
      </rPr>
      <t>We derive a substantial amount of our revenues from only a few of our customers</t>
    </r>
    <r>
      <rPr>
        <sz val="11"/>
        <color rgb="FF231F20"/>
        <rFont val="Calibri"/>
        <family val="2"/>
        <scheme val="minor"/>
      </rPr>
      <t>. A loss of, or default by, one or more of these major customers, or a material adverse change in any such customer’s business or financial condition, could materially reduce our future revenues and contracted backlog.</t>
    </r>
  </si>
  <si>
    <r>
      <rPr>
        <b/>
        <sz val="11"/>
        <color rgb="FF231F20"/>
        <rFont val="Calibri"/>
        <family val="2"/>
        <scheme val="minor"/>
      </rPr>
      <t>Disruptions in U.S. government operations and funding could have a material adverse effect on our revenues</t>
    </r>
    <r>
      <rPr>
        <sz val="11"/>
        <color rgb="FF231F20"/>
        <rFont val="Calibri"/>
        <family val="2"/>
        <scheme val="minor"/>
      </rPr>
      <t>, earnings and cash flows, and otherwise adversely affect our financial condition.</t>
    </r>
  </si>
  <si>
    <r>
      <rPr>
        <b/>
        <sz val="11"/>
        <color rgb="FF231F20"/>
        <rFont val="Calibri"/>
        <family val="2"/>
        <scheme val="minor"/>
      </rPr>
      <t xml:space="preserve">We may not be successful in developing new technology, including our Neutron launch </t>
    </r>
    <r>
      <rPr>
        <sz val="11"/>
        <color rgb="FF231F20"/>
        <rFont val="Calibri"/>
        <family val="2"/>
        <scheme val="minor"/>
      </rPr>
      <t>vehicle and the technology we are successful in developing may not meet the needs of our customers or potential new customers.</t>
    </r>
  </si>
  <si>
    <r>
      <rPr>
        <b/>
        <sz val="11"/>
        <color rgb="FF231F20"/>
        <rFont val="Calibri"/>
        <family val="2"/>
        <scheme val="minor"/>
      </rPr>
      <t xml:space="preserve">We operate in highly competitive industries and in various jurisdictions across the world </t>
    </r>
    <r>
      <rPr>
        <sz val="11"/>
        <color rgb="FF231F20"/>
        <rFont val="Calibri"/>
        <family val="2"/>
        <scheme val="minor"/>
      </rPr>
      <t>which may cause us to have to reduce our prices.</t>
    </r>
  </si>
  <si>
    <r>
      <rPr>
        <b/>
        <sz val="11"/>
        <color rgb="FF231F20"/>
        <rFont val="Calibri"/>
        <family val="2"/>
        <scheme val="minor"/>
      </rPr>
      <t xml:space="preserve">Disruptions in the supply of key raw materials or components </t>
    </r>
    <r>
      <rPr>
        <sz val="11"/>
        <color rgb="FF231F20"/>
        <rFont val="Calibri"/>
        <family val="2"/>
        <scheme val="minor"/>
      </rPr>
      <t>and difficulties in the supplier qualification process, as well as increases in prices of raw materials, could adversely impact us.</t>
    </r>
  </si>
  <si>
    <r>
      <rPr>
        <b/>
        <sz val="11"/>
        <color rgb="FF231F20"/>
        <rFont val="Calibri"/>
        <family val="2"/>
        <scheme val="minor"/>
      </rPr>
      <t xml:space="preserve">Uncertain global macro-economic and political conditions </t>
    </r>
    <r>
      <rPr>
        <sz val="11"/>
        <color rgb="FF231F20"/>
        <rFont val="Calibri"/>
        <family val="2"/>
        <scheme val="minor"/>
      </rPr>
      <t>could materially adversely affect our results of operations and financial condition.</t>
    </r>
  </si>
  <si>
    <r>
      <rPr>
        <b/>
        <sz val="11"/>
        <color rgb="FF231F20"/>
        <rFont val="Calibri"/>
        <family val="2"/>
        <scheme val="minor"/>
      </rPr>
      <t xml:space="preserve">We often rely on a single vendor or a limited number of vendors to provide certain key products or services </t>
    </r>
    <r>
      <rPr>
        <sz val="11"/>
        <color rgb="FF231F20"/>
        <rFont val="Calibri"/>
        <family val="2"/>
        <scheme val="minor"/>
      </rPr>
      <t>and the inability of these key vendors to meet our needs could have a material adverse effect on our business.</t>
    </r>
  </si>
  <si>
    <r>
      <rPr>
        <b/>
        <sz val="11"/>
        <color rgb="FF231F20"/>
        <rFont val="Calibri"/>
        <family val="2"/>
        <scheme val="minor"/>
      </rPr>
      <t>Launch vehicles are subject to manufacturing delays, damage or destruction during pre-launch operations</t>
    </r>
    <r>
      <rPr>
        <sz val="11"/>
        <color rgb="FF231F20"/>
        <rFont val="Calibri"/>
        <family val="2"/>
        <scheme val="minor"/>
      </rPr>
      <t>, and launch failures, the occurrence of which can materially and adversely affect our operations.</t>
    </r>
  </si>
  <si>
    <r>
      <rPr>
        <b/>
        <sz val="11"/>
        <color rgb="FF231F20"/>
        <rFont val="Calibri"/>
        <family val="2"/>
        <scheme val="minor"/>
      </rPr>
      <t>Spacecraft are subject to manufacturing and launch delays, damage or destruction during pre-launch operations</t>
    </r>
    <r>
      <rPr>
        <sz val="11"/>
        <color rgb="FF231F20"/>
        <rFont val="Calibri"/>
        <family val="2"/>
        <scheme val="minor"/>
      </rPr>
      <t>, launch failures and incorrect orbital placement, the occurrence of which can materially and adversely affect our operations.</t>
    </r>
  </si>
  <si>
    <r>
      <rPr>
        <b/>
        <sz val="11"/>
        <color rgb="FF000000"/>
        <rFont val="Calibri"/>
        <family val="2"/>
        <scheme val="minor"/>
      </rPr>
      <t>If our launch vehicles and spacecraft fail to operate as intended</t>
    </r>
    <r>
      <rPr>
        <sz val="11"/>
        <color rgb="FF000000"/>
        <rFont val="Calibri"/>
        <family val="2"/>
        <scheme val="minor"/>
      </rPr>
      <t>, it could have a material adverse effect on our business, financial condition and results of operations.</t>
    </r>
  </si>
  <si>
    <r>
      <t xml:space="preserve">Our revenue, results of operations and </t>
    </r>
    <r>
      <rPr>
        <b/>
        <sz val="11"/>
        <color rgb="FF231F20"/>
        <rFont val="Calibri"/>
        <family val="2"/>
        <scheme val="minor"/>
      </rPr>
      <t xml:space="preserve">reputation may be negatively impacted if our products contain defects or fail </t>
    </r>
    <r>
      <rPr>
        <sz val="11"/>
        <color rgb="FF231F20"/>
        <rFont val="Calibri"/>
        <family val="2"/>
        <scheme val="minor"/>
      </rPr>
      <t>to operate in the expected manner.</t>
    </r>
  </si>
  <si>
    <r>
      <rPr>
        <b/>
        <sz val="11"/>
        <color rgb="FF231F20"/>
        <rFont val="Calibri"/>
        <family val="2"/>
        <scheme val="minor"/>
      </rPr>
      <t xml:space="preserve">Any inability to operate Electron </t>
    </r>
    <r>
      <rPr>
        <sz val="11"/>
        <color rgb="FF231F20"/>
        <rFont val="Calibri"/>
        <family val="2"/>
        <scheme val="minor"/>
      </rPr>
      <t>at our anticipated launch rate could adversely impact our business, financial condition and results of operations.</t>
    </r>
  </si>
  <si>
    <r>
      <rPr>
        <b/>
        <sz val="11"/>
        <color rgb="FF231F20"/>
        <rFont val="Calibri"/>
        <family val="2"/>
        <scheme val="minor"/>
      </rPr>
      <t>Space is a harsh and unpredictable environment where our products and service offerings are exposed to a wide and unique range of environmental risks</t>
    </r>
    <r>
      <rPr>
        <sz val="11"/>
        <color rgb="FF231F20"/>
        <rFont val="Calibri"/>
        <family val="2"/>
        <scheme val="minor"/>
      </rPr>
      <t>, including, among others, coronal mass ejections, solar flares and other extreme space weather events and potential collision with space debris or another spacecraft, which could adversely affect our launch vehicle and spacecraft performance.</t>
    </r>
  </si>
  <si>
    <t>3-month Adjusted</t>
  </si>
  <si>
    <t>Backlog *in millions</t>
  </si>
  <si>
    <t>Launch</t>
  </si>
  <si>
    <t>Total Backlog</t>
  </si>
  <si>
    <t>Rocketlab</t>
  </si>
  <si>
    <t>SpaceX</t>
  </si>
  <si>
    <t>Stages</t>
  </si>
  <si>
    <t>Height (m)</t>
  </si>
  <si>
    <t>Diameter (m)</t>
  </si>
  <si>
    <t>Neutron</t>
  </si>
  <si>
    <t>Failures</t>
  </si>
  <si>
    <t>Success Rate</t>
  </si>
  <si>
    <t>Falcon 9</t>
  </si>
  <si>
    <t>Starship</t>
  </si>
  <si>
    <t>TBD</t>
  </si>
  <si>
    <t>New Shepard</t>
  </si>
  <si>
    <t>Status</t>
  </si>
  <si>
    <t>Active</t>
  </si>
  <si>
    <t>New Glenn</t>
  </si>
  <si>
    <t>United Launch Alliance (ULA)</t>
  </si>
  <si>
    <t>In Development</t>
  </si>
  <si>
    <t>Atlas V</t>
  </si>
  <si>
    <t>Vulcan</t>
  </si>
  <si>
    <t>Firefly Aerospace</t>
  </si>
  <si>
    <t>Firefly Alpha</t>
  </si>
  <si>
    <t>Mix</t>
  </si>
  <si>
    <t>The Moon God Awakens</t>
  </si>
  <si>
    <t>iQPS</t>
  </si>
  <si>
    <t>Capella Space</t>
  </si>
  <si>
    <t>We Love The Nightlife</t>
  </si>
  <si>
    <t>Baby Come Back</t>
  </si>
  <si>
    <t>Rideshare</t>
  </si>
  <si>
    <t>Scout's Arrow</t>
  </si>
  <si>
    <t>Leidos</t>
  </si>
  <si>
    <t>Coming To A Storm Near You</t>
  </si>
  <si>
    <t>Rocket Like A Hurricane</t>
  </si>
  <si>
    <t>The Beat Goes On</t>
  </si>
  <si>
    <t>Stronger Together</t>
  </si>
  <si>
    <t>Virginia is for Launch Lovers</t>
  </si>
  <si>
    <t>Catch Me If You Can</t>
  </si>
  <si>
    <t>It Argos Up From Here</t>
  </si>
  <si>
    <t>General Atomics Electromagnetic Systems</t>
  </si>
  <si>
    <t>The Owl Spreads Its Wings</t>
  </si>
  <si>
    <t>Synspective</t>
  </si>
  <si>
    <t>National Reconnaissance Office</t>
  </si>
  <si>
    <t>Wise One Looks Ahead</t>
  </si>
  <si>
    <t>CAPSTONE</t>
  </si>
  <si>
    <t>There And Back Again</t>
  </si>
  <si>
    <t>Without Mission A Beat</t>
  </si>
  <si>
    <t>BlackSky</t>
  </si>
  <si>
    <t>The Owl's Night Continues</t>
  </si>
  <si>
    <t>A Data With Destiny</t>
  </si>
  <si>
    <t>United States Space Force</t>
  </si>
  <si>
    <t>They Go Up So Fast</t>
  </si>
  <si>
    <t>Another One Leaves The Crust</t>
  </si>
  <si>
    <t>OHB Group</t>
  </si>
  <si>
    <t>The Owl's Night Begins</t>
  </si>
  <si>
    <t>In Focus</t>
  </si>
  <si>
    <t>I Can't Believe It's Not Optical</t>
  </si>
  <si>
    <t>Pics Or It Didn't Happen</t>
  </si>
  <si>
    <t>Don't Stop Me Now</t>
  </si>
  <si>
    <t>Running Out Of Fingers</t>
  </si>
  <si>
    <t>As The Crow Flies</t>
  </si>
  <si>
    <t>Astro Digital</t>
  </si>
  <si>
    <t>Spaceflight</t>
  </si>
  <si>
    <t>STP-27RD</t>
  </si>
  <si>
    <t>U.S. Air Force Space Test Program</t>
  </si>
  <si>
    <t>DARPA R3D2</t>
  </si>
  <si>
    <t>NASA ELaNa-19</t>
  </si>
  <si>
    <t>It's Business Time</t>
  </si>
  <si>
    <t>Still Testing</t>
  </si>
  <si>
    <t>Launch Date</t>
  </si>
  <si>
    <t>Mission Name</t>
  </si>
  <si>
    <t>Four Of a Kind</t>
  </si>
  <si>
    <t>Spire Global &amp; NorthStar</t>
  </si>
  <si>
    <t>source</t>
  </si>
  <si>
    <t>We Will Never Desert you</t>
  </si>
  <si>
    <t>2023 Total Launches</t>
  </si>
  <si>
    <t>Blacksky Global</t>
  </si>
  <si>
    <t>Hawkeye 360</t>
  </si>
  <si>
    <t>Antidodean Adventure</t>
  </si>
  <si>
    <t xml:space="preserve">Swedish National Space Agency </t>
  </si>
  <si>
    <t>NASA &amp; Advanced Space</t>
  </si>
  <si>
    <t>2022 Total Launches</t>
  </si>
  <si>
    <t xml:space="preserve">Blacksky   </t>
  </si>
  <si>
    <t>Love at First Insight</t>
  </si>
  <si>
    <t>It's a Little Chile Up Here</t>
  </si>
  <si>
    <t>Running Out of Toes</t>
  </si>
  <si>
    <t>Return To Sender</t>
  </si>
  <si>
    <t>Birds Of A Feather</t>
  </si>
  <si>
    <t>Look Ma No Hands</t>
  </si>
  <si>
    <t>Make It rain</t>
  </si>
  <si>
    <t>It's A Test</t>
  </si>
  <si>
    <t>Test Launch</t>
  </si>
  <si>
    <t>2021 Total Launches</t>
  </si>
  <si>
    <t>2020 Total Launches</t>
  </si>
  <si>
    <t>2019 Total Launches</t>
  </si>
  <si>
    <t>2018 Total Launches</t>
  </si>
  <si>
    <t>LC2</t>
  </si>
  <si>
    <t>LC1</t>
  </si>
  <si>
    <t>#</t>
  </si>
  <si>
    <t>Cadence Breakdown</t>
  </si>
  <si>
    <t>%</t>
  </si>
  <si>
    <t># of missions</t>
  </si>
  <si>
    <t>Total Launches</t>
  </si>
  <si>
    <t>Last Update: 2024-02-07</t>
  </si>
  <si>
    <t>Mission Success Rate</t>
  </si>
  <si>
    <t>Gross Profit Per Launch</t>
  </si>
  <si>
    <t>Cost Per Launch</t>
  </si>
  <si>
    <t>Revenue Per Launch</t>
  </si>
  <si>
    <t>Launch Revenue Breakdown *in millions, USD</t>
  </si>
  <si>
    <t>Bull Case</t>
  </si>
  <si>
    <t>Bear Case</t>
  </si>
  <si>
    <t>While the space industry is growing, competition is also growing.</t>
  </si>
  <si>
    <t xml:space="preserve">RKLB is R&amp;D heavy. A constant drag on the business will be R&amp;D for new rockets. </t>
  </si>
  <si>
    <t xml:space="preserve">As of 2023, the Space industry is worth $546 billion.  It is projected to grow to $1,110.84 billion by 2030. </t>
  </si>
  <si>
    <t xml:space="preserve">Rocketlab's "Space Systems" segment is high margin, and allows for their hardware to be on launches, even if it is not by Electron. </t>
  </si>
  <si>
    <t xml:space="preserve">The Government does not want monopolies by giving all the contracts to SpaceX. RocketLab has the 2nd most successful launches for a private space company. The government may look to RKLB for contracts that they want to avoid giving to SpaceX. </t>
  </si>
  <si>
    <t>Development of Neutron, a medium launch vehicle (MLV) will allow for larger contracts.</t>
  </si>
  <si>
    <t>Q422</t>
  </si>
  <si>
    <t>Q123</t>
  </si>
  <si>
    <t>Q323</t>
  </si>
  <si>
    <t>Q423</t>
  </si>
  <si>
    <t>VACQ</t>
  </si>
  <si>
    <t>Year</t>
  </si>
  <si>
    <t>Launch Cadence &amp; Success Rate</t>
  </si>
  <si>
    <t>Engine</t>
  </si>
  <si>
    <t>Total Thrust</t>
  </si>
  <si>
    <t>Reaver</t>
  </si>
  <si>
    <t>Specific Impulse</t>
  </si>
  <si>
    <t>RD-180</t>
  </si>
  <si>
    <t>BE-4</t>
  </si>
  <si>
    <t>Payload/Mass</t>
  </si>
  <si>
    <t>Rutherford</t>
  </si>
  <si>
    <t>Archimedes</t>
  </si>
  <si>
    <t>Merlin</t>
  </si>
  <si>
    <t>Raptor</t>
  </si>
  <si>
    <t>BE-3</t>
  </si>
  <si>
    <t>$/Kg</t>
  </si>
  <si>
    <t>Reusable</t>
  </si>
  <si>
    <t>Date</t>
  </si>
  <si>
    <t>Value (m)</t>
  </si>
  <si>
    <t>Name</t>
  </si>
  <si>
    <t>Constellation Contract</t>
  </si>
  <si>
    <t>Issuer</t>
  </si>
  <si>
    <t>Type</t>
  </si>
  <si>
    <t>MDA</t>
  </si>
  <si>
    <t>Subcontract</t>
  </si>
  <si>
    <t xml:space="preserve">R&amp;D </t>
  </si>
  <si>
    <t>Change</t>
  </si>
  <si>
    <t>R&amp;D/Revenue</t>
  </si>
  <si>
    <t>SG&amp;A/Revenue</t>
  </si>
  <si>
    <t>Assets held for sale</t>
  </si>
  <si>
    <t>Vehicle Production, *in Nominal, Vehicles</t>
  </si>
  <si>
    <t xml:space="preserve">Built </t>
  </si>
  <si>
    <t>Launched</t>
  </si>
  <si>
    <t>Launch Services %</t>
  </si>
  <si>
    <t>Space Systems %</t>
  </si>
  <si>
    <t>Beginning Cash</t>
  </si>
  <si>
    <t>End Cash</t>
  </si>
  <si>
    <t xml:space="preserve">Period </t>
  </si>
  <si>
    <t>Period  (months)</t>
  </si>
  <si>
    <t>Burn Rate</t>
  </si>
  <si>
    <t>Cash Flow *in thousands, USD</t>
  </si>
  <si>
    <t>Management</t>
  </si>
  <si>
    <t>Peter Beck</t>
  </si>
  <si>
    <t xml:space="preserve">Positions </t>
  </si>
  <si>
    <t>Founder, CEO, Chief Engineer</t>
  </si>
  <si>
    <t>Previous Positions</t>
  </si>
  <si>
    <t>Adam Spice</t>
  </si>
  <si>
    <t>CFO</t>
  </si>
  <si>
    <t>2023 Highlights</t>
  </si>
  <si>
    <t>(Most of these can be found in the Q4 earnings presentation): https://s28.q4cdn.com/737637457/files/doc_presentations/2024/02/final_rocket-lab-q4-2023-presentation.pdf</t>
  </si>
  <si>
    <r>
      <t xml:space="preserve">- 10 launches of </t>
    </r>
    <r>
      <rPr>
        <b/>
        <sz val="11"/>
        <color theme="1"/>
        <rFont val="Calibri"/>
        <family val="2"/>
        <scheme val="minor"/>
      </rPr>
      <t>Electron</t>
    </r>
    <r>
      <rPr>
        <sz val="11"/>
        <color theme="1"/>
        <rFont val="Calibri"/>
        <family val="2"/>
        <scheme val="minor"/>
      </rPr>
      <t xml:space="preserve">, in 2023, beating the annual record of 9 in 2022. </t>
    </r>
  </si>
  <si>
    <r>
      <t xml:space="preserve">- </t>
    </r>
    <r>
      <rPr>
        <b/>
        <sz val="11"/>
        <color theme="1"/>
        <rFont val="Calibri"/>
        <family val="2"/>
        <scheme val="minor"/>
      </rPr>
      <t xml:space="preserve">Only small launch provider </t>
    </r>
    <r>
      <rPr>
        <sz val="11"/>
        <color theme="1"/>
        <rFont val="Calibri"/>
        <family val="2"/>
        <scheme val="minor"/>
      </rPr>
      <t xml:space="preserve">to </t>
    </r>
    <r>
      <rPr>
        <u/>
        <sz val="11"/>
        <color theme="1"/>
        <rFont val="Calibri"/>
        <family val="2"/>
        <scheme val="minor"/>
      </rPr>
      <t xml:space="preserve">launch more than one orbital mission </t>
    </r>
    <r>
      <rPr>
        <sz val="11"/>
        <color theme="1"/>
        <rFont val="Calibri"/>
        <family val="2"/>
        <scheme val="minor"/>
      </rPr>
      <t xml:space="preserve">in 2023. </t>
    </r>
  </si>
  <si>
    <r>
      <t xml:space="preserve">- </t>
    </r>
    <r>
      <rPr>
        <b/>
        <sz val="11"/>
        <color theme="1"/>
        <rFont val="Calibri"/>
        <family val="2"/>
        <scheme val="minor"/>
      </rPr>
      <t xml:space="preserve">3 successful </t>
    </r>
    <r>
      <rPr>
        <sz val="11"/>
        <color theme="1"/>
        <rFont val="Calibri"/>
        <family val="2"/>
        <scheme val="minor"/>
      </rPr>
      <t xml:space="preserve">missions from the new LC-2 pad, located in Wallops Virginia. </t>
    </r>
  </si>
  <si>
    <r>
      <t xml:space="preserve">- </t>
    </r>
    <r>
      <rPr>
        <b/>
        <sz val="11"/>
        <color theme="1"/>
        <rFont val="Calibri"/>
        <family val="2"/>
        <scheme val="minor"/>
      </rPr>
      <t xml:space="preserve">First HASTE </t>
    </r>
    <r>
      <rPr>
        <sz val="11"/>
        <color theme="1"/>
        <rFont val="Calibri"/>
        <family val="2"/>
        <scheme val="minor"/>
      </rPr>
      <t>launch, opening new hypersonic suborbital market</t>
    </r>
  </si>
  <si>
    <t>Contracts</t>
  </si>
  <si>
    <r>
      <t xml:space="preserve">- </t>
    </r>
    <r>
      <rPr>
        <b/>
        <sz val="11"/>
        <color theme="1"/>
        <rFont val="Calibri"/>
        <family val="2"/>
        <scheme val="minor"/>
      </rPr>
      <t xml:space="preserve">25 new launch deals </t>
    </r>
    <r>
      <rPr>
        <sz val="11"/>
        <color theme="1"/>
        <rFont val="Calibri"/>
        <family val="2"/>
        <scheme val="minor"/>
      </rPr>
      <t xml:space="preserve">signed in 2023. </t>
    </r>
    <r>
      <rPr>
        <b/>
        <sz val="11"/>
        <color theme="1"/>
        <rFont val="Calibri"/>
        <family val="2"/>
        <scheme val="minor"/>
      </rPr>
      <t xml:space="preserve">18 electron </t>
    </r>
    <r>
      <rPr>
        <sz val="11"/>
        <color theme="1"/>
        <rFont val="Calibri"/>
        <family val="2"/>
        <scheme val="minor"/>
      </rPr>
      <t xml:space="preserve">deals, and </t>
    </r>
    <r>
      <rPr>
        <b/>
        <sz val="11"/>
        <color theme="1"/>
        <rFont val="Calibri"/>
        <family val="2"/>
        <scheme val="minor"/>
      </rPr>
      <t xml:space="preserve">7 HASTE </t>
    </r>
    <r>
      <rPr>
        <sz val="11"/>
        <color theme="1"/>
        <rFont val="Calibri"/>
        <family val="2"/>
        <scheme val="minor"/>
      </rPr>
      <t xml:space="preserve">deals. </t>
    </r>
  </si>
  <si>
    <t xml:space="preserve">- Contracts signed with diverse customer base including civil defense and national security government customers, as well as commercial operators. </t>
  </si>
  <si>
    <r>
      <t xml:space="preserve">- Awarded </t>
    </r>
    <r>
      <rPr>
        <b/>
        <sz val="11"/>
        <color theme="1"/>
        <rFont val="Calibri"/>
        <family val="2"/>
        <scheme val="minor"/>
      </rPr>
      <t xml:space="preserve">$515 million </t>
    </r>
    <r>
      <rPr>
        <sz val="11"/>
        <color theme="1"/>
        <rFont val="Calibri"/>
        <family val="2"/>
        <scheme val="minor"/>
      </rPr>
      <t xml:space="preserve">by SDA. This establises Rocket Lab's position aas a leading satellite prime contractor, providing supply chain diversity to the </t>
    </r>
    <r>
      <rPr>
        <b/>
        <sz val="11"/>
        <color theme="1"/>
        <rFont val="Calibri"/>
        <family val="2"/>
        <scheme val="minor"/>
      </rPr>
      <t>Department of Defense</t>
    </r>
  </si>
  <si>
    <t>x</t>
  </si>
  <si>
    <t>On Closer Inspection</t>
  </si>
  <si>
    <t>Astroscale Japan Inc</t>
  </si>
  <si>
    <t>2024 Total Launches</t>
  </si>
  <si>
    <t>CFO @ MaxLinear (2011-2018), CFO @ Symwave (2009-2011), Vice President @ Broadcom (2000-2009), Sr. Finance Manager @ Intel (1996 - 2000)</t>
  </si>
  <si>
    <t>None</t>
  </si>
  <si>
    <t>2022 Highlights</t>
  </si>
  <si>
    <t>(Most of these can be found in the Q4 earnings presentation): https://s28.q4cdn.com/737637457/files/doc_financials/2022/q4/FINAL_Rocket-Lab-Q4-2022-presentation.pdf</t>
  </si>
  <si>
    <t>• Successful Hardware-in-the-Loop (HITL) simulated flight to orbit + landing</t>
  </si>
  <si>
    <t xml:space="preserve">• Real flight software running on real Neutron hardware </t>
  </si>
  <si>
    <t xml:space="preserve">• “Testing as we fly” from operator consoles through to fluids valves </t>
  </si>
  <si>
    <t>• Flight 1 engine &amp; stage controllers now in production</t>
  </si>
  <si>
    <t xml:space="preserve">• First canard aerostructure complete </t>
  </si>
  <si>
    <t xml:space="preserve">• Complete, flight representative canard drivetrain assembled and tested, including motion controller and software, linear actuator, and canard mounting hardware </t>
  </si>
  <si>
    <t>• GNC dynamic requirements and modelling validated through full system testing, including flight representative canard actuation profile, and high frequency actuation testing</t>
  </si>
  <si>
    <t xml:space="preserve">• Fairing tooling complete, part production is underway with first parts expected Q1/Q2 2024 </t>
  </si>
  <si>
    <t>• Interstage tooling in final preparation and first parts expected in Q2 2024</t>
  </si>
  <si>
    <t xml:space="preserve">• All long-lead Stage 1 tank tooling ready for part production </t>
  </si>
  <si>
    <t xml:space="preserve">• First laminate laid down on Stage 1 tank components </t>
  </si>
  <si>
    <t xml:space="preserve">• Next Stage 2 tank (flight version) components in production – this tank will be taken through an extensive qualification campaign incorporating improvements from the last test campaign </t>
  </si>
  <si>
    <t xml:space="preserve">• Single-element pre-burner test campaign complete. Test campaign has successfully proved out element design across the full throttle range which has been incorporated into the full-scale pre-burner. </t>
  </si>
  <si>
    <t xml:space="preserve">• All engine components either complete or in final stages of production. Critical in-house components that have been completed include main valves, pre-valves, pre-burner valves, spin-start system, purge &amp; bleed valves. </t>
  </si>
  <si>
    <t>• All additive engine components printed, including turbopump housings, pre-burner and main chamber components, valve housings and engine structural components</t>
  </si>
  <si>
    <t>Key Avionics Milestones (Vehicle Development)</t>
  </si>
  <si>
    <t>Canard Testing Underway: (Vehicle Development)</t>
  </si>
  <si>
    <t>Stage 1 Upper Module Structures: (Vehicle Development)</t>
  </si>
  <si>
    <t>First engine build nearing completion in preparation for first hot fire (Archimedes Development)</t>
  </si>
  <si>
    <t>Stage 1 &amp; Stage 2 composite tank structures: (Vehicle Development)</t>
  </si>
  <si>
    <t>Key LC-3 Construction Milestones: (Launch Infrastructure)</t>
  </si>
  <si>
    <t xml:space="preserve">• Major concrete and civil works well underway across the launch site </t>
  </si>
  <si>
    <t xml:space="preserve">• Construction activities running in parallel over the next quarter include: 
- Water tower 
- Propellant storage foundations 
- Gas storage foundations </t>
  </si>
  <si>
    <t>• Long lead procurements in fabrication including LOx and LNG tanks, inert gas tanks, propellant transfer systems due to arrive on-site in Q3</t>
  </si>
  <si>
    <t>Electron recovered in record time and in best condition yet. Currently assessing suitability of reflying.</t>
  </si>
  <si>
    <t>Next milestone: Launching a mission with a full set of nine pre-flown Rutherford engines.</t>
  </si>
  <si>
    <t>Electron Reusability</t>
  </si>
  <si>
    <t>Model</t>
  </si>
  <si>
    <t>Cost ($millions)</t>
  </si>
  <si>
    <t>Mass (T)</t>
  </si>
  <si>
    <t xml:space="preserve">Propellant Mass </t>
  </si>
  <si>
    <t>Thrust (KN)</t>
  </si>
  <si>
    <t># of Engines</t>
  </si>
  <si>
    <t>Falcon Heavy</t>
  </si>
  <si>
    <t>NaN</t>
  </si>
  <si>
    <t>Moon</t>
  </si>
  <si>
    <t>LEO RTLS</t>
  </si>
  <si>
    <t>LEO ASDS</t>
  </si>
  <si>
    <t>LEO Expendable</t>
  </si>
  <si>
    <t>SSO RTLS</t>
  </si>
  <si>
    <t>SSO ASDS</t>
  </si>
  <si>
    <t>SSO Expendable</t>
  </si>
  <si>
    <t>GTO RTLS</t>
  </si>
  <si>
    <t>GTO ASDS</t>
  </si>
  <si>
    <t>GTO Expendable</t>
  </si>
  <si>
    <t>Mars RTLS</t>
  </si>
  <si>
    <t>Mars ASDS</t>
  </si>
  <si>
    <t>Mars Expendable</t>
  </si>
  <si>
    <t>Blue Origin</t>
  </si>
  <si>
    <t>Class</t>
  </si>
  <si>
    <t>SLV</t>
  </si>
  <si>
    <t>MLV</t>
  </si>
  <si>
    <t>HLV</t>
  </si>
  <si>
    <t>Astra</t>
  </si>
  <si>
    <t>Rocket 3.0</t>
  </si>
  <si>
    <t>Retired</t>
  </si>
  <si>
    <t>Aether</t>
  </si>
  <si>
    <t>Key</t>
  </si>
  <si>
    <t>RTLS</t>
  </si>
  <si>
    <t>Return to Launch Site</t>
  </si>
  <si>
    <t>ASDS</t>
  </si>
  <si>
    <t>Automated Spaceport Drone Ship</t>
  </si>
  <si>
    <t xml:space="preserve">ASDS landing can come with a drawdown of 30-55% performance penalty depending on the vehicle. </t>
  </si>
  <si>
    <t>Directory</t>
  </si>
  <si>
    <t>Info</t>
  </si>
  <si>
    <t>Analysis</t>
  </si>
  <si>
    <t>Highlights</t>
  </si>
  <si>
    <t>Main</t>
  </si>
  <si>
    <t xml:space="preserve">U.S. military is interested in RKLB for HASTE. </t>
  </si>
  <si>
    <t>Stock price is very sensitive to any failures.</t>
  </si>
  <si>
    <t>Headcount</t>
  </si>
  <si>
    <t>N/A</t>
  </si>
  <si>
    <t>Live And Let Fly</t>
  </si>
  <si>
    <t>Owl Night Long</t>
  </si>
  <si>
    <t>FY23</t>
  </si>
  <si>
    <t>FY22</t>
  </si>
  <si>
    <t>FY21</t>
  </si>
  <si>
    <t>FY19</t>
  </si>
  <si>
    <t>Customers &gt; 10% of AR</t>
  </si>
  <si>
    <t>Lockheed Martin</t>
  </si>
  <si>
    <t>Northrop Grumman</t>
  </si>
  <si>
    <t>Q124</t>
  </si>
  <si>
    <t>Beginning of the Swarm</t>
  </si>
  <si>
    <t>SaTReC/KAIST/NASA</t>
  </si>
  <si>
    <t>Ready, Aim, PREFIRE</t>
  </si>
  <si>
    <t>PREFIRE and ICE</t>
  </si>
  <si>
    <t>No Time Toulouse</t>
  </si>
  <si>
    <t>Kineis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</si>
</sst>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409]* #,##0.00_);_([$$-409]* \(#,##0.00\);_([$$-409]* &quot;-&quot;??_);_(@_)"/>
    <numFmt numFmtId="165" formatCode="&quot;$&quot;#,##0.00"/>
    <numFmt numFmtId="166" formatCode="h:mm;@"/>
    <numFmt numFmtId="167" formatCode="&quot;$&quot;#,##0"/>
    <numFmt numFmtId="168" formatCode="#,##0.0"/>
    <numFmt numFmtId="169" formatCode="#,##0.000"/>
    <numFmt numFmtId="170" formatCode="&quot;$&quot;#,##0.0"/>
  </numFmts>
  <fonts count="25" x14ac:knownFonts="1">
    <font>
      <sz val="11"/>
      <color theme="1"/>
      <name val="Calibri"/>
      <family val="2"/>
      <scheme val="minor"/>
    </font>
    <font>
      <b/>
      <sz val="11"/>
      <color theme="1"/>
      <name val="Calibri"/>
      <family val="2"/>
      <scheme val="minor"/>
    </font>
    <font>
      <b/>
      <sz val="11"/>
      <color theme="0"/>
      <name val="Calibri"/>
      <family val="2"/>
      <scheme val="minor"/>
    </font>
    <font>
      <sz val="11"/>
      <color theme="0"/>
      <name val="Calibri"/>
      <family val="2"/>
      <scheme val="minor"/>
    </font>
    <font>
      <u/>
      <sz val="11"/>
      <color theme="10"/>
      <name val="Calibri"/>
      <family val="2"/>
      <scheme val="minor"/>
    </font>
    <font>
      <b/>
      <i/>
      <u/>
      <sz val="11"/>
      <color theme="1"/>
      <name val="Calibri"/>
      <family val="2"/>
      <scheme val="minor"/>
    </font>
    <font>
      <i/>
      <u/>
      <sz val="11"/>
      <color theme="1"/>
      <name val="Calibri"/>
      <family val="2"/>
      <scheme val="minor"/>
    </font>
    <font>
      <b/>
      <i/>
      <u/>
      <sz val="11"/>
      <color theme="0"/>
      <name val="Calibri"/>
      <family val="2"/>
      <scheme val="minor"/>
    </font>
    <font>
      <sz val="7"/>
      <color rgb="FFA6ACCD"/>
      <name val="Consolas"/>
      <family val="3"/>
    </font>
    <font>
      <sz val="11"/>
      <color rgb="FF000000"/>
      <name val="Times New Roman"/>
      <family val="1"/>
    </font>
    <font>
      <b/>
      <sz val="11"/>
      <color rgb="FF000000"/>
      <name val="Times New Roman"/>
      <family val="1"/>
    </font>
    <font>
      <sz val="7"/>
      <color rgb="FF231F20"/>
      <name val="Times New Roman"/>
      <family val="1"/>
    </font>
    <font>
      <sz val="11"/>
      <color rgb="FF231F20"/>
      <name val="Calibri"/>
      <family val="2"/>
      <scheme val="minor"/>
    </font>
    <font>
      <b/>
      <sz val="11"/>
      <color rgb="FF231F20"/>
      <name val="Calibri"/>
      <family val="2"/>
      <scheme val="minor"/>
    </font>
    <font>
      <sz val="11"/>
      <color rgb="FF000000"/>
      <name val="Calibri"/>
      <family val="2"/>
      <scheme val="minor"/>
    </font>
    <font>
      <b/>
      <sz val="11"/>
      <color rgb="FF000000"/>
      <name val="Calibri"/>
      <family val="2"/>
      <scheme val="minor"/>
    </font>
    <font>
      <sz val="11"/>
      <name val="Calibri"/>
      <family val="2"/>
      <scheme val="minor"/>
    </font>
    <font>
      <sz val="9"/>
      <color indexed="81"/>
      <name val="Tahoma"/>
      <family val="2"/>
    </font>
    <font>
      <b/>
      <sz val="7"/>
      <color rgb="FFC3E88D"/>
      <name val="Consolas"/>
      <family val="3"/>
    </font>
    <font>
      <b/>
      <sz val="9"/>
      <color indexed="81"/>
      <name val="Tahoma"/>
      <family val="2"/>
    </font>
    <font>
      <i/>
      <u/>
      <sz val="11"/>
      <name val="Calibri"/>
      <family val="2"/>
      <scheme val="minor"/>
    </font>
    <font>
      <u/>
      <sz val="11"/>
      <color theme="0"/>
      <name val="Calibri"/>
      <family val="2"/>
      <scheme val="minor"/>
    </font>
    <font>
      <sz val="8"/>
      <name val="Calibri"/>
      <family val="2"/>
      <scheme val="minor"/>
    </font>
    <font>
      <u/>
      <sz val="11"/>
      <color theme="1"/>
      <name val="Calibri"/>
      <family val="2"/>
      <scheme val="minor"/>
    </font>
    <font>
      <b/>
      <sz val="11"/>
      <name val="Calibri"/>
      <family val="2"/>
      <scheme val="minor"/>
    </font>
  </fonts>
  <fills count="5">
    <fill>
      <patternFill patternType="none"/>
    </fill>
    <fill>
      <patternFill patternType="gray125"/>
    </fill>
    <fill>
      <patternFill patternType="solid">
        <fgColor theme="1"/>
        <bgColor indexed="64"/>
      </patternFill>
    </fill>
    <fill>
      <patternFill patternType="solid">
        <fgColor theme="0" tint="-0.14999847407452621"/>
        <bgColor indexed="64"/>
      </patternFill>
    </fill>
    <fill>
      <patternFill patternType="solid">
        <fgColor rgb="FFFFFF00"/>
        <bgColor indexed="64"/>
      </patternFill>
    </fill>
  </fills>
  <borders count="11">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s>
  <cellStyleXfs count="2">
    <xf numFmtId="0" fontId="0" fillId="0" borderId="0"/>
    <xf numFmtId="0" fontId="4" fillId="0" borderId="0"/>
  </cellStyleXfs>
  <cellXfs count="130">
    <xf numFmtId="0" fontId="0" fillId="0" borderId="0" xfId="0"/>
    <xf numFmtId="9" fontId="0" fillId="0" borderId="0" xfId="0" applyNumberFormat="1"/>
    <xf numFmtId="0" fontId="0" fillId="0" borderId="1" xfId="0" applyBorder="1"/>
    <xf numFmtId="14" fontId="0" fillId="0" borderId="0" xfId="0" applyNumberFormat="1"/>
    <xf numFmtId="0" fontId="2" fillId="2" borderId="0" xfId="0" applyFont="1" applyFill="1"/>
    <xf numFmtId="3" fontId="0" fillId="0" borderId="0" xfId="0" applyNumberFormat="1"/>
    <xf numFmtId="3" fontId="0" fillId="0" borderId="1" xfId="0" applyNumberFormat="1" applyBorder="1"/>
    <xf numFmtId="3" fontId="2" fillId="2" borderId="0" xfId="0" applyNumberFormat="1" applyFont="1" applyFill="1"/>
    <xf numFmtId="0" fontId="3" fillId="2" borderId="0" xfId="0" applyFont="1" applyFill="1"/>
    <xf numFmtId="4" fontId="0" fillId="0" borderId="0" xfId="0" applyNumberFormat="1"/>
    <xf numFmtId="3" fontId="0" fillId="2" borderId="0" xfId="0" applyNumberFormat="1" applyFill="1"/>
    <xf numFmtId="10" fontId="0" fillId="0" borderId="0" xfId="0" applyNumberFormat="1"/>
    <xf numFmtId="0" fontId="1" fillId="0" borderId="0" xfId="0" applyFont="1"/>
    <xf numFmtId="0" fontId="1" fillId="0" borderId="3" xfId="0" applyFont="1" applyBorder="1"/>
    <xf numFmtId="0" fontId="1" fillId="0" borderId="4" xfId="0" applyFont="1" applyBorder="1"/>
    <xf numFmtId="0" fontId="1" fillId="0" borderId="5" xfId="0" applyFont="1" applyBorder="1"/>
    <xf numFmtId="164" fontId="0" fillId="0" borderId="0" xfId="0" applyNumberFormat="1"/>
    <xf numFmtId="0" fontId="4" fillId="0" borderId="0" xfId="1"/>
    <xf numFmtId="3" fontId="3" fillId="2" borderId="0" xfId="0" applyNumberFormat="1" applyFont="1" applyFill="1"/>
    <xf numFmtId="0" fontId="0" fillId="3" borderId="0" xfId="0" applyFill="1"/>
    <xf numFmtId="3" fontId="0" fillId="3" borderId="0" xfId="0" applyNumberFormat="1" applyFill="1"/>
    <xf numFmtId="10" fontId="0" fillId="0" borderId="1" xfId="0" applyNumberFormat="1" applyBorder="1"/>
    <xf numFmtId="9" fontId="0" fillId="0" borderId="1" xfId="0" applyNumberFormat="1" applyBorder="1"/>
    <xf numFmtId="0" fontId="1" fillId="3" borderId="0" xfId="0" applyFont="1" applyFill="1"/>
    <xf numFmtId="3" fontId="1" fillId="0" borderId="0" xfId="0" applyNumberFormat="1" applyFont="1"/>
    <xf numFmtId="2" fontId="0" fillId="0" borderId="0" xfId="0" applyNumberFormat="1"/>
    <xf numFmtId="0" fontId="5" fillId="3" borderId="0" xfId="0" applyFont="1" applyFill="1"/>
    <xf numFmtId="3" fontId="5" fillId="3" borderId="0" xfId="0" applyNumberFormat="1" applyFont="1" applyFill="1"/>
    <xf numFmtId="0" fontId="6" fillId="3" borderId="0" xfId="0" applyFont="1" applyFill="1"/>
    <xf numFmtId="3" fontId="6" fillId="3" borderId="0" xfId="0" applyNumberFormat="1" applyFont="1" applyFill="1"/>
    <xf numFmtId="0" fontId="7" fillId="3" borderId="0" xfId="0" applyFont="1" applyFill="1"/>
    <xf numFmtId="3" fontId="7" fillId="3" borderId="0" xfId="0" applyNumberFormat="1" applyFont="1" applyFill="1"/>
    <xf numFmtId="0" fontId="1" fillId="0" borderId="2" xfId="0" applyFont="1" applyBorder="1"/>
    <xf numFmtId="3" fontId="1" fillId="0" borderId="2" xfId="0" applyNumberFormat="1" applyFont="1" applyBorder="1"/>
    <xf numFmtId="0" fontId="0" fillId="0" borderId="6" xfId="0" applyBorder="1"/>
    <xf numFmtId="14" fontId="0" fillId="0" borderId="6" xfId="0" applyNumberFormat="1" applyBorder="1"/>
    <xf numFmtId="3" fontId="3" fillId="2" borderId="6" xfId="0" applyNumberFormat="1" applyFont="1" applyFill="1" applyBorder="1"/>
    <xf numFmtId="3" fontId="0" fillId="0" borderId="6" xfId="0" applyNumberFormat="1" applyBorder="1"/>
    <xf numFmtId="3" fontId="0" fillId="0" borderId="7" xfId="0" applyNumberFormat="1" applyBorder="1"/>
    <xf numFmtId="3" fontId="0" fillId="3" borderId="6" xfId="0" applyNumberFormat="1" applyFill="1" applyBorder="1"/>
    <xf numFmtId="3" fontId="1" fillId="0" borderId="6" xfId="0" applyNumberFormat="1" applyFont="1" applyBorder="1"/>
    <xf numFmtId="9" fontId="0" fillId="0" borderId="6" xfId="0" applyNumberFormat="1" applyBorder="1"/>
    <xf numFmtId="10" fontId="0" fillId="0" borderId="6" xfId="0" applyNumberFormat="1" applyBorder="1"/>
    <xf numFmtId="9" fontId="0" fillId="0" borderId="7" xfId="0" applyNumberFormat="1" applyBorder="1"/>
    <xf numFmtId="3" fontId="2" fillId="2" borderId="6" xfId="0" applyNumberFormat="1" applyFont="1" applyFill="1" applyBorder="1"/>
    <xf numFmtId="3" fontId="1" fillId="0" borderId="8" xfId="0" applyNumberFormat="1" applyFont="1" applyBorder="1"/>
    <xf numFmtId="4" fontId="0" fillId="0" borderId="6" xfId="0" applyNumberFormat="1" applyBorder="1"/>
    <xf numFmtId="3" fontId="6" fillId="3" borderId="6" xfId="0" applyNumberFormat="1" applyFont="1" applyFill="1" applyBorder="1"/>
    <xf numFmtId="3" fontId="7" fillId="3" borderId="6" xfId="0" applyNumberFormat="1" applyFont="1" applyFill="1" applyBorder="1"/>
    <xf numFmtId="3" fontId="5" fillId="3" borderId="6" xfId="0" applyNumberFormat="1" applyFont="1" applyFill="1" applyBorder="1"/>
    <xf numFmtId="2" fontId="0" fillId="0" borderId="6" xfId="0" applyNumberFormat="1" applyBorder="1"/>
    <xf numFmtId="0" fontId="3" fillId="2" borderId="6" xfId="0" applyFont="1" applyFill="1" applyBorder="1"/>
    <xf numFmtId="0" fontId="2" fillId="2" borderId="6" xfId="0" applyFont="1" applyFill="1" applyBorder="1"/>
    <xf numFmtId="166" fontId="0" fillId="0" borderId="6" xfId="0" applyNumberFormat="1" applyBorder="1"/>
    <xf numFmtId="0" fontId="8" fillId="0" borderId="0" xfId="0" applyFont="1" applyAlignment="1">
      <alignment vertical="center"/>
    </xf>
    <xf numFmtId="14" fontId="2" fillId="2" borderId="0" xfId="0" applyNumberFormat="1" applyFont="1" applyFill="1"/>
    <xf numFmtId="0" fontId="0" fillId="0" borderId="2" xfId="0" applyBorder="1"/>
    <xf numFmtId="3" fontId="0" fillId="0" borderId="2" xfId="0" applyNumberFormat="1" applyBorder="1"/>
    <xf numFmtId="3" fontId="0" fillId="0" borderId="8" xfId="0" applyNumberFormat="1" applyBorder="1"/>
    <xf numFmtId="14" fontId="2" fillId="2" borderId="6" xfId="0" applyNumberFormat="1" applyFont="1" applyFill="1" applyBorder="1"/>
    <xf numFmtId="3" fontId="1" fillId="0" borderId="9" xfId="0" applyNumberFormat="1" applyFont="1" applyBorder="1"/>
    <xf numFmtId="165" fontId="1" fillId="0" borderId="1" xfId="0" applyNumberFormat="1" applyFont="1" applyBorder="1"/>
    <xf numFmtId="165" fontId="1" fillId="0" borderId="7" xfId="0" applyNumberFormat="1" applyFont="1" applyBorder="1"/>
    <xf numFmtId="165" fontId="0" fillId="0" borderId="0" xfId="0" applyNumberFormat="1"/>
    <xf numFmtId="0" fontId="9" fillId="0" borderId="0" xfId="0" applyFont="1"/>
    <xf numFmtId="0" fontId="11" fillId="0" borderId="0" xfId="0" applyFont="1"/>
    <xf numFmtId="0" fontId="12" fillId="0" borderId="0" xfId="0" applyFont="1"/>
    <xf numFmtId="0" fontId="14" fillId="0" borderId="0" xfId="0" applyFont="1"/>
    <xf numFmtId="3" fontId="0" fillId="0" borderId="0" xfId="0" quotePrefix="1" applyNumberFormat="1"/>
    <xf numFmtId="14" fontId="1" fillId="0" borderId="0" xfId="0" applyNumberFormat="1" applyFont="1"/>
    <xf numFmtId="14" fontId="1" fillId="0" borderId="6" xfId="0" applyNumberFormat="1" applyFont="1" applyBorder="1"/>
    <xf numFmtId="0" fontId="1" fillId="0" borderId="6" xfId="0" applyFont="1" applyBorder="1"/>
    <xf numFmtId="166" fontId="1" fillId="0" borderId="6" xfId="0" applyNumberFormat="1" applyFont="1" applyBorder="1"/>
    <xf numFmtId="0" fontId="18" fillId="0" borderId="0" xfId="0" applyFont="1" applyAlignment="1">
      <alignment vertical="center"/>
    </xf>
    <xf numFmtId="0" fontId="0" fillId="0" borderId="0" xfId="0" quotePrefix="1"/>
    <xf numFmtId="168" fontId="16" fillId="0" borderId="0" xfId="0" applyNumberFormat="1" applyFont="1"/>
    <xf numFmtId="168" fontId="16" fillId="0" borderId="6" xfId="0" applyNumberFormat="1" applyFont="1" applyBorder="1"/>
    <xf numFmtId="168" fontId="16" fillId="0" borderId="1" xfId="0" applyNumberFormat="1" applyFont="1" applyBorder="1"/>
    <xf numFmtId="168" fontId="16" fillId="0" borderId="7" xfId="0" applyNumberFormat="1" applyFont="1" applyBorder="1"/>
    <xf numFmtId="0" fontId="20" fillId="3" borderId="0" xfId="0" applyFont="1" applyFill="1"/>
    <xf numFmtId="0" fontId="21" fillId="2" borderId="0" xfId="1" applyFont="1" applyFill="1"/>
    <xf numFmtId="9" fontId="2" fillId="2" borderId="0" xfId="0" applyNumberFormat="1" applyFont="1" applyFill="1"/>
    <xf numFmtId="9" fontId="2" fillId="2" borderId="6" xfId="0" applyNumberFormat="1" applyFont="1" applyFill="1" applyBorder="1"/>
    <xf numFmtId="4" fontId="0" fillId="0" borderId="1" xfId="0" applyNumberFormat="1" applyBorder="1"/>
    <xf numFmtId="4" fontId="0" fillId="0" borderId="7" xfId="0" applyNumberFormat="1" applyBorder="1"/>
    <xf numFmtId="168" fontId="1" fillId="0" borderId="0" xfId="0" applyNumberFormat="1" applyFont="1"/>
    <xf numFmtId="168" fontId="1" fillId="0" borderId="6" xfId="0" applyNumberFormat="1" applyFont="1" applyBorder="1"/>
    <xf numFmtId="165" fontId="0" fillId="0" borderId="6" xfId="0" applyNumberFormat="1" applyBorder="1"/>
    <xf numFmtId="167" fontId="0" fillId="0" borderId="0" xfId="0" applyNumberFormat="1"/>
    <xf numFmtId="4" fontId="1" fillId="0" borderId="0" xfId="0" applyNumberFormat="1" applyFont="1"/>
    <xf numFmtId="9" fontId="6" fillId="3" borderId="0" xfId="0" applyNumberFormat="1" applyFont="1" applyFill="1"/>
    <xf numFmtId="0" fontId="2" fillId="2" borderId="0" xfId="0" applyFont="1" applyFill="1" applyAlignment="1">
      <alignment horizontal="right"/>
    </xf>
    <xf numFmtId="0" fontId="6" fillId="3" borderId="0" xfId="0" applyFont="1" applyFill="1" applyAlignment="1">
      <alignment horizontal="right"/>
    </xf>
    <xf numFmtId="0" fontId="0" fillId="0" borderId="0" xfId="0" applyAlignment="1">
      <alignment horizontal="right"/>
    </xf>
    <xf numFmtId="3" fontId="0" fillId="0" borderId="0" xfId="0" applyNumberFormat="1" applyAlignment="1">
      <alignment horizontal="right"/>
    </xf>
    <xf numFmtId="10" fontId="0" fillId="0" borderId="0" xfId="0" applyNumberFormat="1" applyAlignment="1">
      <alignment horizontal="right"/>
    </xf>
    <xf numFmtId="167" fontId="0" fillId="0" borderId="0" xfId="0" applyNumberFormat="1" applyAlignment="1">
      <alignment horizontal="right"/>
    </xf>
    <xf numFmtId="167" fontId="0" fillId="0" borderId="6" xfId="0" applyNumberFormat="1" applyBorder="1"/>
    <xf numFmtId="17" fontId="0" fillId="0" borderId="0" xfId="0" applyNumberFormat="1"/>
    <xf numFmtId="0" fontId="0" fillId="2" borderId="0" xfId="0" applyFill="1"/>
    <xf numFmtId="0" fontId="16" fillId="0" borderId="0" xfId="0" applyFont="1"/>
    <xf numFmtId="14" fontId="16" fillId="0" borderId="0" xfId="0" applyNumberFormat="1" applyFont="1"/>
    <xf numFmtId="0" fontId="24" fillId="3" borderId="0" xfId="0" applyFont="1" applyFill="1"/>
    <xf numFmtId="14" fontId="1" fillId="3" borderId="0" xfId="0" applyNumberFormat="1" applyFont="1" applyFill="1"/>
    <xf numFmtId="0" fontId="6" fillId="3" borderId="0" xfId="0" quotePrefix="1" applyFont="1" applyFill="1"/>
    <xf numFmtId="0" fontId="0" fillId="0" borderId="0" xfId="0" applyAlignment="1">
      <alignment wrapText="1"/>
    </xf>
    <xf numFmtId="0" fontId="6" fillId="3" borderId="0" xfId="0" applyFont="1" applyFill="1" applyAlignment="1">
      <alignment wrapText="1"/>
    </xf>
    <xf numFmtId="0" fontId="2" fillId="2" borderId="0" xfId="0" applyFont="1" applyFill="1" applyAlignment="1">
      <alignment horizontal="left"/>
    </xf>
    <xf numFmtId="10" fontId="2" fillId="2" borderId="0" xfId="0" applyNumberFormat="1" applyFont="1" applyFill="1"/>
    <xf numFmtId="10" fontId="6" fillId="3" borderId="0" xfId="0" applyNumberFormat="1" applyFont="1" applyFill="1"/>
    <xf numFmtId="167" fontId="2" fillId="2" borderId="0" xfId="0" applyNumberFormat="1" applyFont="1" applyFill="1"/>
    <xf numFmtId="167" fontId="6" fillId="3" borderId="0" xfId="0" applyNumberFormat="1" applyFont="1" applyFill="1"/>
    <xf numFmtId="169" fontId="2" fillId="2" borderId="0" xfId="0" applyNumberFormat="1" applyFont="1" applyFill="1"/>
    <xf numFmtId="169" fontId="6" fillId="3" borderId="0" xfId="0" applyNumberFormat="1" applyFont="1" applyFill="1"/>
    <xf numFmtId="169" fontId="0" fillId="0" borderId="0" xfId="0" applyNumberFormat="1"/>
    <xf numFmtId="169" fontId="0" fillId="0" borderId="0" xfId="0" applyNumberFormat="1" applyAlignment="1">
      <alignment horizontal="right"/>
    </xf>
    <xf numFmtId="10" fontId="6" fillId="3" borderId="0" xfId="0" applyNumberFormat="1" applyFont="1" applyFill="1" applyAlignment="1">
      <alignment horizontal="right"/>
    </xf>
    <xf numFmtId="3" fontId="6" fillId="3" borderId="0" xfId="0" applyNumberFormat="1" applyFont="1" applyFill="1" applyAlignment="1">
      <alignment horizontal="right"/>
    </xf>
    <xf numFmtId="169" fontId="6" fillId="3" borderId="0" xfId="0" applyNumberFormat="1" applyFont="1" applyFill="1" applyAlignment="1">
      <alignment horizontal="right"/>
    </xf>
    <xf numFmtId="167" fontId="6" fillId="3" borderId="0" xfId="0" applyNumberFormat="1" applyFont="1" applyFill="1" applyAlignment="1">
      <alignment horizontal="right"/>
    </xf>
    <xf numFmtId="170" fontId="2" fillId="2" borderId="0" xfId="0" applyNumberFormat="1" applyFont="1" applyFill="1" applyAlignment="1">
      <alignment horizontal="left"/>
    </xf>
    <xf numFmtId="170" fontId="6" fillId="3" borderId="0" xfId="0" applyNumberFormat="1" applyFont="1" applyFill="1"/>
    <xf numFmtId="170" fontId="0" fillId="0" borderId="0" xfId="0" applyNumberFormat="1" applyAlignment="1">
      <alignment horizontal="right"/>
    </xf>
    <xf numFmtId="170" fontId="6" fillId="3" borderId="0" xfId="0" applyNumberFormat="1" applyFont="1" applyFill="1" applyAlignment="1">
      <alignment horizontal="right"/>
    </xf>
    <xf numFmtId="170" fontId="0" fillId="4" borderId="0" xfId="0" applyNumberFormat="1" applyFill="1" applyAlignment="1">
      <alignment horizontal="right"/>
    </xf>
    <xf numFmtId="170" fontId="2" fillId="2" borderId="0" xfId="0" applyNumberFormat="1" applyFont="1" applyFill="1"/>
    <xf numFmtId="170" fontId="0" fillId="0" borderId="0" xfId="0" applyNumberFormat="1"/>
    <xf numFmtId="0" fontId="0" fillId="0" borderId="0" xfId="0" applyAlignment="1">
      <alignment horizontal="left"/>
    </xf>
    <xf numFmtId="3" fontId="0" fillId="0" borderId="10" xfId="0" applyNumberFormat="1" applyBorder="1"/>
    <xf numFmtId="0" fontId="24" fillId="0" borderId="0" xfId="0" applyFont="1"/>
  </cellXfs>
  <cellStyles count="2">
    <cellStyle name="Hyperlink" xfId="1" builtinId="8"/>
    <cellStyle name="Normal" xfId="0" builtinId="0"/>
  </cellStyles>
  <dxfs count="35">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ill>
        <patternFill>
          <bgColor rgb="FFFFC7CE"/>
        </patternFill>
      </fill>
    </dxf>
    <dxf>
      <font>
        <color rgb="FF006100"/>
      </font>
      <fill>
        <patternFill>
          <bgColor rgb="FFC6EFCE"/>
        </patternFill>
      </fill>
    </dxf>
    <dxf>
      <font>
        <color rgb="FF9C5700"/>
      </font>
      <fill>
        <patternFill>
          <bgColor rgb="FFFFEB9C"/>
        </patternFill>
      </fill>
    </dxf>
    <dxf>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9C5700"/>
      </font>
      <fill>
        <patternFill>
          <bgColor rgb="FFFFEB9C"/>
        </patternFill>
      </fill>
    </dxf>
    <dxf>
      <font>
        <color rgb="FF006100"/>
      </font>
      <fill>
        <patternFill>
          <bgColor rgb="FFC6EFCE"/>
        </patternFill>
      </fill>
    </dxf>
    <dxf>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18" Type="http://schemas.microsoft.com/office/2017/06/relationships/richStyles" Target="richData/richStyles.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connections" Target="connections.xml"/><Relationship Id="rId17" Type="http://schemas.microsoft.com/office/2017/06/relationships/rdRichValueStructure" Target="richData/rdrichvaluestructure.xml"/><Relationship Id="rId2" Type="http://schemas.openxmlformats.org/officeDocument/2006/relationships/worksheet" Target="worksheets/sheet2.xml"/><Relationship Id="rId16" Type="http://schemas.microsoft.com/office/2017/06/relationships/rdRichValue" Target="richData/rdrichvalue.xml"/><Relationship Id="rId20"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sheetMetadata" Target="metadata.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dSupportingPropertyBagStructure" Target="richData/rdsupportingpropertybag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 Id="rId22"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Rocket</a:t>
            </a:r>
            <a:r>
              <a:rPr lang="en-US" baseline="0"/>
              <a:t> Lab Launches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Analysis!$B$2</c:f>
              <c:strCache>
                <c:ptCount val="1"/>
                <c:pt idx="0">
                  <c:v>Success</c:v>
                </c:pt>
              </c:strCache>
            </c:strRef>
          </c:tx>
          <c:spPr>
            <a:solidFill>
              <a:schemeClr val="accent1"/>
            </a:solidFill>
            <a:ln>
              <a:noFill/>
            </a:ln>
            <a:effectLst/>
          </c:spPr>
          <c:invertIfNegative val="0"/>
          <c:cat>
            <c:numRef>
              <c:f>Analysis!$A$3:$A$9</c:f>
              <c:numCache>
                <c:formatCode>General</c:formatCode>
                <c:ptCount val="7"/>
                <c:pt idx="0">
                  <c:v>2024</c:v>
                </c:pt>
                <c:pt idx="1">
                  <c:v>2023</c:v>
                </c:pt>
                <c:pt idx="2">
                  <c:v>2022</c:v>
                </c:pt>
                <c:pt idx="3">
                  <c:v>2021</c:v>
                </c:pt>
                <c:pt idx="4">
                  <c:v>2020</c:v>
                </c:pt>
                <c:pt idx="5">
                  <c:v>2019</c:v>
                </c:pt>
                <c:pt idx="6">
                  <c:v>2018</c:v>
                </c:pt>
              </c:numCache>
            </c:numRef>
          </c:cat>
          <c:val>
            <c:numRef>
              <c:f>Analysis!$B$3:$B$9</c:f>
              <c:numCache>
                <c:formatCode>General</c:formatCode>
                <c:ptCount val="7"/>
                <c:pt idx="0">
                  <c:v>4</c:v>
                </c:pt>
                <c:pt idx="1">
                  <c:v>9</c:v>
                </c:pt>
                <c:pt idx="2">
                  <c:v>9</c:v>
                </c:pt>
                <c:pt idx="3">
                  <c:v>5</c:v>
                </c:pt>
                <c:pt idx="4">
                  <c:v>6</c:v>
                </c:pt>
                <c:pt idx="5">
                  <c:v>6</c:v>
                </c:pt>
                <c:pt idx="6">
                  <c:v>3</c:v>
                </c:pt>
              </c:numCache>
            </c:numRef>
          </c:val>
          <c:extLst>
            <c:ext xmlns:c16="http://schemas.microsoft.com/office/drawing/2014/chart" uri="{C3380CC4-5D6E-409C-BE32-E72D297353CC}">
              <c16:uniqueId val="{00000000-3472-4A58-9102-2873CC9BB565}"/>
            </c:ext>
          </c:extLst>
        </c:ser>
        <c:ser>
          <c:idx val="1"/>
          <c:order val="1"/>
          <c:tx>
            <c:strRef>
              <c:f>Analysis!$C$2</c:f>
              <c:strCache>
                <c:ptCount val="1"/>
                <c:pt idx="0">
                  <c:v>Failure</c:v>
                </c:pt>
              </c:strCache>
            </c:strRef>
          </c:tx>
          <c:spPr>
            <a:solidFill>
              <a:schemeClr val="accent2"/>
            </a:solidFill>
            <a:ln>
              <a:noFill/>
            </a:ln>
            <a:effectLst/>
          </c:spPr>
          <c:invertIfNegative val="0"/>
          <c:cat>
            <c:numRef>
              <c:f>Analysis!$A$3:$A$9</c:f>
              <c:numCache>
                <c:formatCode>General</c:formatCode>
                <c:ptCount val="7"/>
                <c:pt idx="0">
                  <c:v>2024</c:v>
                </c:pt>
                <c:pt idx="1">
                  <c:v>2023</c:v>
                </c:pt>
                <c:pt idx="2">
                  <c:v>2022</c:v>
                </c:pt>
                <c:pt idx="3">
                  <c:v>2021</c:v>
                </c:pt>
                <c:pt idx="4">
                  <c:v>2020</c:v>
                </c:pt>
                <c:pt idx="5">
                  <c:v>2019</c:v>
                </c:pt>
                <c:pt idx="6">
                  <c:v>2018</c:v>
                </c:pt>
              </c:numCache>
            </c:numRef>
          </c:cat>
          <c:val>
            <c:numRef>
              <c:f>Analysis!$C$3:$C$9</c:f>
              <c:numCache>
                <c:formatCode>General</c:formatCode>
                <c:ptCount val="7"/>
                <c:pt idx="0">
                  <c:v>0</c:v>
                </c:pt>
                <c:pt idx="1">
                  <c:v>1</c:v>
                </c:pt>
                <c:pt idx="2">
                  <c:v>0</c:v>
                </c:pt>
                <c:pt idx="3">
                  <c:v>1</c:v>
                </c:pt>
                <c:pt idx="4">
                  <c:v>1</c:v>
                </c:pt>
                <c:pt idx="5">
                  <c:v>0</c:v>
                </c:pt>
                <c:pt idx="6">
                  <c:v>1</c:v>
                </c:pt>
              </c:numCache>
            </c:numRef>
          </c:val>
          <c:extLst>
            <c:ext xmlns:c16="http://schemas.microsoft.com/office/drawing/2014/chart" uri="{C3380CC4-5D6E-409C-BE32-E72D297353CC}">
              <c16:uniqueId val="{00000001-3472-4A58-9102-2873CC9BB565}"/>
            </c:ext>
          </c:extLst>
        </c:ser>
        <c:dLbls>
          <c:showLegendKey val="0"/>
          <c:showVal val="0"/>
          <c:showCatName val="0"/>
          <c:showSerName val="0"/>
          <c:showPercent val="0"/>
          <c:showBubbleSize val="0"/>
        </c:dLbls>
        <c:gapWidth val="150"/>
        <c:overlap val="100"/>
        <c:axId val="594599759"/>
        <c:axId val="597745215"/>
      </c:barChart>
      <c:catAx>
        <c:axId val="594599759"/>
        <c:scaling>
          <c:orientation val="maxMin"/>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745215"/>
        <c:crosses val="autoZero"/>
        <c:auto val="1"/>
        <c:lblAlgn val="ctr"/>
        <c:lblOffset val="100"/>
        <c:noMultiLvlLbl val="0"/>
      </c:catAx>
      <c:valAx>
        <c:axId val="597745215"/>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4599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53975</xdr:colOff>
      <xdr:row>0</xdr:row>
      <xdr:rowOff>180975</xdr:rowOff>
    </xdr:from>
    <xdr:to>
      <xdr:col>12</xdr:col>
      <xdr:colOff>358775</xdr:colOff>
      <xdr:row>15</xdr:row>
      <xdr:rowOff>161925</xdr:rowOff>
    </xdr:to>
    <xdr:graphicFrame macro="">
      <xdr:nvGraphicFramePr>
        <xdr:cNvPr id="2" name="Chart 1">
          <a:extLst>
            <a:ext uri="{FF2B5EF4-FFF2-40B4-BE49-F238E27FC236}">
              <a16:creationId xmlns:a16="http://schemas.microsoft.com/office/drawing/2014/main" id="{7DD7F667-6EAB-F268-CEC9-BB8B1917D1E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https://www.bing.com/financeapi/forcetrigger?t=bwtkp2&amp;q=XNAS%3aRKLB&amp;form=skydnc</v>
    <v>Learn more on Bing</v>
  </rv>
  <rv s="1">
    <v>en-US</v>
    <v>bwtkp2</v>
    <v>268435456</v>
    <v>1</v>
    <v>Powered by Refinitiv</v>
    <v>0</v>
    <v>ROCKET LAB USA, INC. (XNAS:RKLB)</v>
    <v>2</v>
    <v>3</v>
    <v>Finance</v>
    <v>4</v>
    <v>7.7899000000000003</v>
    <v>3.47</v>
    <v>1.2596000000000001</v>
    <v>0.06</v>
    <v>3.7040000000000003E-3</v>
    <v>1.1235999999999999E-2</v>
    <v>0.02</v>
    <v>USD</v>
    <v>Rocket Lab USA, Inc. is an end-to-end space company. The Company designs and manufactures small and medium-class rockets, spacecraft and spacecraft components and related software and services to support the space economy. The Company delivers reliable launch services, spacecraft design services, spacecraft components, spacecraft manufacturing and other spacecraft and on-orbit management solutions that make it easier to access space. The Company's Launch Services segment provides launch and launch related services to customers on a dedicated mission or ride share basis. Its Space Systems segment comprises spacecraft engineering and design services, spacecraft components, spacecraft manufacturing and on-orbit mission operations. Its space systems solutions are the building blocks for spacecraft, which include composite structures, reaction wheels, star trackers, solar solutions, radios, separation systems, command and control spacecraft software and power solutions.</v>
    <v>1650</v>
    <v>Nasdaq Stock Market</v>
    <v>XNAS</v>
    <v>XNAS</v>
    <v>3881 Mcgowen Street, LONG BEACH, CA, 90808 US</v>
    <v>5.5198999999999998</v>
    <v>Aerospace &amp; Defense</v>
    <v>Stock</v>
    <v>45496.966192557811</v>
    <v>0</v>
    <v>5.3</v>
    <v>2661010380</v>
    <v>ROCKET LAB USA, INC.</v>
    <v>ROCKET LAB USA, INC.</v>
    <v>5.33</v>
    <v>0</v>
    <v>5.34</v>
    <v>5.4</v>
    <v>5.42</v>
    <v>492779700</v>
    <v>RKLB</v>
    <v>ROCKET LAB USA, INC. (XNAS:RKLB)</v>
    <v>4058755</v>
    <v>8155309</v>
    <v>2021</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rocketlabusa.com/space-systems/space-software/" TargetMode="External"/><Relationship Id="rId2" Type="http://schemas.openxmlformats.org/officeDocument/2006/relationships/hyperlink" Target="https://www.rocketlabusa.com/space-systems/separation-systems/" TargetMode="External"/><Relationship Id="rId1" Type="http://schemas.openxmlformats.org/officeDocument/2006/relationships/hyperlink" Target="https://www.rocketlabusa.com/space-systems/space-software/" TargetMode="External"/><Relationship Id="rId4" Type="http://schemas.openxmlformats.org/officeDocument/2006/relationships/hyperlink" Target="https://www.rocketlabusa.com/launch/electron/"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3" Type="http://schemas.openxmlformats.org/officeDocument/2006/relationships/hyperlink" Target="https://en.wikipedia.org/wiki/Firefly_Alpha" TargetMode="External"/><Relationship Id="rId2" Type="http://schemas.openxmlformats.org/officeDocument/2006/relationships/hyperlink" Target="https://en.wikipedia.org/wiki/New_Glenn" TargetMode="External"/><Relationship Id="rId1" Type="http://schemas.openxmlformats.org/officeDocument/2006/relationships/hyperlink" Target="https://en.wikipedia.org/wiki/New_Shepard" TargetMode="External"/><Relationship Id="rId5" Type="http://schemas.openxmlformats.org/officeDocument/2006/relationships/comments" Target="../comments2.xml"/><Relationship Id="rId4"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www.rocketlabusa.com/missions/missions-launche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0"/>
  <sheetViews>
    <sheetView workbookViewId="0">
      <selection activeCell="A2" sqref="A2:B8"/>
    </sheetView>
  </sheetViews>
  <sheetFormatPr defaultRowHeight="14.5" x14ac:dyDescent="0.35"/>
  <cols>
    <col min="2" max="2" width="10.7265625" bestFit="1" customWidth="1"/>
  </cols>
  <sheetData>
    <row r="1" spans="1:2" ht="15" customHeight="1" thickBot="1" x14ac:dyDescent="0.4">
      <c r="A1" t="e" vm="1">
        <v>#VALUE!</v>
      </c>
    </row>
    <row r="2" spans="1:2" x14ac:dyDescent="0.35">
      <c r="A2" s="13" t="s">
        <v>0</v>
      </c>
      <c r="B2" s="16">
        <f t="array" ref="B2">_FV(A1,"Price")</f>
        <v>5.4</v>
      </c>
    </row>
    <row r="3" spans="1:2" x14ac:dyDescent="0.35">
      <c r="A3" s="14" t="s">
        <v>1</v>
      </c>
      <c r="B3" s="5">
        <f t="array" ref="B3">_FV(A1,"Shares outstanding",TRUE)/1000000</f>
        <v>492.77969999999999</v>
      </c>
    </row>
    <row r="4" spans="1:2" x14ac:dyDescent="0.35">
      <c r="A4" s="14" t="s">
        <v>2</v>
      </c>
      <c r="B4" s="16">
        <f>B2*B3</f>
        <v>2661.0103800000002</v>
      </c>
    </row>
    <row r="5" spans="1:2" x14ac:dyDescent="0.35">
      <c r="A5" s="14" t="s">
        <v>3</v>
      </c>
      <c r="B5" s="5">
        <f>(Model!N105+Model!N106)/1000</f>
        <v>502.70699999999999</v>
      </c>
    </row>
    <row r="6" spans="1:2" x14ac:dyDescent="0.35">
      <c r="A6" s="14" t="s">
        <v>4</v>
      </c>
      <c r="B6" s="5">
        <f>(Model!N131+Model!N138)/1000</f>
        <v>144.23699999999999</v>
      </c>
    </row>
    <row r="7" spans="1:2" ht="15" customHeight="1" thickBot="1" x14ac:dyDescent="0.4">
      <c r="A7" s="15" t="s">
        <v>5</v>
      </c>
      <c r="B7" s="16">
        <f>B4-B5+B6</f>
        <v>2302.5403800000004</v>
      </c>
    </row>
    <row r="8" spans="1:2" x14ac:dyDescent="0.35">
      <c r="A8" s="12" t="s">
        <v>6</v>
      </c>
      <c r="B8" s="16">
        <f>B7/B3</f>
        <v>4.6725552615093529</v>
      </c>
    </row>
    <row r="11" spans="1:2" s="4" customFormat="1" x14ac:dyDescent="0.35">
      <c r="A11" s="4" t="s">
        <v>468</v>
      </c>
    </row>
    <row r="12" spans="1:2" x14ac:dyDescent="0.35">
      <c r="A12" s="17" t="s">
        <v>469</v>
      </c>
    </row>
    <row r="13" spans="1:2" x14ac:dyDescent="0.35">
      <c r="A13" s="17" t="s">
        <v>432</v>
      </c>
    </row>
    <row r="14" spans="1:2" x14ac:dyDescent="0.35">
      <c r="A14" s="17" t="s">
        <v>190</v>
      </c>
    </row>
    <row r="15" spans="1:2" x14ac:dyDescent="0.35">
      <c r="A15" s="17" t="s">
        <v>17</v>
      </c>
    </row>
    <row r="16" spans="1:2" x14ac:dyDescent="0.35">
      <c r="A16" s="17" t="s">
        <v>470</v>
      </c>
    </row>
    <row r="17" spans="1:1" x14ac:dyDescent="0.35">
      <c r="A17" s="17" t="s">
        <v>169</v>
      </c>
    </row>
    <row r="18" spans="1:1" x14ac:dyDescent="0.35">
      <c r="A18" s="17" t="s">
        <v>471</v>
      </c>
    </row>
    <row r="19" spans="1:1" x14ac:dyDescent="0.35">
      <c r="A19" s="17" t="s">
        <v>393</v>
      </c>
    </row>
    <row r="20" spans="1:1" x14ac:dyDescent="0.35">
      <c r="A20" s="17" t="s">
        <v>380</v>
      </c>
    </row>
  </sheetData>
  <hyperlinks>
    <hyperlink ref="A20" location="Management!A1" display="Management" xr:uid="{FB587D38-989C-404F-BE49-904660D05444}"/>
    <hyperlink ref="A19" location="Contracts!A1" display="Contracts" xr:uid="{4A5B12F9-0F4C-41FA-8FF5-C716FF9D5B40}"/>
    <hyperlink ref="A18" location="Highlights!A1" display="Highlights" xr:uid="{D5D2C672-C351-4F5E-8C9B-77135EA67976}"/>
    <hyperlink ref="A17" location="Missions!A1" display="Missions" xr:uid="{479448FC-5F53-42F3-BBB4-FA891B78D64E}"/>
    <hyperlink ref="A16" location="Analysis!A1" display="Analysis" xr:uid="{9831427C-52FB-4BF6-9046-0323AEB046A8}"/>
    <hyperlink ref="A15" location="Acquisitions!A1" display="Acquisitions" xr:uid="{A0B9AF69-147D-4526-B1CF-64770438E854}"/>
    <hyperlink ref="A14" location="Competition!A1" display="Competition" xr:uid="{A772CD52-9C8B-41C7-B573-1BF657A0259C}"/>
    <hyperlink ref="A13" location="Model!A1" display="Model" xr:uid="{66A3FAD2-D38A-4AD1-B307-9A483E5B2AD7}"/>
    <hyperlink ref="A12" location="Info!A1" display="Info" xr:uid="{655C9A95-5907-4AB4-A37D-A2533109FCE3}"/>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74"/>
  <sheetViews>
    <sheetView tabSelected="1" workbookViewId="0">
      <selection activeCell="A3" sqref="A3:A8"/>
    </sheetView>
  </sheetViews>
  <sheetFormatPr defaultRowHeight="14.5" x14ac:dyDescent="0.35"/>
  <cols>
    <col min="1" max="1" width="44.90625" customWidth="1"/>
    <col min="2" max="2" width="10.6328125" customWidth="1"/>
    <col min="3" max="3" width="13.6328125" style="34" customWidth="1"/>
    <col min="4" max="4" width="10.6328125" customWidth="1"/>
    <col min="5" max="5" width="16.08984375" style="34" customWidth="1"/>
    <col min="7" max="7" width="11.26953125" customWidth="1"/>
    <col min="8" max="8" width="17" customWidth="1"/>
    <col min="9" max="9" width="15.6328125" customWidth="1"/>
  </cols>
  <sheetData>
    <row r="1" spans="1:5" x14ac:dyDescent="0.35">
      <c r="E1"/>
    </row>
    <row r="2" spans="1:5" x14ac:dyDescent="0.35">
      <c r="E2"/>
    </row>
    <row r="3" spans="1:5" x14ac:dyDescent="0.35">
      <c r="A3" t="s">
        <v>7</v>
      </c>
      <c r="B3" t="s">
        <v>8</v>
      </c>
      <c r="E3"/>
    </row>
    <row r="4" spans="1:5" x14ac:dyDescent="0.35">
      <c r="A4" t="s">
        <v>9</v>
      </c>
      <c r="B4" t="s">
        <v>10</v>
      </c>
      <c r="E4"/>
    </row>
    <row r="5" spans="1:5" x14ac:dyDescent="0.35">
      <c r="A5" t="s">
        <v>11</v>
      </c>
      <c r="B5" t="s">
        <v>12</v>
      </c>
      <c r="E5"/>
    </row>
    <row r="6" spans="1:5" x14ac:dyDescent="0.35">
      <c r="A6" t="s">
        <v>13</v>
      </c>
      <c r="B6" t="s">
        <v>14</v>
      </c>
      <c r="E6"/>
    </row>
    <row r="7" spans="1:5" x14ac:dyDescent="0.35">
      <c r="A7" t="s">
        <v>15</v>
      </c>
      <c r="B7" t="s">
        <v>16</v>
      </c>
      <c r="E7"/>
    </row>
    <row r="8" spans="1:5" x14ac:dyDescent="0.35">
      <c r="A8" t="s">
        <v>475</v>
      </c>
      <c r="B8" t="s">
        <v>476</v>
      </c>
      <c r="E8"/>
    </row>
    <row r="9" spans="1:5" s="8" customFormat="1" x14ac:dyDescent="0.35">
      <c r="A9" s="4" t="s">
        <v>27</v>
      </c>
      <c r="B9" s="4"/>
      <c r="C9" s="51"/>
    </row>
    <row r="10" spans="1:5" x14ac:dyDescent="0.35">
      <c r="A10" t="s">
        <v>28</v>
      </c>
      <c r="E10"/>
    </row>
    <row r="11" spans="1:5" x14ac:dyDescent="0.35">
      <c r="A11" t="s">
        <v>29</v>
      </c>
      <c r="E11"/>
    </row>
    <row r="12" spans="1:5" x14ac:dyDescent="0.35">
      <c r="A12" s="17" t="s">
        <v>30</v>
      </c>
      <c r="B12" s="17"/>
      <c r="E12"/>
    </row>
    <row r="13" spans="1:5" x14ac:dyDescent="0.35">
      <c r="A13" t="s">
        <v>31</v>
      </c>
      <c r="E13"/>
    </row>
    <row r="14" spans="1:5" x14ac:dyDescent="0.35">
      <c r="A14" s="4" t="s">
        <v>32</v>
      </c>
      <c r="B14" s="4"/>
      <c r="E14"/>
    </row>
    <row r="15" spans="1:5" x14ac:dyDescent="0.35">
      <c r="A15" s="17" t="s">
        <v>33</v>
      </c>
      <c r="B15" s="17"/>
      <c r="E15"/>
    </row>
    <row r="16" spans="1:5" x14ac:dyDescent="0.35">
      <c r="A16" s="17" t="s">
        <v>34</v>
      </c>
      <c r="B16" s="17"/>
      <c r="E16"/>
    </row>
    <row r="17" spans="1:5" x14ac:dyDescent="0.35">
      <c r="A17" s="17" t="s">
        <v>35</v>
      </c>
      <c r="B17" s="17"/>
      <c r="E17"/>
    </row>
    <row r="18" spans="1:5" x14ac:dyDescent="0.35">
      <c r="A18" s="4" t="s">
        <v>37</v>
      </c>
      <c r="C18" s="52" t="s">
        <v>38</v>
      </c>
      <c r="D18" s="4" t="s">
        <v>39</v>
      </c>
      <c r="E18" s="4" t="s">
        <v>40</v>
      </c>
    </row>
    <row r="19" spans="1:5" x14ac:dyDescent="0.35">
      <c r="A19" t="s">
        <v>41</v>
      </c>
      <c r="C19" s="34" t="s">
        <v>42</v>
      </c>
      <c r="D19" t="s">
        <v>43</v>
      </c>
      <c r="E19" s="3">
        <v>42639</v>
      </c>
    </row>
    <row r="20" spans="1:5" x14ac:dyDescent="0.35">
      <c r="A20" t="s">
        <v>44</v>
      </c>
      <c r="C20" s="34" t="s">
        <v>12</v>
      </c>
      <c r="D20" t="s">
        <v>45</v>
      </c>
      <c r="E20" s="3">
        <v>43739</v>
      </c>
    </row>
    <row r="21" spans="1:5" s="4" customFormat="1" x14ac:dyDescent="0.35">
      <c r="C21" s="52"/>
      <c r="D21" t="s">
        <v>36</v>
      </c>
      <c r="E21" s="3"/>
    </row>
    <row r="22" spans="1:5" x14ac:dyDescent="0.35">
      <c r="A22" t="s">
        <v>52</v>
      </c>
      <c r="D22" t="s">
        <v>36</v>
      </c>
      <c r="E22" s="3"/>
    </row>
    <row r="23" spans="1:5" x14ac:dyDescent="0.35">
      <c r="E23"/>
    </row>
    <row r="24" spans="1:5" x14ac:dyDescent="0.35">
      <c r="E24"/>
    </row>
    <row r="25" spans="1:5" s="4" customFormat="1" x14ac:dyDescent="0.35">
      <c r="A25" s="4" t="s">
        <v>190</v>
      </c>
      <c r="C25" s="52"/>
    </row>
    <row r="26" spans="1:5" x14ac:dyDescent="0.35">
      <c r="A26" s="64" t="s">
        <v>191</v>
      </c>
      <c r="E26"/>
    </row>
    <row r="27" spans="1:5" x14ac:dyDescent="0.35">
      <c r="A27" s="64" t="s">
        <v>192</v>
      </c>
      <c r="E27"/>
    </row>
    <row r="28" spans="1:5" x14ac:dyDescent="0.35">
      <c r="A28" s="64" t="s">
        <v>193</v>
      </c>
      <c r="E28"/>
    </row>
    <row r="29" spans="1:5" x14ac:dyDescent="0.35">
      <c r="A29" s="64" t="s">
        <v>194</v>
      </c>
      <c r="E29"/>
    </row>
    <row r="30" spans="1:5" x14ac:dyDescent="0.35">
      <c r="E30"/>
    </row>
    <row r="31" spans="1:5" s="4" customFormat="1" x14ac:dyDescent="0.35">
      <c r="A31" s="4" t="s">
        <v>195</v>
      </c>
      <c r="C31" s="52"/>
    </row>
    <row r="32" spans="1:5" x14ac:dyDescent="0.35">
      <c r="A32" s="66" t="s">
        <v>198</v>
      </c>
      <c r="E32"/>
    </row>
    <row r="33" spans="1:5" x14ac:dyDescent="0.35">
      <c r="A33" s="66" t="s">
        <v>199</v>
      </c>
      <c r="E33"/>
    </row>
    <row r="34" spans="1:5" x14ac:dyDescent="0.35">
      <c r="A34" s="66" t="s">
        <v>200</v>
      </c>
      <c r="E34"/>
    </row>
    <row r="35" spans="1:5" x14ac:dyDescent="0.35">
      <c r="A35" s="66" t="s">
        <v>201</v>
      </c>
      <c r="E35"/>
    </row>
    <row r="36" spans="1:5" x14ac:dyDescent="0.35">
      <c r="A36" s="66" t="s">
        <v>202</v>
      </c>
      <c r="E36"/>
    </row>
    <row r="37" spans="1:5" x14ac:dyDescent="0.35">
      <c r="A37" s="66" t="s">
        <v>203</v>
      </c>
      <c r="E37"/>
    </row>
    <row r="38" spans="1:5" x14ac:dyDescent="0.35">
      <c r="A38" s="66" t="s">
        <v>204</v>
      </c>
      <c r="E38"/>
    </row>
    <row r="39" spans="1:5" x14ac:dyDescent="0.35">
      <c r="A39" s="66" t="s">
        <v>205</v>
      </c>
      <c r="E39"/>
    </row>
    <row r="40" spans="1:5" x14ac:dyDescent="0.35">
      <c r="A40" s="66" t="s">
        <v>206</v>
      </c>
      <c r="E40"/>
    </row>
    <row r="41" spans="1:5" x14ac:dyDescent="0.35">
      <c r="A41" s="66" t="s">
        <v>207</v>
      </c>
      <c r="E41"/>
    </row>
    <row r="42" spans="1:5" x14ac:dyDescent="0.35">
      <c r="A42" s="66" t="s">
        <v>208</v>
      </c>
      <c r="E42"/>
    </row>
    <row r="43" spans="1:5" x14ac:dyDescent="0.35">
      <c r="A43" s="66" t="s">
        <v>209</v>
      </c>
      <c r="E43"/>
    </row>
    <row r="44" spans="1:5" x14ac:dyDescent="0.35">
      <c r="A44" s="66" t="s">
        <v>210</v>
      </c>
      <c r="E44"/>
    </row>
    <row r="45" spans="1:5" x14ac:dyDescent="0.35">
      <c r="A45" s="66" t="s">
        <v>211</v>
      </c>
      <c r="E45"/>
    </row>
    <row r="46" spans="1:5" x14ac:dyDescent="0.35">
      <c r="A46" s="67" t="s">
        <v>212</v>
      </c>
      <c r="E46"/>
    </row>
    <row r="47" spans="1:5" x14ac:dyDescent="0.35">
      <c r="A47" s="66" t="s">
        <v>213</v>
      </c>
      <c r="E47"/>
    </row>
    <row r="48" spans="1:5" x14ac:dyDescent="0.35">
      <c r="A48" s="66" t="s">
        <v>214</v>
      </c>
      <c r="E48"/>
    </row>
    <row r="49" spans="1:5" x14ac:dyDescent="0.35">
      <c r="A49" s="66" t="s">
        <v>196</v>
      </c>
      <c r="E49"/>
    </row>
    <row r="50" spans="1:5" x14ac:dyDescent="0.35">
      <c r="A50" s="66" t="s">
        <v>197</v>
      </c>
      <c r="E50"/>
    </row>
    <row r="51" spans="1:5" x14ac:dyDescent="0.35">
      <c r="A51" s="66" t="s">
        <v>215</v>
      </c>
      <c r="E51"/>
    </row>
    <row r="52" spans="1:5" x14ac:dyDescent="0.35">
      <c r="A52" s="65"/>
      <c r="E52"/>
    </row>
    <row r="58" spans="1:5" s="4" customFormat="1" x14ac:dyDescent="0.35">
      <c r="A58" s="4" t="s">
        <v>327</v>
      </c>
      <c r="C58" s="52"/>
      <c r="E58" s="52"/>
    </row>
    <row r="59" spans="1:5" x14ac:dyDescent="0.35">
      <c r="A59" t="s">
        <v>331</v>
      </c>
    </row>
    <row r="60" spans="1:5" x14ac:dyDescent="0.35">
      <c r="A60" t="s">
        <v>332</v>
      </c>
    </row>
    <row r="61" spans="1:5" x14ac:dyDescent="0.35">
      <c r="A61" t="s">
        <v>333</v>
      </c>
    </row>
    <row r="62" spans="1:5" x14ac:dyDescent="0.35">
      <c r="A62" t="s">
        <v>334</v>
      </c>
    </row>
    <row r="63" spans="1:5" x14ac:dyDescent="0.35">
      <c r="A63" t="s">
        <v>473</v>
      </c>
    </row>
    <row r="71" spans="1:5" s="4" customFormat="1" x14ac:dyDescent="0.35">
      <c r="A71" s="4" t="s">
        <v>328</v>
      </c>
      <c r="C71" s="52"/>
      <c r="E71" s="52"/>
    </row>
    <row r="72" spans="1:5" x14ac:dyDescent="0.35">
      <c r="A72" t="s">
        <v>329</v>
      </c>
    </row>
    <row r="73" spans="1:5" x14ac:dyDescent="0.35">
      <c r="A73" t="s">
        <v>330</v>
      </c>
    </row>
    <row r="74" spans="1:5" x14ac:dyDescent="0.35">
      <c r="A74" t="s">
        <v>474</v>
      </c>
    </row>
  </sheetData>
  <hyperlinks>
    <hyperlink ref="A12" r:id="rId1" xr:uid="{00000000-0004-0000-0100-000000000000}"/>
    <hyperlink ref="A13" r:id="rId2" xr:uid="{00000000-0004-0000-0100-000001000000}"/>
    <hyperlink ref="A14" r:id="rId3" xr:uid="{00000000-0004-0000-0100-000002000000}"/>
    <hyperlink ref="A22" r:id="rId4" xr:uid="{00000000-0004-0000-0100-000007000000}"/>
  </hyperlinks>
  <pageMargins left="0.7" right="0.7" top="0.75" bottom="0.75" header="0.3" footer="0.3"/>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AR226"/>
  <sheetViews>
    <sheetView zoomScale="85" zoomScaleNormal="85" workbookViewId="0">
      <pane xSplit="2" ySplit="7" topLeftCell="J11" activePane="bottomRight" state="frozen"/>
      <selection pane="topRight" activeCell="C1" sqref="C1"/>
      <selection pane="bottomLeft" activeCell="A4" sqref="A4"/>
      <selection pane="bottomRight" activeCell="T14" sqref="T14"/>
    </sheetView>
  </sheetViews>
  <sheetFormatPr defaultRowHeight="14.5" x14ac:dyDescent="0.35"/>
  <cols>
    <col min="2" max="2" width="19.08984375" customWidth="1"/>
    <col min="3" max="7" width="12.6328125" customWidth="1"/>
    <col min="8" max="8" width="12.6328125" style="34" customWidth="1"/>
    <col min="9" max="11" width="12.6328125" customWidth="1"/>
    <col min="12" max="12" width="12.6328125" style="34" customWidth="1"/>
    <col min="13" max="15" width="12.6328125" customWidth="1"/>
    <col min="16" max="16" width="12.6328125" style="34" customWidth="1"/>
    <col min="17" max="19" width="12.6328125" customWidth="1"/>
    <col min="20" max="20" width="12.6328125" style="34" customWidth="1"/>
    <col min="21" max="46" width="12.6328125" customWidth="1"/>
  </cols>
  <sheetData>
    <row r="1" spans="2:44" x14ac:dyDescent="0.35">
      <c r="B1" t="s">
        <v>54</v>
      </c>
      <c r="F1" t="s">
        <v>55</v>
      </c>
      <c r="G1" t="s">
        <v>56</v>
      </c>
      <c r="H1" s="34" t="s">
        <v>57</v>
      </c>
      <c r="I1" t="s">
        <v>58</v>
      </c>
      <c r="J1" t="s">
        <v>59</v>
      </c>
      <c r="K1" t="s">
        <v>60</v>
      </c>
      <c r="L1" s="34" t="s">
        <v>61</v>
      </c>
      <c r="M1" t="s">
        <v>62</v>
      </c>
      <c r="N1" t="s">
        <v>63</v>
      </c>
      <c r="O1" t="s">
        <v>335</v>
      </c>
      <c r="P1" s="34" t="s">
        <v>336</v>
      </c>
      <c r="Q1" t="s">
        <v>53</v>
      </c>
      <c r="R1" t="s">
        <v>337</v>
      </c>
      <c r="S1" t="s">
        <v>338</v>
      </c>
      <c r="T1" s="34" t="s">
        <v>486</v>
      </c>
      <c r="AF1" t="s">
        <v>482</v>
      </c>
      <c r="AG1" t="s">
        <v>481</v>
      </c>
      <c r="AH1" t="s">
        <v>480</v>
      </c>
      <c r="AI1" t="s">
        <v>479</v>
      </c>
    </row>
    <row r="2" spans="2:44" x14ac:dyDescent="0.35">
      <c r="B2" t="s">
        <v>64</v>
      </c>
      <c r="F2" s="3">
        <v>44151</v>
      </c>
      <c r="G2" s="3">
        <v>43921</v>
      </c>
      <c r="H2" s="35">
        <v>44340</v>
      </c>
      <c r="I2" s="3">
        <v>44411</v>
      </c>
      <c r="J2" s="3">
        <v>44515</v>
      </c>
      <c r="K2" s="3">
        <v>44644</v>
      </c>
      <c r="L2" s="35">
        <v>44697</v>
      </c>
      <c r="M2" s="3">
        <v>44784</v>
      </c>
      <c r="N2" s="3">
        <v>44874</v>
      </c>
      <c r="O2" s="3">
        <v>44992</v>
      </c>
      <c r="P2" s="35">
        <v>45055</v>
      </c>
      <c r="Q2" s="3">
        <v>45146</v>
      </c>
      <c r="R2" s="3">
        <v>45238</v>
      </c>
      <c r="S2" s="3">
        <v>45350</v>
      </c>
      <c r="T2" s="35">
        <v>45418</v>
      </c>
      <c r="AG2" s="3">
        <v>44286</v>
      </c>
      <c r="AH2" s="3">
        <v>44644</v>
      </c>
      <c r="AI2" s="3">
        <v>44992</v>
      </c>
      <c r="AJ2" s="3">
        <v>45350</v>
      </c>
    </row>
    <row r="3" spans="2:44" x14ac:dyDescent="0.35">
      <c r="B3" t="s">
        <v>65</v>
      </c>
      <c r="F3" s="3">
        <v>44104</v>
      </c>
      <c r="G3" s="3">
        <v>44196</v>
      </c>
      <c r="H3" s="35">
        <v>44286</v>
      </c>
      <c r="I3" s="3">
        <v>44377</v>
      </c>
      <c r="J3" s="3">
        <v>44469</v>
      </c>
      <c r="K3" s="3">
        <v>44561</v>
      </c>
      <c r="L3" s="35">
        <v>44651</v>
      </c>
      <c r="M3" s="3">
        <v>44742</v>
      </c>
      <c r="N3" s="3">
        <v>44834</v>
      </c>
      <c r="O3" s="3">
        <v>44926</v>
      </c>
      <c r="P3" s="35">
        <v>45016</v>
      </c>
      <c r="Q3" s="3">
        <v>45107</v>
      </c>
      <c r="R3" s="3">
        <v>45199</v>
      </c>
      <c r="S3" s="3">
        <v>45291</v>
      </c>
      <c r="T3" s="35">
        <v>45382</v>
      </c>
      <c r="AB3">
        <f t="shared" ref="AB3:AF3" si="0">AC3-1</f>
        <v>2015</v>
      </c>
      <c r="AC3">
        <f t="shared" si="0"/>
        <v>2016</v>
      </c>
      <c r="AD3">
        <f t="shared" si="0"/>
        <v>2017</v>
      </c>
      <c r="AE3">
        <f t="shared" si="0"/>
        <v>2018</v>
      </c>
      <c r="AF3">
        <f t="shared" si="0"/>
        <v>2019</v>
      </c>
      <c r="AG3">
        <v>2020</v>
      </c>
      <c r="AH3">
        <v>2021</v>
      </c>
      <c r="AI3">
        <v>2022</v>
      </c>
      <c r="AJ3">
        <v>2023</v>
      </c>
      <c r="AK3">
        <f>AJ3+1</f>
        <v>2024</v>
      </c>
      <c r="AL3">
        <f t="shared" ref="AL3:AR3" si="1">AK3+1</f>
        <v>2025</v>
      </c>
      <c r="AM3">
        <f t="shared" si="1"/>
        <v>2026</v>
      </c>
      <c r="AN3">
        <f t="shared" si="1"/>
        <v>2027</v>
      </c>
      <c r="AO3">
        <f t="shared" si="1"/>
        <v>2028</v>
      </c>
      <c r="AP3">
        <f t="shared" si="1"/>
        <v>2029</v>
      </c>
      <c r="AQ3">
        <f t="shared" si="1"/>
        <v>2030</v>
      </c>
      <c r="AR3">
        <f t="shared" si="1"/>
        <v>2031</v>
      </c>
    </row>
    <row r="4" spans="2:44" s="4" customFormat="1" x14ac:dyDescent="0.35">
      <c r="B4" s="4" t="s">
        <v>172</v>
      </c>
      <c r="F4" s="55" t="s">
        <v>339</v>
      </c>
      <c r="G4" s="55" t="s">
        <v>339</v>
      </c>
      <c r="H4" s="59" t="s">
        <v>339</v>
      </c>
      <c r="I4" s="55" t="s">
        <v>339</v>
      </c>
      <c r="J4" s="55"/>
      <c r="K4" s="55"/>
      <c r="L4" s="59"/>
      <c r="M4" s="55"/>
      <c r="N4" s="55"/>
      <c r="O4" s="55"/>
      <c r="P4" s="52"/>
      <c r="T4" s="52"/>
    </row>
    <row r="5" spans="2:44" s="63" customFormat="1" x14ac:dyDescent="0.35">
      <c r="B5" s="63" t="s">
        <v>173</v>
      </c>
      <c r="H5" s="87">
        <v>15.15</v>
      </c>
      <c r="I5" s="63">
        <v>11.99</v>
      </c>
      <c r="J5" s="63">
        <v>21.34</v>
      </c>
      <c r="K5" s="63">
        <v>16.97</v>
      </c>
      <c r="L5" s="87">
        <v>12.33</v>
      </c>
      <c r="M5" s="63">
        <v>8.74</v>
      </c>
      <c r="N5" s="63">
        <v>7.29</v>
      </c>
      <c r="P5" s="87">
        <v>5.68</v>
      </c>
      <c r="Q5" s="63">
        <v>6.1</v>
      </c>
      <c r="R5" s="63">
        <v>8.0500000000000007</v>
      </c>
      <c r="S5" s="63">
        <v>6.14</v>
      </c>
      <c r="T5" s="87"/>
      <c r="AG5" s="63">
        <v>11.39</v>
      </c>
      <c r="AH5" s="63">
        <v>21.34</v>
      </c>
      <c r="AI5" s="63">
        <v>8.74</v>
      </c>
      <c r="AJ5" s="63">
        <v>8.0500000000000007</v>
      </c>
    </row>
    <row r="6" spans="2:44" s="63" customFormat="1" x14ac:dyDescent="0.35">
      <c r="B6" s="63" t="s">
        <v>174</v>
      </c>
      <c r="H6" s="87">
        <v>10.050000000000001</v>
      </c>
      <c r="I6" s="63">
        <v>9.77</v>
      </c>
      <c r="J6" s="63">
        <v>9.5</v>
      </c>
      <c r="K6" s="63">
        <v>11.07</v>
      </c>
      <c r="L6" s="87">
        <v>7.51</v>
      </c>
      <c r="M6" s="63">
        <v>3.66</v>
      </c>
      <c r="N6" s="63">
        <v>3.59</v>
      </c>
      <c r="P6" s="87">
        <v>3.69</v>
      </c>
      <c r="Q6" s="63">
        <v>3.62</v>
      </c>
      <c r="R6" s="63">
        <v>4.17</v>
      </c>
      <c r="S6" s="63">
        <v>4</v>
      </c>
      <c r="T6" s="87"/>
      <c r="AG6" s="63">
        <v>9.7200000000000006</v>
      </c>
      <c r="AH6" s="63">
        <v>9.5</v>
      </c>
      <c r="AI6" s="63">
        <v>3.48</v>
      </c>
      <c r="AJ6" s="63">
        <v>3.62</v>
      </c>
    </row>
    <row r="7" spans="2:44" s="61" customFormat="1" x14ac:dyDescent="0.35">
      <c r="B7" s="61" t="s">
        <v>175</v>
      </c>
      <c r="H7" s="62">
        <v>11.07</v>
      </c>
      <c r="I7" s="61">
        <v>10.4</v>
      </c>
      <c r="J7" s="61">
        <v>11.96</v>
      </c>
      <c r="K7" s="61">
        <v>13.76</v>
      </c>
      <c r="L7" s="62">
        <v>9.33</v>
      </c>
      <c r="M7" s="61">
        <v>5.92</v>
      </c>
      <c r="N7" s="61">
        <v>4.95</v>
      </c>
      <c r="O7" s="61">
        <v>4.97</v>
      </c>
      <c r="P7" s="62">
        <v>4.5</v>
      </c>
      <c r="Q7" s="61">
        <v>4.57</v>
      </c>
      <c r="R7" s="61">
        <v>6.08</v>
      </c>
      <c r="S7" s="61">
        <v>4.5199999999999996</v>
      </c>
      <c r="T7" s="62"/>
      <c r="AG7" s="61">
        <v>10.18</v>
      </c>
      <c r="AH7" s="61">
        <v>12.06</v>
      </c>
      <c r="AI7" s="61">
        <v>5.07</v>
      </c>
      <c r="AJ7" s="61">
        <v>4.92</v>
      </c>
    </row>
    <row r="8" spans="2:44" x14ac:dyDescent="0.35">
      <c r="F8" s="3"/>
      <c r="G8" s="3"/>
      <c r="H8" s="35"/>
      <c r="I8" s="3"/>
      <c r="J8" s="3"/>
      <c r="K8" s="3"/>
      <c r="L8" s="35"/>
      <c r="M8" s="3"/>
      <c r="N8" s="3"/>
    </row>
    <row r="9" spans="2:44" s="4" customFormat="1" x14ac:dyDescent="0.35">
      <c r="B9" s="4" t="s">
        <v>217</v>
      </c>
      <c r="F9" s="55"/>
      <c r="G9" s="55"/>
      <c r="H9" s="59"/>
      <c r="I9" s="55"/>
      <c r="J9" s="55"/>
      <c r="K9" s="55"/>
      <c r="L9" s="59"/>
      <c r="M9" s="55"/>
      <c r="N9" s="55"/>
      <c r="P9" s="52"/>
      <c r="T9" s="52"/>
    </row>
    <row r="10" spans="2:44" s="75" customFormat="1" x14ac:dyDescent="0.35">
      <c r="B10" s="75" t="s">
        <v>218</v>
      </c>
      <c r="H10" s="76"/>
      <c r="J10" s="75" t="s">
        <v>150</v>
      </c>
      <c r="K10" s="9" t="str">
        <f>AH10</f>
        <v>-</v>
      </c>
      <c r="L10" s="76" t="s">
        <v>150</v>
      </c>
      <c r="M10" s="75">
        <v>135</v>
      </c>
      <c r="N10" s="75">
        <v>122.4</v>
      </c>
      <c r="O10" s="9">
        <f>AI10</f>
        <v>116.2</v>
      </c>
      <c r="P10" s="76">
        <v>130.4</v>
      </c>
      <c r="Q10" s="75">
        <v>161.9</v>
      </c>
      <c r="R10" s="75">
        <v>250.7</v>
      </c>
      <c r="S10" s="75">
        <f>AJ10</f>
        <v>248.3</v>
      </c>
      <c r="T10" s="76">
        <v>215.6</v>
      </c>
      <c r="AG10" s="75">
        <v>0</v>
      </c>
      <c r="AH10" s="75" t="s">
        <v>150</v>
      </c>
      <c r="AI10" s="75">
        <v>116.2</v>
      </c>
      <c r="AJ10" s="75">
        <v>248.3</v>
      </c>
    </row>
    <row r="11" spans="2:44" s="77" customFormat="1" x14ac:dyDescent="0.35">
      <c r="B11" s="77" t="s">
        <v>32</v>
      </c>
      <c r="H11" s="78"/>
      <c r="J11" s="77" t="s">
        <v>150</v>
      </c>
      <c r="K11" s="83" t="str">
        <f>AH11</f>
        <v>-</v>
      </c>
      <c r="L11" s="78" t="s">
        <v>150</v>
      </c>
      <c r="M11" s="77">
        <v>396.4</v>
      </c>
      <c r="N11" s="77">
        <v>398.2</v>
      </c>
      <c r="O11" s="83">
        <f>AI11</f>
        <v>387.4</v>
      </c>
      <c r="P11" s="78">
        <v>363.8</v>
      </c>
      <c r="Q11" s="77">
        <v>372.4</v>
      </c>
      <c r="R11" s="77">
        <v>331.7</v>
      </c>
      <c r="S11" s="77">
        <f>AJ11</f>
        <v>797.8</v>
      </c>
      <c r="T11" s="78">
        <v>799.7</v>
      </c>
      <c r="AG11" s="77">
        <v>0</v>
      </c>
      <c r="AH11" s="77" t="s">
        <v>150</v>
      </c>
      <c r="AI11" s="77">
        <v>387.4</v>
      </c>
      <c r="AJ11" s="77">
        <v>797.8</v>
      </c>
    </row>
    <row r="12" spans="2:44" s="85" customFormat="1" x14ac:dyDescent="0.35">
      <c r="B12" s="85" t="s">
        <v>219</v>
      </c>
      <c r="H12" s="86">
        <f>SUM(H10:H11)</f>
        <v>0</v>
      </c>
      <c r="I12" s="85">
        <f>SUM(I10:I11)</f>
        <v>0</v>
      </c>
      <c r="J12" s="85">
        <v>183.1</v>
      </c>
      <c r="K12" s="89">
        <f>AH12</f>
        <v>241.5</v>
      </c>
      <c r="L12" s="86">
        <v>545.9</v>
      </c>
      <c r="M12" s="85">
        <f t="shared" ref="M12:R12" si="2">SUM(M10:M11)</f>
        <v>531.4</v>
      </c>
      <c r="N12" s="85">
        <f t="shared" si="2"/>
        <v>520.6</v>
      </c>
      <c r="O12" s="85">
        <f t="shared" si="2"/>
        <v>503.59999999999997</v>
      </c>
      <c r="P12" s="86">
        <f t="shared" si="2"/>
        <v>494.20000000000005</v>
      </c>
      <c r="Q12" s="85">
        <f t="shared" si="2"/>
        <v>534.29999999999995</v>
      </c>
      <c r="R12" s="85">
        <f t="shared" si="2"/>
        <v>582.4</v>
      </c>
      <c r="S12" s="85">
        <f>SUM(S10:S11)</f>
        <v>1046.0999999999999</v>
      </c>
      <c r="T12" s="86">
        <f t="shared" ref="T12:U12" si="3">SUM(T10:T11)</f>
        <v>1015.3000000000001</v>
      </c>
      <c r="U12" s="85">
        <f t="shared" si="3"/>
        <v>0</v>
      </c>
      <c r="V12" s="85">
        <f t="shared" ref="V12:Y12" si="4">SUM(V10:V11)</f>
        <v>0</v>
      </c>
      <c r="W12" s="85">
        <f t="shared" si="4"/>
        <v>0</v>
      </c>
      <c r="X12" s="85">
        <f t="shared" si="4"/>
        <v>0</v>
      </c>
      <c r="Y12" s="85">
        <f t="shared" si="4"/>
        <v>0</v>
      </c>
      <c r="AA12" s="85">
        <f>SUM(AA10:AA11)</f>
        <v>0</v>
      </c>
      <c r="AB12" s="85">
        <f t="shared" ref="AB12:AR12" si="5">SUM(AB10:AB11)</f>
        <v>0</v>
      </c>
      <c r="AC12" s="85">
        <f t="shared" si="5"/>
        <v>0</v>
      </c>
      <c r="AD12" s="85">
        <f t="shared" si="5"/>
        <v>0</v>
      </c>
      <c r="AE12" s="85">
        <f t="shared" si="5"/>
        <v>0</v>
      </c>
      <c r="AF12" s="85">
        <f t="shared" si="5"/>
        <v>0</v>
      </c>
      <c r="AG12" s="85">
        <f t="shared" si="5"/>
        <v>0</v>
      </c>
      <c r="AH12" s="85">
        <v>241.5</v>
      </c>
      <c r="AI12" s="85">
        <f t="shared" si="5"/>
        <v>503.59999999999997</v>
      </c>
      <c r="AJ12" s="85">
        <f t="shared" si="5"/>
        <v>1046.0999999999999</v>
      </c>
      <c r="AK12" s="85">
        <f t="shared" si="5"/>
        <v>0</v>
      </c>
      <c r="AL12" s="85">
        <f t="shared" si="5"/>
        <v>0</v>
      </c>
      <c r="AM12" s="85">
        <f t="shared" si="5"/>
        <v>0</v>
      </c>
      <c r="AN12" s="85">
        <f t="shared" si="5"/>
        <v>0</v>
      </c>
      <c r="AO12" s="85">
        <f t="shared" si="5"/>
        <v>0</v>
      </c>
      <c r="AP12" s="85">
        <f t="shared" si="5"/>
        <v>0</v>
      </c>
      <c r="AQ12" s="85">
        <f t="shared" si="5"/>
        <v>0</v>
      </c>
      <c r="AR12" s="85">
        <f t="shared" si="5"/>
        <v>0</v>
      </c>
    </row>
    <row r="13" spans="2:44" x14ac:dyDescent="0.35">
      <c r="B13" s="12"/>
      <c r="F13" s="3"/>
      <c r="G13" s="3"/>
      <c r="K13" s="3"/>
      <c r="L13" s="35"/>
      <c r="M13" s="3"/>
      <c r="N13" s="3"/>
    </row>
    <row r="14" spans="2:44" s="12" customFormat="1" x14ac:dyDescent="0.35">
      <c r="B14" s="12" t="s">
        <v>241</v>
      </c>
      <c r="F14" s="69"/>
      <c r="G14" s="69"/>
      <c r="H14" s="71"/>
      <c r="K14" s="69"/>
      <c r="L14" s="70"/>
      <c r="M14" s="69"/>
      <c r="N14" s="69"/>
      <c r="P14" s="71"/>
      <c r="T14" s="71"/>
    </row>
    <row r="15" spans="2:44" s="1" customFormat="1" x14ac:dyDescent="0.35">
      <c r="H15" s="41" t="e">
        <f>H10/H$12</f>
        <v>#DIV/0!</v>
      </c>
      <c r="I15" s="1" t="e">
        <f>I10/I$12</f>
        <v>#DIV/0!</v>
      </c>
      <c r="J15" s="1">
        <v>0</v>
      </c>
      <c r="L15" s="41">
        <v>0</v>
      </c>
      <c r="M15" s="1">
        <f t="shared" ref="M15:R16" si="6">M10/M$12</f>
        <v>0.25404591644712082</v>
      </c>
      <c r="N15" s="1">
        <f t="shared" si="6"/>
        <v>0.23511333077218594</v>
      </c>
      <c r="O15" s="1">
        <f t="shared" si="6"/>
        <v>0.23073868149324864</v>
      </c>
      <c r="P15" s="41">
        <f t="shared" si="6"/>
        <v>0.26386078510724403</v>
      </c>
      <c r="Q15" s="1">
        <f t="shared" si="6"/>
        <v>0.30301328841474828</v>
      </c>
      <c r="R15" s="1">
        <f t="shared" si="6"/>
        <v>0.43046016483516486</v>
      </c>
      <c r="S15" s="1">
        <f t="shared" ref="S15:U15" si="7">S10/S$12</f>
        <v>0.23735780518114907</v>
      </c>
      <c r="T15" s="41">
        <f t="shared" si="7"/>
        <v>0.21235102925243768</v>
      </c>
      <c r="U15" s="1" t="e">
        <f t="shared" si="7"/>
        <v>#DIV/0!</v>
      </c>
      <c r="V15" s="1" t="e">
        <f t="shared" ref="V15:Y15" si="8">V10/V$12</f>
        <v>#DIV/0!</v>
      </c>
      <c r="W15" s="1" t="e">
        <f t="shared" si="8"/>
        <v>#DIV/0!</v>
      </c>
      <c r="X15" s="1" t="e">
        <f t="shared" si="8"/>
        <v>#DIV/0!</v>
      </c>
      <c r="Y15" s="1" t="e">
        <f t="shared" si="8"/>
        <v>#DIV/0!</v>
      </c>
      <c r="AI15" s="1">
        <f>AI10/AI$12</f>
        <v>0.23073868149324864</v>
      </c>
      <c r="AJ15" s="1">
        <f t="shared" ref="AJ15:AQ15" si="9">AJ10/AJ$12</f>
        <v>0.23735780518114907</v>
      </c>
      <c r="AK15" s="1" t="e">
        <f t="shared" si="9"/>
        <v>#DIV/0!</v>
      </c>
      <c r="AL15" s="1" t="e">
        <f t="shared" si="9"/>
        <v>#DIV/0!</v>
      </c>
      <c r="AM15" s="1" t="e">
        <f t="shared" si="9"/>
        <v>#DIV/0!</v>
      </c>
      <c r="AN15" s="1" t="e">
        <f t="shared" si="9"/>
        <v>#DIV/0!</v>
      </c>
      <c r="AO15" s="1" t="e">
        <f t="shared" si="9"/>
        <v>#DIV/0!</v>
      </c>
      <c r="AP15" s="1" t="e">
        <f t="shared" si="9"/>
        <v>#DIV/0!</v>
      </c>
      <c r="AQ15" s="1" t="e">
        <f t="shared" si="9"/>
        <v>#DIV/0!</v>
      </c>
    </row>
    <row r="16" spans="2:44" s="1" customFormat="1" x14ac:dyDescent="0.35">
      <c r="H16" s="41" t="e">
        <f>H11/H$12</f>
        <v>#DIV/0!</v>
      </c>
      <c r="I16" s="1" t="e">
        <f>I11/I$12</f>
        <v>#DIV/0!</v>
      </c>
      <c r="J16" s="1">
        <v>0</v>
      </c>
      <c r="L16" s="41">
        <v>0</v>
      </c>
      <c r="M16" s="1">
        <f t="shared" si="6"/>
        <v>0.74595408355287918</v>
      </c>
      <c r="N16" s="1">
        <f t="shared" si="6"/>
        <v>0.76488666922781401</v>
      </c>
      <c r="O16" s="1">
        <f t="shared" si="6"/>
        <v>0.76926131850675139</v>
      </c>
      <c r="P16" s="41">
        <f t="shared" si="6"/>
        <v>0.73613921489275591</v>
      </c>
      <c r="Q16" s="1">
        <f t="shared" si="6"/>
        <v>0.69698671158525172</v>
      </c>
      <c r="R16" s="1">
        <f t="shared" si="6"/>
        <v>0.5695398351648352</v>
      </c>
      <c r="S16" s="1">
        <f t="shared" ref="S16:U16" si="10">S11/S$12</f>
        <v>0.76264219481885098</v>
      </c>
      <c r="T16" s="41">
        <f t="shared" si="10"/>
        <v>0.78764897074756224</v>
      </c>
      <c r="U16" s="1" t="e">
        <f t="shared" si="10"/>
        <v>#DIV/0!</v>
      </c>
      <c r="V16" s="1" t="e">
        <f t="shared" ref="V16:Y16" si="11">V11/V$12</f>
        <v>#DIV/0!</v>
      </c>
      <c r="W16" s="1" t="e">
        <f t="shared" si="11"/>
        <v>#DIV/0!</v>
      </c>
      <c r="X16" s="1" t="e">
        <f t="shared" si="11"/>
        <v>#DIV/0!</v>
      </c>
      <c r="Y16" s="1" t="e">
        <f t="shared" si="11"/>
        <v>#DIV/0!</v>
      </c>
      <c r="AI16" s="1">
        <f>AI11/AI$12</f>
        <v>0.76926131850675139</v>
      </c>
      <c r="AJ16" s="1">
        <f t="shared" ref="AJ16:AQ16" si="12">AJ11/AJ$12</f>
        <v>0.76264219481885098</v>
      </c>
      <c r="AK16" s="1" t="e">
        <f t="shared" si="12"/>
        <v>#DIV/0!</v>
      </c>
      <c r="AL16" s="1" t="e">
        <f t="shared" si="12"/>
        <v>#DIV/0!</v>
      </c>
      <c r="AM16" s="1" t="e">
        <f t="shared" si="12"/>
        <v>#DIV/0!</v>
      </c>
      <c r="AN16" s="1" t="e">
        <f t="shared" si="12"/>
        <v>#DIV/0!</v>
      </c>
      <c r="AO16" s="1" t="e">
        <f t="shared" si="12"/>
        <v>#DIV/0!</v>
      </c>
      <c r="AP16" s="1" t="e">
        <f t="shared" si="12"/>
        <v>#DIV/0!</v>
      </c>
      <c r="AQ16" s="1" t="e">
        <f t="shared" si="12"/>
        <v>#DIV/0!</v>
      </c>
    </row>
    <row r="17" spans="2:44" s="1" customFormat="1" x14ac:dyDescent="0.35">
      <c r="H17" s="41"/>
      <c r="L17" s="41"/>
      <c r="P17" s="41"/>
      <c r="T17" s="41"/>
    </row>
    <row r="18" spans="2:44" s="81" customFormat="1" x14ac:dyDescent="0.35">
      <c r="B18" s="81" t="s">
        <v>369</v>
      </c>
      <c r="H18" s="82"/>
      <c r="L18" s="82"/>
      <c r="P18" s="82"/>
      <c r="T18" s="82"/>
    </row>
    <row r="19" spans="2:44" s="5" customFormat="1" x14ac:dyDescent="0.35">
      <c r="B19" s="5" t="s">
        <v>370</v>
      </c>
      <c r="H19" s="37"/>
      <c r="L19" s="37"/>
      <c r="P19" s="37"/>
      <c r="T19" s="37"/>
      <c r="AH19" s="5">
        <v>8</v>
      </c>
      <c r="AI19" s="5">
        <v>12</v>
      </c>
      <c r="AJ19" s="5">
        <v>11</v>
      </c>
    </row>
    <row r="20" spans="2:44" s="5" customFormat="1" x14ac:dyDescent="0.35">
      <c r="B20" s="5" t="s">
        <v>371</v>
      </c>
      <c r="H20" s="37"/>
      <c r="L20" s="37"/>
      <c r="P20" s="37"/>
      <c r="T20" s="37"/>
      <c r="AH20" s="5">
        <v>6</v>
      </c>
      <c r="AI20" s="5">
        <v>9</v>
      </c>
      <c r="AJ20" s="5">
        <v>10</v>
      </c>
    </row>
    <row r="21" spans="2:44" s="1" customFormat="1" x14ac:dyDescent="0.35">
      <c r="H21" s="41"/>
      <c r="L21" s="41"/>
      <c r="P21" s="41"/>
      <c r="T21" s="41"/>
    </row>
    <row r="22" spans="2:44" s="1" customFormat="1" x14ac:dyDescent="0.35">
      <c r="H22" s="41"/>
      <c r="L22" s="41"/>
      <c r="P22" s="41"/>
      <c r="T22" s="41"/>
    </row>
    <row r="23" spans="2:44" s="81" customFormat="1" x14ac:dyDescent="0.35">
      <c r="B23" s="81" t="s">
        <v>326</v>
      </c>
      <c r="H23" s="82"/>
      <c r="L23" s="82"/>
      <c r="P23" s="82"/>
      <c r="T23" s="82"/>
    </row>
    <row r="24" spans="2:44" s="9" customFormat="1" x14ac:dyDescent="0.35">
      <c r="B24" s="9" t="s">
        <v>325</v>
      </c>
      <c r="F24" s="9">
        <v>4.7</v>
      </c>
      <c r="G24" s="9">
        <f>AG24</f>
        <v>5.5</v>
      </c>
      <c r="H24" s="46">
        <v>7.8</v>
      </c>
      <c r="I24" s="9">
        <v>7.2</v>
      </c>
      <c r="J24" s="9">
        <v>12.1</v>
      </c>
      <c r="K24" s="9">
        <f>AH24</f>
        <v>8.1</v>
      </c>
      <c r="L24" s="46">
        <v>6.3</v>
      </c>
      <c r="M24" s="9">
        <v>6.3</v>
      </c>
      <c r="N24" s="9">
        <v>7.7</v>
      </c>
      <c r="O24" s="9">
        <f>AI24</f>
        <v>6.7</v>
      </c>
      <c r="P24" s="46">
        <v>6.5</v>
      </c>
      <c r="Q24" s="9">
        <v>7.5</v>
      </c>
      <c r="R24" s="9">
        <v>7.1</v>
      </c>
      <c r="S24" s="75">
        <f>AJ24</f>
        <v>7.1</v>
      </c>
      <c r="T24" s="46">
        <v>8.1999999999999993</v>
      </c>
      <c r="AG24" s="9">
        <v>5.5</v>
      </c>
      <c r="AH24" s="9">
        <v>8.1</v>
      </c>
      <c r="AI24" s="9">
        <v>6.7</v>
      </c>
      <c r="AJ24" s="9">
        <v>7.1</v>
      </c>
    </row>
    <row r="25" spans="2:44" s="83" customFormat="1" x14ac:dyDescent="0.35">
      <c r="B25" s="83" t="s">
        <v>324</v>
      </c>
      <c r="F25" s="83">
        <v>6.7</v>
      </c>
      <c r="G25" s="83">
        <f>AG25</f>
        <v>6.5</v>
      </c>
      <c r="H25" s="84">
        <v>5.6</v>
      </c>
      <c r="I25" s="83">
        <v>5.7</v>
      </c>
      <c r="J25" s="83">
        <v>21.3</v>
      </c>
      <c r="K25" s="83">
        <f>AH25</f>
        <v>9.1999999999999993</v>
      </c>
      <c r="L25" s="84">
        <v>7.5</v>
      </c>
      <c r="M25" s="83">
        <v>7.1</v>
      </c>
      <c r="N25" s="83">
        <v>7.3</v>
      </c>
      <c r="O25" s="83">
        <f>AI25</f>
        <v>7.5</v>
      </c>
      <c r="P25" s="84">
        <v>7.5</v>
      </c>
      <c r="Q25" s="83">
        <v>7.2</v>
      </c>
      <c r="R25" s="83">
        <v>5.2</v>
      </c>
      <c r="S25" s="77">
        <f>AJ25</f>
        <v>7</v>
      </c>
      <c r="T25" s="84">
        <v>6.1</v>
      </c>
      <c r="AG25" s="83">
        <v>6.5</v>
      </c>
      <c r="AH25" s="83">
        <v>9.1999999999999993</v>
      </c>
      <c r="AI25" s="83">
        <v>7.5</v>
      </c>
      <c r="AJ25" s="83">
        <v>7</v>
      </c>
    </row>
    <row r="26" spans="2:44" s="9" customFormat="1" x14ac:dyDescent="0.35">
      <c r="B26" s="9" t="s">
        <v>323</v>
      </c>
      <c r="F26" s="9">
        <f>F24-F25</f>
        <v>-2</v>
      </c>
      <c r="G26" s="9">
        <f>G24-G25</f>
        <v>-1</v>
      </c>
      <c r="H26" s="46">
        <f>H24-H25</f>
        <v>2.2000000000000002</v>
      </c>
      <c r="I26" s="9">
        <f>I24-I25</f>
        <v>1.5</v>
      </c>
      <c r="J26" s="9">
        <f t="shared" ref="J26:K26" si="13">J24-J25</f>
        <v>-9.2000000000000011</v>
      </c>
      <c r="K26" s="9">
        <f t="shared" si="13"/>
        <v>-1.0999999999999996</v>
      </c>
      <c r="L26" s="46">
        <f>L24-L25</f>
        <v>-1.2000000000000002</v>
      </c>
      <c r="M26" s="9">
        <f>M24-M25</f>
        <v>-0.79999999999999982</v>
      </c>
      <c r="N26" s="9">
        <f t="shared" ref="N26" si="14">N24-N25</f>
        <v>0.40000000000000036</v>
      </c>
      <c r="O26" s="9">
        <f t="shared" ref="O26" si="15">O24-O25</f>
        <v>-0.79999999999999982</v>
      </c>
      <c r="P26" s="46">
        <f>P24-P25</f>
        <v>-1</v>
      </c>
      <c r="Q26" s="9">
        <f>Q24-Q25</f>
        <v>0.29999999999999982</v>
      </c>
      <c r="R26" s="9">
        <f t="shared" ref="R26" si="16">R24-R25</f>
        <v>1.8999999999999995</v>
      </c>
      <c r="S26" s="9">
        <f t="shared" ref="S26" si="17">S24-S25</f>
        <v>9.9999999999999645E-2</v>
      </c>
      <c r="T26" s="46">
        <f t="shared" ref="T26" si="18">T24-T25</f>
        <v>2.0999999999999996</v>
      </c>
      <c r="U26" s="9">
        <f t="shared" ref="U26:Y26" si="19">U24-U25</f>
        <v>0</v>
      </c>
      <c r="V26" s="9">
        <f t="shared" si="19"/>
        <v>0</v>
      </c>
      <c r="W26" s="9">
        <f t="shared" si="19"/>
        <v>0</v>
      </c>
      <c r="X26" s="9">
        <f t="shared" si="19"/>
        <v>0</v>
      </c>
      <c r="Y26" s="9">
        <f t="shared" si="19"/>
        <v>0</v>
      </c>
      <c r="AG26" s="9">
        <f>AG24-AG25</f>
        <v>-1</v>
      </c>
      <c r="AH26" s="9">
        <f t="shared" ref="AH26:AR26" si="20">AH24-AH25</f>
        <v>-1.0999999999999996</v>
      </c>
      <c r="AI26" s="9">
        <f t="shared" si="20"/>
        <v>-0.79999999999999982</v>
      </c>
      <c r="AJ26" s="9">
        <f t="shared" si="20"/>
        <v>9.9999999999999645E-2</v>
      </c>
      <c r="AK26" s="9">
        <f t="shared" si="20"/>
        <v>0</v>
      </c>
      <c r="AL26" s="9">
        <f t="shared" si="20"/>
        <v>0</v>
      </c>
      <c r="AM26" s="9">
        <f t="shared" si="20"/>
        <v>0</v>
      </c>
      <c r="AN26" s="9">
        <f t="shared" si="20"/>
        <v>0</v>
      </c>
      <c r="AO26" s="9">
        <f t="shared" si="20"/>
        <v>0</v>
      </c>
      <c r="AP26" s="9">
        <f t="shared" si="20"/>
        <v>0</v>
      </c>
      <c r="AQ26" s="9">
        <f t="shared" si="20"/>
        <v>0</v>
      </c>
      <c r="AR26" s="9">
        <f t="shared" si="20"/>
        <v>0</v>
      </c>
    </row>
    <row r="27" spans="2:44" s="1" customFormat="1" x14ac:dyDescent="0.35">
      <c r="H27" s="41"/>
      <c r="L27" s="41"/>
      <c r="P27" s="41"/>
      <c r="T27" s="41"/>
    </row>
    <row r="28" spans="2:44" s="1" customFormat="1" x14ac:dyDescent="0.35">
      <c r="H28" s="41"/>
      <c r="L28" s="41"/>
      <c r="P28" s="41"/>
      <c r="T28" s="41"/>
    </row>
    <row r="29" spans="2:44" s="1" customFormat="1" x14ac:dyDescent="0.35">
      <c r="H29" s="41"/>
      <c r="L29" s="41"/>
      <c r="P29" s="41"/>
      <c r="T29" s="41"/>
    </row>
    <row r="30" spans="2:44" s="1" customFormat="1" x14ac:dyDescent="0.35">
      <c r="H30" s="41"/>
      <c r="L30" s="41"/>
      <c r="P30" s="41"/>
      <c r="T30" s="41"/>
    </row>
    <row r="31" spans="2:44" s="8" customFormat="1" x14ac:dyDescent="0.35">
      <c r="B31" s="8" t="s">
        <v>66</v>
      </c>
      <c r="H31" s="36"/>
      <c r="I31" s="18"/>
      <c r="J31" s="18"/>
      <c r="K31" s="18"/>
      <c r="L31" s="36"/>
      <c r="M31" s="18"/>
      <c r="N31" s="18"/>
      <c r="O31" s="18"/>
      <c r="P31" s="36"/>
      <c r="Q31" s="18"/>
      <c r="R31" s="18"/>
      <c r="S31" s="18"/>
      <c r="T31" s="36"/>
      <c r="U31" s="18"/>
      <c r="V31" s="18"/>
      <c r="W31" s="18"/>
      <c r="X31" s="18"/>
      <c r="Y31" s="18"/>
      <c r="Z31" s="18"/>
      <c r="AA31" s="18"/>
      <c r="AB31" s="18"/>
      <c r="AC31" s="18"/>
      <c r="AD31" s="18"/>
      <c r="AE31" s="18"/>
      <c r="AF31" s="18"/>
      <c r="AG31" s="18"/>
      <c r="AH31" s="18"/>
      <c r="AI31" s="18"/>
      <c r="AJ31" s="18"/>
      <c r="AK31" s="18"/>
    </row>
    <row r="32" spans="2:44" x14ac:dyDescent="0.35">
      <c r="B32" t="s">
        <v>67</v>
      </c>
      <c r="G32" t="s">
        <v>68</v>
      </c>
      <c r="H32" s="37"/>
      <c r="I32" s="5"/>
      <c r="J32" s="5"/>
      <c r="K32" s="5"/>
      <c r="L32" s="37"/>
      <c r="M32" s="5"/>
      <c r="N32" s="5"/>
      <c r="O32" s="5"/>
      <c r="P32" s="37"/>
      <c r="Q32" s="5"/>
      <c r="R32" s="5"/>
      <c r="S32" s="5"/>
      <c r="T32" s="37"/>
      <c r="U32" s="5"/>
      <c r="V32" s="5"/>
      <c r="W32" s="5"/>
      <c r="X32" s="5"/>
      <c r="Y32" s="5"/>
      <c r="Z32" s="5"/>
      <c r="AA32" s="5"/>
      <c r="AB32" s="5"/>
      <c r="AC32" s="5"/>
      <c r="AD32" s="5"/>
      <c r="AE32" s="5"/>
      <c r="AF32" s="5"/>
      <c r="AG32" s="5">
        <v>31993</v>
      </c>
      <c r="AH32" s="5">
        <v>36576</v>
      </c>
      <c r="AI32" s="5">
        <v>60200</v>
      </c>
      <c r="AJ32" s="5">
        <v>71131</v>
      </c>
      <c r="AK32" s="5"/>
    </row>
    <row r="33" spans="2:44" x14ac:dyDescent="0.35">
      <c r="B33" t="s">
        <v>69</v>
      </c>
      <c r="H33" s="37"/>
      <c r="I33" s="5"/>
      <c r="J33" s="5"/>
      <c r="K33" s="5"/>
      <c r="L33" s="37"/>
      <c r="M33" s="5"/>
      <c r="N33" s="5"/>
      <c r="O33" s="5"/>
      <c r="P33" s="37"/>
      <c r="R33" s="5"/>
      <c r="S33" s="5"/>
      <c r="T33" s="37"/>
      <c r="U33" s="5"/>
      <c r="V33" s="5"/>
      <c r="W33" s="5"/>
      <c r="X33" s="5"/>
      <c r="Y33" s="5"/>
      <c r="Z33" s="5"/>
      <c r="AA33" s="5"/>
      <c r="AB33" s="5"/>
      <c r="AC33" s="5"/>
      <c r="AD33" s="5"/>
      <c r="AE33" s="5"/>
      <c r="AF33" s="5"/>
      <c r="AG33" s="5">
        <v>1092</v>
      </c>
      <c r="AH33" s="5">
        <v>2395</v>
      </c>
      <c r="AI33" s="5">
        <v>485</v>
      </c>
      <c r="AJ33" s="5">
        <v>763</v>
      </c>
      <c r="AK33" s="5"/>
    </row>
    <row r="34" spans="2:44" x14ac:dyDescent="0.35">
      <c r="B34" t="s">
        <v>70</v>
      </c>
      <c r="H34" s="37"/>
      <c r="I34" s="5"/>
      <c r="J34" s="5"/>
      <c r="K34" s="5"/>
      <c r="L34" s="37"/>
      <c r="M34" s="5"/>
      <c r="N34" s="5"/>
      <c r="O34" s="5"/>
      <c r="P34" s="37"/>
      <c r="Q34" s="5"/>
      <c r="R34" s="5"/>
      <c r="S34" s="5"/>
      <c r="T34" s="37"/>
      <c r="U34" s="5"/>
      <c r="V34" s="5"/>
      <c r="W34" s="5"/>
      <c r="X34" s="5"/>
      <c r="Y34" s="5"/>
      <c r="Z34" s="5"/>
      <c r="AA34" s="5"/>
      <c r="AB34" s="5"/>
      <c r="AC34" s="5"/>
      <c r="AD34" s="5"/>
      <c r="AE34" s="5"/>
      <c r="AF34" s="5"/>
      <c r="AG34" s="5">
        <v>1910</v>
      </c>
      <c r="AH34" s="5">
        <v>12578</v>
      </c>
      <c r="AI34" s="5">
        <v>61141</v>
      </c>
      <c r="AJ34" s="5">
        <v>46704</v>
      </c>
      <c r="AK34" s="5"/>
    </row>
    <row r="35" spans="2:44" s="2" customFormat="1" x14ac:dyDescent="0.35">
      <c r="B35" s="2" t="s">
        <v>71</v>
      </c>
      <c r="H35" s="38"/>
      <c r="I35" s="6"/>
      <c r="J35" s="6"/>
      <c r="K35" s="6"/>
      <c r="L35" s="38"/>
      <c r="M35" s="6"/>
      <c r="N35" s="6"/>
      <c r="O35" s="6"/>
      <c r="P35" s="38"/>
      <c r="Q35" s="6"/>
      <c r="R35" s="6"/>
      <c r="S35" s="6"/>
      <c r="T35" s="38"/>
      <c r="U35" s="6"/>
      <c r="V35" s="6"/>
      <c r="W35" s="6"/>
      <c r="X35" s="6"/>
      <c r="Y35" s="6"/>
      <c r="Z35" s="6"/>
      <c r="AA35" s="6"/>
      <c r="AB35" s="6"/>
      <c r="AC35" s="6"/>
      <c r="AD35" s="6"/>
      <c r="AE35" s="6"/>
      <c r="AF35" s="6"/>
      <c r="AG35" s="6">
        <v>165</v>
      </c>
      <c r="AH35" s="6">
        <v>10688</v>
      </c>
      <c r="AI35" s="6">
        <v>89170</v>
      </c>
      <c r="AJ35" s="6">
        <v>125994</v>
      </c>
      <c r="AK35" s="6"/>
    </row>
    <row r="36" spans="2:44" x14ac:dyDescent="0.35">
      <c r="B36" t="s">
        <v>72</v>
      </c>
      <c r="F36">
        <v>10670</v>
      </c>
      <c r="G36" s="5">
        <f>33903-F36</f>
        <v>23233</v>
      </c>
      <c r="H36" s="37">
        <v>17035</v>
      </c>
      <c r="I36" s="5">
        <v>9780</v>
      </c>
      <c r="J36" s="5">
        <v>1988</v>
      </c>
      <c r="K36" s="5">
        <f>AH36-J36-I36-H36</f>
        <v>20351</v>
      </c>
      <c r="L36" s="37">
        <v>28237</v>
      </c>
      <c r="M36" s="5">
        <v>37107</v>
      </c>
      <c r="N36" s="5">
        <v>31312</v>
      </c>
      <c r="O36" s="5">
        <f>AI36-N36-M36-L36</f>
        <v>24685</v>
      </c>
      <c r="P36" s="37">
        <v>28662</v>
      </c>
      <c r="Q36" s="5">
        <v>35670</v>
      </c>
      <c r="R36" s="5">
        <v>30226</v>
      </c>
      <c r="S36" s="5">
        <f>AJ36-R36-Q36-P36</f>
        <v>23277</v>
      </c>
      <c r="T36" s="37">
        <v>44109</v>
      </c>
      <c r="U36" s="5"/>
      <c r="V36" s="5"/>
      <c r="W36" s="5"/>
      <c r="X36" s="5"/>
      <c r="Y36" s="5"/>
      <c r="Z36" s="5"/>
      <c r="AA36" s="5"/>
      <c r="AB36" s="5"/>
      <c r="AC36" s="5"/>
      <c r="AD36" s="5"/>
      <c r="AE36" s="5"/>
      <c r="AF36" s="5"/>
      <c r="AG36" s="5">
        <f>+AG34+AG32</f>
        <v>33903</v>
      </c>
      <c r="AH36" s="5">
        <f>+AH34+AH32</f>
        <v>49154</v>
      </c>
      <c r="AI36" s="5">
        <f t="shared" ref="AI36:AR36" si="21">+AI34+AI32</f>
        <v>121341</v>
      </c>
      <c r="AJ36" s="5">
        <f t="shared" si="21"/>
        <v>117835</v>
      </c>
      <c r="AK36" s="5">
        <f t="shared" si="21"/>
        <v>0</v>
      </c>
      <c r="AL36" s="5">
        <f t="shared" si="21"/>
        <v>0</v>
      </c>
      <c r="AM36" s="5">
        <f t="shared" si="21"/>
        <v>0</v>
      </c>
      <c r="AN36" s="5">
        <f t="shared" si="21"/>
        <v>0</v>
      </c>
      <c r="AO36" s="5">
        <f t="shared" si="21"/>
        <v>0</v>
      </c>
      <c r="AP36" s="5">
        <f t="shared" si="21"/>
        <v>0</v>
      </c>
      <c r="AQ36" s="5">
        <f t="shared" si="21"/>
        <v>0</v>
      </c>
      <c r="AR36" s="5">
        <f t="shared" si="21"/>
        <v>0</v>
      </c>
    </row>
    <row r="37" spans="2:44" s="2" customFormat="1" x14ac:dyDescent="0.35">
      <c r="B37" s="2" t="s">
        <v>73</v>
      </c>
      <c r="F37" s="2">
        <v>0</v>
      </c>
      <c r="G37" s="6">
        <v>1257</v>
      </c>
      <c r="H37" s="38">
        <v>1157</v>
      </c>
      <c r="I37" s="6">
        <v>1500</v>
      </c>
      <c r="J37" s="6">
        <v>3299</v>
      </c>
      <c r="K37" s="6">
        <f>AH37-J37-I37-H37</f>
        <v>7127</v>
      </c>
      <c r="L37" s="38">
        <v>12466</v>
      </c>
      <c r="M37" s="6">
        <v>18367</v>
      </c>
      <c r="N37" s="6">
        <v>31745</v>
      </c>
      <c r="O37" s="6">
        <f>AI37-N37-M37-L37</f>
        <v>27077</v>
      </c>
      <c r="P37" s="38">
        <v>26233</v>
      </c>
      <c r="Q37" s="6">
        <v>26375</v>
      </c>
      <c r="R37" s="6">
        <v>37435</v>
      </c>
      <c r="S37" s="6">
        <f>AJ37-R37-Q37-P37</f>
        <v>36714</v>
      </c>
      <c r="T37" s="38">
        <v>48658</v>
      </c>
      <c r="U37" s="6"/>
      <c r="V37" s="6"/>
      <c r="W37" s="6"/>
      <c r="X37" s="6"/>
      <c r="Y37" s="6"/>
      <c r="Z37" s="6"/>
      <c r="AA37" s="6"/>
      <c r="AB37" s="6"/>
      <c r="AC37" s="6"/>
      <c r="AD37" s="6"/>
      <c r="AE37" s="6"/>
      <c r="AF37" s="6"/>
      <c r="AG37" s="6">
        <f>+AG35+AG33</f>
        <v>1257</v>
      </c>
      <c r="AH37" s="6">
        <f>+AH35+AH33</f>
        <v>13083</v>
      </c>
      <c r="AI37" s="6">
        <f t="shared" ref="AI37:AR37" si="22">+AI35+AI33</f>
        <v>89655</v>
      </c>
      <c r="AJ37" s="6">
        <f t="shared" si="22"/>
        <v>126757</v>
      </c>
      <c r="AK37" s="6">
        <f t="shared" si="22"/>
        <v>0</v>
      </c>
      <c r="AL37" s="6">
        <f t="shared" si="22"/>
        <v>0</v>
      </c>
      <c r="AM37" s="6">
        <f t="shared" si="22"/>
        <v>0</v>
      </c>
      <c r="AN37" s="6">
        <f t="shared" si="22"/>
        <v>0</v>
      </c>
      <c r="AO37" s="6">
        <f t="shared" si="22"/>
        <v>0</v>
      </c>
      <c r="AP37" s="6">
        <f t="shared" si="22"/>
        <v>0</v>
      </c>
      <c r="AQ37" s="6">
        <f t="shared" si="22"/>
        <v>0</v>
      </c>
      <c r="AR37" s="6">
        <f t="shared" si="22"/>
        <v>0</v>
      </c>
    </row>
    <row r="38" spans="2:44" s="12" customFormat="1" x14ac:dyDescent="0.35">
      <c r="B38" s="12" t="s">
        <v>74</v>
      </c>
      <c r="F38" s="24">
        <f>SUM(F36:F37)</f>
        <v>10670</v>
      </c>
      <c r="G38" s="24">
        <f>G36+G37</f>
        <v>24490</v>
      </c>
      <c r="H38" s="40">
        <f>SUM(H36:H37)</f>
        <v>18192</v>
      </c>
      <c r="I38" s="24">
        <f>SUM(I36:I37)</f>
        <v>11280</v>
      </c>
      <c r="J38" s="24">
        <f>SUM(J36:J37)</f>
        <v>5287</v>
      </c>
      <c r="K38" s="24">
        <f>AH38-J38-I38-H38</f>
        <v>27478</v>
      </c>
      <c r="L38" s="40">
        <f t="shared" ref="L38:Q38" si="23">SUM(L36:L37)</f>
        <v>40703</v>
      </c>
      <c r="M38" s="24">
        <f t="shared" si="23"/>
        <v>55474</v>
      </c>
      <c r="N38" s="24">
        <f t="shared" si="23"/>
        <v>63057</v>
      </c>
      <c r="O38" s="24">
        <f t="shared" si="23"/>
        <v>51762</v>
      </c>
      <c r="P38" s="40">
        <f t="shared" si="23"/>
        <v>54895</v>
      </c>
      <c r="Q38" s="24">
        <f t="shared" si="23"/>
        <v>62045</v>
      </c>
      <c r="R38" s="24">
        <f t="shared" ref="R38:U38" si="24">SUM(R36:R37)</f>
        <v>67661</v>
      </c>
      <c r="S38" s="24">
        <f t="shared" si="24"/>
        <v>59991</v>
      </c>
      <c r="T38" s="40">
        <f t="shared" si="24"/>
        <v>92767</v>
      </c>
      <c r="U38" s="24">
        <f t="shared" si="24"/>
        <v>0</v>
      </c>
      <c r="V38" s="24">
        <f t="shared" ref="V38:Y38" si="25">SUM(V36:V37)</f>
        <v>0</v>
      </c>
      <c r="W38" s="24">
        <f t="shared" si="25"/>
        <v>0</v>
      </c>
      <c r="X38" s="24">
        <f t="shared" si="25"/>
        <v>0</v>
      </c>
      <c r="Y38" s="24">
        <f t="shared" si="25"/>
        <v>0</v>
      </c>
      <c r="Z38" s="24"/>
      <c r="AA38" s="24"/>
      <c r="AB38" s="24"/>
      <c r="AC38" s="24"/>
      <c r="AD38" s="24"/>
      <c r="AE38" s="24"/>
      <c r="AF38" s="24"/>
      <c r="AG38" s="24">
        <f>AG36+AG37</f>
        <v>35160</v>
      </c>
      <c r="AH38" s="24">
        <f>AH36+AH37</f>
        <v>62237</v>
      </c>
      <c r="AI38" s="24">
        <f t="shared" ref="AI38:AR38" si="26">AI36+AI37</f>
        <v>210996</v>
      </c>
      <c r="AJ38" s="24">
        <f t="shared" si="26"/>
        <v>244592</v>
      </c>
      <c r="AK38" s="24">
        <f t="shared" si="26"/>
        <v>0</v>
      </c>
      <c r="AL38" s="24">
        <f t="shared" si="26"/>
        <v>0</v>
      </c>
      <c r="AM38" s="24">
        <f t="shared" si="26"/>
        <v>0</v>
      </c>
      <c r="AN38" s="24">
        <f t="shared" si="26"/>
        <v>0</v>
      </c>
      <c r="AO38" s="24">
        <f t="shared" si="26"/>
        <v>0</v>
      </c>
      <c r="AP38" s="24">
        <f t="shared" si="26"/>
        <v>0</v>
      </c>
      <c r="AQ38" s="24">
        <f t="shared" si="26"/>
        <v>0</v>
      </c>
      <c r="AR38" s="24">
        <f t="shared" si="26"/>
        <v>0</v>
      </c>
    </row>
    <row r="39" spans="2:44" x14ac:dyDescent="0.35">
      <c r="F39" s="5"/>
      <c r="G39" s="5"/>
      <c r="H39" s="37"/>
      <c r="I39" s="5"/>
      <c r="J39" s="5"/>
      <c r="K39" s="5"/>
      <c r="L39" s="37"/>
      <c r="M39" s="5"/>
      <c r="N39" s="5"/>
      <c r="O39" s="5"/>
      <c r="P39" s="37"/>
      <c r="Q39" s="5"/>
      <c r="R39" s="5"/>
      <c r="S39" s="5"/>
      <c r="T39" s="37"/>
      <c r="U39" s="5"/>
      <c r="V39" s="5"/>
      <c r="W39" s="5"/>
      <c r="X39" s="5"/>
      <c r="Y39" s="5"/>
      <c r="Z39" s="5"/>
      <c r="AA39" s="5"/>
      <c r="AB39" s="5"/>
      <c r="AC39" s="5"/>
      <c r="AD39" s="5"/>
      <c r="AE39" s="5"/>
      <c r="AF39" s="5"/>
      <c r="AG39" s="5"/>
      <c r="AH39" s="5"/>
      <c r="AI39" s="5"/>
      <c r="AJ39" s="5"/>
      <c r="AK39" s="5"/>
    </row>
    <row r="40" spans="2:44" s="28" customFormat="1" x14ac:dyDescent="0.35">
      <c r="B40" s="28" t="s">
        <v>75</v>
      </c>
      <c r="F40" s="29"/>
      <c r="G40" s="29"/>
      <c r="H40" s="47"/>
      <c r="I40" s="29"/>
      <c r="J40" s="29"/>
      <c r="K40" s="29"/>
      <c r="L40" s="47"/>
      <c r="M40" s="29"/>
      <c r="N40" s="29"/>
      <c r="O40" s="29"/>
      <c r="P40" s="47"/>
      <c r="Q40" s="29"/>
      <c r="R40" s="29"/>
      <c r="S40" s="29"/>
      <c r="T40" s="47"/>
      <c r="U40" s="29"/>
      <c r="V40" s="29"/>
      <c r="W40" s="29"/>
      <c r="X40" s="29"/>
      <c r="Y40" s="29"/>
      <c r="Z40" s="29"/>
      <c r="AA40" s="29"/>
      <c r="AB40" s="29"/>
      <c r="AC40" s="29"/>
      <c r="AD40" s="29"/>
      <c r="AE40" s="29"/>
      <c r="AF40" s="29"/>
      <c r="AG40" s="29"/>
      <c r="AH40" s="29"/>
      <c r="AI40" s="29"/>
      <c r="AJ40" s="29"/>
      <c r="AK40" s="29"/>
    </row>
    <row r="41" spans="2:44" x14ac:dyDescent="0.35">
      <c r="B41" t="s">
        <v>76</v>
      </c>
      <c r="F41" s="5"/>
      <c r="G41" s="5"/>
      <c r="H41" s="37"/>
      <c r="I41" s="5"/>
      <c r="J41" s="5"/>
      <c r="K41" s="5"/>
      <c r="L41" s="37"/>
      <c r="M41" s="5"/>
      <c r="N41" s="5"/>
      <c r="O41" s="5"/>
      <c r="P41" s="37"/>
      <c r="Q41" s="5"/>
      <c r="R41" s="5"/>
      <c r="S41" s="5"/>
      <c r="T41" s="37"/>
      <c r="U41" s="5"/>
      <c r="V41" s="5"/>
      <c r="W41" s="5"/>
      <c r="X41" s="5"/>
      <c r="Y41" s="5"/>
      <c r="Z41" s="5"/>
      <c r="AA41" s="5"/>
      <c r="AB41" s="5"/>
      <c r="AC41" s="5"/>
      <c r="AD41" s="5"/>
      <c r="AE41" s="5"/>
      <c r="AF41" s="5"/>
      <c r="AG41" s="5">
        <v>31993</v>
      </c>
      <c r="AH41" s="5">
        <v>36576</v>
      </c>
      <c r="AI41" s="5">
        <v>60200</v>
      </c>
      <c r="AJ41" s="5">
        <v>71131</v>
      </c>
      <c r="AK41" s="5"/>
    </row>
    <row r="42" spans="2:44" s="2" customFormat="1" x14ac:dyDescent="0.35">
      <c r="B42" s="2" t="s">
        <v>77</v>
      </c>
      <c r="F42" s="6"/>
      <c r="G42" s="6"/>
      <c r="H42" s="38"/>
      <c r="I42" s="6"/>
      <c r="J42" s="6"/>
      <c r="K42" s="6"/>
      <c r="L42" s="38"/>
      <c r="M42" s="6"/>
      <c r="N42" s="6"/>
      <c r="O42" s="6"/>
      <c r="P42" s="38"/>
      <c r="Q42" s="6"/>
      <c r="R42" s="6"/>
      <c r="S42" s="6"/>
      <c r="T42" s="38"/>
      <c r="U42" s="6"/>
      <c r="V42" s="6"/>
      <c r="W42" s="6"/>
      <c r="X42" s="6"/>
      <c r="Y42" s="6"/>
      <c r="Z42" s="6"/>
      <c r="AA42" s="6"/>
      <c r="AB42" s="6"/>
      <c r="AC42" s="6"/>
      <c r="AD42" s="6"/>
      <c r="AE42" s="6"/>
      <c r="AF42" s="6"/>
      <c r="AG42" s="6">
        <v>1092</v>
      </c>
      <c r="AH42" s="6">
        <v>2395</v>
      </c>
      <c r="AI42" s="6">
        <v>485</v>
      </c>
      <c r="AJ42" s="6">
        <v>763</v>
      </c>
      <c r="AK42" s="6"/>
    </row>
    <row r="43" spans="2:44" s="12" customFormat="1" x14ac:dyDescent="0.35">
      <c r="B43" s="12" t="s">
        <v>78</v>
      </c>
      <c r="F43" s="24"/>
      <c r="G43" s="24"/>
      <c r="H43" s="40">
        <v>16462</v>
      </c>
      <c r="I43" s="24">
        <v>7618</v>
      </c>
      <c r="J43" s="24">
        <v>1123</v>
      </c>
      <c r="K43" s="24">
        <f>AH43-J43-I43-H43</f>
        <v>13768</v>
      </c>
      <c r="L43" s="40">
        <v>6576</v>
      </c>
      <c r="M43" s="24">
        <v>19109</v>
      </c>
      <c r="N43" s="24">
        <v>22983</v>
      </c>
      <c r="O43" s="24">
        <f>AI43-N43-M43-L43</f>
        <v>12017</v>
      </c>
      <c r="P43" s="40">
        <v>19621</v>
      </c>
      <c r="Q43" s="24">
        <v>22495</v>
      </c>
      <c r="R43" s="24">
        <v>21316</v>
      </c>
      <c r="S43" s="5">
        <f>AJ43-R43-Q43-P43</f>
        <v>8462</v>
      </c>
      <c r="T43" s="40">
        <v>32719</v>
      </c>
      <c r="U43" s="24"/>
      <c r="V43" s="24"/>
      <c r="W43" s="24"/>
      <c r="X43" s="24"/>
      <c r="Y43" s="24"/>
      <c r="Z43" s="24"/>
      <c r="AA43" s="24"/>
      <c r="AB43" s="24"/>
      <c r="AC43" s="24"/>
      <c r="AD43" s="24"/>
      <c r="AE43" s="24"/>
      <c r="AF43" s="24"/>
      <c r="AG43" s="24">
        <v>33085</v>
      </c>
      <c r="AH43" s="24">
        <v>38971</v>
      </c>
      <c r="AI43" s="24">
        <f>SUM(AI41:AI42)</f>
        <v>60685</v>
      </c>
      <c r="AJ43" s="24">
        <f t="shared" ref="AJ43:AR43" si="27">SUM(AJ41:AJ42)</f>
        <v>71894</v>
      </c>
      <c r="AK43" s="24">
        <f t="shared" si="27"/>
        <v>0</v>
      </c>
      <c r="AL43" s="24">
        <f t="shared" si="27"/>
        <v>0</v>
      </c>
      <c r="AM43" s="24">
        <f t="shared" si="27"/>
        <v>0</v>
      </c>
      <c r="AN43" s="24">
        <f t="shared" si="27"/>
        <v>0</v>
      </c>
      <c r="AO43" s="24">
        <f t="shared" si="27"/>
        <v>0</v>
      </c>
      <c r="AP43" s="24">
        <f t="shared" si="27"/>
        <v>0</v>
      </c>
      <c r="AQ43" s="24">
        <f t="shared" si="27"/>
        <v>0</v>
      </c>
      <c r="AR43" s="24">
        <f t="shared" si="27"/>
        <v>0</v>
      </c>
    </row>
    <row r="44" spans="2:44" s="2" customFormat="1" x14ac:dyDescent="0.35">
      <c r="B44" s="2" t="s">
        <v>79</v>
      </c>
      <c r="F44" s="6"/>
      <c r="G44" s="6"/>
      <c r="H44" s="38">
        <v>15866</v>
      </c>
      <c r="I44" s="6">
        <v>7829</v>
      </c>
      <c r="J44" s="6">
        <v>16521</v>
      </c>
      <c r="K44" s="6">
        <f>AH44-J44-I44-H44</f>
        <v>13611</v>
      </c>
      <c r="L44" s="38">
        <v>7344</v>
      </c>
      <c r="M44" s="6">
        <v>21421</v>
      </c>
      <c r="N44" s="6">
        <v>23818</v>
      </c>
      <c r="O44" s="6">
        <f>AI44-N44-M44-L44</f>
        <v>15057</v>
      </c>
      <c r="P44" s="38">
        <v>20379</v>
      </c>
      <c r="Q44" s="6">
        <v>17454</v>
      </c>
      <c r="R44" s="6">
        <v>15531</v>
      </c>
      <c r="S44" s="6">
        <f>AJ44-R44-Q44-P44</f>
        <v>10463</v>
      </c>
      <c r="T44" s="38">
        <v>24312</v>
      </c>
      <c r="U44" s="6"/>
      <c r="V44" s="6"/>
      <c r="W44" s="6"/>
      <c r="X44" s="6"/>
      <c r="Y44" s="6"/>
      <c r="Z44" s="6"/>
      <c r="AA44" s="6"/>
      <c r="AB44" s="6"/>
      <c r="AC44" s="6"/>
      <c r="AD44" s="6"/>
      <c r="AE44" s="6"/>
      <c r="AF44" s="6"/>
      <c r="AG44" s="6">
        <v>45872</v>
      </c>
      <c r="AH44" s="6">
        <v>53827</v>
      </c>
      <c r="AI44" s="6">
        <v>67640</v>
      </c>
      <c r="AJ44" s="6">
        <v>63827</v>
      </c>
      <c r="AK44" s="6"/>
    </row>
    <row r="45" spans="2:44" s="12" customFormat="1" x14ac:dyDescent="0.35">
      <c r="B45" s="12" t="s">
        <v>80</v>
      </c>
      <c r="F45" s="24">
        <f>F43-F44</f>
        <v>0</v>
      </c>
      <c r="G45" s="24">
        <f>G43-G44</f>
        <v>0</v>
      </c>
      <c r="H45" s="40">
        <f>H43-H44</f>
        <v>596</v>
      </c>
      <c r="I45" s="24">
        <f>I43-I44</f>
        <v>-211</v>
      </c>
      <c r="J45" s="24">
        <f>J43-J44</f>
        <v>-15398</v>
      </c>
      <c r="K45" s="5">
        <f>AH45-J45-I45-H45</f>
        <v>157</v>
      </c>
      <c r="L45" s="40">
        <f t="shared" ref="L45:U45" si="28">L43-L44</f>
        <v>-768</v>
      </c>
      <c r="M45" s="24">
        <f t="shared" si="28"/>
        <v>-2312</v>
      </c>
      <c r="N45" s="24">
        <f t="shared" si="28"/>
        <v>-835</v>
      </c>
      <c r="O45" s="24">
        <f t="shared" si="28"/>
        <v>-3040</v>
      </c>
      <c r="P45" s="40">
        <f t="shared" si="28"/>
        <v>-758</v>
      </c>
      <c r="Q45" s="24">
        <f t="shared" si="28"/>
        <v>5041</v>
      </c>
      <c r="R45" s="24">
        <f t="shared" si="28"/>
        <v>5785</v>
      </c>
      <c r="S45" s="24">
        <f t="shared" si="28"/>
        <v>-2001</v>
      </c>
      <c r="T45" s="40">
        <f t="shared" si="28"/>
        <v>8407</v>
      </c>
      <c r="U45" s="24">
        <f t="shared" si="28"/>
        <v>0</v>
      </c>
      <c r="V45" s="24">
        <f t="shared" ref="V45:Y45" si="29">V43-V44</f>
        <v>0</v>
      </c>
      <c r="W45" s="24">
        <f t="shared" si="29"/>
        <v>0</v>
      </c>
      <c r="X45" s="24">
        <f t="shared" si="29"/>
        <v>0</v>
      </c>
      <c r="Y45" s="24">
        <f t="shared" si="29"/>
        <v>0</v>
      </c>
      <c r="Z45" s="24"/>
      <c r="AA45" s="24"/>
      <c r="AB45" s="24"/>
      <c r="AC45" s="24"/>
      <c r="AD45" s="24"/>
      <c r="AE45" s="24"/>
      <c r="AF45" s="24"/>
      <c r="AG45" s="24">
        <f t="shared" ref="AG45:AR45" si="30">AG43-AG44</f>
        <v>-12787</v>
      </c>
      <c r="AH45" s="24">
        <f t="shared" si="30"/>
        <v>-14856</v>
      </c>
      <c r="AI45" s="24">
        <f t="shared" si="30"/>
        <v>-6955</v>
      </c>
      <c r="AJ45" s="24">
        <f t="shared" si="30"/>
        <v>8067</v>
      </c>
      <c r="AK45" s="24">
        <f t="shared" si="30"/>
        <v>0</v>
      </c>
      <c r="AL45" s="24">
        <f t="shared" si="30"/>
        <v>0</v>
      </c>
      <c r="AM45" s="24">
        <f t="shared" si="30"/>
        <v>0</v>
      </c>
      <c r="AN45" s="24">
        <f t="shared" si="30"/>
        <v>0</v>
      </c>
      <c r="AO45" s="24">
        <f t="shared" si="30"/>
        <v>0</v>
      </c>
      <c r="AP45" s="24">
        <f t="shared" si="30"/>
        <v>0</v>
      </c>
      <c r="AQ45" s="24">
        <f t="shared" si="30"/>
        <v>0</v>
      </c>
      <c r="AR45" s="24">
        <f t="shared" si="30"/>
        <v>0</v>
      </c>
    </row>
    <row r="46" spans="2:44" x14ac:dyDescent="0.35">
      <c r="B46" t="s">
        <v>81</v>
      </c>
      <c r="F46" s="1" t="e">
        <f t="shared" ref="F46:U46" si="31">F45/F43</f>
        <v>#DIV/0!</v>
      </c>
      <c r="G46" s="1" t="e">
        <f t="shared" si="31"/>
        <v>#DIV/0!</v>
      </c>
      <c r="H46" s="41">
        <f t="shared" si="31"/>
        <v>3.6204592394605759E-2</v>
      </c>
      <c r="I46" s="1">
        <f t="shared" si="31"/>
        <v>-2.7697558414281963E-2</v>
      </c>
      <c r="J46" s="1">
        <f t="shared" si="31"/>
        <v>-13.711487088156723</v>
      </c>
      <c r="K46" s="1">
        <f t="shared" si="31"/>
        <v>1.1403253922138291E-2</v>
      </c>
      <c r="L46" s="41">
        <f t="shared" si="31"/>
        <v>-0.11678832116788321</v>
      </c>
      <c r="M46" s="1">
        <f t="shared" si="31"/>
        <v>-0.12099010937254696</v>
      </c>
      <c r="N46" s="1">
        <f t="shared" si="31"/>
        <v>-3.6331201322716791E-2</v>
      </c>
      <c r="O46" s="1">
        <f t="shared" si="31"/>
        <v>-0.25297495215111926</v>
      </c>
      <c r="P46" s="41">
        <f t="shared" si="31"/>
        <v>-3.8632077875745373E-2</v>
      </c>
      <c r="Q46" s="1">
        <f t="shared" si="31"/>
        <v>0.22409424316514781</v>
      </c>
      <c r="R46" s="1">
        <f t="shared" si="31"/>
        <v>0.27139238130981425</v>
      </c>
      <c r="S46" s="1">
        <f t="shared" si="31"/>
        <v>-0.23646891987709762</v>
      </c>
      <c r="T46" s="41">
        <f t="shared" si="31"/>
        <v>0.25694550566948865</v>
      </c>
      <c r="U46" s="1" t="e">
        <f t="shared" si="31"/>
        <v>#DIV/0!</v>
      </c>
      <c r="V46" s="1" t="e">
        <f t="shared" ref="V46:Y46" si="32">V45/V43</f>
        <v>#DIV/0!</v>
      </c>
      <c r="W46" s="1" t="e">
        <f t="shared" si="32"/>
        <v>#DIV/0!</v>
      </c>
      <c r="X46" s="1" t="e">
        <f t="shared" si="32"/>
        <v>#DIV/0!</v>
      </c>
      <c r="Y46" s="1" t="e">
        <f t="shared" si="32"/>
        <v>#DIV/0!</v>
      </c>
      <c r="Z46" s="5"/>
      <c r="AA46" s="5"/>
      <c r="AB46" s="5"/>
      <c r="AC46" s="5"/>
      <c r="AD46" s="5"/>
      <c r="AE46" s="5"/>
      <c r="AF46" s="5"/>
      <c r="AG46" s="1">
        <f t="shared" ref="AG46:AR46" si="33">AG45/AG43</f>
        <v>-0.38648934562490556</v>
      </c>
      <c r="AH46" s="1">
        <f t="shared" si="33"/>
        <v>-0.38120653819506811</v>
      </c>
      <c r="AI46" s="1">
        <f t="shared" si="33"/>
        <v>-0.11460822278981626</v>
      </c>
      <c r="AJ46" s="1">
        <f t="shared" si="33"/>
        <v>0.11220686009959106</v>
      </c>
      <c r="AK46" s="1" t="e">
        <f t="shared" si="33"/>
        <v>#DIV/0!</v>
      </c>
      <c r="AL46" s="1" t="e">
        <f t="shared" si="33"/>
        <v>#DIV/0!</v>
      </c>
      <c r="AM46" s="1" t="e">
        <f t="shared" si="33"/>
        <v>#DIV/0!</v>
      </c>
      <c r="AN46" s="1" t="e">
        <f t="shared" si="33"/>
        <v>#DIV/0!</v>
      </c>
      <c r="AO46" s="1" t="e">
        <f t="shared" si="33"/>
        <v>#DIV/0!</v>
      </c>
      <c r="AP46" s="1" t="e">
        <f t="shared" si="33"/>
        <v>#DIV/0!</v>
      </c>
      <c r="AQ46" s="1" t="e">
        <f t="shared" si="33"/>
        <v>#DIV/0!</v>
      </c>
      <c r="AR46" s="1" t="e">
        <f t="shared" si="33"/>
        <v>#DIV/0!</v>
      </c>
    </row>
    <row r="47" spans="2:44" s="28" customFormat="1" x14ac:dyDescent="0.35">
      <c r="B47" s="28" t="s">
        <v>32</v>
      </c>
      <c r="F47" s="29"/>
      <c r="G47" s="29"/>
      <c r="H47" s="47"/>
      <c r="I47" s="29"/>
      <c r="J47" s="29"/>
      <c r="K47" s="29"/>
      <c r="L47" s="47"/>
      <c r="M47" s="29"/>
      <c r="N47" s="29"/>
      <c r="O47" s="29"/>
      <c r="P47" s="47"/>
      <c r="Q47" s="29"/>
      <c r="R47" s="29"/>
      <c r="S47" s="29"/>
      <c r="T47" s="47"/>
      <c r="U47" s="29"/>
      <c r="V47" s="29"/>
      <c r="W47" s="29"/>
      <c r="X47" s="29"/>
      <c r="Y47" s="29"/>
      <c r="Z47" s="29"/>
      <c r="AA47" s="29"/>
      <c r="AB47" s="29"/>
      <c r="AC47" s="29"/>
      <c r="AD47" s="29"/>
      <c r="AE47" s="29"/>
      <c r="AF47" s="29"/>
      <c r="AG47" s="29"/>
      <c r="AH47" s="29"/>
      <c r="AI47" s="29"/>
      <c r="AJ47" s="29"/>
      <c r="AK47" s="29"/>
    </row>
    <row r="48" spans="2:44" x14ac:dyDescent="0.35">
      <c r="B48" t="s">
        <v>76</v>
      </c>
      <c r="F48" s="5"/>
      <c r="G48" s="5"/>
      <c r="H48" s="37"/>
      <c r="I48" s="5"/>
      <c r="J48" s="5"/>
      <c r="K48" s="5"/>
      <c r="L48" s="37"/>
      <c r="M48" s="5"/>
      <c r="N48" s="5"/>
      <c r="O48" s="5"/>
      <c r="P48" s="37"/>
      <c r="Q48" s="5"/>
      <c r="R48" s="5"/>
      <c r="S48" s="5"/>
      <c r="T48" s="37"/>
      <c r="U48" s="5"/>
      <c r="V48" s="5"/>
      <c r="W48" s="5"/>
      <c r="X48" s="5"/>
      <c r="Y48" s="5"/>
      <c r="Z48" s="5"/>
      <c r="AA48" s="5"/>
      <c r="AB48" s="5"/>
      <c r="AC48" s="5"/>
      <c r="AD48" s="5"/>
      <c r="AE48" s="5"/>
      <c r="AF48" s="5"/>
      <c r="AG48" s="5">
        <v>1910</v>
      </c>
      <c r="AH48" s="5">
        <v>12578</v>
      </c>
      <c r="AI48" s="5">
        <v>61141</v>
      </c>
      <c r="AJ48" s="5">
        <v>46704</v>
      </c>
      <c r="AK48" s="5"/>
    </row>
    <row r="49" spans="2:44" s="2" customFormat="1" x14ac:dyDescent="0.35">
      <c r="B49" s="2" t="s">
        <v>77</v>
      </c>
      <c r="F49" s="6"/>
      <c r="G49" s="6"/>
      <c r="H49" s="38"/>
      <c r="I49" s="6"/>
      <c r="J49" s="6"/>
      <c r="K49" s="6"/>
      <c r="L49" s="38"/>
      <c r="M49" s="6"/>
      <c r="N49" s="6"/>
      <c r="O49" s="6"/>
      <c r="P49" s="38"/>
      <c r="Q49" s="6"/>
      <c r="R49" s="6"/>
      <c r="S49" s="6"/>
      <c r="T49" s="38"/>
      <c r="U49" s="6"/>
      <c r="V49" s="6"/>
      <c r="W49" s="6"/>
      <c r="X49" s="6"/>
      <c r="Y49" s="6"/>
      <c r="Z49" s="6"/>
      <c r="AA49" s="6"/>
      <c r="AB49" s="6"/>
      <c r="AC49" s="6"/>
      <c r="AD49" s="6"/>
      <c r="AE49" s="6"/>
      <c r="AF49" s="6"/>
      <c r="AG49" s="6">
        <v>165</v>
      </c>
      <c r="AH49" s="6">
        <v>10688</v>
      </c>
      <c r="AI49" s="6">
        <v>89170</v>
      </c>
      <c r="AJ49" s="6">
        <v>125994</v>
      </c>
      <c r="AK49" s="6"/>
    </row>
    <row r="50" spans="2:44" s="12" customFormat="1" x14ac:dyDescent="0.35">
      <c r="B50" s="12" t="s">
        <v>82</v>
      </c>
      <c r="F50" s="24"/>
      <c r="G50" s="24"/>
      <c r="H50" s="40">
        <v>1730</v>
      </c>
      <c r="I50" s="24">
        <v>3662</v>
      </c>
      <c r="J50" s="24">
        <v>4164</v>
      </c>
      <c r="K50" s="24">
        <f>+AH50-J50-I50-H50</f>
        <v>13710</v>
      </c>
      <c r="L50" s="40">
        <v>34127</v>
      </c>
      <c r="M50" s="24">
        <v>36365</v>
      </c>
      <c r="N50" s="24">
        <v>40074</v>
      </c>
      <c r="O50" s="24">
        <f>AI50-N50-M50-L50</f>
        <v>39745</v>
      </c>
      <c r="P50" s="40">
        <v>35274</v>
      </c>
      <c r="Q50" s="24">
        <v>39550</v>
      </c>
      <c r="R50" s="24">
        <v>46345</v>
      </c>
      <c r="S50" s="24">
        <f>AJ50-R50-Q50-P50</f>
        <v>51529</v>
      </c>
      <c r="T50" s="40">
        <v>60048</v>
      </c>
      <c r="U50" s="24"/>
      <c r="V50" s="24"/>
      <c r="W50" s="24"/>
      <c r="X50" s="24"/>
      <c r="Y50" s="24"/>
      <c r="Z50" s="24"/>
      <c r="AA50" s="24"/>
      <c r="AB50" s="24"/>
      <c r="AC50" s="24"/>
      <c r="AD50" s="24"/>
      <c r="AE50" s="24"/>
      <c r="AF50" s="24"/>
      <c r="AG50" s="24">
        <v>2075</v>
      </c>
      <c r="AH50" s="24">
        <v>23266</v>
      </c>
      <c r="AI50" s="24">
        <f>SUM(AI48:AI49)</f>
        <v>150311</v>
      </c>
      <c r="AJ50" s="24">
        <f t="shared" ref="AJ50:AR50" si="34">SUM(AJ48:AJ49)</f>
        <v>172698</v>
      </c>
      <c r="AK50" s="24">
        <f t="shared" si="34"/>
        <v>0</v>
      </c>
      <c r="AL50" s="24">
        <f t="shared" si="34"/>
        <v>0</v>
      </c>
      <c r="AM50" s="24">
        <f t="shared" si="34"/>
        <v>0</v>
      </c>
      <c r="AN50" s="24">
        <f t="shared" si="34"/>
        <v>0</v>
      </c>
      <c r="AO50" s="24">
        <f t="shared" si="34"/>
        <v>0</v>
      </c>
      <c r="AP50" s="24">
        <f t="shared" si="34"/>
        <v>0</v>
      </c>
      <c r="AQ50" s="24">
        <f t="shared" si="34"/>
        <v>0</v>
      </c>
      <c r="AR50" s="24">
        <f t="shared" si="34"/>
        <v>0</v>
      </c>
    </row>
    <row r="51" spans="2:44" s="2" customFormat="1" x14ac:dyDescent="0.35">
      <c r="B51" s="2" t="s">
        <v>79</v>
      </c>
      <c r="F51" s="6"/>
      <c r="G51" s="6"/>
      <c r="H51" s="38">
        <v>915</v>
      </c>
      <c r="I51" s="6">
        <v>988</v>
      </c>
      <c r="J51" s="6">
        <v>1217</v>
      </c>
      <c r="K51" s="6">
        <f>+AH51-J51-I51-H51</f>
        <v>7183</v>
      </c>
      <c r="L51" s="38">
        <v>29624</v>
      </c>
      <c r="M51" s="6">
        <v>29095</v>
      </c>
      <c r="N51" s="6">
        <v>30772</v>
      </c>
      <c r="O51" s="6">
        <f>AI51-N51-M51-L51</f>
        <v>34875</v>
      </c>
      <c r="P51" s="38">
        <v>28159</v>
      </c>
      <c r="Q51" s="6">
        <v>29998</v>
      </c>
      <c r="R51" s="6">
        <v>37163</v>
      </c>
      <c r="S51" s="6">
        <f>AJ51-R51-Q51-P51</f>
        <v>34036</v>
      </c>
      <c r="T51" s="38">
        <v>44281</v>
      </c>
      <c r="U51" s="6"/>
      <c r="V51" s="6"/>
      <c r="W51" s="6"/>
      <c r="X51" s="6"/>
      <c r="Y51" s="6"/>
      <c r="Z51" s="6"/>
      <c r="AA51" s="6"/>
      <c r="AB51" s="6"/>
      <c r="AC51" s="6"/>
      <c r="AD51" s="6"/>
      <c r="AE51" s="6"/>
      <c r="AF51" s="6"/>
      <c r="AG51" s="6">
        <v>1105</v>
      </c>
      <c r="AH51" s="6">
        <v>10303</v>
      </c>
      <c r="AI51" s="6">
        <v>124366</v>
      </c>
      <c r="AJ51" s="6">
        <v>129356</v>
      </c>
      <c r="AK51" s="6"/>
    </row>
    <row r="52" spans="2:44" s="12" customFormat="1" x14ac:dyDescent="0.35">
      <c r="B52" s="12" t="s">
        <v>83</v>
      </c>
      <c r="F52" s="24">
        <f>F50-F51</f>
        <v>0</v>
      </c>
      <c r="G52" s="24">
        <f>G50-G51</f>
        <v>0</v>
      </c>
      <c r="H52" s="40">
        <f>H50-H51</f>
        <v>815</v>
      </c>
      <c r="I52" s="24">
        <f>I50-I51</f>
        <v>2674</v>
      </c>
      <c r="J52" s="24">
        <f>J50-J51</f>
        <v>2947</v>
      </c>
      <c r="K52" s="5">
        <f>+AH52-J52-I52-H52</f>
        <v>6527</v>
      </c>
      <c r="L52" s="40">
        <f t="shared" ref="L52:U52" si="35">L50-L51</f>
        <v>4503</v>
      </c>
      <c r="M52" s="24">
        <f t="shared" si="35"/>
        <v>7270</v>
      </c>
      <c r="N52" s="24">
        <f t="shared" si="35"/>
        <v>9302</v>
      </c>
      <c r="O52" s="24">
        <f t="shared" si="35"/>
        <v>4870</v>
      </c>
      <c r="P52" s="40">
        <f t="shared" si="35"/>
        <v>7115</v>
      </c>
      <c r="Q52" s="24">
        <f t="shared" si="35"/>
        <v>9552</v>
      </c>
      <c r="R52" s="24">
        <f t="shared" si="35"/>
        <v>9182</v>
      </c>
      <c r="S52" s="24">
        <f t="shared" si="35"/>
        <v>17493</v>
      </c>
      <c r="T52" s="40">
        <f t="shared" si="35"/>
        <v>15767</v>
      </c>
      <c r="U52" s="24">
        <f t="shared" si="35"/>
        <v>0</v>
      </c>
      <c r="V52" s="24">
        <f t="shared" ref="V52:Y52" si="36">V50-V51</f>
        <v>0</v>
      </c>
      <c r="W52" s="24">
        <f t="shared" si="36"/>
        <v>0</v>
      </c>
      <c r="X52" s="24">
        <f t="shared" si="36"/>
        <v>0</v>
      </c>
      <c r="Y52" s="24">
        <f t="shared" si="36"/>
        <v>0</v>
      </c>
      <c r="Z52" s="24"/>
      <c r="AA52" s="24"/>
      <c r="AB52" s="24"/>
      <c r="AC52" s="24"/>
      <c r="AD52" s="24"/>
      <c r="AE52" s="24"/>
      <c r="AF52" s="24"/>
      <c r="AG52" s="24">
        <f t="shared" ref="AG52:AR52" si="37">AG50-AG51</f>
        <v>970</v>
      </c>
      <c r="AH52" s="24">
        <f t="shared" si="37"/>
        <v>12963</v>
      </c>
      <c r="AI52" s="24">
        <f t="shared" si="37"/>
        <v>25945</v>
      </c>
      <c r="AJ52" s="24">
        <f t="shared" si="37"/>
        <v>43342</v>
      </c>
      <c r="AK52" s="24">
        <f t="shared" si="37"/>
        <v>0</v>
      </c>
      <c r="AL52" s="24">
        <f t="shared" si="37"/>
        <v>0</v>
      </c>
      <c r="AM52" s="24">
        <f t="shared" si="37"/>
        <v>0</v>
      </c>
      <c r="AN52" s="24">
        <f t="shared" si="37"/>
        <v>0</v>
      </c>
      <c r="AO52" s="24">
        <f t="shared" si="37"/>
        <v>0</v>
      </c>
      <c r="AP52" s="24">
        <f t="shared" si="37"/>
        <v>0</v>
      </c>
      <c r="AQ52" s="24">
        <f t="shared" si="37"/>
        <v>0</v>
      </c>
      <c r="AR52" s="24">
        <f t="shared" si="37"/>
        <v>0</v>
      </c>
    </row>
    <row r="53" spans="2:44" s="2" customFormat="1" x14ac:dyDescent="0.35">
      <c r="B53" s="2" t="s">
        <v>81</v>
      </c>
      <c r="F53" s="22" t="e">
        <f t="shared" ref="F53:U53" si="38">F52/F50</f>
        <v>#DIV/0!</v>
      </c>
      <c r="G53" s="22" t="e">
        <f t="shared" si="38"/>
        <v>#DIV/0!</v>
      </c>
      <c r="H53" s="43">
        <f t="shared" si="38"/>
        <v>0.47109826589595377</v>
      </c>
      <c r="I53" s="22">
        <f t="shared" si="38"/>
        <v>0.730202075368651</v>
      </c>
      <c r="J53" s="22">
        <f t="shared" si="38"/>
        <v>0.70773294908741591</v>
      </c>
      <c r="K53" s="22">
        <f t="shared" si="38"/>
        <v>0.4760758570386579</v>
      </c>
      <c r="L53" s="43">
        <f t="shared" si="38"/>
        <v>0.13194831072171595</v>
      </c>
      <c r="M53" s="22">
        <f t="shared" si="38"/>
        <v>0.19991750309363399</v>
      </c>
      <c r="N53" s="22">
        <f t="shared" si="38"/>
        <v>0.23212057693267454</v>
      </c>
      <c r="O53" s="22">
        <f t="shared" si="38"/>
        <v>0.12253113599194868</v>
      </c>
      <c r="P53" s="43">
        <f t="shared" si="38"/>
        <v>0.20170663945115383</v>
      </c>
      <c r="Q53" s="22">
        <f t="shared" si="38"/>
        <v>0.24151706700379266</v>
      </c>
      <c r="R53" s="22">
        <f t="shared" si="38"/>
        <v>0.1981227748408674</v>
      </c>
      <c r="S53" s="22">
        <f t="shared" si="38"/>
        <v>0.33947874012691881</v>
      </c>
      <c r="T53" s="43">
        <f t="shared" si="38"/>
        <v>0.26257327471356251</v>
      </c>
      <c r="U53" s="22" t="e">
        <f t="shared" si="38"/>
        <v>#DIV/0!</v>
      </c>
      <c r="V53" s="22" t="e">
        <f t="shared" ref="V53:Y53" si="39">V52/V50</f>
        <v>#DIV/0!</v>
      </c>
      <c r="W53" s="22" t="e">
        <f t="shared" si="39"/>
        <v>#DIV/0!</v>
      </c>
      <c r="X53" s="22" t="e">
        <f t="shared" si="39"/>
        <v>#DIV/0!</v>
      </c>
      <c r="Y53" s="22" t="e">
        <f t="shared" si="39"/>
        <v>#DIV/0!</v>
      </c>
      <c r="Z53" s="6"/>
      <c r="AA53" s="6"/>
      <c r="AB53" s="6"/>
      <c r="AC53" s="6"/>
      <c r="AD53" s="6"/>
      <c r="AE53" s="6"/>
      <c r="AF53" s="6"/>
      <c r="AG53" s="22">
        <f t="shared" ref="AG53:AR53" si="40">AG52/AG50</f>
        <v>0.46746987951807228</v>
      </c>
      <c r="AH53" s="22">
        <f t="shared" si="40"/>
        <v>0.55716496174675489</v>
      </c>
      <c r="AI53" s="22">
        <f t="shared" si="40"/>
        <v>0.17260879110643931</v>
      </c>
      <c r="AJ53" s="22">
        <f t="shared" si="40"/>
        <v>0.25096990121483748</v>
      </c>
      <c r="AK53" s="22" t="e">
        <f t="shared" si="40"/>
        <v>#DIV/0!</v>
      </c>
      <c r="AL53" s="22" t="e">
        <f t="shared" si="40"/>
        <v>#DIV/0!</v>
      </c>
      <c r="AM53" s="22" t="e">
        <f t="shared" si="40"/>
        <v>#DIV/0!</v>
      </c>
      <c r="AN53" s="22" t="e">
        <f t="shared" si="40"/>
        <v>#DIV/0!</v>
      </c>
      <c r="AO53" s="22" t="e">
        <f t="shared" si="40"/>
        <v>#DIV/0!</v>
      </c>
      <c r="AP53" s="22" t="e">
        <f t="shared" si="40"/>
        <v>#DIV/0!</v>
      </c>
      <c r="AQ53" s="22" t="e">
        <f t="shared" si="40"/>
        <v>#DIV/0!</v>
      </c>
      <c r="AR53" s="22" t="e">
        <f t="shared" si="40"/>
        <v>#DIV/0!</v>
      </c>
    </row>
    <row r="54" spans="2:44" s="24" customFormat="1" x14ac:dyDescent="0.35">
      <c r="B54" s="24" t="s">
        <v>84</v>
      </c>
      <c r="H54" s="40">
        <f t="shared" ref="H54:U54" si="41">H50+H43</f>
        <v>18192</v>
      </c>
      <c r="I54" s="24">
        <f t="shared" si="41"/>
        <v>11280</v>
      </c>
      <c r="J54" s="24">
        <f t="shared" si="41"/>
        <v>5287</v>
      </c>
      <c r="K54" s="24">
        <f t="shared" si="41"/>
        <v>27478</v>
      </c>
      <c r="L54" s="40">
        <f t="shared" si="41"/>
        <v>40703</v>
      </c>
      <c r="M54" s="24">
        <f t="shared" si="41"/>
        <v>55474</v>
      </c>
      <c r="N54" s="24">
        <f t="shared" si="41"/>
        <v>63057</v>
      </c>
      <c r="O54" s="24">
        <f t="shared" si="41"/>
        <v>51762</v>
      </c>
      <c r="P54" s="40">
        <f t="shared" si="41"/>
        <v>54895</v>
      </c>
      <c r="Q54" s="24">
        <f t="shared" si="41"/>
        <v>62045</v>
      </c>
      <c r="R54" s="24">
        <f t="shared" si="41"/>
        <v>67661</v>
      </c>
      <c r="S54" s="24">
        <f t="shared" si="41"/>
        <v>59991</v>
      </c>
      <c r="T54" s="40">
        <f t="shared" si="41"/>
        <v>92767</v>
      </c>
      <c r="U54" s="24">
        <f t="shared" si="41"/>
        <v>0</v>
      </c>
      <c r="V54" s="24">
        <f t="shared" ref="V54:Y54" si="42">V50+V43</f>
        <v>0</v>
      </c>
      <c r="W54" s="24">
        <f t="shared" si="42"/>
        <v>0</v>
      </c>
      <c r="X54" s="24">
        <f t="shared" si="42"/>
        <v>0</v>
      </c>
      <c r="Y54" s="24">
        <f t="shared" si="42"/>
        <v>0</v>
      </c>
      <c r="AG54" s="24">
        <f>AG50+AG43</f>
        <v>35160</v>
      </c>
      <c r="AH54" s="24">
        <f>AH50+AH43</f>
        <v>62237</v>
      </c>
      <c r="AI54" s="24">
        <f>AI50+AI43</f>
        <v>210996</v>
      </c>
      <c r="AJ54" s="24">
        <f t="shared" ref="AJ54:AR54" si="43">AJ50+AJ43</f>
        <v>244592</v>
      </c>
      <c r="AK54" s="24">
        <f t="shared" si="43"/>
        <v>0</v>
      </c>
      <c r="AL54" s="24">
        <f t="shared" si="43"/>
        <v>0</v>
      </c>
      <c r="AM54" s="24">
        <f t="shared" si="43"/>
        <v>0</v>
      </c>
      <c r="AN54" s="24">
        <f t="shared" si="43"/>
        <v>0</v>
      </c>
      <c r="AO54" s="24">
        <f t="shared" si="43"/>
        <v>0</v>
      </c>
      <c r="AP54" s="24">
        <f t="shared" si="43"/>
        <v>0</v>
      </c>
      <c r="AQ54" s="24">
        <f t="shared" si="43"/>
        <v>0</v>
      </c>
      <c r="AR54" s="24">
        <f t="shared" si="43"/>
        <v>0</v>
      </c>
    </row>
    <row r="55" spans="2:44" x14ac:dyDescent="0.35">
      <c r="F55" s="1"/>
      <c r="G55" s="1"/>
      <c r="H55" s="41"/>
      <c r="I55" s="1"/>
      <c r="J55" s="1"/>
      <c r="K55" s="1"/>
      <c r="L55" s="41"/>
      <c r="M55" s="1"/>
      <c r="N55" s="1"/>
      <c r="O55" s="1"/>
      <c r="P55" s="41"/>
      <c r="Q55" s="1"/>
      <c r="R55" s="1"/>
      <c r="S55" s="1"/>
      <c r="T55" s="41"/>
      <c r="U55" s="1"/>
      <c r="V55" s="1"/>
      <c r="W55" s="1"/>
      <c r="X55" s="1"/>
      <c r="Y55" s="1"/>
      <c r="Z55" s="5"/>
      <c r="AA55" s="5"/>
      <c r="AB55" s="5"/>
      <c r="AC55" s="5"/>
      <c r="AD55" s="5"/>
      <c r="AE55" s="5"/>
      <c r="AF55" s="5"/>
      <c r="AG55" s="1"/>
      <c r="AH55" s="1"/>
      <c r="AI55" s="1"/>
      <c r="AJ55" s="1"/>
      <c r="AK55" s="1"/>
      <c r="AL55" s="1"/>
      <c r="AM55" s="1"/>
      <c r="AN55" s="1"/>
      <c r="AO55" s="1"/>
      <c r="AP55" s="1"/>
      <c r="AQ55" s="1"/>
      <c r="AR55" s="1"/>
    </row>
    <row r="56" spans="2:44" x14ac:dyDescent="0.35">
      <c r="F56" s="1"/>
      <c r="G56" s="1"/>
      <c r="H56" s="41"/>
      <c r="I56" s="1"/>
      <c r="J56" s="1"/>
      <c r="K56" s="1"/>
      <c r="L56" s="41"/>
      <c r="M56" s="1"/>
      <c r="N56" s="1"/>
      <c r="O56" s="5"/>
      <c r="P56" s="37"/>
      <c r="Q56" s="5"/>
      <c r="R56" s="5"/>
      <c r="S56" s="5"/>
      <c r="T56" s="37"/>
      <c r="U56" s="5"/>
      <c r="V56" s="5"/>
      <c r="W56" s="5"/>
      <c r="X56" s="5"/>
      <c r="Y56" s="5"/>
      <c r="Z56" s="5"/>
      <c r="AA56" s="5"/>
      <c r="AB56" s="5"/>
      <c r="AC56" s="5"/>
      <c r="AD56" s="5"/>
      <c r="AE56" s="5"/>
      <c r="AF56" s="5"/>
      <c r="AG56" s="1"/>
      <c r="AH56" s="1"/>
      <c r="AI56" s="5"/>
      <c r="AJ56" s="5"/>
      <c r="AK56" s="5"/>
    </row>
    <row r="57" spans="2:44" x14ac:dyDescent="0.35">
      <c r="F57" s="1"/>
      <c r="G57" s="1"/>
      <c r="H57" s="41"/>
      <c r="I57" s="1"/>
      <c r="J57" s="1"/>
      <c r="K57" s="1"/>
      <c r="L57" s="41"/>
      <c r="M57" s="1"/>
      <c r="N57" s="1"/>
      <c r="O57" s="5"/>
      <c r="P57" s="37"/>
      <c r="Q57" s="5"/>
      <c r="R57" s="5"/>
      <c r="S57" s="5"/>
      <c r="T57" s="37"/>
      <c r="U57" s="5"/>
      <c r="V57" s="5"/>
      <c r="W57" s="5"/>
      <c r="X57" s="5"/>
      <c r="Y57" s="5"/>
      <c r="Z57" s="5"/>
      <c r="AA57" s="5"/>
      <c r="AB57" s="5"/>
      <c r="AC57" s="5"/>
      <c r="AD57" s="5"/>
      <c r="AE57" s="5"/>
      <c r="AF57" s="5"/>
      <c r="AG57" s="1"/>
      <c r="AH57" s="1"/>
      <c r="AI57" s="5"/>
      <c r="AJ57" s="5"/>
      <c r="AK57" s="5"/>
    </row>
    <row r="58" spans="2:44" s="19" customFormat="1" x14ac:dyDescent="0.35">
      <c r="B58" s="23" t="s">
        <v>85</v>
      </c>
      <c r="C58" s="23"/>
      <c r="D58" s="23"/>
      <c r="E58" s="23"/>
      <c r="F58" s="20"/>
      <c r="G58" s="20"/>
      <c r="H58" s="39"/>
      <c r="I58" s="20"/>
      <c r="J58" s="20"/>
      <c r="K58" s="20"/>
      <c r="L58" s="39"/>
      <c r="M58" s="20"/>
      <c r="N58" s="20"/>
      <c r="O58" s="20"/>
      <c r="P58" s="39"/>
      <c r="Q58" s="20"/>
      <c r="R58" s="20"/>
      <c r="S58" s="20"/>
      <c r="T58" s="39"/>
      <c r="U58" s="20"/>
      <c r="V58" s="20"/>
      <c r="W58" s="20"/>
      <c r="X58" s="20"/>
      <c r="Y58" s="20"/>
      <c r="Z58" s="20"/>
      <c r="AA58" s="20"/>
      <c r="AB58" s="20"/>
      <c r="AC58" s="20"/>
      <c r="AD58" s="20"/>
      <c r="AE58" s="20"/>
      <c r="AF58" s="20"/>
      <c r="AG58" s="20"/>
      <c r="AH58" s="20"/>
      <c r="AI58" s="20"/>
      <c r="AJ58" s="20"/>
      <c r="AK58" s="20"/>
    </row>
    <row r="59" spans="2:44" x14ac:dyDescent="0.35">
      <c r="B59" t="s">
        <v>75</v>
      </c>
      <c r="F59" s="5">
        <f t="shared" ref="F59:R59" si="44">F43</f>
        <v>0</v>
      </c>
      <c r="G59" s="5">
        <f t="shared" si="44"/>
        <v>0</v>
      </c>
      <c r="H59" s="37">
        <f t="shared" si="44"/>
        <v>16462</v>
      </c>
      <c r="I59" s="5">
        <f t="shared" si="44"/>
        <v>7618</v>
      </c>
      <c r="J59" s="5">
        <f t="shared" si="44"/>
        <v>1123</v>
      </c>
      <c r="K59" s="5">
        <f t="shared" si="44"/>
        <v>13768</v>
      </c>
      <c r="L59" s="37">
        <f t="shared" si="44"/>
        <v>6576</v>
      </c>
      <c r="M59" s="5">
        <f t="shared" si="44"/>
        <v>19109</v>
      </c>
      <c r="N59" s="5">
        <f t="shared" si="44"/>
        <v>22983</v>
      </c>
      <c r="O59" s="5">
        <f t="shared" si="44"/>
        <v>12017</v>
      </c>
      <c r="P59" s="37">
        <f t="shared" si="44"/>
        <v>19621</v>
      </c>
      <c r="Q59" s="5">
        <f t="shared" si="44"/>
        <v>22495</v>
      </c>
      <c r="R59" s="5">
        <f t="shared" si="44"/>
        <v>21316</v>
      </c>
      <c r="S59" s="5">
        <f t="shared" ref="S59:U59" si="45">S43</f>
        <v>8462</v>
      </c>
      <c r="T59" s="37">
        <f t="shared" si="45"/>
        <v>32719</v>
      </c>
      <c r="U59" s="5">
        <f t="shared" si="45"/>
        <v>0</v>
      </c>
      <c r="V59" s="5">
        <f t="shared" ref="V59:Y59" si="46">V43</f>
        <v>0</v>
      </c>
      <c r="W59" s="5">
        <f t="shared" si="46"/>
        <v>0</v>
      </c>
      <c r="X59" s="5">
        <f t="shared" si="46"/>
        <v>0</v>
      </c>
      <c r="Y59" s="5">
        <f t="shared" si="46"/>
        <v>0</v>
      </c>
      <c r="Z59" s="5"/>
      <c r="AA59" s="5"/>
      <c r="AB59" s="5"/>
      <c r="AC59" s="5"/>
      <c r="AD59" s="5"/>
      <c r="AE59" s="5"/>
      <c r="AF59" s="5"/>
      <c r="AG59" s="5">
        <f>SUM(AG41:AG42)</f>
        <v>33085</v>
      </c>
      <c r="AH59" s="5">
        <f>SUM(AH41:AH42)</f>
        <v>38971</v>
      </c>
      <c r="AI59" s="5">
        <f>SUM(AI41:AI42)</f>
        <v>60685</v>
      </c>
      <c r="AJ59" s="5">
        <f t="shared" ref="AJ59:AR59" si="47">SUM(AJ41:AJ42)</f>
        <v>71894</v>
      </c>
      <c r="AK59" s="5">
        <f t="shared" si="47"/>
        <v>0</v>
      </c>
      <c r="AL59" s="5">
        <f t="shared" si="47"/>
        <v>0</v>
      </c>
      <c r="AM59" s="5">
        <f t="shared" si="47"/>
        <v>0</v>
      </c>
      <c r="AN59" s="5">
        <f t="shared" si="47"/>
        <v>0</v>
      </c>
      <c r="AO59" s="5">
        <f t="shared" si="47"/>
        <v>0</v>
      </c>
      <c r="AP59" s="5">
        <f t="shared" si="47"/>
        <v>0</v>
      </c>
      <c r="AQ59" s="5">
        <f t="shared" si="47"/>
        <v>0</v>
      </c>
      <c r="AR59" s="5">
        <f t="shared" si="47"/>
        <v>0</v>
      </c>
    </row>
    <row r="60" spans="2:44" s="2" customFormat="1" x14ac:dyDescent="0.35">
      <c r="B60" s="2" t="s">
        <v>32</v>
      </c>
      <c r="F60" s="6">
        <f t="shared" ref="F60:R60" si="48">F50</f>
        <v>0</v>
      </c>
      <c r="G60" s="6">
        <f t="shared" si="48"/>
        <v>0</v>
      </c>
      <c r="H60" s="38">
        <f t="shared" si="48"/>
        <v>1730</v>
      </c>
      <c r="I60" s="6">
        <f t="shared" si="48"/>
        <v>3662</v>
      </c>
      <c r="J60" s="6">
        <f t="shared" si="48"/>
        <v>4164</v>
      </c>
      <c r="K60" s="6">
        <f t="shared" si="48"/>
        <v>13710</v>
      </c>
      <c r="L60" s="38">
        <f t="shared" si="48"/>
        <v>34127</v>
      </c>
      <c r="M60" s="6">
        <f t="shared" si="48"/>
        <v>36365</v>
      </c>
      <c r="N60" s="6">
        <f t="shared" si="48"/>
        <v>40074</v>
      </c>
      <c r="O60" s="6">
        <f t="shared" si="48"/>
        <v>39745</v>
      </c>
      <c r="P60" s="38">
        <f t="shared" si="48"/>
        <v>35274</v>
      </c>
      <c r="Q60" s="6">
        <f t="shared" si="48"/>
        <v>39550</v>
      </c>
      <c r="R60" s="6">
        <f t="shared" si="48"/>
        <v>46345</v>
      </c>
      <c r="S60" s="6">
        <f t="shared" ref="S60:U60" si="49">S50</f>
        <v>51529</v>
      </c>
      <c r="T60" s="38">
        <f t="shared" si="49"/>
        <v>60048</v>
      </c>
      <c r="U60" s="6">
        <f t="shared" si="49"/>
        <v>0</v>
      </c>
      <c r="V60" s="6">
        <f t="shared" ref="V60:Y60" si="50">V50</f>
        <v>0</v>
      </c>
      <c r="W60" s="6">
        <f t="shared" si="50"/>
        <v>0</v>
      </c>
      <c r="X60" s="6">
        <f t="shared" si="50"/>
        <v>0</v>
      </c>
      <c r="Y60" s="6">
        <f t="shared" si="50"/>
        <v>0</v>
      </c>
      <c r="Z60" s="6"/>
      <c r="AA60" s="6"/>
      <c r="AB60" s="6"/>
      <c r="AC60" s="6"/>
      <c r="AD60" s="6"/>
      <c r="AE60" s="6"/>
      <c r="AF60" s="6"/>
      <c r="AG60" s="6">
        <f>SUM(AG48:AG49)</f>
        <v>2075</v>
      </c>
      <c r="AH60" s="6">
        <f>SUM(AH48:AH49)</f>
        <v>23266</v>
      </c>
      <c r="AI60" s="6">
        <f>SUM(AI48:AI49)</f>
        <v>150311</v>
      </c>
      <c r="AJ60" s="6">
        <f t="shared" ref="AJ60:AR60" si="51">SUM(AJ48:AJ49)</f>
        <v>172698</v>
      </c>
      <c r="AK60" s="6">
        <f t="shared" si="51"/>
        <v>0</v>
      </c>
      <c r="AL60" s="6">
        <f t="shared" si="51"/>
        <v>0</v>
      </c>
      <c r="AM60" s="6">
        <f t="shared" si="51"/>
        <v>0</v>
      </c>
      <c r="AN60" s="6">
        <f t="shared" si="51"/>
        <v>0</v>
      </c>
      <c r="AO60" s="6">
        <f t="shared" si="51"/>
        <v>0</v>
      </c>
      <c r="AP60" s="6">
        <f t="shared" si="51"/>
        <v>0</v>
      </c>
      <c r="AQ60" s="6">
        <f t="shared" si="51"/>
        <v>0</v>
      </c>
      <c r="AR60" s="6">
        <f t="shared" si="51"/>
        <v>0</v>
      </c>
    </row>
    <row r="61" spans="2:44" s="12" customFormat="1" x14ac:dyDescent="0.35">
      <c r="B61" s="12" t="s">
        <v>74</v>
      </c>
      <c r="F61" s="24">
        <f t="shared" ref="F61:R61" si="52">SUM(F59:F60)</f>
        <v>0</v>
      </c>
      <c r="G61" s="24">
        <f t="shared" si="52"/>
        <v>0</v>
      </c>
      <c r="H61" s="40">
        <f t="shared" si="52"/>
        <v>18192</v>
      </c>
      <c r="I61" s="24">
        <f t="shared" si="52"/>
        <v>11280</v>
      </c>
      <c r="J61" s="24">
        <f t="shared" si="52"/>
        <v>5287</v>
      </c>
      <c r="K61" s="24">
        <f t="shared" si="52"/>
        <v>27478</v>
      </c>
      <c r="L61" s="40">
        <f t="shared" si="52"/>
        <v>40703</v>
      </c>
      <c r="M61" s="24">
        <f t="shared" si="52"/>
        <v>55474</v>
      </c>
      <c r="N61" s="24">
        <f t="shared" si="52"/>
        <v>63057</v>
      </c>
      <c r="O61" s="24">
        <f t="shared" si="52"/>
        <v>51762</v>
      </c>
      <c r="P61" s="40">
        <f t="shared" si="52"/>
        <v>54895</v>
      </c>
      <c r="Q61" s="24">
        <f t="shared" si="52"/>
        <v>62045</v>
      </c>
      <c r="R61" s="24">
        <f t="shared" si="52"/>
        <v>67661</v>
      </c>
      <c r="S61" s="24">
        <f t="shared" ref="S61:U61" si="53">SUM(S59:S60)</f>
        <v>59991</v>
      </c>
      <c r="T61" s="40">
        <f t="shared" si="53"/>
        <v>92767</v>
      </c>
      <c r="U61" s="24">
        <f t="shared" si="53"/>
        <v>0</v>
      </c>
      <c r="V61" s="24">
        <f t="shared" ref="V61:Y61" si="54">SUM(V59:V60)</f>
        <v>0</v>
      </c>
      <c r="W61" s="24">
        <f t="shared" si="54"/>
        <v>0</v>
      </c>
      <c r="X61" s="24">
        <f t="shared" si="54"/>
        <v>0</v>
      </c>
      <c r="Y61" s="24">
        <f t="shared" si="54"/>
        <v>0</v>
      </c>
      <c r="Z61" s="24"/>
      <c r="AA61" s="24"/>
      <c r="AB61" s="24"/>
      <c r="AC61" s="24"/>
      <c r="AD61" s="24"/>
      <c r="AE61" s="24"/>
      <c r="AF61" s="24"/>
      <c r="AG61" s="24">
        <f t="shared" ref="AG61:AR61" si="55">SUM(AG59:AG60)</f>
        <v>35160</v>
      </c>
      <c r="AH61" s="24">
        <f t="shared" si="55"/>
        <v>62237</v>
      </c>
      <c r="AI61" s="24">
        <f t="shared" si="55"/>
        <v>210996</v>
      </c>
      <c r="AJ61" s="24">
        <f t="shared" si="55"/>
        <v>244592</v>
      </c>
      <c r="AK61" s="24">
        <f t="shared" si="55"/>
        <v>0</v>
      </c>
      <c r="AL61" s="24">
        <f t="shared" si="55"/>
        <v>0</v>
      </c>
      <c r="AM61" s="24">
        <f t="shared" si="55"/>
        <v>0</v>
      </c>
      <c r="AN61" s="24">
        <f t="shared" si="55"/>
        <v>0</v>
      </c>
      <c r="AO61" s="24">
        <f t="shared" si="55"/>
        <v>0</v>
      </c>
      <c r="AP61" s="24">
        <f t="shared" si="55"/>
        <v>0</v>
      </c>
      <c r="AQ61" s="24">
        <f t="shared" si="55"/>
        <v>0</v>
      </c>
      <c r="AR61" s="24">
        <f t="shared" si="55"/>
        <v>0</v>
      </c>
    </row>
    <row r="62" spans="2:44" x14ac:dyDescent="0.35">
      <c r="G62" s="5"/>
      <c r="H62" s="37"/>
      <c r="I62" s="5"/>
      <c r="J62" s="5"/>
      <c r="K62" s="5"/>
      <c r="L62" s="37"/>
      <c r="M62" s="5"/>
      <c r="N62" s="5"/>
      <c r="O62" s="5"/>
      <c r="P62" s="37"/>
      <c r="Q62" s="5"/>
      <c r="R62" s="5"/>
      <c r="S62" s="5"/>
      <c r="T62" s="37"/>
      <c r="U62" s="5"/>
      <c r="V62" s="5"/>
      <c r="W62" s="5"/>
      <c r="X62" s="5"/>
      <c r="Y62" s="5"/>
      <c r="Z62" s="5"/>
      <c r="AA62" s="5"/>
      <c r="AB62" s="5"/>
      <c r="AC62" s="5"/>
      <c r="AD62" s="5"/>
      <c r="AE62" s="5"/>
      <c r="AF62" s="5"/>
      <c r="AG62" s="5"/>
      <c r="AH62" s="5"/>
      <c r="AI62" s="5"/>
      <c r="AJ62" s="5"/>
      <c r="AK62" s="5"/>
    </row>
    <row r="63" spans="2:44" x14ac:dyDescent="0.35">
      <c r="B63" s="12" t="s">
        <v>241</v>
      </c>
      <c r="G63" s="5"/>
      <c r="H63" s="37"/>
      <c r="I63" s="5"/>
      <c r="J63" s="5"/>
      <c r="K63" s="5"/>
      <c r="L63" s="37"/>
      <c r="M63" s="5"/>
      <c r="N63" s="5"/>
      <c r="O63" s="5"/>
      <c r="P63" s="37"/>
      <c r="Q63" s="5"/>
      <c r="R63" s="5"/>
      <c r="S63" s="5"/>
      <c r="T63" s="37"/>
      <c r="U63" s="5"/>
      <c r="V63" s="5"/>
      <c r="W63" s="5"/>
      <c r="X63" s="5"/>
      <c r="Y63" s="5"/>
      <c r="Z63" s="5"/>
      <c r="AA63" s="5"/>
      <c r="AB63" s="5"/>
      <c r="AC63" s="5"/>
      <c r="AD63" s="5"/>
      <c r="AE63" s="5"/>
      <c r="AF63" s="5"/>
      <c r="AG63" s="5"/>
      <c r="AH63" s="5"/>
      <c r="AI63" s="5"/>
      <c r="AJ63" s="5"/>
      <c r="AK63" s="5"/>
    </row>
    <row r="64" spans="2:44" s="1" customFormat="1" x14ac:dyDescent="0.35">
      <c r="B64" s="1" t="s">
        <v>372</v>
      </c>
      <c r="H64" s="41"/>
      <c r="L64" s="41"/>
      <c r="P64" s="41"/>
      <c r="T64" s="41"/>
      <c r="AG64" s="1">
        <f>AG59/AG61</f>
        <v>0.9409840728100114</v>
      </c>
      <c r="AH64" s="1">
        <f t="shared" ref="AH64:AR64" si="56">AH59/AH61</f>
        <v>0.62617092726191814</v>
      </c>
      <c r="AI64" s="1">
        <f t="shared" si="56"/>
        <v>0.28761208743293709</v>
      </c>
      <c r="AJ64" s="1">
        <f t="shared" si="56"/>
        <v>0.29393438869627786</v>
      </c>
      <c r="AK64" s="1" t="e">
        <f t="shared" si="56"/>
        <v>#DIV/0!</v>
      </c>
      <c r="AL64" s="1" t="e">
        <f t="shared" si="56"/>
        <v>#DIV/0!</v>
      </c>
      <c r="AM64" s="1" t="e">
        <f t="shared" si="56"/>
        <v>#DIV/0!</v>
      </c>
      <c r="AN64" s="1" t="e">
        <f t="shared" si="56"/>
        <v>#DIV/0!</v>
      </c>
      <c r="AO64" s="1" t="e">
        <f t="shared" si="56"/>
        <v>#DIV/0!</v>
      </c>
      <c r="AP64" s="1" t="e">
        <f t="shared" si="56"/>
        <v>#DIV/0!</v>
      </c>
      <c r="AQ64" s="1" t="e">
        <f t="shared" si="56"/>
        <v>#DIV/0!</v>
      </c>
      <c r="AR64" s="1" t="e">
        <f t="shared" si="56"/>
        <v>#DIV/0!</v>
      </c>
    </row>
    <row r="65" spans="2:44" s="1" customFormat="1" x14ac:dyDescent="0.35">
      <c r="B65" s="1" t="s">
        <v>373</v>
      </c>
      <c r="H65" s="41"/>
      <c r="L65" s="41"/>
      <c r="P65" s="41"/>
      <c r="T65" s="41"/>
      <c r="AG65" s="1">
        <f>AG60/AG61</f>
        <v>5.9015927189988625E-2</v>
      </c>
      <c r="AH65" s="1">
        <f t="shared" ref="AH65:AR65" si="57">AH60/AH61</f>
        <v>0.37382907273808186</v>
      </c>
      <c r="AI65" s="1">
        <f t="shared" si="57"/>
        <v>0.71238791256706291</v>
      </c>
      <c r="AJ65" s="1">
        <f t="shared" si="57"/>
        <v>0.70606561130372214</v>
      </c>
      <c r="AK65" s="1" t="e">
        <f t="shared" si="57"/>
        <v>#DIV/0!</v>
      </c>
      <c r="AL65" s="1" t="e">
        <f t="shared" si="57"/>
        <v>#DIV/0!</v>
      </c>
      <c r="AM65" s="1" t="e">
        <f t="shared" si="57"/>
        <v>#DIV/0!</v>
      </c>
      <c r="AN65" s="1" t="e">
        <f t="shared" si="57"/>
        <v>#DIV/0!</v>
      </c>
      <c r="AO65" s="1" t="e">
        <f t="shared" si="57"/>
        <v>#DIV/0!</v>
      </c>
      <c r="AP65" s="1" t="e">
        <f t="shared" si="57"/>
        <v>#DIV/0!</v>
      </c>
      <c r="AQ65" s="1" t="e">
        <f t="shared" si="57"/>
        <v>#DIV/0!</v>
      </c>
      <c r="AR65" s="1" t="e">
        <f t="shared" si="57"/>
        <v>#DIV/0!</v>
      </c>
    </row>
    <row r="66" spans="2:44" s="4" customFormat="1" x14ac:dyDescent="0.35">
      <c r="B66" s="4" t="s">
        <v>182</v>
      </c>
      <c r="G66" s="7"/>
      <c r="H66" s="44"/>
      <c r="I66" s="7"/>
      <c r="J66" s="7"/>
      <c r="K66" s="10">
        <f>AH66-J66-I66-H66</f>
        <v>0</v>
      </c>
      <c r="L66" s="44"/>
      <c r="M66" s="7"/>
      <c r="N66" s="7"/>
      <c r="O66" s="7"/>
      <c r="P66" s="44"/>
      <c r="Q66" s="7"/>
      <c r="R66" s="7"/>
      <c r="S66" s="7"/>
      <c r="T66" s="44"/>
      <c r="U66" s="7"/>
      <c r="V66" s="7"/>
      <c r="W66" s="7"/>
      <c r="X66" s="7"/>
      <c r="Y66" s="7"/>
      <c r="Z66" s="7"/>
      <c r="AA66" s="7"/>
      <c r="AB66" s="7"/>
      <c r="AC66" s="7"/>
      <c r="AD66" s="7"/>
      <c r="AE66" s="7"/>
      <c r="AF66" s="7"/>
      <c r="AG66" s="7"/>
      <c r="AH66" s="7"/>
      <c r="AI66" s="7"/>
      <c r="AJ66" s="7"/>
      <c r="AK66" s="7"/>
    </row>
    <row r="67" spans="2:44" s="12" customFormat="1" x14ac:dyDescent="0.35">
      <c r="B67" s="12" t="s">
        <v>86</v>
      </c>
      <c r="F67" s="12">
        <v>10670</v>
      </c>
      <c r="G67" s="24">
        <f>35160-F67</f>
        <v>24490</v>
      </c>
      <c r="H67" s="40">
        <v>18192</v>
      </c>
      <c r="I67" s="24">
        <v>11280</v>
      </c>
      <c r="J67" s="24">
        <v>5287</v>
      </c>
      <c r="K67" s="24">
        <f>AH67-J67-I67-H67</f>
        <v>27478</v>
      </c>
      <c r="L67" s="40">
        <v>40703</v>
      </c>
      <c r="M67" s="24">
        <v>55474</v>
      </c>
      <c r="N67" s="24">
        <v>63057</v>
      </c>
      <c r="O67" s="24">
        <f>AI67-N67-M67-L67</f>
        <v>51762</v>
      </c>
      <c r="P67" s="40">
        <v>54895</v>
      </c>
      <c r="Q67" s="24">
        <v>62045</v>
      </c>
      <c r="R67" s="24">
        <v>67661</v>
      </c>
      <c r="S67" s="24">
        <f>AJ67-R67-Q67-P67</f>
        <v>59991</v>
      </c>
      <c r="T67" s="40">
        <v>92767</v>
      </c>
      <c r="U67" s="24"/>
      <c r="V67" s="24"/>
      <c r="W67" s="24"/>
      <c r="X67" s="24"/>
      <c r="Y67" s="24"/>
      <c r="Z67" s="24"/>
      <c r="AA67" s="24"/>
      <c r="AB67" s="24"/>
      <c r="AC67" s="24"/>
      <c r="AD67" s="24"/>
      <c r="AE67" s="24"/>
      <c r="AF67" s="24"/>
      <c r="AG67" s="24">
        <v>35160</v>
      </c>
      <c r="AH67" s="24">
        <v>62237</v>
      </c>
      <c r="AI67" s="24">
        <v>210996</v>
      </c>
      <c r="AJ67" s="24">
        <v>244592</v>
      </c>
      <c r="AK67" s="24"/>
    </row>
    <row r="68" spans="2:44" s="2" customFormat="1" x14ac:dyDescent="0.35">
      <c r="B68" s="2" t="s">
        <v>87</v>
      </c>
      <c r="F68" s="2">
        <v>12555</v>
      </c>
      <c r="G68" s="6">
        <f>46977-F68</f>
        <v>34422</v>
      </c>
      <c r="H68" s="38">
        <v>16781</v>
      </c>
      <c r="I68" s="6">
        <v>8817</v>
      </c>
      <c r="J68" s="6">
        <v>17738</v>
      </c>
      <c r="K68" s="6">
        <f>AH68-J68-I68-H68</f>
        <v>20794</v>
      </c>
      <c r="L68" s="38">
        <v>36968</v>
      </c>
      <c r="M68" s="6">
        <v>50516</v>
      </c>
      <c r="N68" s="6">
        <v>54590</v>
      </c>
      <c r="O68" s="6">
        <f>AI68-N68-M68-L68</f>
        <v>49932</v>
      </c>
      <c r="P68" s="38">
        <v>48538</v>
      </c>
      <c r="Q68" s="6">
        <v>47452</v>
      </c>
      <c r="R68" s="6">
        <v>52694</v>
      </c>
      <c r="S68" s="6">
        <f>AJ68-R68-Q68-P68</f>
        <v>44499</v>
      </c>
      <c r="T68" s="38">
        <v>68593</v>
      </c>
      <c r="U68" s="6"/>
      <c r="V68" s="6"/>
      <c r="W68" s="6"/>
      <c r="X68" s="6"/>
      <c r="Y68" s="6"/>
      <c r="Z68" s="6"/>
      <c r="AA68" s="6"/>
      <c r="AB68" s="6"/>
      <c r="AC68" s="6"/>
      <c r="AD68" s="6"/>
      <c r="AE68" s="6"/>
      <c r="AF68" s="6"/>
      <c r="AG68" s="6">
        <v>46977</v>
      </c>
      <c r="AH68" s="6">
        <v>64130</v>
      </c>
      <c r="AI68" s="6">
        <v>192006</v>
      </c>
      <c r="AJ68" s="6">
        <v>193183</v>
      </c>
      <c r="AK68" s="6"/>
    </row>
    <row r="69" spans="2:44" s="12" customFormat="1" x14ac:dyDescent="0.35">
      <c r="B69" s="12" t="s">
        <v>88</v>
      </c>
      <c r="F69" s="24">
        <f t="shared" ref="F69:AA69" si="58">F67-F68</f>
        <v>-1885</v>
      </c>
      <c r="G69" s="24">
        <f t="shared" si="58"/>
        <v>-9932</v>
      </c>
      <c r="H69" s="40">
        <f t="shared" si="58"/>
        <v>1411</v>
      </c>
      <c r="I69" s="24">
        <f t="shared" si="58"/>
        <v>2463</v>
      </c>
      <c r="J69" s="24">
        <f t="shared" si="58"/>
        <v>-12451</v>
      </c>
      <c r="K69" s="24">
        <f t="shared" si="58"/>
        <v>6684</v>
      </c>
      <c r="L69" s="40">
        <f t="shared" si="58"/>
        <v>3735</v>
      </c>
      <c r="M69" s="24">
        <f t="shared" si="58"/>
        <v>4958</v>
      </c>
      <c r="N69" s="24">
        <f t="shared" si="58"/>
        <v>8467</v>
      </c>
      <c r="O69" s="24">
        <f t="shared" si="58"/>
        <v>1830</v>
      </c>
      <c r="P69" s="40">
        <f t="shared" si="58"/>
        <v>6357</v>
      </c>
      <c r="Q69" s="24">
        <f t="shared" si="58"/>
        <v>14593</v>
      </c>
      <c r="R69" s="24">
        <f t="shared" si="58"/>
        <v>14967</v>
      </c>
      <c r="S69" s="24">
        <f t="shared" si="58"/>
        <v>15492</v>
      </c>
      <c r="T69" s="40">
        <f t="shared" si="58"/>
        <v>24174</v>
      </c>
      <c r="U69" s="24">
        <f t="shared" si="58"/>
        <v>0</v>
      </c>
      <c r="V69" s="24">
        <f t="shared" ref="V69:Y69" si="59">V67-V68</f>
        <v>0</v>
      </c>
      <c r="W69" s="24">
        <f t="shared" si="59"/>
        <v>0</v>
      </c>
      <c r="X69" s="24">
        <f t="shared" si="59"/>
        <v>0</v>
      </c>
      <c r="Y69" s="24">
        <f t="shared" si="59"/>
        <v>0</v>
      </c>
      <c r="Z69" s="24">
        <f t="shared" si="58"/>
        <v>0</v>
      </c>
      <c r="AA69" s="24">
        <f t="shared" si="58"/>
        <v>0</v>
      </c>
      <c r="AB69" s="24"/>
      <c r="AC69" s="24"/>
      <c r="AD69" s="24"/>
      <c r="AE69" s="24"/>
      <c r="AF69" s="24"/>
      <c r="AG69" s="24">
        <f>AG67-AG68</f>
        <v>-11817</v>
      </c>
      <c r="AH69" s="24">
        <f>AH67-AH68</f>
        <v>-1893</v>
      </c>
      <c r="AI69" s="24">
        <f>AI67-AI68</f>
        <v>18990</v>
      </c>
      <c r="AJ69" s="24">
        <f t="shared" ref="AJ69:AR69" si="60">AJ67-AJ68</f>
        <v>51409</v>
      </c>
      <c r="AK69" s="24">
        <f t="shared" si="60"/>
        <v>0</v>
      </c>
      <c r="AL69" s="24">
        <f t="shared" si="60"/>
        <v>0</v>
      </c>
      <c r="AM69" s="24">
        <f t="shared" si="60"/>
        <v>0</v>
      </c>
      <c r="AN69" s="24">
        <f t="shared" si="60"/>
        <v>0</v>
      </c>
      <c r="AO69" s="24">
        <f t="shared" si="60"/>
        <v>0</v>
      </c>
      <c r="AP69" s="24">
        <f t="shared" si="60"/>
        <v>0</v>
      </c>
      <c r="AQ69" s="24">
        <f t="shared" si="60"/>
        <v>0</v>
      </c>
      <c r="AR69" s="24">
        <f t="shared" si="60"/>
        <v>0</v>
      </c>
    </row>
    <row r="70" spans="2:44" s="19" customFormat="1" x14ac:dyDescent="0.35">
      <c r="B70" s="28" t="s">
        <v>89</v>
      </c>
      <c r="C70" s="28"/>
      <c r="D70" s="28"/>
      <c r="E70" s="28"/>
      <c r="F70" s="20"/>
      <c r="G70" s="20"/>
      <c r="H70" s="39"/>
      <c r="I70" s="20"/>
      <c r="J70" s="20"/>
      <c r="K70" s="20"/>
      <c r="L70" s="39"/>
      <c r="M70" s="20"/>
      <c r="N70" s="20"/>
      <c r="O70" s="20"/>
      <c r="P70" s="39"/>
      <c r="Q70" s="20"/>
      <c r="R70" s="20"/>
      <c r="S70" s="20"/>
      <c r="T70" s="39"/>
      <c r="U70" s="20"/>
      <c r="V70" s="20"/>
      <c r="W70" s="20"/>
      <c r="X70" s="20"/>
      <c r="Y70" s="20"/>
      <c r="Z70" s="20"/>
      <c r="AA70" s="20"/>
      <c r="AB70" s="20"/>
      <c r="AC70" s="20"/>
      <c r="AD70" s="20"/>
      <c r="AE70" s="20"/>
      <c r="AF70" s="20"/>
      <c r="AG70" s="20"/>
      <c r="AH70" s="20"/>
      <c r="AI70" s="20"/>
      <c r="AJ70" s="20"/>
      <c r="AK70" s="20"/>
    </row>
    <row r="71" spans="2:44" x14ac:dyDescent="0.35">
      <c r="B71" t="s">
        <v>90</v>
      </c>
      <c r="F71">
        <v>4903</v>
      </c>
      <c r="G71" s="5">
        <f>19142-F71</f>
        <v>14239</v>
      </c>
      <c r="H71" s="37">
        <v>7078</v>
      </c>
      <c r="I71" s="5">
        <v>8529</v>
      </c>
      <c r="J71" s="5">
        <v>14189</v>
      </c>
      <c r="K71" s="5">
        <f>AH71-J71-I71-H71</f>
        <v>11969</v>
      </c>
      <c r="L71" s="37">
        <v>13477</v>
      </c>
      <c r="M71" s="5">
        <v>19165</v>
      </c>
      <c r="N71" s="5">
        <v>17508</v>
      </c>
      <c r="O71" s="5">
        <f>AI71-N71-M71-L71</f>
        <v>15018</v>
      </c>
      <c r="P71" s="37">
        <v>23905</v>
      </c>
      <c r="Q71" s="5">
        <v>31035</v>
      </c>
      <c r="R71" s="5">
        <v>26626</v>
      </c>
      <c r="S71" s="5">
        <f>AJ71-R71-Q71-P71</f>
        <v>37488</v>
      </c>
      <c r="T71" s="37">
        <v>38504</v>
      </c>
      <c r="U71" s="5"/>
      <c r="V71" s="5"/>
      <c r="W71" s="5"/>
      <c r="X71" s="5"/>
      <c r="Y71" s="5"/>
      <c r="Z71" s="5"/>
      <c r="AA71" s="5"/>
      <c r="AB71" s="5"/>
      <c r="AC71" s="5"/>
      <c r="AD71" s="5"/>
      <c r="AE71" s="5"/>
      <c r="AF71" s="5"/>
      <c r="AG71" s="5">
        <v>19142</v>
      </c>
      <c r="AH71" s="5">
        <v>41765</v>
      </c>
      <c r="AI71" s="5">
        <v>65168</v>
      </c>
      <c r="AJ71" s="5">
        <v>119054</v>
      </c>
      <c r="AK71" s="5"/>
    </row>
    <row r="72" spans="2:44" s="2" customFormat="1" x14ac:dyDescent="0.35">
      <c r="B72" s="2" t="s">
        <v>91</v>
      </c>
      <c r="F72" s="2">
        <v>6057</v>
      </c>
      <c r="G72" s="6">
        <f>23993-F72</f>
        <v>17936</v>
      </c>
      <c r="H72" s="38">
        <v>6624</v>
      </c>
      <c r="I72" s="6">
        <v>7068</v>
      </c>
      <c r="J72" s="6">
        <v>25655</v>
      </c>
      <c r="K72" s="6">
        <f>AH72-J72-I72-H72</f>
        <v>19048</v>
      </c>
      <c r="L72" s="38">
        <v>23078</v>
      </c>
      <c r="M72" s="6">
        <v>18952</v>
      </c>
      <c r="N72" s="6">
        <v>22961</v>
      </c>
      <c r="O72" s="6">
        <f>AI72-N72-M72-L72</f>
        <v>24035</v>
      </c>
      <c r="P72" s="38">
        <v>28469</v>
      </c>
      <c r="Q72" s="6">
        <v>28717</v>
      </c>
      <c r="R72" s="6">
        <v>27200</v>
      </c>
      <c r="S72" s="5">
        <f>AJ72-R72-Q72-P72</f>
        <v>25887</v>
      </c>
      <c r="T72" s="38">
        <v>28749</v>
      </c>
      <c r="U72" s="6"/>
      <c r="V72" s="6"/>
      <c r="W72" s="6"/>
      <c r="X72" s="6"/>
      <c r="Y72" s="6"/>
      <c r="Z72" s="6"/>
      <c r="AA72" s="6"/>
      <c r="AB72" s="6"/>
      <c r="AC72" s="6"/>
      <c r="AD72" s="6"/>
      <c r="AE72" s="6"/>
      <c r="AF72" s="6"/>
      <c r="AG72" s="6">
        <v>23993</v>
      </c>
      <c r="AH72" s="6">
        <v>58395</v>
      </c>
      <c r="AI72" s="6">
        <v>89026</v>
      </c>
      <c r="AJ72" s="6">
        <v>110273</v>
      </c>
      <c r="AK72" s="6"/>
    </row>
    <row r="73" spans="2:44" s="32" customFormat="1" x14ac:dyDescent="0.35">
      <c r="B73" s="32" t="s">
        <v>92</v>
      </c>
      <c r="F73" s="33">
        <f t="shared" ref="F73:R73" si="61">F71+F72</f>
        <v>10960</v>
      </c>
      <c r="G73" s="33">
        <f t="shared" si="61"/>
        <v>32175</v>
      </c>
      <c r="H73" s="45">
        <f t="shared" si="61"/>
        <v>13702</v>
      </c>
      <c r="I73" s="33">
        <f t="shared" si="61"/>
        <v>15597</v>
      </c>
      <c r="J73" s="33">
        <f t="shared" si="61"/>
        <v>39844</v>
      </c>
      <c r="K73" s="33">
        <f t="shared" si="61"/>
        <v>31017</v>
      </c>
      <c r="L73" s="45">
        <f t="shared" si="61"/>
        <v>36555</v>
      </c>
      <c r="M73" s="33">
        <f t="shared" si="61"/>
        <v>38117</v>
      </c>
      <c r="N73" s="33">
        <f t="shared" si="61"/>
        <v>40469</v>
      </c>
      <c r="O73" s="33">
        <f t="shared" si="61"/>
        <v>39053</v>
      </c>
      <c r="P73" s="45">
        <f t="shared" si="61"/>
        <v>52374</v>
      </c>
      <c r="Q73" s="33">
        <f t="shared" si="61"/>
        <v>59752</v>
      </c>
      <c r="R73" s="33">
        <f t="shared" si="61"/>
        <v>53826</v>
      </c>
      <c r="S73" s="33">
        <f t="shared" ref="S73:AA73" si="62">S71+S72</f>
        <v>63375</v>
      </c>
      <c r="T73" s="45">
        <f t="shared" si="62"/>
        <v>67253</v>
      </c>
      <c r="U73" s="33">
        <f t="shared" si="62"/>
        <v>0</v>
      </c>
      <c r="V73" s="33">
        <f t="shared" ref="V73:Y73" si="63">V71+V72</f>
        <v>0</v>
      </c>
      <c r="W73" s="33">
        <f t="shared" si="63"/>
        <v>0</v>
      </c>
      <c r="X73" s="33">
        <f t="shared" si="63"/>
        <v>0</v>
      </c>
      <c r="Y73" s="33">
        <f t="shared" si="63"/>
        <v>0</v>
      </c>
      <c r="Z73" s="33">
        <f t="shared" si="62"/>
        <v>0</v>
      </c>
      <c r="AA73" s="33">
        <f t="shared" si="62"/>
        <v>0</v>
      </c>
      <c r="AB73" s="33"/>
      <c r="AC73" s="33"/>
      <c r="AD73" s="33"/>
      <c r="AE73" s="33"/>
      <c r="AF73" s="33"/>
      <c r="AG73" s="33">
        <f>+AG71+AG72</f>
        <v>43135</v>
      </c>
      <c r="AH73" s="33">
        <f>+AH71+AH72</f>
        <v>100160</v>
      </c>
      <c r="AI73" s="33">
        <f>+AI71+AI72</f>
        <v>154194</v>
      </c>
      <c r="AJ73" s="33">
        <f t="shared" ref="AJ73:AR73" si="64">+AJ71+AJ72</f>
        <v>229327</v>
      </c>
      <c r="AK73" s="33">
        <f t="shared" si="64"/>
        <v>0</v>
      </c>
      <c r="AL73" s="33">
        <f t="shared" si="64"/>
        <v>0</v>
      </c>
      <c r="AM73" s="33">
        <f t="shared" si="64"/>
        <v>0</v>
      </c>
      <c r="AN73" s="33">
        <f t="shared" si="64"/>
        <v>0</v>
      </c>
      <c r="AO73" s="33">
        <f t="shared" si="64"/>
        <v>0</v>
      </c>
      <c r="AP73" s="33">
        <f t="shared" si="64"/>
        <v>0</v>
      </c>
      <c r="AQ73" s="33">
        <f t="shared" si="64"/>
        <v>0</v>
      </c>
      <c r="AR73" s="33">
        <f t="shared" si="64"/>
        <v>0</v>
      </c>
    </row>
    <row r="74" spans="2:44" s="12" customFormat="1" x14ac:dyDescent="0.35">
      <c r="B74" s="12" t="s">
        <v>93</v>
      </c>
      <c r="F74" s="24">
        <f t="shared" ref="F74:R74" si="65">F69-F73</f>
        <v>-12845</v>
      </c>
      <c r="G74" s="24">
        <f t="shared" si="65"/>
        <v>-42107</v>
      </c>
      <c r="H74" s="40">
        <f t="shared" si="65"/>
        <v>-12291</v>
      </c>
      <c r="I74" s="24">
        <f t="shared" si="65"/>
        <v>-13134</v>
      </c>
      <c r="J74" s="24">
        <f t="shared" si="65"/>
        <v>-52295</v>
      </c>
      <c r="K74" s="24">
        <f t="shared" si="65"/>
        <v>-24333</v>
      </c>
      <c r="L74" s="40">
        <f t="shared" si="65"/>
        <v>-32820</v>
      </c>
      <c r="M74" s="24">
        <f t="shared" si="65"/>
        <v>-33159</v>
      </c>
      <c r="N74" s="24">
        <f t="shared" si="65"/>
        <v>-32002</v>
      </c>
      <c r="O74" s="24">
        <f t="shared" si="65"/>
        <v>-37223</v>
      </c>
      <c r="P74" s="40">
        <f t="shared" si="65"/>
        <v>-46017</v>
      </c>
      <c r="Q74" s="24">
        <f t="shared" si="65"/>
        <v>-45159</v>
      </c>
      <c r="R74" s="24">
        <f t="shared" si="65"/>
        <v>-38859</v>
      </c>
      <c r="S74" s="24">
        <f t="shared" ref="S74:AA74" si="66">S69-S73</f>
        <v>-47883</v>
      </c>
      <c r="T74" s="40">
        <f t="shared" si="66"/>
        <v>-43079</v>
      </c>
      <c r="U74" s="24">
        <f t="shared" si="66"/>
        <v>0</v>
      </c>
      <c r="V74" s="24">
        <f t="shared" ref="V74:Y74" si="67">V69-V73</f>
        <v>0</v>
      </c>
      <c r="W74" s="24">
        <f t="shared" si="67"/>
        <v>0</v>
      </c>
      <c r="X74" s="24">
        <f t="shared" si="67"/>
        <v>0</v>
      </c>
      <c r="Y74" s="24">
        <f t="shared" si="67"/>
        <v>0</v>
      </c>
      <c r="Z74" s="24">
        <f t="shared" si="66"/>
        <v>0</v>
      </c>
      <c r="AA74" s="24">
        <f t="shared" si="66"/>
        <v>0</v>
      </c>
      <c r="AB74" s="24"/>
      <c r="AC74" s="24"/>
      <c r="AD74" s="24"/>
      <c r="AE74" s="24"/>
      <c r="AF74" s="24"/>
      <c r="AG74" s="24">
        <f>AG69-AG73</f>
        <v>-54952</v>
      </c>
      <c r="AH74" s="24">
        <f>AH69-AH73</f>
        <v>-102053</v>
      </c>
      <c r="AI74" s="24">
        <f>AI69-AI73</f>
        <v>-135204</v>
      </c>
      <c r="AJ74" s="24">
        <f t="shared" ref="AJ74:AR74" si="68">AJ69-AJ73</f>
        <v>-177918</v>
      </c>
      <c r="AK74" s="24">
        <f t="shared" si="68"/>
        <v>0</v>
      </c>
      <c r="AL74" s="24">
        <f t="shared" si="68"/>
        <v>0</v>
      </c>
      <c r="AM74" s="24">
        <f t="shared" si="68"/>
        <v>0</v>
      </c>
      <c r="AN74" s="24">
        <f t="shared" si="68"/>
        <v>0</v>
      </c>
      <c r="AO74" s="24">
        <f t="shared" si="68"/>
        <v>0</v>
      </c>
      <c r="AP74" s="24">
        <f t="shared" si="68"/>
        <v>0</v>
      </c>
      <c r="AQ74" s="24">
        <f t="shared" si="68"/>
        <v>0</v>
      </c>
      <c r="AR74" s="24">
        <f t="shared" si="68"/>
        <v>0</v>
      </c>
    </row>
    <row r="75" spans="2:44" x14ac:dyDescent="0.35">
      <c r="B75" t="s">
        <v>94</v>
      </c>
      <c r="F75">
        <v>-29</v>
      </c>
      <c r="G75" s="5">
        <f>224-F75</f>
        <v>253</v>
      </c>
      <c r="H75" s="37">
        <v>-127</v>
      </c>
      <c r="I75" s="5">
        <v>-275</v>
      </c>
      <c r="J75" s="5">
        <v>-2977</v>
      </c>
      <c r="K75" s="5">
        <f>AH75-J75-I75-H75</f>
        <v>-2749</v>
      </c>
      <c r="L75" s="37">
        <v>-2989</v>
      </c>
      <c r="M75" s="5">
        <v>-2432</v>
      </c>
      <c r="N75" s="5">
        <v>-1486</v>
      </c>
      <c r="O75" s="5">
        <f>AI75-N75-M75-L75</f>
        <v>-892</v>
      </c>
      <c r="P75" s="37">
        <v>-685</v>
      </c>
      <c r="Q75" s="5">
        <v>-745</v>
      </c>
      <c r="R75" s="5">
        <v>-1413</v>
      </c>
      <c r="S75" s="5">
        <f>AJ75-R75-Q75-P75</f>
        <v>-1405</v>
      </c>
      <c r="T75" s="37">
        <v>-898</v>
      </c>
      <c r="U75" s="5"/>
      <c r="V75" s="5"/>
      <c r="W75" s="5"/>
      <c r="X75" s="5"/>
      <c r="Y75" s="5"/>
      <c r="Z75" s="5"/>
      <c r="AA75" s="5"/>
      <c r="AB75" s="5"/>
      <c r="AC75" s="5"/>
      <c r="AD75" s="5"/>
      <c r="AE75" s="5"/>
      <c r="AF75" s="5"/>
      <c r="AG75" s="5">
        <v>224</v>
      </c>
      <c r="AH75" s="5">
        <v>-6128</v>
      </c>
      <c r="AI75" s="5">
        <v>-7799</v>
      </c>
      <c r="AJ75" s="5">
        <v>-4248</v>
      </c>
      <c r="AK75" s="5"/>
    </row>
    <row r="76" spans="2:44" x14ac:dyDescent="0.35">
      <c r="B76" t="s">
        <v>95</v>
      </c>
      <c r="F76">
        <v>-129</v>
      </c>
      <c r="G76" s="5">
        <f>2420-F76</f>
        <v>2549</v>
      </c>
      <c r="H76" s="37">
        <v>-279</v>
      </c>
      <c r="I76" s="5">
        <v>-126</v>
      </c>
      <c r="J76" s="5">
        <v>16</v>
      </c>
      <c r="K76" s="5">
        <f>AH76-J76-I76-H76</f>
        <v>-178</v>
      </c>
      <c r="L76" s="37">
        <v>-20</v>
      </c>
      <c r="M76" s="5">
        <v>-3876</v>
      </c>
      <c r="N76" s="5">
        <v>-51</v>
      </c>
      <c r="O76" s="5">
        <f>AI76-N76-M76-L76</f>
        <v>-488</v>
      </c>
      <c r="P76" s="37">
        <v>134</v>
      </c>
      <c r="Q76" s="5">
        <v>-90</v>
      </c>
      <c r="R76" s="5">
        <v>-120</v>
      </c>
      <c r="S76" s="5">
        <f>AJ76-R76-Q76-P76</f>
        <v>-394</v>
      </c>
      <c r="T76" s="37">
        <v>311</v>
      </c>
      <c r="U76" s="5"/>
      <c r="V76" s="5"/>
      <c r="W76" s="5"/>
      <c r="X76" s="5"/>
      <c r="Y76" s="5"/>
      <c r="Z76" s="5"/>
      <c r="AA76" s="5"/>
      <c r="AB76" s="5"/>
      <c r="AC76" s="5"/>
      <c r="AD76" s="5"/>
      <c r="AE76" s="5"/>
      <c r="AF76" s="5"/>
      <c r="AG76" s="5">
        <v>2420</v>
      </c>
      <c r="AH76" s="5">
        <v>-567</v>
      </c>
      <c r="AI76" s="5">
        <v>-4435</v>
      </c>
      <c r="AJ76" s="5">
        <v>-470</v>
      </c>
      <c r="AK76" s="5"/>
    </row>
    <row r="77" spans="2:44" x14ac:dyDescent="0.35">
      <c r="B77" t="s">
        <v>96</v>
      </c>
      <c r="F77">
        <v>-562</v>
      </c>
      <c r="G77" s="5">
        <f>-2417-F77</f>
        <v>-1855</v>
      </c>
      <c r="H77" s="37">
        <v>-3030</v>
      </c>
      <c r="I77" s="5">
        <v>-2448</v>
      </c>
      <c r="J77" s="5">
        <v>-33947</v>
      </c>
      <c r="K77" s="5">
        <f>AH77-J77-I77-H77</f>
        <v>24131</v>
      </c>
      <c r="L77" s="37">
        <v>13482</v>
      </c>
      <c r="M77" s="5">
        <v>0</v>
      </c>
      <c r="N77" s="5">
        <v>0</v>
      </c>
      <c r="O77" s="5">
        <f>AI77-N77-M77-L77</f>
        <v>0</v>
      </c>
      <c r="P77" s="37">
        <v>0</v>
      </c>
      <c r="Q77" s="5">
        <v>0</v>
      </c>
      <c r="R77" s="5">
        <v>0</v>
      </c>
      <c r="S77" s="5">
        <f>AJ77-R77-Q77-P77</f>
        <v>0</v>
      </c>
      <c r="T77" s="37">
        <v>0</v>
      </c>
      <c r="U77" s="5"/>
      <c r="V77" s="5"/>
      <c r="W77" s="5"/>
      <c r="X77" s="5"/>
      <c r="Y77" s="5"/>
      <c r="Z77" s="5"/>
      <c r="AA77" s="5"/>
      <c r="AB77" s="5"/>
      <c r="AC77" s="5"/>
      <c r="AD77" s="5"/>
      <c r="AE77" s="5"/>
      <c r="AF77" s="5"/>
      <c r="AG77" s="5">
        <v>-2417</v>
      </c>
      <c r="AH77" s="5">
        <v>-15294</v>
      </c>
      <c r="AI77" s="5">
        <v>13482</v>
      </c>
      <c r="AJ77" s="5">
        <v>0</v>
      </c>
      <c r="AK77" s="5"/>
    </row>
    <row r="78" spans="2:44" s="2" customFormat="1" x14ac:dyDescent="0.35">
      <c r="B78" s="2" t="s">
        <v>97</v>
      </c>
      <c r="F78" s="2">
        <v>-40</v>
      </c>
      <c r="G78" s="6">
        <f>187-F78</f>
        <v>227</v>
      </c>
      <c r="H78" s="38">
        <v>109</v>
      </c>
      <c r="I78" s="6">
        <v>-242</v>
      </c>
      <c r="J78" s="6">
        <v>-450</v>
      </c>
      <c r="K78" s="6">
        <f>AH78-J78-I78-H78</f>
        <v>-215</v>
      </c>
      <c r="L78" s="38">
        <v>26</v>
      </c>
      <c r="M78" s="6">
        <v>-23</v>
      </c>
      <c r="N78" s="6">
        <v>622</v>
      </c>
      <c r="O78" s="6">
        <f>AI78-N78-M78-L78</f>
        <v>385</v>
      </c>
      <c r="P78" s="38">
        <v>1477</v>
      </c>
      <c r="Q78" s="6">
        <v>866</v>
      </c>
      <c r="R78" s="6">
        <v>1176</v>
      </c>
      <c r="S78" s="6">
        <f>AJ78-R78-Q78-P78</f>
        <v>196</v>
      </c>
      <c r="T78" s="38">
        <v>-589</v>
      </c>
      <c r="U78" s="6"/>
      <c r="V78" s="6"/>
      <c r="W78" s="6"/>
      <c r="X78" s="6"/>
      <c r="Y78" s="6"/>
      <c r="Z78" s="6"/>
      <c r="AA78" s="6"/>
      <c r="AB78" s="6"/>
      <c r="AC78" s="6"/>
      <c r="AD78" s="6"/>
      <c r="AE78" s="6"/>
      <c r="AF78" s="6"/>
      <c r="AG78" s="6">
        <v>187</v>
      </c>
      <c r="AH78" s="6">
        <v>-798</v>
      </c>
      <c r="AI78" s="6">
        <v>1010</v>
      </c>
      <c r="AJ78" s="6">
        <v>3715</v>
      </c>
      <c r="AK78" s="6"/>
    </row>
    <row r="79" spans="2:44" s="12" customFormat="1" x14ac:dyDescent="0.35">
      <c r="B79" s="12" t="s">
        <v>98</v>
      </c>
      <c r="F79" s="24">
        <f t="shared" ref="F79:AA79" si="69">SUM(F74:F78)</f>
        <v>-13605</v>
      </c>
      <c r="G79" s="24">
        <f t="shared" si="69"/>
        <v>-40933</v>
      </c>
      <c r="H79" s="40">
        <f t="shared" si="69"/>
        <v>-15618</v>
      </c>
      <c r="I79" s="24">
        <f t="shared" si="69"/>
        <v>-16225</v>
      </c>
      <c r="J79" s="24">
        <f t="shared" si="69"/>
        <v>-89653</v>
      </c>
      <c r="K79" s="24">
        <f t="shared" si="69"/>
        <v>-3344</v>
      </c>
      <c r="L79" s="40">
        <f t="shared" si="69"/>
        <v>-22321</v>
      </c>
      <c r="M79" s="24">
        <f t="shared" si="69"/>
        <v>-39490</v>
      </c>
      <c r="N79" s="24">
        <f t="shared" si="69"/>
        <v>-32917</v>
      </c>
      <c r="O79" s="24">
        <f t="shared" si="69"/>
        <v>-38218</v>
      </c>
      <c r="P79" s="40">
        <f t="shared" si="69"/>
        <v>-45091</v>
      </c>
      <c r="Q79" s="24">
        <f t="shared" si="69"/>
        <v>-45128</v>
      </c>
      <c r="R79" s="24">
        <f t="shared" si="69"/>
        <v>-39216</v>
      </c>
      <c r="S79" s="24">
        <f t="shared" si="69"/>
        <v>-49486</v>
      </c>
      <c r="T79" s="40">
        <f t="shared" si="69"/>
        <v>-44255</v>
      </c>
      <c r="U79" s="24">
        <f t="shared" si="69"/>
        <v>0</v>
      </c>
      <c r="V79" s="24">
        <f t="shared" ref="V79:Y79" si="70">SUM(V74:V78)</f>
        <v>0</v>
      </c>
      <c r="W79" s="24">
        <f t="shared" si="70"/>
        <v>0</v>
      </c>
      <c r="X79" s="24">
        <f t="shared" si="70"/>
        <v>0</v>
      </c>
      <c r="Y79" s="24">
        <f t="shared" si="70"/>
        <v>0</v>
      </c>
      <c r="Z79" s="24">
        <f t="shared" si="69"/>
        <v>0</v>
      </c>
      <c r="AA79" s="24">
        <f t="shared" si="69"/>
        <v>0</v>
      </c>
      <c r="AB79" s="24"/>
      <c r="AC79" s="24"/>
      <c r="AD79" s="24"/>
      <c r="AE79" s="24"/>
      <c r="AF79" s="24"/>
      <c r="AG79" s="24">
        <f>SUM(AG74:AG78)</f>
        <v>-54538</v>
      </c>
      <c r="AH79" s="24">
        <f>SUM(AH74:AH78)</f>
        <v>-124840</v>
      </c>
      <c r="AI79" s="24">
        <f>SUM(AI74:AI78)</f>
        <v>-132946</v>
      </c>
      <c r="AJ79" s="24">
        <f t="shared" ref="AJ79:AR79" si="71">SUM(AJ74:AJ78)</f>
        <v>-178921</v>
      </c>
      <c r="AK79" s="24">
        <f t="shared" si="71"/>
        <v>0</v>
      </c>
      <c r="AL79" s="24">
        <f t="shared" si="71"/>
        <v>0</v>
      </c>
      <c r="AM79" s="24">
        <f t="shared" si="71"/>
        <v>0</v>
      </c>
      <c r="AN79" s="24">
        <f t="shared" si="71"/>
        <v>0</v>
      </c>
      <c r="AO79" s="24">
        <f t="shared" si="71"/>
        <v>0</v>
      </c>
      <c r="AP79" s="24">
        <f t="shared" si="71"/>
        <v>0</v>
      </c>
      <c r="AQ79" s="24">
        <f t="shared" si="71"/>
        <v>0</v>
      </c>
      <c r="AR79" s="24">
        <f t="shared" si="71"/>
        <v>0</v>
      </c>
    </row>
    <row r="80" spans="2:44" s="2" customFormat="1" x14ac:dyDescent="0.35">
      <c r="B80" s="2" t="s">
        <v>99</v>
      </c>
      <c r="F80" s="2">
        <v>1000</v>
      </c>
      <c r="G80" s="6">
        <f>-467-F80</f>
        <v>-1467</v>
      </c>
      <c r="H80" s="38">
        <v>-264</v>
      </c>
      <c r="I80" s="6">
        <v>-440</v>
      </c>
      <c r="J80" s="6">
        <v>1684</v>
      </c>
      <c r="K80" s="6">
        <f>AH80-J80-I80-H80</f>
        <v>6540</v>
      </c>
      <c r="L80" s="38">
        <v>-4388</v>
      </c>
      <c r="M80" s="6">
        <v>2073</v>
      </c>
      <c r="N80" s="6">
        <v>-1693</v>
      </c>
      <c r="O80" s="6">
        <f>AI80-N80-M80-L80</f>
        <v>1010</v>
      </c>
      <c r="P80" s="38">
        <v>-526</v>
      </c>
      <c r="Q80" s="6">
        <v>-761</v>
      </c>
      <c r="R80" s="6">
        <v>-1352</v>
      </c>
      <c r="S80" s="6">
        <f>AJ80-R80-Q80-P80</f>
        <v>-1011</v>
      </c>
      <c r="T80" s="38">
        <v>-5</v>
      </c>
      <c r="U80" s="6"/>
      <c r="V80" s="6"/>
      <c r="W80" s="6"/>
      <c r="X80" s="6"/>
      <c r="Y80" s="6"/>
      <c r="Z80" s="6"/>
      <c r="AA80" s="6"/>
      <c r="AB80" s="6"/>
      <c r="AC80" s="6"/>
      <c r="AD80" s="6"/>
      <c r="AE80" s="6"/>
      <c r="AF80" s="6"/>
      <c r="AG80" s="6">
        <v>-467</v>
      </c>
      <c r="AH80" s="6">
        <v>7520</v>
      </c>
      <c r="AI80" s="6">
        <v>-2998</v>
      </c>
      <c r="AJ80" s="6">
        <v>-3650</v>
      </c>
      <c r="AK80" s="6"/>
    </row>
    <row r="81" spans="2:44" s="12" customFormat="1" x14ac:dyDescent="0.35">
      <c r="B81" s="12" t="s">
        <v>100</v>
      </c>
      <c r="F81" s="24">
        <f t="shared" ref="F81:AA81" si="72">SUM(F79:F80)</f>
        <v>-12605</v>
      </c>
      <c r="G81" s="24">
        <f t="shared" si="72"/>
        <v>-42400</v>
      </c>
      <c r="H81" s="40">
        <f t="shared" si="72"/>
        <v>-15882</v>
      </c>
      <c r="I81" s="24">
        <f t="shared" si="72"/>
        <v>-16665</v>
      </c>
      <c r="J81" s="24">
        <f t="shared" si="72"/>
        <v>-87969</v>
      </c>
      <c r="K81" s="24">
        <f t="shared" si="72"/>
        <v>3196</v>
      </c>
      <c r="L81" s="40">
        <f t="shared" si="72"/>
        <v>-26709</v>
      </c>
      <c r="M81" s="24">
        <f t="shared" si="72"/>
        <v>-37417</v>
      </c>
      <c r="N81" s="24">
        <f t="shared" si="72"/>
        <v>-34610</v>
      </c>
      <c r="O81" s="24">
        <f t="shared" si="72"/>
        <v>-37208</v>
      </c>
      <c r="P81" s="40">
        <f t="shared" si="72"/>
        <v>-45617</v>
      </c>
      <c r="Q81" s="24">
        <f t="shared" si="72"/>
        <v>-45889</v>
      </c>
      <c r="R81" s="24">
        <f t="shared" si="72"/>
        <v>-40568</v>
      </c>
      <c r="S81" s="24">
        <f t="shared" si="72"/>
        <v>-50497</v>
      </c>
      <c r="T81" s="40">
        <f t="shared" si="72"/>
        <v>-44260</v>
      </c>
      <c r="U81" s="24">
        <f t="shared" si="72"/>
        <v>0</v>
      </c>
      <c r="V81" s="24">
        <f t="shared" ref="V81:Y81" si="73">SUM(V79:V80)</f>
        <v>0</v>
      </c>
      <c r="W81" s="24">
        <f t="shared" si="73"/>
        <v>0</v>
      </c>
      <c r="X81" s="24">
        <f t="shared" si="73"/>
        <v>0</v>
      </c>
      <c r="Y81" s="24">
        <f t="shared" si="73"/>
        <v>0</v>
      </c>
      <c r="Z81" s="24">
        <f t="shared" si="72"/>
        <v>0</v>
      </c>
      <c r="AA81" s="24">
        <f t="shared" si="72"/>
        <v>0</v>
      </c>
      <c r="AB81" s="24"/>
      <c r="AC81" s="24"/>
      <c r="AD81" s="24"/>
      <c r="AE81" s="24"/>
      <c r="AF81" s="24"/>
      <c r="AG81" s="24">
        <f>AG79+AG80</f>
        <v>-55005</v>
      </c>
      <c r="AH81" s="24">
        <f>AH79+AH80</f>
        <v>-117320</v>
      </c>
      <c r="AI81" s="24">
        <f>AI79+AI80</f>
        <v>-135944</v>
      </c>
      <c r="AJ81" s="24">
        <f t="shared" ref="AJ81:AR81" si="74">AJ79+AJ80</f>
        <v>-182571</v>
      </c>
      <c r="AK81" s="24">
        <f t="shared" si="74"/>
        <v>0</v>
      </c>
      <c r="AL81" s="24">
        <f t="shared" si="74"/>
        <v>0</v>
      </c>
      <c r="AM81" s="24">
        <f t="shared" si="74"/>
        <v>0</v>
      </c>
      <c r="AN81" s="24">
        <f t="shared" si="74"/>
        <v>0</v>
      </c>
      <c r="AO81" s="24">
        <f t="shared" si="74"/>
        <v>0</v>
      </c>
      <c r="AP81" s="24">
        <f t="shared" si="74"/>
        <v>0</v>
      </c>
      <c r="AQ81" s="24">
        <f t="shared" si="74"/>
        <v>0</v>
      </c>
      <c r="AR81" s="24">
        <f t="shared" si="74"/>
        <v>0</v>
      </c>
    </row>
    <row r="82" spans="2:44" x14ac:dyDescent="0.35">
      <c r="B82" t="s">
        <v>101</v>
      </c>
      <c r="F82">
        <v>0</v>
      </c>
      <c r="G82" s="5">
        <v>1134</v>
      </c>
      <c r="H82" s="37">
        <v>741</v>
      </c>
      <c r="I82" s="5">
        <v>333</v>
      </c>
      <c r="J82" s="5">
        <v>-1008</v>
      </c>
      <c r="K82" s="5">
        <f>AH82-J82-I82-H82</f>
        <v>187</v>
      </c>
      <c r="L82" s="37">
        <v>876</v>
      </c>
      <c r="M82" s="5">
        <v>-1030</v>
      </c>
      <c r="N82" s="5">
        <v>-4655</v>
      </c>
      <c r="O82" s="5">
        <f>AI82-N82-M82-L82</f>
        <v>5409</v>
      </c>
      <c r="P82" s="37">
        <v>-938</v>
      </c>
      <c r="Q82" s="5">
        <v>-1516</v>
      </c>
      <c r="R82" s="5">
        <v>-736</v>
      </c>
      <c r="S82" s="5">
        <f>AJ82-R82-Q82-P82</f>
        <v>3097</v>
      </c>
      <c r="T82" s="37">
        <v>-3075</v>
      </c>
      <c r="U82" s="5"/>
      <c r="V82" s="5"/>
      <c r="W82" s="5"/>
      <c r="X82" s="5"/>
      <c r="Y82" s="5"/>
      <c r="Z82" s="5"/>
      <c r="AA82" s="5"/>
      <c r="AB82" s="5"/>
      <c r="AC82" s="5"/>
      <c r="AD82" s="5"/>
      <c r="AE82" s="5"/>
      <c r="AF82" s="5"/>
      <c r="AG82" s="5">
        <v>1134</v>
      </c>
      <c r="AH82" s="5">
        <v>253</v>
      </c>
      <c r="AI82" s="5">
        <v>600</v>
      </c>
      <c r="AJ82" s="5">
        <v>-93</v>
      </c>
      <c r="AK82" s="5"/>
    </row>
    <row r="83" spans="2:44" s="2" customFormat="1" x14ac:dyDescent="0.35">
      <c r="B83" s="2" t="s">
        <v>102</v>
      </c>
      <c r="F83" s="2">
        <v>0</v>
      </c>
      <c r="G83" s="6">
        <v>0</v>
      </c>
      <c r="H83" s="38">
        <v>0</v>
      </c>
      <c r="I83" s="6">
        <v>0</v>
      </c>
      <c r="J83" s="6">
        <v>0</v>
      </c>
      <c r="K83" s="6">
        <f>AH83-J83-I83-H83</f>
        <v>0</v>
      </c>
      <c r="L83" s="38">
        <v>0</v>
      </c>
      <c r="M83" s="6">
        <v>0</v>
      </c>
      <c r="N83" s="6">
        <v>-855</v>
      </c>
      <c r="O83" s="6">
        <f>AI83-N83-M83-L83</f>
        <v>83</v>
      </c>
      <c r="P83" s="38">
        <v>368</v>
      </c>
      <c r="Q83" s="6">
        <v>-814</v>
      </c>
      <c r="R83" s="6">
        <v>117</v>
      </c>
      <c r="S83" s="6">
        <f>AJ83-R83-Q83-P83</f>
        <v>823</v>
      </c>
      <c r="T83" s="38">
        <v>-263</v>
      </c>
      <c r="U83" s="6"/>
      <c r="V83" s="6"/>
      <c r="W83" s="6"/>
      <c r="X83" s="6"/>
      <c r="Y83" s="6"/>
      <c r="Z83" s="6"/>
      <c r="AA83" s="6"/>
      <c r="AB83" s="6"/>
      <c r="AC83" s="6"/>
      <c r="AD83" s="6"/>
      <c r="AE83" s="6"/>
      <c r="AF83" s="6"/>
      <c r="AG83" s="6">
        <v>0</v>
      </c>
      <c r="AH83" s="6">
        <v>0</v>
      </c>
      <c r="AI83" s="6">
        <v>-772</v>
      </c>
      <c r="AJ83" s="6">
        <v>494</v>
      </c>
      <c r="AK83" s="6"/>
    </row>
    <row r="84" spans="2:44" s="12" customFormat="1" x14ac:dyDescent="0.35">
      <c r="B84" s="12" t="s">
        <v>103</v>
      </c>
      <c r="F84" s="24">
        <f t="shared" ref="F84:AA84" si="75">SUM(F81:F83)</f>
        <v>-12605</v>
      </c>
      <c r="G84" s="24">
        <f t="shared" si="75"/>
        <v>-41266</v>
      </c>
      <c r="H84" s="40">
        <f t="shared" si="75"/>
        <v>-15141</v>
      </c>
      <c r="I84" s="24">
        <f t="shared" si="75"/>
        <v>-16332</v>
      </c>
      <c r="J84" s="24">
        <f t="shared" si="75"/>
        <v>-88977</v>
      </c>
      <c r="K84" s="24">
        <f t="shared" si="75"/>
        <v>3383</v>
      </c>
      <c r="L84" s="40">
        <f t="shared" si="75"/>
        <v>-25833</v>
      </c>
      <c r="M84" s="24">
        <f t="shared" si="75"/>
        <v>-38447</v>
      </c>
      <c r="N84" s="24">
        <f t="shared" si="75"/>
        <v>-40120</v>
      </c>
      <c r="O84" s="24">
        <f t="shared" si="75"/>
        <v>-31716</v>
      </c>
      <c r="P84" s="40">
        <f t="shared" si="75"/>
        <v>-46187</v>
      </c>
      <c r="Q84" s="24">
        <f t="shared" si="75"/>
        <v>-48219</v>
      </c>
      <c r="R84" s="24">
        <f t="shared" si="75"/>
        <v>-41187</v>
      </c>
      <c r="S84" s="24">
        <f t="shared" si="75"/>
        <v>-46577</v>
      </c>
      <c r="T84" s="40">
        <f t="shared" si="75"/>
        <v>-47598</v>
      </c>
      <c r="U84" s="24">
        <f t="shared" si="75"/>
        <v>0</v>
      </c>
      <c r="V84" s="24">
        <f t="shared" ref="V84:Y84" si="76">SUM(V81:V83)</f>
        <v>0</v>
      </c>
      <c r="W84" s="24">
        <f t="shared" si="76"/>
        <v>0</v>
      </c>
      <c r="X84" s="24">
        <f t="shared" si="76"/>
        <v>0</v>
      </c>
      <c r="Y84" s="24">
        <f t="shared" si="76"/>
        <v>0</v>
      </c>
      <c r="Z84" s="24">
        <f t="shared" si="75"/>
        <v>0</v>
      </c>
      <c r="AA84" s="24">
        <f t="shared" si="75"/>
        <v>0</v>
      </c>
      <c r="AB84" s="24"/>
      <c r="AC84" s="24"/>
      <c r="AD84" s="24"/>
      <c r="AE84" s="24"/>
      <c r="AF84" s="24"/>
      <c r="AG84" s="24">
        <f>AG81+AG82</f>
        <v>-53871</v>
      </c>
      <c r="AH84" s="24">
        <f>AH81+AH82</f>
        <v>-117067</v>
      </c>
      <c r="AI84" s="24">
        <f>AI81+AI82</f>
        <v>-135344</v>
      </c>
      <c r="AJ84" s="24">
        <f t="shared" ref="AJ84:AR84" si="77">AJ81+AJ82</f>
        <v>-182664</v>
      </c>
      <c r="AK84" s="24">
        <f t="shared" si="77"/>
        <v>0</v>
      </c>
      <c r="AL84" s="24">
        <f t="shared" si="77"/>
        <v>0</v>
      </c>
      <c r="AM84" s="24">
        <f t="shared" si="77"/>
        <v>0</v>
      </c>
      <c r="AN84" s="24">
        <f t="shared" si="77"/>
        <v>0</v>
      </c>
      <c r="AO84" s="24">
        <f t="shared" si="77"/>
        <v>0</v>
      </c>
      <c r="AP84" s="24">
        <f t="shared" si="77"/>
        <v>0</v>
      </c>
      <c r="AQ84" s="24">
        <f t="shared" si="77"/>
        <v>0</v>
      </c>
      <c r="AR84" s="24">
        <f t="shared" si="77"/>
        <v>0</v>
      </c>
    </row>
    <row r="85" spans="2:44" x14ac:dyDescent="0.35">
      <c r="B85" t="s">
        <v>104</v>
      </c>
      <c r="F85" s="9">
        <f t="shared" ref="F85:AA85" si="78">F84/F86</f>
        <v>-0.16573958565024696</v>
      </c>
      <c r="G85" s="9">
        <f t="shared" si="78"/>
        <v>-0.54718638579692647</v>
      </c>
      <c r="H85" s="46">
        <f t="shared" si="78"/>
        <v>-0.19208111021638463</v>
      </c>
      <c r="I85" s="9">
        <f t="shared" si="78"/>
        <v>-0.20683603479870644</v>
      </c>
      <c r="J85" s="9">
        <f t="shared" si="78"/>
        <v>-0.38979413405060442</v>
      </c>
      <c r="K85" s="9">
        <f t="shared" si="78"/>
        <v>7.2787672118720063E-3</v>
      </c>
      <c r="L85" s="46">
        <f t="shared" si="78"/>
        <v>-5.6589850276833525E-2</v>
      </c>
      <c r="M85" s="9">
        <f t="shared" si="78"/>
        <v>-8.2731550799616679E-2</v>
      </c>
      <c r="N85" s="9">
        <f t="shared" si="78"/>
        <v>-8.5403714031692057E-2</v>
      </c>
      <c r="O85" s="9">
        <f t="shared" si="78"/>
        <v>-6.8028845122626094E-2</v>
      </c>
      <c r="P85" s="46">
        <f t="shared" si="78"/>
        <v>-9.6990819251023902E-2</v>
      </c>
      <c r="Q85" s="9">
        <f t="shared" si="78"/>
        <v>-0.10051156109327146</v>
      </c>
      <c r="R85" s="9">
        <f t="shared" si="78"/>
        <v>-8.5091117480446954E-2</v>
      </c>
      <c r="S85" s="9">
        <f t="shared" si="78"/>
        <v>-9.5222146754912057E-2</v>
      </c>
      <c r="T85" s="46">
        <f t="shared" si="78"/>
        <v>-9.7139824422063301E-2</v>
      </c>
      <c r="U85" s="9" t="e">
        <f t="shared" si="78"/>
        <v>#DIV/0!</v>
      </c>
      <c r="V85" s="9" t="e">
        <f t="shared" ref="V85:Y85" si="79">V84/V86</f>
        <v>#DIV/0!</v>
      </c>
      <c r="W85" s="9" t="e">
        <f t="shared" si="79"/>
        <v>#DIV/0!</v>
      </c>
      <c r="X85" s="9" t="e">
        <f t="shared" si="79"/>
        <v>#DIV/0!</v>
      </c>
      <c r="Y85" s="9" t="e">
        <f t="shared" si="79"/>
        <v>#DIV/0!</v>
      </c>
      <c r="Z85" s="9" t="e">
        <f t="shared" si="78"/>
        <v>#DIV/0!</v>
      </c>
      <c r="AA85" s="9" t="e">
        <f t="shared" si="78"/>
        <v>#DIV/0!</v>
      </c>
      <c r="AB85" s="5"/>
      <c r="AC85" s="5"/>
      <c r="AD85" s="5"/>
      <c r="AE85" s="5"/>
      <c r="AF85" s="5"/>
      <c r="AG85" s="9">
        <f>AG84/AG86</f>
        <v>-0.71432844931096362</v>
      </c>
      <c r="AH85" s="9">
        <f>AH84/AH86</f>
        <v>-0.25187804942128883</v>
      </c>
      <c r="AI85" s="9">
        <f>AI84/AI86</f>
        <v>-0.28335436040811351</v>
      </c>
      <c r="AJ85" s="9">
        <f t="shared" ref="AJ85:AR85" si="80">AJ84/AJ86</f>
        <v>-0.37343878340896269</v>
      </c>
      <c r="AK85" s="9" t="e">
        <f t="shared" si="80"/>
        <v>#DIV/0!</v>
      </c>
      <c r="AL85" s="9" t="e">
        <f t="shared" si="80"/>
        <v>#DIV/0!</v>
      </c>
      <c r="AM85" s="9" t="e">
        <f t="shared" si="80"/>
        <v>#DIV/0!</v>
      </c>
      <c r="AN85" s="9" t="e">
        <f t="shared" si="80"/>
        <v>#DIV/0!</v>
      </c>
      <c r="AO85" s="9" t="e">
        <f t="shared" si="80"/>
        <v>#DIV/0!</v>
      </c>
      <c r="AP85" s="9" t="e">
        <f t="shared" si="80"/>
        <v>#DIV/0!</v>
      </c>
      <c r="AQ85" s="9" t="e">
        <f t="shared" si="80"/>
        <v>#DIV/0!</v>
      </c>
      <c r="AR85" s="9" t="e">
        <f t="shared" si="80"/>
        <v>#DIV/0!</v>
      </c>
    </row>
    <row r="86" spans="2:44" s="5" customFormat="1" x14ac:dyDescent="0.35">
      <c r="B86" s="5" t="s">
        <v>1</v>
      </c>
      <c r="F86" s="5">
        <v>76053.043999999994</v>
      </c>
      <c r="G86" s="5">
        <v>75414.888000000006</v>
      </c>
      <c r="H86" s="37">
        <v>78826.074999999997</v>
      </c>
      <c r="I86" s="5">
        <v>78961.096000000005</v>
      </c>
      <c r="J86" s="5">
        <v>228266.647</v>
      </c>
      <c r="K86" s="5">
        <f>AH86</f>
        <v>464776.50699999998</v>
      </c>
      <c r="L86" s="37">
        <v>456495.288</v>
      </c>
      <c r="M86" s="5">
        <v>464719.924</v>
      </c>
      <c r="N86" s="5">
        <v>469768.79700000002</v>
      </c>
      <c r="O86" s="5">
        <v>466214</v>
      </c>
      <c r="P86" s="37">
        <v>476199.71</v>
      </c>
      <c r="Q86" s="5">
        <v>479735.85800000001</v>
      </c>
      <c r="R86" s="5">
        <v>484034.071</v>
      </c>
      <c r="S86" s="5">
        <f>AJ86</f>
        <v>489140.41100000002</v>
      </c>
      <c r="T86" s="37">
        <v>489994.70899999997</v>
      </c>
      <c r="AG86" s="5">
        <v>75414.888000000006</v>
      </c>
      <c r="AH86" s="5">
        <v>464776.50699999998</v>
      </c>
      <c r="AI86" s="5">
        <v>477649.25799999997</v>
      </c>
      <c r="AJ86" s="5">
        <v>489140.41100000002</v>
      </c>
    </row>
    <row r="87" spans="2:44" x14ac:dyDescent="0.35">
      <c r="G87" s="5"/>
      <c r="H87" s="37"/>
      <c r="I87" s="5"/>
      <c r="J87" s="5"/>
      <c r="K87" s="5"/>
      <c r="L87" s="37"/>
      <c r="M87" s="5"/>
      <c r="N87" s="5"/>
      <c r="O87" s="5"/>
      <c r="P87" s="37"/>
      <c r="Q87" s="5"/>
      <c r="R87" s="5"/>
      <c r="S87" s="5"/>
      <c r="T87" s="37"/>
      <c r="U87" s="5"/>
      <c r="V87" s="5"/>
      <c r="W87" s="5"/>
      <c r="X87" s="5"/>
      <c r="Y87" s="5"/>
      <c r="Z87" s="5"/>
      <c r="AA87" s="5"/>
      <c r="AB87" s="5"/>
      <c r="AC87" s="5"/>
      <c r="AD87" s="5"/>
      <c r="AE87" s="5"/>
      <c r="AF87" s="5"/>
      <c r="AG87" s="5"/>
      <c r="AH87" s="5"/>
      <c r="AI87" s="5"/>
      <c r="AJ87" s="5"/>
      <c r="AK87" s="5"/>
    </row>
    <row r="88" spans="2:44" s="28" customFormat="1" x14ac:dyDescent="0.35">
      <c r="B88" s="28" t="s">
        <v>105</v>
      </c>
      <c r="G88" s="29"/>
      <c r="H88" s="47"/>
      <c r="I88" s="29"/>
      <c r="J88" s="29"/>
      <c r="K88" s="29"/>
      <c r="L88" s="47"/>
      <c r="M88" s="29"/>
      <c r="N88" s="29"/>
      <c r="O88" s="29"/>
      <c r="P88" s="47"/>
      <c r="Q88" s="29"/>
      <c r="R88" s="29"/>
      <c r="S88" s="29"/>
      <c r="T88" s="47"/>
      <c r="U88" s="29"/>
      <c r="V88" s="29"/>
      <c r="W88" s="29"/>
      <c r="X88" s="29"/>
      <c r="Y88" s="29"/>
      <c r="Z88" s="29"/>
      <c r="AA88" s="29"/>
      <c r="AB88" s="29"/>
      <c r="AC88" s="29"/>
      <c r="AD88" s="29"/>
      <c r="AE88" s="29"/>
      <c r="AF88" s="29"/>
      <c r="AG88" s="29"/>
      <c r="AH88" s="29"/>
      <c r="AI88" s="29"/>
      <c r="AJ88" s="29"/>
      <c r="AK88" s="29"/>
    </row>
    <row r="89" spans="2:44" s="1" customFormat="1" x14ac:dyDescent="0.35">
      <c r="B89" s="1" t="s">
        <v>106</v>
      </c>
      <c r="F89" s="1">
        <f t="shared" ref="F89:O89" si="81">F71/F69</f>
        <v>-2.6010610079575596</v>
      </c>
      <c r="G89" s="1">
        <f t="shared" si="81"/>
        <v>-1.4336488119210633</v>
      </c>
      <c r="H89" s="41">
        <f t="shared" si="81"/>
        <v>5.0163004961020556</v>
      </c>
      <c r="I89" s="1">
        <f t="shared" si="81"/>
        <v>3.4628501827040195</v>
      </c>
      <c r="J89" s="1">
        <f t="shared" si="81"/>
        <v>-1.1395871817524696</v>
      </c>
      <c r="K89" s="1">
        <f t="shared" si="81"/>
        <v>1.7906941950927588</v>
      </c>
      <c r="L89" s="41">
        <f t="shared" si="81"/>
        <v>3.6082998661311914</v>
      </c>
      <c r="M89" s="1">
        <f t="shared" si="81"/>
        <v>3.8654699475594998</v>
      </c>
      <c r="N89" s="1">
        <f t="shared" si="81"/>
        <v>2.0677926065902916</v>
      </c>
      <c r="O89" s="1">
        <f t="shared" si="81"/>
        <v>8.2065573770491795</v>
      </c>
      <c r="P89" s="41">
        <f t="shared" ref="P89:R89" si="82">P71/P69</f>
        <v>3.760421582507472</v>
      </c>
      <c r="Q89" s="1">
        <f t="shared" si="82"/>
        <v>2.1267045843897758</v>
      </c>
      <c r="R89" s="1">
        <f t="shared" si="82"/>
        <v>1.7789804235985835</v>
      </c>
      <c r="T89" s="41"/>
      <c r="AG89" s="1">
        <f>AG71/AG69</f>
        <v>-1.61986967927562</v>
      </c>
      <c r="AH89" s="1">
        <f>AH71/AH69</f>
        <v>-22.062863180137349</v>
      </c>
      <c r="AI89" s="1">
        <f>AI71/AI69</f>
        <v>3.4317008952080044</v>
      </c>
      <c r="AJ89" s="1">
        <f t="shared" ref="AJ89:AR89" si="83">AJ71/AJ69</f>
        <v>2.3158201871267678</v>
      </c>
      <c r="AK89" s="1" t="e">
        <f t="shared" si="83"/>
        <v>#DIV/0!</v>
      </c>
      <c r="AL89" s="1" t="e">
        <f t="shared" si="83"/>
        <v>#DIV/0!</v>
      </c>
      <c r="AM89" s="1" t="e">
        <f t="shared" si="83"/>
        <v>#DIV/0!</v>
      </c>
      <c r="AN89" s="1" t="e">
        <f t="shared" si="83"/>
        <v>#DIV/0!</v>
      </c>
      <c r="AO89" s="1" t="e">
        <f t="shared" si="83"/>
        <v>#DIV/0!</v>
      </c>
      <c r="AP89" s="1" t="e">
        <f t="shared" si="83"/>
        <v>#DIV/0!</v>
      </c>
      <c r="AQ89" s="1" t="e">
        <f t="shared" si="83"/>
        <v>#DIV/0!</v>
      </c>
      <c r="AR89" s="1" t="e">
        <f t="shared" si="83"/>
        <v>#DIV/0!</v>
      </c>
    </row>
    <row r="90" spans="2:44" s="1" customFormat="1" x14ac:dyDescent="0.35">
      <c r="B90" s="1" t="s">
        <v>107</v>
      </c>
      <c r="F90" s="1">
        <f t="shared" ref="F90:O90" si="84">F72/F69</f>
        <v>-3.2132625994694961</v>
      </c>
      <c r="G90" s="1">
        <f t="shared" si="84"/>
        <v>-1.8058799838904551</v>
      </c>
      <c r="H90" s="41">
        <f t="shared" si="84"/>
        <v>4.6945428773919202</v>
      </c>
      <c r="I90" s="1">
        <f t="shared" si="84"/>
        <v>2.8696711327649207</v>
      </c>
      <c r="J90" s="1">
        <f t="shared" si="84"/>
        <v>-2.06047707011485</v>
      </c>
      <c r="K90" s="1">
        <f t="shared" si="84"/>
        <v>2.8497905445840814</v>
      </c>
      <c r="L90" s="41">
        <f t="shared" si="84"/>
        <v>6.1788487282463187</v>
      </c>
      <c r="M90" s="1">
        <f t="shared" si="84"/>
        <v>3.8225090762404195</v>
      </c>
      <c r="N90" s="1">
        <f t="shared" si="84"/>
        <v>2.711822369198063</v>
      </c>
      <c r="O90" s="1">
        <f t="shared" si="84"/>
        <v>13.133879781420765</v>
      </c>
      <c r="P90" s="41">
        <f t="shared" ref="P90:R90" si="85">P72/P69</f>
        <v>4.4783703004561897</v>
      </c>
      <c r="Q90" s="1">
        <f t="shared" si="85"/>
        <v>1.9678613033646268</v>
      </c>
      <c r="R90" s="1">
        <f t="shared" si="85"/>
        <v>1.8173314625509454</v>
      </c>
      <c r="T90" s="41"/>
      <c r="AG90" s="1">
        <f>AG72/AG69</f>
        <v>-2.0303799610730304</v>
      </c>
      <c r="AH90" s="1">
        <f>AH72/AH69</f>
        <v>-30.847860538827259</v>
      </c>
      <c r="AI90" s="1">
        <f>AI72/AI69</f>
        <v>4.6880463401790413</v>
      </c>
      <c r="AJ90" s="1">
        <f t="shared" ref="AJ90:AR90" si="86">AJ72/AJ69</f>
        <v>2.1450135190336321</v>
      </c>
      <c r="AK90" s="1" t="e">
        <f t="shared" si="86"/>
        <v>#DIV/0!</v>
      </c>
      <c r="AL90" s="1" t="e">
        <f t="shared" si="86"/>
        <v>#DIV/0!</v>
      </c>
      <c r="AM90" s="1" t="e">
        <f t="shared" si="86"/>
        <v>#DIV/0!</v>
      </c>
      <c r="AN90" s="1" t="e">
        <f t="shared" si="86"/>
        <v>#DIV/0!</v>
      </c>
      <c r="AO90" s="1" t="e">
        <f t="shared" si="86"/>
        <v>#DIV/0!</v>
      </c>
      <c r="AP90" s="1" t="e">
        <f t="shared" si="86"/>
        <v>#DIV/0!</v>
      </c>
      <c r="AQ90" s="1" t="e">
        <f t="shared" si="86"/>
        <v>#DIV/0!</v>
      </c>
      <c r="AR90" s="1" t="e">
        <f t="shared" si="86"/>
        <v>#DIV/0!</v>
      </c>
    </row>
    <row r="91" spans="2:44" s="1" customFormat="1" x14ac:dyDescent="0.35">
      <c r="H91" s="41"/>
      <c r="L91" s="41"/>
      <c r="P91" s="41"/>
      <c r="T91" s="41"/>
    </row>
    <row r="92" spans="2:44" x14ac:dyDescent="0.35">
      <c r="G92" s="5"/>
      <c r="H92" s="37"/>
      <c r="I92" s="5"/>
      <c r="J92" s="5"/>
      <c r="K92" s="5"/>
      <c r="L92" s="37"/>
      <c r="M92" s="5"/>
      <c r="N92" s="5"/>
      <c r="O92" s="5"/>
      <c r="P92" s="37"/>
      <c r="Q92" s="5"/>
      <c r="R92" s="5"/>
      <c r="S92" s="5"/>
      <c r="T92" s="37"/>
      <c r="U92" s="5"/>
      <c r="V92" s="5"/>
      <c r="W92" s="5"/>
      <c r="X92" s="5"/>
      <c r="Y92" s="5"/>
      <c r="Z92" s="5"/>
      <c r="AA92" s="5"/>
      <c r="AB92" s="5"/>
      <c r="AC92" s="5"/>
      <c r="AD92" s="5"/>
      <c r="AE92" s="5"/>
      <c r="AF92" s="5"/>
      <c r="AG92" s="5"/>
      <c r="AH92" s="5"/>
      <c r="AI92" s="5"/>
      <c r="AJ92" s="5"/>
      <c r="AK92" s="5"/>
    </row>
    <row r="93" spans="2:44" x14ac:dyDescent="0.35">
      <c r="G93" s="5"/>
      <c r="H93" s="37"/>
      <c r="I93" s="5"/>
      <c r="J93" s="5"/>
      <c r="K93" s="5"/>
      <c r="L93" s="37"/>
      <c r="M93" s="5"/>
      <c r="N93" s="5"/>
      <c r="O93" s="5"/>
      <c r="P93" s="37"/>
      <c r="Q93" s="5"/>
      <c r="R93" s="5"/>
      <c r="S93" s="5"/>
      <c r="T93" s="37"/>
      <c r="U93" s="5"/>
      <c r="V93" s="5"/>
      <c r="W93" s="5"/>
      <c r="X93" s="5"/>
      <c r="Y93" s="5"/>
      <c r="Z93" s="5"/>
      <c r="AA93" s="5"/>
      <c r="AB93" s="5"/>
      <c r="AC93" s="5"/>
      <c r="AD93" s="5"/>
      <c r="AE93" s="5"/>
      <c r="AF93" s="5"/>
      <c r="AG93" s="5"/>
      <c r="AH93" s="5"/>
      <c r="AI93" s="5"/>
      <c r="AJ93" s="5"/>
      <c r="AK93" s="5"/>
    </row>
    <row r="94" spans="2:44" x14ac:dyDescent="0.35">
      <c r="B94" t="s">
        <v>108</v>
      </c>
      <c r="G94" s="5"/>
      <c r="H94" s="37"/>
      <c r="I94" s="5"/>
      <c r="J94" s="5"/>
      <c r="K94" s="5"/>
      <c r="L94" s="37"/>
      <c r="M94" s="5"/>
      <c r="N94" s="5"/>
      <c r="O94" s="5"/>
      <c r="P94" s="37"/>
      <c r="Q94" s="5"/>
      <c r="R94" s="5"/>
      <c r="S94" s="5"/>
      <c r="T94" s="37"/>
      <c r="U94" s="5"/>
      <c r="V94" s="5"/>
      <c r="W94" s="5"/>
      <c r="X94" s="5"/>
      <c r="Y94" s="5"/>
      <c r="Z94" s="5"/>
      <c r="AA94" s="5"/>
      <c r="AB94" s="5"/>
      <c r="AC94" s="5"/>
      <c r="AD94" s="5"/>
      <c r="AE94" s="5"/>
      <c r="AF94" s="5"/>
      <c r="AG94" s="5"/>
      <c r="AH94" s="5"/>
      <c r="AI94" s="5"/>
      <c r="AJ94" s="5"/>
      <c r="AK94" s="5"/>
    </row>
    <row r="95" spans="2:44" x14ac:dyDescent="0.35">
      <c r="B95" t="s">
        <v>109</v>
      </c>
      <c r="F95" s="11">
        <f t="shared" ref="F95:O95" si="87">F69/F67</f>
        <v>-0.17666354264292408</v>
      </c>
      <c r="G95" s="11">
        <f t="shared" si="87"/>
        <v>-0.40555328705594118</v>
      </c>
      <c r="H95" s="42">
        <f t="shared" si="87"/>
        <v>7.7561565523306952E-2</v>
      </c>
      <c r="I95" s="11">
        <f t="shared" si="87"/>
        <v>0.21835106382978722</v>
      </c>
      <c r="J95" s="11">
        <f t="shared" si="87"/>
        <v>-2.3550217514658596</v>
      </c>
      <c r="K95" s="11">
        <f t="shared" si="87"/>
        <v>0.24324914477036175</v>
      </c>
      <c r="L95" s="42">
        <f t="shared" si="87"/>
        <v>9.1762277964769184E-2</v>
      </c>
      <c r="M95" s="11">
        <f t="shared" si="87"/>
        <v>8.937520279770704E-2</v>
      </c>
      <c r="N95" s="11">
        <f t="shared" si="87"/>
        <v>0.13427533818608561</v>
      </c>
      <c r="O95" s="11">
        <f t="shared" si="87"/>
        <v>3.5354120783586414E-2</v>
      </c>
      <c r="P95" s="42">
        <f t="shared" ref="P95:Q95" si="88">P69/P67</f>
        <v>0.11580289643865561</v>
      </c>
      <c r="Q95" s="11">
        <f t="shared" si="88"/>
        <v>0.23520025787734708</v>
      </c>
      <c r="R95" s="11">
        <f t="shared" ref="R95:U95" si="89">R69/R67</f>
        <v>0.22120571673489897</v>
      </c>
      <c r="S95" s="11">
        <f t="shared" si="89"/>
        <v>0.25823873581037154</v>
      </c>
      <c r="T95" s="42">
        <f t="shared" si="89"/>
        <v>0.26058835577306583</v>
      </c>
      <c r="U95" s="11" t="e">
        <f t="shared" si="89"/>
        <v>#DIV/0!</v>
      </c>
      <c r="V95" s="11" t="e">
        <f t="shared" ref="V95:Y95" si="90">V69/V67</f>
        <v>#DIV/0!</v>
      </c>
      <c r="W95" s="11" t="e">
        <f t="shared" si="90"/>
        <v>#DIV/0!</v>
      </c>
      <c r="X95" s="11" t="e">
        <f t="shared" si="90"/>
        <v>#DIV/0!</v>
      </c>
      <c r="Y95" s="11" t="e">
        <f t="shared" si="90"/>
        <v>#DIV/0!</v>
      </c>
      <c r="Z95" s="5"/>
      <c r="AA95" s="5"/>
      <c r="AB95" s="5"/>
      <c r="AC95" s="5"/>
      <c r="AD95" s="5"/>
      <c r="AE95" s="5"/>
      <c r="AF95" s="5"/>
      <c r="AG95" s="5"/>
      <c r="AH95" s="5"/>
      <c r="AI95" s="5"/>
      <c r="AJ95" s="5"/>
      <c r="AK95" s="5"/>
    </row>
    <row r="96" spans="2:44" x14ac:dyDescent="0.35">
      <c r="B96" t="s">
        <v>110</v>
      </c>
      <c r="F96" s="11">
        <f t="shared" ref="F96:O96" si="91">F81/F67</f>
        <v>-1.1813495782567947</v>
      </c>
      <c r="G96" s="11">
        <f t="shared" si="91"/>
        <v>-1.7313189056757861</v>
      </c>
      <c r="H96" s="42">
        <f t="shared" si="91"/>
        <v>-0.87302110817941958</v>
      </c>
      <c r="I96" s="11">
        <f t="shared" si="91"/>
        <v>-1.4773936170212767</v>
      </c>
      <c r="J96" s="11">
        <f t="shared" si="91"/>
        <v>-16.638736523548324</v>
      </c>
      <c r="K96" s="11">
        <f t="shared" si="91"/>
        <v>0.11631123080282407</v>
      </c>
      <c r="L96" s="42">
        <f t="shared" si="91"/>
        <v>-0.6561924182492691</v>
      </c>
      <c r="M96" s="11">
        <f t="shared" si="91"/>
        <v>-0.67449616036341353</v>
      </c>
      <c r="N96" s="11">
        <f t="shared" si="91"/>
        <v>-0.54886848406996847</v>
      </c>
      <c r="O96" s="11">
        <f t="shared" si="91"/>
        <v>-0.71882848421622036</v>
      </c>
      <c r="P96" s="42">
        <f t="shared" ref="P96:Q96" si="92">P81/P67</f>
        <v>-0.83098642863648786</v>
      </c>
      <c r="Q96" s="11">
        <f t="shared" si="92"/>
        <v>-0.73960834877911197</v>
      </c>
      <c r="R96" s="11">
        <f t="shared" ref="R96:U96" si="93">R81/R67</f>
        <v>-0.5995773045033328</v>
      </c>
      <c r="S96" s="11">
        <f t="shared" si="93"/>
        <v>-0.84174292810588258</v>
      </c>
      <c r="T96" s="42">
        <f t="shared" si="93"/>
        <v>-0.47710931689070468</v>
      </c>
      <c r="U96" s="11" t="e">
        <f t="shared" si="93"/>
        <v>#DIV/0!</v>
      </c>
      <c r="V96" s="11" t="e">
        <f t="shared" ref="V96:Y96" si="94">V81/V67</f>
        <v>#DIV/0!</v>
      </c>
      <c r="W96" s="11" t="e">
        <f t="shared" si="94"/>
        <v>#DIV/0!</v>
      </c>
      <c r="X96" s="11" t="e">
        <f t="shared" si="94"/>
        <v>#DIV/0!</v>
      </c>
      <c r="Y96" s="11" t="e">
        <f t="shared" si="94"/>
        <v>#DIV/0!</v>
      </c>
      <c r="Z96" s="5"/>
      <c r="AA96" s="5"/>
      <c r="AB96" s="5"/>
      <c r="AC96" s="5"/>
      <c r="AD96" s="5"/>
      <c r="AE96" s="5"/>
      <c r="AF96" s="5"/>
      <c r="AG96" s="5"/>
      <c r="AH96" s="5"/>
      <c r="AI96" s="5"/>
      <c r="AJ96" s="5"/>
      <c r="AK96" s="5"/>
    </row>
    <row r="97" spans="2:40" x14ac:dyDescent="0.35">
      <c r="F97" s="11"/>
      <c r="G97" s="11"/>
      <c r="H97" s="42"/>
      <c r="I97" s="11"/>
      <c r="J97" s="11"/>
      <c r="K97" s="11"/>
      <c r="L97" s="42"/>
      <c r="M97" s="11"/>
      <c r="N97" s="11"/>
      <c r="O97" s="11"/>
      <c r="P97" s="42"/>
      <c r="Q97" s="5"/>
      <c r="R97" s="5"/>
      <c r="S97" s="5"/>
      <c r="T97" s="37"/>
      <c r="U97" s="5"/>
      <c r="V97" s="5"/>
      <c r="W97" s="5"/>
      <c r="X97" s="5"/>
      <c r="Y97" s="5"/>
      <c r="Z97" s="5"/>
      <c r="AA97" s="5"/>
      <c r="AB97" s="5"/>
      <c r="AC97" s="5"/>
      <c r="AD97" s="5"/>
      <c r="AE97" s="5"/>
      <c r="AF97" s="5"/>
      <c r="AG97" s="5"/>
      <c r="AH97" s="5"/>
      <c r="AI97" s="5"/>
      <c r="AJ97" s="5"/>
      <c r="AK97" s="5"/>
    </row>
    <row r="98" spans="2:40" x14ac:dyDescent="0.35">
      <c r="F98" s="11"/>
      <c r="G98" s="11"/>
      <c r="H98" s="42"/>
      <c r="I98" s="11"/>
      <c r="J98" s="11"/>
      <c r="K98" s="11"/>
      <c r="L98" s="42"/>
      <c r="M98" s="11"/>
      <c r="N98" s="11"/>
      <c r="O98" s="11"/>
      <c r="P98" s="42"/>
      <c r="Q98" s="5"/>
      <c r="R98" s="5"/>
      <c r="S98" s="5"/>
      <c r="T98" s="37"/>
      <c r="U98" s="5"/>
      <c r="V98" s="5"/>
      <c r="W98" s="5"/>
      <c r="X98" s="5"/>
      <c r="Y98" s="5"/>
      <c r="Z98" s="5"/>
      <c r="AA98" s="5"/>
      <c r="AB98" s="5"/>
      <c r="AC98" s="5"/>
      <c r="AD98" s="5"/>
      <c r="AE98" s="5"/>
      <c r="AF98" s="5"/>
      <c r="AG98" s="11"/>
      <c r="AH98" s="5"/>
      <c r="AI98" s="5"/>
      <c r="AJ98" s="5"/>
      <c r="AK98" s="5"/>
    </row>
    <row r="99" spans="2:40" x14ac:dyDescent="0.35">
      <c r="G99" s="5"/>
      <c r="H99" s="37"/>
      <c r="I99" s="5"/>
      <c r="J99" s="5"/>
      <c r="K99" s="5"/>
      <c r="L99" s="37"/>
      <c r="M99" s="5"/>
      <c r="N99" s="5"/>
      <c r="O99" s="5"/>
      <c r="P99" s="37"/>
      <c r="Q99" s="5"/>
      <c r="R99" s="5"/>
      <c r="S99" s="5"/>
      <c r="T99" s="37"/>
      <c r="U99" s="5"/>
      <c r="V99" s="5"/>
      <c r="W99" s="5"/>
      <c r="X99" s="5"/>
      <c r="Y99" s="5"/>
      <c r="Z99" s="5"/>
      <c r="AA99" s="5"/>
      <c r="AB99" s="5"/>
      <c r="AC99" s="5"/>
      <c r="AD99" s="5"/>
      <c r="AE99" s="5"/>
      <c r="AF99" s="5"/>
      <c r="AG99" s="5"/>
      <c r="AH99" s="5"/>
      <c r="AI99" s="5"/>
      <c r="AJ99" s="5"/>
      <c r="AK99" s="5"/>
    </row>
    <row r="100" spans="2:40" x14ac:dyDescent="0.35">
      <c r="G100" s="5"/>
      <c r="H100" s="37"/>
      <c r="I100" s="5"/>
      <c r="J100" s="5"/>
      <c r="K100" s="5"/>
      <c r="L100" s="37"/>
      <c r="M100" s="5"/>
      <c r="N100" s="5"/>
      <c r="O100" s="5"/>
      <c r="P100" s="37"/>
      <c r="Q100" s="5"/>
      <c r="R100" s="5"/>
      <c r="S100" s="5"/>
      <c r="T100" s="37"/>
      <c r="U100" s="5"/>
      <c r="V100" s="5"/>
      <c r="W100" s="5"/>
      <c r="X100" s="5"/>
      <c r="Y100" s="5"/>
      <c r="Z100" s="5"/>
      <c r="AA100" s="5"/>
      <c r="AB100" s="5"/>
      <c r="AC100" s="5"/>
      <c r="AD100" s="5"/>
      <c r="AE100" s="5"/>
      <c r="AF100" s="5"/>
      <c r="AG100" s="5"/>
      <c r="AH100" s="5"/>
      <c r="AI100" s="5"/>
      <c r="AJ100" s="5"/>
      <c r="AK100" s="5"/>
    </row>
    <row r="101" spans="2:40" x14ac:dyDescent="0.35">
      <c r="G101" s="5"/>
      <c r="H101" s="37"/>
      <c r="I101" s="5"/>
      <c r="J101" s="5"/>
      <c r="K101" s="5"/>
      <c r="L101" s="37"/>
      <c r="M101" s="5"/>
      <c r="N101" s="5"/>
      <c r="O101" s="5"/>
      <c r="P101" s="37"/>
      <c r="Q101" s="5"/>
      <c r="R101" s="5"/>
      <c r="S101" s="5"/>
      <c r="T101" s="37"/>
      <c r="U101" s="5"/>
      <c r="V101" s="5"/>
      <c r="W101" s="5"/>
      <c r="X101" s="5"/>
      <c r="Y101" s="5"/>
      <c r="Z101" s="5"/>
      <c r="AA101" s="5"/>
      <c r="AB101" s="5"/>
      <c r="AC101" s="5"/>
      <c r="AD101" s="5"/>
      <c r="AE101" s="5"/>
      <c r="AF101" s="5"/>
      <c r="AG101" s="5"/>
      <c r="AH101" s="5"/>
      <c r="AI101" s="5"/>
      <c r="AJ101" s="5"/>
      <c r="AK101" s="5"/>
    </row>
    <row r="102" spans="2:40" x14ac:dyDescent="0.35">
      <c r="F102" s="5"/>
      <c r="H102" s="37"/>
      <c r="I102" s="5"/>
      <c r="J102" s="5"/>
      <c r="K102" s="5"/>
      <c r="L102" s="37"/>
      <c r="M102" s="5"/>
      <c r="N102" s="5"/>
      <c r="O102" s="5"/>
      <c r="P102" s="37"/>
      <c r="Q102" s="5"/>
      <c r="R102" s="5"/>
      <c r="S102" s="5"/>
      <c r="T102" s="37"/>
      <c r="U102" s="5"/>
      <c r="V102" s="5"/>
      <c r="W102" s="5"/>
      <c r="X102" s="5"/>
      <c r="Y102" s="5"/>
      <c r="Z102" s="5"/>
      <c r="AA102" s="5"/>
      <c r="AB102" s="5"/>
      <c r="AC102" s="5"/>
      <c r="AD102" s="5"/>
      <c r="AE102" s="5"/>
      <c r="AF102" s="5"/>
      <c r="AG102" s="5"/>
      <c r="AH102" s="5"/>
      <c r="AI102" s="5"/>
      <c r="AJ102" s="5"/>
      <c r="AK102" s="5"/>
    </row>
    <row r="103" spans="2:40" s="4" customFormat="1" x14ac:dyDescent="0.35">
      <c r="B103" s="4" t="s">
        <v>181</v>
      </c>
      <c r="H103" s="44"/>
      <c r="I103" s="7"/>
      <c r="J103" s="7"/>
      <c r="K103" s="7"/>
      <c r="L103" s="44"/>
      <c r="M103" s="7"/>
      <c r="N103" s="7"/>
      <c r="O103" s="7"/>
      <c r="P103" s="44"/>
      <c r="Q103" s="7"/>
      <c r="R103" s="7"/>
      <c r="S103" s="7"/>
      <c r="T103" s="44"/>
      <c r="U103" s="7"/>
      <c r="V103" s="7"/>
      <c r="W103" s="7"/>
      <c r="X103" s="7"/>
      <c r="Y103" s="7"/>
      <c r="Z103" s="7"/>
      <c r="AA103" s="7"/>
      <c r="AB103" s="7"/>
      <c r="AC103" s="7"/>
      <c r="AD103" s="7"/>
      <c r="AE103" s="7"/>
      <c r="AF103" s="7"/>
      <c r="AG103" s="7"/>
      <c r="AH103" s="7"/>
      <c r="AI103" s="7"/>
      <c r="AJ103" s="7"/>
      <c r="AK103" s="7"/>
    </row>
    <row r="104" spans="2:40" s="30" customFormat="1" x14ac:dyDescent="0.35">
      <c r="B104" s="28" t="s">
        <v>111</v>
      </c>
      <c r="C104" s="28"/>
      <c r="D104" s="28"/>
      <c r="E104" s="28"/>
      <c r="H104" s="48"/>
      <c r="I104" s="31"/>
      <c r="J104" s="31"/>
      <c r="K104" s="31"/>
      <c r="L104" s="48"/>
      <c r="M104" s="31"/>
      <c r="N104" s="31"/>
      <c r="O104" s="31"/>
      <c r="P104" s="48"/>
      <c r="Q104" s="31"/>
      <c r="R104" s="31"/>
      <c r="S104" s="31"/>
      <c r="T104" s="48"/>
      <c r="U104" s="31"/>
      <c r="V104" s="31"/>
      <c r="W104" s="31"/>
      <c r="X104" s="31"/>
      <c r="Y104" s="31"/>
      <c r="Z104" s="31"/>
      <c r="AA104" s="31"/>
      <c r="AB104" s="31"/>
      <c r="AC104" s="31"/>
      <c r="AD104" s="31"/>
      <c r="AE104" s="31"/>
      <c r="AF104" s="31"/>
      <c r="AG104" s="31"/>
      <c r="AH104" s="31"/>
      <c r="AI104" s="31"/>
      <c r="AJ104" s="31"/>
      <c r="AK104" s="31"/>
    </row>
    <row r="105" spans="2:40" x14ac:dyDescent="0.35">
      <c r="B105" t="s">
        <v>112</v>
      </c>
      <c r="F105" s="5">
        <v>924.37</v>
      </c>
      <c r="G105" s="5">
        <f t="shared" ref="G105:G110" si="95">AG105</f>
        <v>865.90300000000002</v>
      </c>
      <c r="H105" s="37">
        <v>425.45299999999997</v>
      </c>
      <c r="I105" s="5">
        <v>44.845999999999997</v>
      </c>
      <c r="J105" s="5">
        <v>792660</v>
      </c>
      <c r="K105" s="5">
        <v>690959</v>
      </c>
      <c r="L105" s="37">
        <v>603144</v>
      </c>
      <c r="M105" s="5">
        <v>542511</v>
      </c>
      <c r="N105" s="5">
        <v>333279</v>
      </c>
      <c r="O105" s="5">
        <f t="shared" ref="O105:O110" si="96">AI105</f>
        <v>242515</v>
      </c>
      <c r="P105" s="37">
        <v>208365</v>
      </c>
      <c r="Q105" s="5">
        <v>197160</v>
      </c>
      <c r="R105" s="5">
        <v>140904</v>
      </c>
      <c r="S105" s="5">
        <f t="shared" ref="S105:S111" si="97">AJ105</f>
        <v>162518</v>
      </c>
      <c r="T105" s="37">
        <v>365929</v>
      </c>
      <c r="U105" s="5"/>
      <c r="V105" s="5"/>
      <c r="W105" s="5"/>
      <c r="X105" s="5"/>
      <c r="Y105" s="5"/>
      <c r="Z105" s="5"/>
      <c r="AA105" s="5"/>
      <c r="AB105" s="5"/>
      <c r="AC105" s="5"/>
      <c r="AD105" s="5"/>
      <c r="AE105" s="5"/>
      <c r="AF105" s="5"/>
      <c r="AG105" s="5">
        <v>865.90300000000002</v>
      </c>
      <c r="AH105" s="5">
        <v>690959</v>
      </c>
      <c r="AI105" s="5">
        <v>242515</v>
      </c>
      <c r="AJ105" s="5">
        <v>162518</v>
      </c>
      <c r="AK105" s="5"/>
    </row>
    <row r="106" spans="2:40" x14ac:dyDescent="0.35">
      <c r="B106" t="s">
        <v>113</v>
      </c>
      <c r="F106" s="5">
        <v>0</v>
      </c>
      <c r="G106" s="5">
        <f t="shared" si="95"/>
        <v>0</v>
      </c>
      <c r="H106" s="37">
        <v>0</v>
      </c>
      <c r="I106" s="5">
        <v>0</v>
      </c>
      <c r="J106" s="5">
        <v>0</v>
      </c>
      <c r="K106" s="5">
        <v>0</v>
      </c>
      <c r="L106" s="37">
        <v>0</v>
      </c>
      <c r="M106" s="5">
        <v>0</v>
      </c>
      <c r="N106" s="5">
        <v>169428</v>
      </c>
      <c r="O106" s="5">
        <f t="shared" si="96"/>
        <v>229276</v>
      </c>
      <c r="P106" s="37">
        <v>190357</v>
      </c>
      <c r="Q106" s="5">
        <v>144018</v>
      </c>
      <c r="R106" s="5">
        <v>147513</v>
      </c>
      <c r="S106" s="5">
        <f t="shared" si="97"/>
        <v>82255</v>
      </c>
      <c r="T106" s="37">
        <v>126593</v>
      </c>
      <c r="U106" s="5"/>
      <c r="V106" s="5"/>
      <c r="W106" s="5"/>
      <c r="X106" s="5"/>
      <c r="Y106" s="5"/>
      <c r="Z106" s="5"/>
      <c r="AA106" s="5"/>
      <c r="AB106" s="5"/>
      <c r="AC106" s="5"/>
      <c r="AD106" s="5"/>
      <c r="AE106" s="5"/>
      <c r="AF106" s="5"/>
      <c r="AG106" s="5">
        <v>0</v>
      </c>
      <c r="AH106" s="5">
        <v>0</v>
      </c>
      <c r="AI106" s="5">
        <v>229276</v>
      </c>
      <c r="AJ106" s="5">
        <v>82255</v>
      </c>
      <c r="AK106" s="5"/>
    </row>
    <row r="107" spans="2:40" x14ac:dyDescent="0.35">
      <c r="B107" t="s">
        <v>114</v>
      </c>
      <c r="F107" s="5">
        <v>0</v>
      </c>
      <c r="G107" s="5">
        <f t="shared" si="95"/>
        <v>0</v>
      </c>
      <c r="H107" s="37">
        <v>0</v>
      </c>
      <c r="I107" s="5">
        <v>0</v>
      </c>
      <c r="J107" s="5">
        <v>13336</v>
      </c>
      <c r="K107" s="5">
        <v>13957</v>
      </c>
      <c r="L107" s="37">
        <v>32990</v>
      </c>
      <c r="M107" s="5">
        <v>40183</v>
      </c>
      <c r="N107" s="5">
        <v>57732</v>
      </c>
      <c r="O107" s="5">
        <f t="shared" si="96"/>
        <v>36572</v>
      </c>
      <c r="P107" s="37">
        <v>50690</v>
      </c>
      <c r="Q107" s="5">
        <v>25175</v>
      </c>
      <c r="R107" s="5">
        <v>22787</v>
      </c>
      <c r="S107" s="5">
        <f t="shared" si="97"/>
        <v>35176</v>
      </c>
      <c r="T107" s="37">
        <v>31167</v>
      </c>
      <c r="U107" s="5"/>
      <c r="V107" s="5"/>
      <c r="W107" s="5"/>
      <c r="X107" s="5"/>
      <c r="Y107" s="5"/>
      <c r="Z107" s="5"/>
      <c r="AA107" s="5"/>
      <c r="AB107" s="5"/>
      <c r="AC107" s="5"/>
      <c r="AD107" s="5"/>
      <c r="AE107" s="5"/>
      <c r="AF107" s="5"/>
      <c r="AG107" s="5">
        <v>0</v>
      </c>
      <c r="AH107" s="5">
        <v>13957</v>
      </c>
      <c r="AI107" s="5">
        <v>36572</v>
      </c>
      <c r="AJ107" s="5">
        <v>35176</v>
      </c>
      <c r="AK107" s="5"/>
    </row>
    <row r="108" spans="2:40" x14ac:dyDescent="0.35">
      <c r="B108" t="s">
        <v>115</v>
      </c>
      <c r="F108" s="5">
        <v>0</v>
      </c>
      <c r="G108" s="5">
        <f t="shared" si="95"/>
        <v>0</v>
      </c>
      <c r="H108" s="37">
        <v>0</v>
      </c>
      <c r="I108" s="5">
        <v>0</v>
      </c>
      <c r="J108" s="5">
        <v>73</v>
      </c>
      <c r="K108" s="5">
        <v>2490</v>
      </c>
      <c r="L108" s="37">
        <v>5853</v>
      </c>
      <c r="M108" s="5">
        <v>4393</v>
      </c>
      <c r="N108" s="5">
        <v>9063</v>
      </c>
      <c r="O108" s="5">
        <f t="shared" si="96"/>
        <v>9451</v>
      </c>
      <c r="P108" s="37">
        <v>12558</v>
      </c>
      <c r="Q108" s="5">
        <v>16714</v>
      </c>
      <c r="R108" s="5">
        <v>13042</v>
      </c>
      <c r="S108" s="5">
        <f t="shared" si="97"/>
        <v>12951</v>
      </c>
      <c r="T108" s="37">
        <v>14895</v>
      </c>
      <c r="U108" s="5"/>
      <c r="V108" s="5"/>
      <c r="W108" s="5"/>
      <c r="X108" s="5"/>
      <c r="Y108" s="5"/>
      <c r="Z108" s="5"/>
      <c r="AA108" s="5"/>
      <c r="AB108" s="5"/>
      <c r="AC108" s="5"/>
      <c r="AD108" s="5"/>
      <c r="AE108" s="5"/>
      <c r="AF108" s="5"/>
      <c r="AG108" s="5">
        <v>0</v>
      </c>
      <c r="AH108" s="5">
        <v>2490</v>
      </c>
      <c r="AI108" s="5">
        <v>9451</v>
      </c>
      <c r="AJ108" s="5">
        <v>12951</v>
      </c>
      <c r="AK108" s="5"/>
    </row>
    <row r="109" spans="2:40" x14ac:dyDescent="0.35">
      <c r="B109" t="s">
        <v>116</v>
      </c>
      <c r="F109" s="5">
        <v>0</v>
      </c>
      <c r="G109" s="5">
        <f t="shared" si="95"/>
        <v>0</v>
      </c>
      <c r="H109" s="37">
        <v>0</v>
      </c>
      <c r="I109" s="5">
        <v>0</v>
      </c>
      <c r="J109" s="5">
        <v>38365</v>
      </c>
      <c r="K109" s="5">
        <v>47904</v>
      </c>
      <c r="L109" s="37">
        <v>77888</v>
      </c>
      <c r="M109" s="5">
        <v>85683</v>
      </c>
      <c r="N109" s="5">
        <v>86138</v>
      </c>
      <c r="O109" s="5">
        <f t="shared" si="96"/>
        <v>92279</v>
      </c>
      <c r="P109" s="37">
        <v>98453</v>
      </c>
      <c r="Q109" s="5">
        <v>102234</v>
      </c>
      <c r="R109" s="5">
        <v>102394</v>
      </c>
      <c r="S109" s="5">
        <f t="shared" si="97"/>
        <v>107857</v>
      </c>
      <c r="T109" s="37">
        <v>99901</v>
      </c>
      <c r="U109" s="5"/>
      <c r="V109" s="5"/>
      <c r="W109" s="5"/>
      <c r="X109" s="5"/>
      <c r="Y109" s="5"/>
      <c r="Z109" s="5"/>
      <c r="AA109" s="5"/>
      <c r="AB109" s="5"/>
      <c r="AC109" s="5"/>
      <c r="AD109" s="5"/>
      <c r="AE109" s="5"/>
      <c r="AF109" s="5"/>
      <c r="AG109" s="5">
        <v>0</v>
      </c>
      <c r="AH109" s="5">
        <v>47904</v>
      </c>
      <c r="AI109" s="5">
        <v>92279</v>
      </c>
      <c r="AJ109" s="5">
        <v>107857</v>
      </c>
      <c r="AK109" s="5"/>
    </row>
    <row r="110" spans="2:40" x14ac:dyDescent="0.35">
      <c r="B110" t="s">
        <v>117</v>
      </c>
      <c r="F110" s="5">
        <v>428150</v>
      </c>
      <c r="G110" s="5">
        <f t="shared" si="95"/>
        <v>366.64699999999999</v>
      </c>
      <c r="H110" s="5">
        <v>352.25</v>
      </c>
      <c r="I110" s="5">
        <v>284.625</v>
      </c>
      <c r="J110" s="5">
        <v>10582</v>
      </c>
      <c r="K110" s="5">
        <v>19454</v>
      </c>
      <c r="L110" s="5">
        <v>26307</v>
      </c>
      <c r="M110" s="5">
        <v>33646</v>
      </c>
      <c r="N110" s="5">
        <v>43810</v>
      </c>
      <c r="O110" s="5">
        <f t="shared" si="96"/>
        <v>52201</v>
      </c>
      <c r="P110" s="5">
        <f>63203+11630</f>
        <v>74833</v>
      </c>
      <c r="Q110" s="5">
        <f>63520+11384</f>
        <v>74904</v>
      </c>
      <c r="R110" s="5">
        <f>68341+11259</f>
        <v>79600</v>
      </c>
      <c r="S110" s="5">
        <f t="shared" si="97"/>
        <v>66949</v>
      </c>
      <c r="T110" s="37">
        <v>78606</v>
      </c>
      <c r="U110" s="5"/>
      <c r="V110" s="5"/>
      <c r="W110" s="5"/>
      <c r="X110" s="5"/>
      <c r="Y110" s="5"/>
      <c r="Z110" s="5"/>
      <c r="AA110" s="5"/>
      <c r="AB110" s="5"/>
      <c r="AC110" s="5"/>
      <c r="AD110" s="5"/>
      <c r="AE110" s="5"/>
      <c r="AF110" s="5"/>
      <c r="AG110" s="5">
        <v>366.64699999999999</v>
      </c>
      <c r="AH110" s="5">
        <v>19454</v>
      </c>
      <c r="AI110" s="5">
        <v>52201</v>
      </c>
      <c r="AJ110" s="5">
        <v>66949</v>
      </c>
      <c r="AK110" s="5"/>
    </row>
    <row r="111" spans="2:40" s="2" customFormat="1" x14ac:dyDescent="0.35">
      <c r="B111" s="2" t="s">
        <v>368</v>
      </c>
      <c r="F111" s="6">
        <v>0</v>
      </c>
      <c r="G111" s="6">
        <v>0</v>
      </c>
      <c r="H111" s="38">
        <v>0</v>
      </c>
      <c r="I111" s="6">
        <v>0</v>
      </c>
      <c r="J111" s="6">
        <v>0</v>
      </c>
      <c r="K111" s="6">
        <v>0</v>
      </c>
      <c r="L111" s="38">
        <v>0</v>
      </c>
      <c r="M111" s="6">
        <v>0</v>
      </c>
      <c r="N111" s="6">
        <v>0</v>
      </c>
      <c r="O111" s="6">
        <v>0</v>
      </c>
      <c r="P111" s="38">
        <v>0</v>
      </c>
      <c r="Q111" s="6">
        <v>0</v>
      </c>
      <c r="R111" s="6">
        <v>0</v>
      </c>
      <c r="S111" s="128">
        <f t="shared" si="97"/>
        <v>9016</v>
      </c>
      <c r="T111" s="38">
        <v>8532</v>
      </c>
      <c r="U111" s="6"/>
      <c r="V111" s="6"/>
      <c r="W111" s="6"/>
      <c r="X111" s="6"/>
      <c r="Y111" s="6"/>
      <c r="Z111" s="6"/>
      <c r="AA111" s="6"/>
      <c r="AB111" s="6"/>
      <c r="AC111" s="6"/>
      <c r="AD111" s="6"/>
      <c r="AE111" s="6"/>
      <c r="AF111" s="6"/>
      <c r="AG111" s="6">
        <v>0</v>
      </c>
      <c r="AH111" s="6">
        <v>0</v>
      </c>
      <c r="AI111" s="6">
        <v>0</v>
      </c>
      <c r="AJ111" s="6">
        <v>9016</v>
      </c>
      <c r="AK111" s="6"/>
    </row>
    <row r="112" spans="2:40" s="12" customFormat="1" x14ac:dyDescent="0.35">
      <c r="B112" s="12" t="s">
        <v>118</v>
      </c>
      <c r="F112" s="24">
        <f>SUM(F105:F111)</f>
        <v>429074.37</v>
      </c>
      <c r="G112" s="24">
        <f t="shared" ref="G112:AC112" si="98">SUM(G105:G110)</f>
        <v>1232.55</v>
      </c>
      <c r="H112" s="40">
        <f t="shared" ref="H112:N112" si="99">SUM(H105:H111)</f>
        <v>777.70299999999997</v>
      </c>
      <c r="I112" s="24">
        <f t="shared" si="99"/>
        <v>329.471</v>
      </c>
      <c r="J112" s="24">
        <f t="shared" si="99"/>
        <v>855016</v>
      </c>
      <c r="K112" s="24">
        <f t="shared" si="99"/>
        <v>774764</v>
      </c>
      <c r="L112" s="40">
        <f t="shared" si="99"/>
        <v>746182</v>
      </c>
      <c r="M112" s="24">
        <f t="shared" si="99"/>
        <v>706416</v>
      </c>
      <c r="N112" s="24">
        <f t="shared" si="99"/>
        <v>699450</v>
      </c>
      <c r="O112" s="24">
        <f t="shared" si="98"/>
        <v>662294</v>
      </c>
      <c r="P112" s="40">
        <f>SUM(P105:P111)</f>
        <v>635256</v>
      </c>
      <c r="Q112" s="24">
        <f>SUM(Q105:Q111)</f>
        <v>560205</v>
      </c>
      <c r="R112" s="24">
        <f>SUM(R105:R111)</f>
        <v>506240</v>
      </c>
      <c r="S112" s="24">
        <f>SUM(S105:S111)</f>
        <v>476722</v>
      </c>
      <c r="T112" s="24">
        <f>SUM(T105:T111)</f>
        <v>725623</v>
      </c>
      <c r="U112" s="24">
        <f t="shared" si="98"/>
        <v>0</v>
      </c>
      <c r="V112" s="24">
        <f t="shared" si="98"/>
        <v>0</v>
      </c>
      <c r="W112" s="24">
        <f t="shared" si="98"/>
        <v>0</v>
      </c>
      <c r="X112" s="24">
        <f t="shared" si="98"/>
        <v>0</v>
      </c>
      <c r="Y112" s="24">
        <f t="shared" si="98"/>
        <v>0</v>
      </c>
      <c r="Z112" s="24">
        <f t="shared" si="98"/>
        <v>0</v>
      </c>
      <c r="AA112" s="24">
        <f t="shared" si="98"/>
        <v>0</v>
      </c>
      <c r="AB112" s="24">
        <f t="shared" si="98"/>
        <v>0</v>
      </c>
      <c r="AC112" s="24">
        <f t="shared" si="98"/>
        <v>0</v>
      </c>
      <c r="AD112" s="24"/>
      <c r="AE112" s="24"/>
      <c r="AF112" s="24"/>
      <c r="AG112" s="24">
        <f>SUM(AG105:AG111)</f>
        <v>1232.55</v>
      </c>
      <c r="AH112" s="24">
        <f>SUM(AH105:AH111)</f>
        <v>774764</v>
      </c>
      <c r="AI112" s="24">
        <f>SUM(AI105:AI111)</f>
        <v>662294</v>
      </c>
      <c r="AJ112" s="24">
        <f>SUM(AJ105:AJ111)</f>
        <v>476722</v>
      </c>
      <c r="AK112" s="24">
        <f t="shared" ref="AK112:AN112" si="100">SUM(AK105:AK110)</f>
        <v>0</v>
      </c>
      <c r="AL112" s="24">
        <f t="shared" si="100"/>
        <v>0</v>
      </c>
      <c r="AM112" s="24">
        <f t="shared" si="100"/>
        <v>0</v>
      </c>
      <c r="AN112" s="24">
        <f t="shared" si="100"/>
        <v>0</v>
      </c>
    </row>
    <row r="113" spans="2:40" s="28" customFormat="1" x14ac:dyDescent="0.35">
      <c r="B113" s="28" t="s">
        <v>119</v>
      </c>
      <c r="F113" s="29"/>
      <c r="G113" s="29"/>
      <c r="H113" s="47"/>
      <c r="I113" s="29"/>
      <c r="J113" s="29"/>
      <c r="K113" s="29"/>
      <c r="L113" s="47"/>
      <c r="M113" s="29"/>
      <c r="N113" s="29"/>
      <c r="O113" s="29"/>
      <c r="P113" s="47"/>
      <c r="Q113" s="29"/>
      <c r="R113" s="29"/>
      <c r="S113" s="29"/>
      <c r="T113" s="47"/>
      <c r="U113" s="29"/>
      <c r="V113" s="29"/>
      <c r="W113" s="29"/>
      <c r="X113" s="29"/>
      <c r="Y113" s="29"/>
      <c r="Z113" s="29"/>
      <c r="AA113" s="29"/>
      <c r="AB113" s="29"/>
      <c r="AC113" s="29"/>
      <c r="AD113" s="29"/>
      <c r="AE113" s="29"/>
      <c r="AF113" s="29"/>
      <c r="AG113" s="29"/>
      <c r="AH113" s="29"/>
      <c r="AI113" s="29"/>
      <c r="AJ113" s="29"/>
      <c r="AK113" s="29"/>
    </row>
    <row r="114" spans="2:40" x14ac:dyDescent="0.35">
      <c r="B114" t="s">
        <v>120</v>
      </c>
      <c r="F114" s="5">
        <v>300000</v>
      </c>
      <c r="G114" s="5">
        <f t="shared" ref="G114:G124" si="101">AG114</f>
        <v>320004.84600000002</v>
      </c>
      <c r="H114" s="37">
        <v>320009.65600000002</v>
      </c>
      <c r="I114" s="5">
        <v>320014.51899999997</v>
      </c>
      <c r="J114" s="5">
        <v>0</v>
      </c>
      <c r="K114" s="5">
        <v>0</v>
      </c>
      <c r="L114" s="37">
        <v>0</v>
      </c>
      <c r="M114" s="5">
        <v>0</v>
      </c>
      <c r="N114" s="5">
        <v>0</v>
      </c>
      <c r="O114" s="5">
        <f t="shared" ref="O114:O124" si="102">AI114</f>
        <v>0</v>
      </c>
      <c r="P114" s="37">
        <v>0</v>
      </c>
      <c r="Q114" s="5">
        <v>0</v>
      </c>
      <c r="R114" s="5">
        <v>0</v>
      </c>
      <c r="S114" s="5">
        <f t="shared" ref="S114:S124" si="103">AJ114</f>
        <v>0</v>
      </c>
      <c r="T114" s="37">
        <v>0</v>
      </c>
      <c r="U114" s="5"/>
      <c r="V114" s="5"/>
      <c r="W114" s="5"/>
      <c r="X114" s="5"/>
      <c r="Y114" s="5"/>
      <c r="Z114" s="5"/>
      <c r="AA114" s="5"/>
      <c r="AB114" s="5"/>
      <c r="AC114" s="5"/>
      <c r="AD114" s="5"/>
      <c r="AE114" s="5"/>
      <c r="AF114" s="5"/>
      <c r="AG114" s="5">
        <v>320004.84600000002</v>
      </c>
      <c r="AH114" s="5">
        <v>0</v>
      </c>
      <c r="AI114" s="5">
        <v>0</v>
      </c>
      <c r="AJ114" s="5">
        <v>0</v>
      </c>
      <c r="AK114" s="5"/>
    </row>
    <row r="115" spans="2:40" x14ac:dyDescent="0.35">
      <c r="B115" t="s">
        <v>121</v>
      </c>
      <c r="F115" s="5">
        <v>0</v>
      </c>
      <c r="G115" s="5">
        <f t="shared" si="101"/>
        <v>0</v>
      </c>
      <c r="H115" s="37">
        <v>0</v>
      </c>
      <c r="I115" s="5">
        <v>0</v>
      </c>
      <c r="J115" s="5">
        <v>54859</v>
      </c>
      <c r="K115" s="5">
        <v>65339</v>
      </c>
      <c r="L115" s="37">
        <v>99554</v>
      </c>
      <c r="M115" s="5">
        <v>97031</v>
      </c>
      <c r="N115" s="5">
        <v>93547</v>
      </c>
      <c r="O115" s="5">
        <f t="shared" si="102"/>
        <v>101514</v>
      </c>
      <c r="P115" s="37">
        <v>95981</v>
      </c>
      <c r="Q115" s="5">
        <v>120004</v>
      </c>
      <c r="R115" s="5">
        <v>135988</v>
      </c>
      <c r="S115" s="5">
        <f t="shared" si="103"/>
        <v>145409</v>
      </c>
      <c r="T115" s="37">
        <v>148087</v>
      </c>
      <c r="U115" s="5"/>
      <c r="V115" s="5"/>
      <c r="W115" s="5"/>
      <c r="X115" s="5"/>
      <c r="Y115" s="5"/>
      <c r="Z115" s="5"/>
      <c r="AA115" s="5"/>
      <c r="AB115" s="5"/>
      <c r="AC115" s="5"/>
      <c r="AD115" s="5"/>
      <c r="AE115" s="5"/>
      <c r="AF115" s="5"/>
      <c r="AG115" s="5">
        <v>0</v>
      </c>
      <c r="AH115" s="5">
        <v>65339</v>
      </c>
      <c r="AI115" s="5">
        <v>101514</v>
      </c>
      <c r="AJ115" s="5">
        <v>145409</v>
      </c>
      <c r="AK115" s="5"/>
    </row>
    <row r="116" spans="2:40" x14ac:dyDescent="0.35">
      <c r="B116" t="s">
        <v>122</v>
      </c>
      <c r="F116" s="5">
        <v>0</v>
      </c>
      <c r="G116" s="5">
        <f t="shared" si="101"/>
        <v>0</v>
      </c>
      <c r="H116" s="37">
        <v>0</v>
      </c>
      <c r="I116" s="5">
        <v>0</v>
      </c>
      <c r="J116" s="5">
        <v>9892</v>
      </c>
      <c r="K116" s="5">
        <v>57487</v>
      </c>
      <c r="L116" s="37">
        <v>87617</v>
      </c>
      <c r="M116" s="5">
        <v>84503</v>
      </c>
      <c r="N116" s="5">
        <v>82980</v>
      </c>
      <c r="O116" s="5">
        <f t="shared" si="102"/>
        <v>79692</v>
      </c>
      <c r="P116" s="37">
        <v>76495</v>
      </c>
      <c r="Q116" s="5">
        <v>73309</v>
      </c>
      <c r="R116" s="5">
        <v>70404</v>
      </c>
      <c r="S116" s="5">
        <f t="shared" si="103"/>
        <v>68094</v>
      </c>
      <c r="T116" s="37">
        <v>66845</v>
      </c>
      <c r="U116" s="5"/>
      <c r="V116" s="5"/>
      <c r="W116" s="5"/>
      <c r="X116" s="5"/>
      <c r="Y116" s="5"/>
      <c r="Z116" s="5"/>
      <c r="AA116" s="5"/>
      <c r="AB116" s="5"/>
      <c r="AC116" s="5"/>
      <c r="AD116" s="5"/>
      <c r="AE116" s="5"/>
      <c r="AF116" s="5"/>
      <c r="AG116" s="5">
        <v>0</v>
      </c>
      <c r="AH116" s="5">
        <v>57487</v>
      </c>
      <c r="AI116" s="5">
        <v>79692</v>
      </c>
      <c r="AJ116" s="5">
        <v>68094</v>
      </c>
      <c r="AK116" s="5"/>
    </row>
    <row r="117" spans="2:40" x14ac:dyDescent="0.35">
      <c r="B117" t="s">
        <v>123</v>
      </c>
      <c r="F117" s="5">
        <v>0</v>
      </c>
      <c r="G117" s="5">
        <f t="shared" si="101"/>
        <v>0</v>
      </c>
      <c r="H117" s="37">
        <v>0</v>
      </c>
      <c r="I117" s="5">
        <v>0</v>
      </c>
      <c r="J117" s="5">
        <v>3195</v>
      </c>
      <c r="K117" s="5">
        <v>43308</v>
      </c>
      <c r="L117" s="37">
        <v>58767</v>
      </c>
      <c r="M117" s="5">
        <v>58281</v>
      </c>
      <c r="N117" s="5">
        <v>59929</v>
      </c>
      <c r="O117" s="5">
        <f t="shared" si="102"/>
        <v>71020</v>
      </c>
      <c r="P117" s="37">
        <v>71020</v>
      </c>
      <c r="Q117" s="5">
        <v>71020</v>
      </c>
      <c r="R117" s="5">
        <v>71020</v>
      </c>
      <c r="S117" s="5">
        <f t="shared" si="103"/>
        <v>71020</v>
      </c>
      <c r="T117" s="37">
        <v>71020</v>
      </c>
      <c r="U117" s="5"/>
      <c r="V117" s="5"/>
      <c r="W117" s="5"/>
      <c r="X117" s="5"/>
      <c r="Y117" s="5"/>
      <c r="Z117" s="5"/>
      <c r="AA117" s="5"/>
      <c r="AB117" s="5"/>
      <c r="AC117" s="5"/>
      <c r="AD117" s="5"/>
      <c r="AE117" s="5"/>
      <c r="AF117" s="5"/>
      <c r="AG117" s="5">
        <v>0</v>
      </c>
      <c r="AH117" s="5">
        <v>43308</v>
      </c>
      <c r="AI117" s="5">
        <v>71020</v>
      </c>
      <c r="AJ117" s="5">
        <v>71020</v>
      </c>
      <c r="AK117" s="5"/>
    </row>
    <row r="118" spans="2:40" x14ac:dyDescent="0.35">
      <c r="B118" t="s">
        <v>124</v>
      </c>
      <c r="F118" s="5">
        <v>0</v>
      </c>
      <c r="G118" s="5">
        <f t="shared" si="101"/>
        <v>0</v>
      </c>
      <c r="H118" s="37">
        <v>0</v>
      </c>
      <c r="I118" s="5">
        <v>0</v>
      </c>
      <c r="J118" s="5">
        <v>25379</v>
      </c>
      <c r="K118" s="5">
        <v>28424</v>
      </c>
      <c r="L118" s="37">
        <v>33448</v>
      </c>
      <c r="M118" s="5">
        <v>31365</v>
      </c>
      <c r="N118" s="5">
        <v>32214</v>
      </c>
      <c r="O118" s="5">
        <f t="shared" si="102"/>
        <v>35239</v>
      </c>
      <c r="P118" s="37">
        <v>34839</v>
      </c>
      <c r="Q118" s="5">
        <v>47586</v>
      </c>
      <c r="R118" s="5">
        <v>44900</v>
      </c>
      <c r="S118" s="5">
        <f t="shared" si="103"/>
        <v>59401</v>
      </c>
      <c r="T118" s="37">
        <v>56870</v>
      </c>
      <c r="U118" s="5"/>
      <c r="V118" s="5"/>
      <c r="W118" s="5"/>
      <c r="X118" s="5"/>
      <c r="Y118" s="5"/>
      <c r="Z118" s="5"/>
      <c r="AA118" s="5"/>
      <c r="AB118" s="5"/>
      <c r="AC118" s="5"/>
      <c r="AD118" s="5"/>
      <c r="AE118" s="5"/>
      <c r="AF118" s="5"/>
      <c r="AG118" s="5">
        <v>0</v>
      </c>
      <c r="AH118" s="5">
        <v>28424</v>
      </c>
      <c r="AI118" s="5">
        <v>35239</v>
      </c>
      <c r="AJ118" s="5">
        <v>59401</v>
      </c>
      <c r="AK118" s="5"/>
    </row>
    <row r="119" spans="2:40" x14ac:dyDescent="0.35">
      <c r="B119" t="s">
        <v>125</v>
      </c>
      <c r="F119" s="5">
        <v>0</v>
      </c>
      <c r="G119" s="5">
        <f t="shared" si="101"/>
        <v>0</v>
      </c>
      <c r="H119" s="37">
        <v>0</v>
      </c>
      <c r="I119" s="5">
        <v>0</v>
      </c>
      <c r="J119" s="5">
        <v>0</v>
      </c>
      <c r="K119" s="5">
        <v>0</v>
      </c>
      <c r="L119" s="37">
        <v>16073</v>
      </c>
      <c r="M119" s="5">
        <v>15921</v>
      </c>
      <c r="N119" s="5">
        <v>15768</v>
      </c>
      <c r="O119" s="5">
        <f t="shared" si="102"/>
        <v>15614</v>
      </c>
      <c r="P119" s="37">
        <v>15458</v>
      </c>
      <c r="Q119" s="5">
        <v>15302</v>
      </c>
      <c r="R119" s="5">
        <v>15145</v>
      </c>
      <c r="S119" s="5">
        <f t="shared" si="103"/>
        <v>14987</v>
      </c>
      <c r="T119" s="37">
        <v>14827</v>
      </c>
      <c r="U119" s="5"/>
      <c r="V119" s="5"/>
      <c r="W119" s="5"/>
      <c r="X119" s="5"/>
      <c r="Y119" s="5"/>
      <c r="Z119" s="5"/>
      <c r="AA119" s="5"/>
      <c r="AB119" s="5"/>
      <c r="AC119" s="5"/>
      <c r="AD119" s="5"/>
      <c r="AE119" s="5"/>
      <c r="AF119" s="5"/>
      <c r="AG119" s="5">
        <v>0</v>
      </c>
      <c r="AH119" s="5">
        <v>0</v>
      </c>
      <c r="AI119" s="5">
        <v>15614</v>
      </c>
      <c r="AJ119" s="5">
        <v>14987</v>
      </c>
      <c r="AK119" s="5"/>
    </row>
    <row r="120" spans="2:40" x14ac:dyDescent="0.35">
      <c r="B120" t="s">
        <v>113</v>
      </c>
      <c r="F120" s="5">
        <v>0</v>
      </c>
      <c r="G120" s="5">
        <f t="shared" si="101"/>
        <v>0</v>
      </c>
      <c r="H120" s="37">
        <v>0</v>
      </c>
      <c r="I120" s="5">
        <v>0</v>
      </c>
      <c r="J120" s="5">
        <v>0</v>
      </c>
      <c r="K120" s="5">
        <v>0</v>
      </c>
      <c r="L120" s="37">
        <v>0</v>
      </c>
      <c r="M120" s="5">
        <v>0</v>
      </c>
      <c r="N120" s="5">
        <v>9751</v>
      </c>
      <c r="O120" s="5">
        <f t="shared" si="102"/>
        <v>9193</v>
      </c>
      <c r="P120" s="37">
        <v>47920</v>
      </c>
      <c r="Q120" s="5">
        <v>73941</v>
      </c>
      <c r="R120" s="5">
        <v>81951</v>
      </c>
      <c r="S120" s="5">
        <f t="shared" si="103"/>
        <v>79247</v>
      </c>
      <c r="T120" s="37">
        <v>68566</v>
      </c>
      <c r="U120" s="5"/>
      <c r="V120" s="5"/>
      <c r="W120" s="5"/>
      <c r="X120" s="5"/>
      <c r="Y120" s="5"/>
      <c r="Z120" s="5"/>
      <c r="AA120" s="5"/>
      <c r="AB120" s="5"/>
      <c r="AC120" s="5"/>
      <c r="AD120" s="5"/>
      <c r="AE120" s="5"/>
      <c r="AF120" s="5"/>
      <c r="AG120" s="5">
        <v>0</v>
      </c>
      <c r="AH120" s="5">
        <v>0</v>
      </c>
      <c r="AI120" s="5">
        <v>9193</v>
      </c>
      <c r="AJ120" s="5">
        <v>79247</v>
      </c>
      <c r="AK120" s="5"/>
    </row>
    <row r="121" spans="2:40" x14ac:dyDescent="0.35">
      <c r="B121" t="s">
        <v>126</v>
      </c>
      <c r="F121" s="5">
        <v>0</v>
      </c>
      <c r="G121" s="5">
        <f t="shared" si="101"/>
        <v>0</v>
      </c>
      <c r="H121" s="37">
        <v>0</v>
      </c>
      <c r="I121" s="5">
        <v>0</v>
      </c>
      <c r="J121" s="5">
        <v>1129</v>
      </c>
      <c r="K121" s="5">
        <v>1116</v>
      </c>
      <c r="L121" s="37">
        <v>4632</v>
      </c>
      <c r="M121" s="5">
        <v>4118</v>
      </c>
      <c r="N121" s="5">
        <v>3008</v>
      </c>
      <c r="O121" s="5">
        <f t="shared" si="102"/>
        <v>3356</v>
      </c>
      <c r="P121" s="37">
        <v>3337</v>
      </c>
      <c r="Q121" s="5">
        <v>3594</v>
      </c>
      <c r="R121" s="5">
        <v>3588</v>
      </c>
      <c r="S121" s="5">
        <f t="shared" si="103"/>
        <v>3916</v>
      </c>
      <c r="T121" s="37">
        <v>3849</v>
      </c>
      <c r="U121" s="5"/>
      <c r="V121" s="5"/>
      <c r="W121" s="5"/>
      <c r="X121" s="5"/>
      <c r="Y121" s="5"/>
      <c r="Z121" s="5"/>
      <c r="AA121" s="5"/>
      <c r="AB121" s="5"/>
      <c r="AC121" s="5"/>
      <c r="AD121" s="5"/>
      <c r="AE121" s="5"/>
      <c r="AF121" s="5"/>
      <c r="AG121" s="5">
        <v>0</v>
      </c>
      <c r="AH121" s="5">
        <v>1116</v>
      </c>
      <c r="AI121" s="5">
        <v>3356</v>
      </c>
      <c r="AJ121" s="5">
        <v>3916</v>
      </c>
      <c r="AK121" s="5"/>
    </row>
    <row r="122" spans="2:40" x14ac:dyDescent="0.35">
      <c r="B122" t="s">
        <v>127</v>
      </c>
      <c r="F122" s="5">
        <v>0</v>
      </c>
      <c r="G122" s="5">
        <f t="shared" si="101"/>
        <v>0</v>
      </c>
      <c r="H122" s="37">
        <v>0</v>
      </c>
      <c r="I122" s="5">
        <v>0</v>
      </c>
      <c r="J122" s="5">
        <v>5907</v>
      </c>
      <c r="K122" s="5">
        <v>5859</v>
      </c>
      <c r="L122" s="37">
        <v>7221</v>
      </c>
      <c r="M122" s="5">
        <v>4447</v>
      </c>
      <c r="N122" s="5">
        <v>3243</v>
      </c>
      <c r="O122" s="5">
        <f t="shared" si="102"/>
        <v>3898</v>
      </c>
      <c r="P122" s="37">
        <v>3500</v>
      </c>
      <c r="Q122" s="5">
        <v>3641</v>
      </c>
      <c r="R122" s="5">
        <v>3282</v>
      </c>
      <c r="S122" s="5">
        <f t="shared" si="103"/>
        <v>3501</v>
      </c>
      <c r="T122" s="37">
        <v>3353</v>
      </c>
      <c r="U122" s="5"/>
      <c r="V122" s="5"/>
      <c r="W122" s="5"/>
      <c r="X122" s="5"/>
      <c r="Y122" s="5"/>
      <c r="Z122" s="5"/>
      <c r="AA122" s="5"/>
      <c r="AB122" s="5"/>
      <c r="AC122" s="5"/>
      <c r="AD122" s="5"/>
      <c r="AE122" s="5"/>
      <c r="AF122" s="5"/>
      <c r="AG122" s="5">
        <v>0</v>
      </c>
      <c r="AH122" s="5">
        <v>5859</v>
      </c>
      <c r="AI122" s="5">
        <v>3898</v>
      </c>
      <c r="AJ122" s="5">
        <v>3501</v>
      </c>
      <c r="AK122" s="5"/>
    </row>
    <row r="123" spans="2:40" x14ac:dyDescent="0.35">
      <c r="B123" t="s">
        <v>128</v>
      </c>
      <c r="F123" s="5">
        <v>0</v>
      </c>
      <c r="G123" s="5">
        <f t="shared" si="101"/>
        <v>0</v>
      </c>
      <c r="H123" s="37">
        <v>0</v>
      </c>
      <c r="I123" s="5">
        <v>0</v>
      </c>
      <c r="J123" s="5"/>
      <c r="K123" s="5">
        <v>0</v>
      </c>
      <c r="L123" s="37">
        <v>0</v>
      </c>
      <c r="M123" s="5">
        <v>0</v>
      </c>
      <c r="N123" s="5">
        <v>0</v>
      </c>
      <c r="O123" s="5">
        <f t="shared" si="102"/>
        <v>0</v>
      </c>
      <c r="P123" s="37">
        <v>0</v>
      </c>
      <c r="Q123" s="5">
        <v>0</v>
      </c>
      <c r="R123" s="5">
        <v>0</v>
      </c>
      <c r="S123" s="5">
        <f t="shared" si="103"/>
        <v>0</v>
      </c>
      <c r="T123" s="37">
        <v>0</v>
      </c>
      <c r="U123" s="5"/>
      <c r="V123" s="5"/>
      <c r="W123" s="5"/>
      <c r="X123" s="5"/>
      <c r="Y123" s="5"/>
      <c r="Z123" s="5"/>
      <c r="AA123" s="5"/>
      <c r="AB123" s="5"/>
      <c r="AC123" s="5"/>
      <c r="AD123" s="5"/>
      <c r="AE123" s="5"/>
      <c r="AF123" s="5"/>
      <c r="AG123" s="5">
        <v>0</v>
      </c>
      <c r="AH123" s="5">
        <v>0</v>
      </c>
      <c r="AI123" s="5">
        <v>0</v>
      </c>
      <c r="AJ123" s="5">
        <v>0</v>
      </c>
      <c r="AK123" s="5"/>
    </row>
    <row r="124" spans="2:40" s="2" customFormat="1" x14ac:dyDescent="0.35">
      <c r="B124" s="2" t="s">
        <v>129</v>
      </c>
      <c r="F124" s="6">
        <v>0</v>
      </c>
      <c r="G124" s="5">
        <f t="shared" si="101"/>
        <v>0</v>
      </c>
      <c r="H124" s="38">
        <v>0</v>
      </c>
      <c r="I124" s="6">
        <v>0</v>
      </c>
      <c r="J124" s="6">
        <v>0</v>
      </c>
      <c r="K124" s="6">
        <v>4550</v>
      </c>
      <c r="L124" s="38">
        <v>3990</v>
      </c>
      <c r="M124" s="6">
        <v>2670</v>
      </c>
      <c r="N124" s="6">
        <v>1472</v>
      </c>
      <c r="O124" s="6">
        <f t="shared" si="102"/>
        <v>7303</v>
      </c>
      <c r="P124" s="38">
        <v>7102</v>
      </c>
      <c r="Q124" s="6">
        <v>12894</v>
      </c>
      <c r="R124" s="6">
        <v>17975</v>
      </c>
      <c r="S124" s="5">
        <f t="shared" si="103"/>
        <v>18914</v>
      </c>
      <c r="T124" s="38">
        <v>22884</v>
      </c>
      <c r="U124" s="6"/>
      <c r="V124" s="6"/>
      <c r="W124" s="6"/>
      <c r="X124" s="6"/>
      <c r="Y124" s="6"/>
      <c r="Z124" s="6"/>
      <c r="AA124" s="6"/>
      <c r="AB124" s="6"/>
      <c r="AC124" s="6"/>
      <c r="AD124" s="6"/>
      <c r="AE124" s="6"/>
      <c r="AF124" s="6"/>
      <c r="AG124" s="6">
        <v>0</v>
      </c>
      <c r="AH124" s="6">
        <v>4550</v>
      </c>
      <c r="AI124" s="6">
        <v>7303</v>
      </c>
      <c r="AJ124" s="6">
        <v>18914</v>
      </c>
      <c r="AK124" s="6"/>
    </row>
    <row r="125" spans="2:40" s="56" customFormat="1" x14ac:dyDescent="0.35">
      <c r="B125" s="56" t="s">
        <v>176</v>
      </c>
      <c r="D125" s="57">
        <f t="shared" ref="D125:I125" si="104">SUM(D114:D124)</f>
        <v>0</v>
      </c>
      <c r="E125" s="57">
        <f t="shared" si="104"/>
        <v>0</v>
      </c>
      <c r="F125" s="57">
        <f t="shared" si="104"/>
        <v>300000</v>
      </c>
      <c r="G125" s="57">
        <f t="shared" si="104"/>
        <v>320004.84600000002</v>
      </c>
      <c r="H125" s="58">
        <f t="shared" si="104"/>
        <v>320009.65600000002</v>
      </c>
      <c r="I125" s="57">
        <f t="shared" si="104"/>
        <v>320014.51899999997</v>
      </c>
      <c r="J125" s="57">
        <f t="shared" ref="J125:K125" si="105">SUM(J114:J124)</f>
        <v>100361</v>
      </c>
      <c r="K125" s="57">
        <f t="shared" si="105"/>
        <v>206083</v>
      </c>
      <c r="L125" s="58">
        <f>SUM(L114:L124)</f>
        <v>311302</v>
      </c>
      <c r="M125" s="57">
        <f t="shared" ref="M125:Q125" si="106">SUM(M114:M124)</f>
        <v>298336</v>
      </c>
      <c r="N125" s="57">
        <f t="shared" si="106"/>
        <v>301912</v>
      </c>
      <c r="O125" s="57">
        <f t="shared" si="106"/>
        <v>326829</v>
      </c>
      <c r="P125" s="58">
        <f>SUM(P114:P124)</f>
        <v>355652</v>
      </c>
      <c r="Q125" s="57">
        <f t="shared" si="106"/>
        <v>421291</v>
      </c>
      <c r="R125" s="57">
        <f t="shared" ref="R125:U125" si="107">SUM(R114:R124)</f>
        <v>444253</v>
      </c>
      <c r="S125" s="57">
        <f t="shared" si="107"/>
        <v>464489</v>
      </c>
      <c r="T125" s="58">
        <f t="shared" si="107"/>
        <v>456301</v>
      </c>
      <c r="U125" s="57">
        <f t="shared" si="107"/>
        <v>0</v>
      </c>
      <c r="V125" s="57">
        <f t="shared" ref="V125:Y125" si="108">SUM(V114:V124)</f>
        <v>0</v>
      </c>
      <c r="W125" s="57">
        <f t="shared" si="108"/>
        <v>0</v>
      </c>
      <c r="X125" s="57">
        <f t="shared" si="108"/>
        <v>0</v>
      </c>
      <c r="Y125" s="57">
        <f t="shared" si="108"/>
        <v>0</v>
      </c>
      <c r="Z125" s="57"/>
      <c r="AA125" s="57"/>
      <c r="AB125" s="57"/>
      <c r="AC125" s="57"/>
      <c r="AD125" s="57"/>
      <c r="AE125" s="57"/>
      <c r="AF125" s="57"/>
      <c r="AG125" s="57">
        <f>SUM(AG114:AG124)</f>
        <v>320004.84600000002</v>
      </c>
      <c r="AH125" s="57">
        <f t="shared" ref="AH125:AN125" si="109">SUM(AH114:AH124)</f>
        <v>206083</v>
      </c>
      <c r="AI125" s="57">
        <f t="shared" si="109"/>
        <v>326829</v>
      </c>
      <c r="AJ125" s="57">
        <f t="shared" si="109"/>
        <v>464489</v>
      </c>
      <c r="AK125" s="57">
        <f t="shared" si="109"/>
        <v>0</v>
      </c>
      <c r="AL125" s="57">
        <f t="shared" si="109"/>
        <v>0</v>
      </c>
      <c r="AM125" s="57">
        <f t="shared" si="109"/>
        <v>0</v>
      </c>
      <c r="AN125" s="57">
        <f t="shared" si="109"/>
        <v>0</v>
      </c>
    </row>
    <row r="126" spans="2:40" s="12" customFormat="1" x14ac:dyDescent="0.35">
      <c r="B126" s="12" t="s">
        <v>171</v>
      </c>
      <c r="D126" s="24">
        <f t="shared" ref="D126:I126" si="110">D125+D112</f>
        <v>0</v>
      </c>
      <c r="E126" s="24">
        <f t="shared" si="110"/>
        <v>0</v>
      </c>
      <c r="F126" s="24">
        <f t="shared" si="110"/>
        <v>729074.37</v>
      </c>
      <c r="G126" s="24">
        <f t="shared" si="110"/>
        <v>321237.39600000001</v>
      </c>
      <c r="H126" s="40">
        <f t="shared" si="110"/>
        <v>320787.359</v>
      </c>
      <c r="I126" s="24">
        <f t="shared" si="110"/>
        <v>320343.99</v>
      </c>
      <c r="J126" s="24">
        <f t="shared" ref="J126:K126" si="111">J125+J112</f>
        <v>955377</v>
      </c>
      <c r="K126" s="24">
        <f t="shared" si="111"/>
        <v>980847</v>
      </c>
      <c r="L126" s="40">
        <f>L125+L112</f>
        <v>1057484</v>
      </c>
      <c r="M126" s="24">
        <f t="shared" ref="M126:Q126" si="112">M125+M112</f>
        <v>1004752</v>
      </c>
      <c r="N126" s="24">
        <f t="shared" si="112"/>
        <v>1001362</v>
      </c>
      <c r="O126" s="24">
        <f t="shared" si="112"/>
        <v>989123</v>
      </c>
      <c r="P126" s="40">
        <f>P125+P112</f>
        <v>990908</v>
      </c>
      <c r="Q126" s="24">
        <f t="shared" si="112"/>
        <v>981496</v>
      </c>
      <c r="R126" s="24">
        <f t="shared" ref="R126:U126" si="113">R125+R112</f>
        <v>950493</v>
      </c>
      <c r="S126" s="24">
        <f t="shared" si="113"/>
        <v>941211</v>
      </c>
      <c r="T126" s="40">
        <f t="shared" si="113"/>
        <v>1181924</v>
      </c>
      <c r="U126" s="24">
        <f t="shared" si="113"/>
        <v>0</v>
      </c>
      <c r="V126" s="24">
        <f t="shared" ref="V126:Y126" si="114">V125+V112</f>
        <v>0</v>
      </c>
      <c r="W126" s="24">
        <f t="shared" si="114"/>
        <v>0</v>
      </c>
      <c r="X126" s="24">
        <f t="shared" si="114"/>
        <v>0</v>
      </c>
      <c r="Y126" s="24">
        <f t="shared" si="114"/>
        <v>0</v>
      </c>
      <c r="Z126" s="24">
        <f t="shared" ref="Z126:AC126" si="115">SUM(Z112:Z124)</f>
        <v>0</v>
      </c>
      <c r="AA126" s="24">
        <f t="shared" si="115"/>
        <v>0</v>
      </c>
      <c r="AB126" s="24">
        <f t="shared" si="115"/>
        <v>0</v>
      </c>
      <c r="AC126" s="24">
        <f t="shared" si="115"/>
        <v>0</v>
      </c>
      <c r="AD126" s="24"/>
      <c r="AE126" s="24"/>
      <c r="AF126" s="24"/>
      <c r="AG126" s="24">
        <f>AG125+AG112</f>
        <v>321237.39600000001</v>
      </c>
      <c r="AH126" s="24">
        <f t="shared" ref="AH126:AN126" si="116">AH125+AH112</f>
        <v>980847</v>
      </c>
      <c r="AI126" s="24">
        <f t="shared" si="116"/>
        <v>989123</v>
      </c>
      <c r="AJ126" s="24">
        <f t="shared" si="116"/>
        <v>941211</v>
      </c>
      <c r="AK126" s="24">
        <f t="shared" si="116"/>
        <v>0</v>
      </c>
      <c r="AL126" s="24">
        <f t="shared" si="116"/>
        <v>0</v>
      </c>
      <c r="AM126" s="24">
        <f t="shared" si="116"/>
        <v>0</v>
      </c>
      <c r="AN126" s="24">
        <f t="shared" si="116"/>
        <v>0</v>
      </c>
    </row>
    <row r="127" spans="2:40" s="26" customFormat="1" x14ac:dyDescent="0.35">
      <c r="B127" s="28" t="s">
        <v>111</v>
      </c>
      <c r="C127" s="28"/>
      <c r="D127" s="28"/>
      <c r="E127" s="28"/>
      <c r="F127" s="27"/>
      <c r="G127" s="27"/>
      <c r="H127" s="49"/>
      <c r="I127" s="27"/>
      <c r="J127" s="27"/>
      <c r="K127" s="27"/>
      <c r="L127" s="49"/>
      <c r="M127" s="27"/>
      <c r="N127" s="27"/>
      <c r="O127" s="27"/>
      <c r="P127" s="49"/>
      <c r="Q127" s="27"/>
      <c r="R127" s="27"/>
      <c r="S127" s="27"/>
      <c r="T127" s="49"/>
      <c r="U127" s="27"/>
      <c r="V127" s="27"/>
      <c r="W127" s="27"/>
      <c r="X127" s="27"/>
      <c r="Y127" s="27"/>
      <c r="Z127" s="27"/>
      <c r="AA127" s="27"/>
      <c r="AB127" s="27"/>
      <c r="AC127" s="27"/>
      <c r="AD127" s="27"/>
      <c r="AE127" s="27"/>
      <c r="AF127" s="27"/>
      <c r="AG127" s="27"/>
      <c r="AH127" s="27"/>
      <c r="AI127" s="27"/>
      <c r="AJ127" s="27"/>
      <c r="AK127" s="27"/>
    </row>
    <row r="128" spans="2:40" x14ac:dyDescent="0.35">
      <c r="B128" t="s">
        <v>130</v>
      </c>
      <c r="F128" s="5">
        <v>0</v>
      </c>
      <c r="G128" s="5">
        <f t="shared" ref="G128:G133" si="117">AG128</f>
        <v>0</v>
      </c>
      <c r="H128" s="37">
        <v>0</v>
      </c>
      <c r="I128" s="5">
        <v>0</v>
      </c>
      <c r="J128" s="5">
        <v>2205</v>
      </c>
      <c r="K128" s="5">
        <v>3489</v>
      </c>
      <c r="L128" s="37">
        <v>15106</v>
      </c>
      <c r="M128" s="5">
        <v>14156</v>
      </c>
      <c r="N128" s="5">
        <v>13266</v>
      </c>
      <c r="O128" s="5">
        <f t="shared" ref="O128:O133" si="118">AI128</f>
        <v>12084</v>
      </c>
      <c r="P128" s="37">
        <v>22852</v>
      </c>
      <c r="Q128" s="5">
        <v>25867</v>
      </c>
      <c r="R128" s="5">
        <v>24980</v>
      </c>
      <c r="S128" s="5">
        <f t="shared" ref="S128:S133" si="119">AJ128</f>
        <v>29303</v>
      </c>
      <c r="T128" s="37">
        <v>25995</v>
      </c>
      <c r="U128" s="5"/>
      <c r="V128" s="5"/>
      <c r="W128" s="5"/>
      <c r="X128" s="5"/>
      <c r="Y128" s="5"/>
      <c r="Z128" s="5"/>
      <c r="AA128" s="5"/>
      <c r="AB128" s="5"/>
      <c r="AC128" s="5"/>
      <c r="AD128" s="5"/>
      <c r="AE128" s="5"/>
      <c r="AF128" s="5"/>
      <c r="AG128" s="5">
        <v>0</v>
      </c>
      <c r="AH128" s="5">
        <v>3489</v>
      </c>
      <c r="AI128" s="5">
        <v>12084</v>
      </c>
      <c r="AJ128" s="5">
        <v>29303</v>
      </c>
      <c r="AK128" s="5"/>
    </row>
    <row r="129" spans="2:40" x14ac:dyDescent="0.35">
      <c r="B129" t="s">
        <v>131</v>
      </c>
      <c r="F129" s="5">
        <v>600</v>
      </c>
      <c r="G129" s="5">
        <f t="shared" si="117"/>
        <v>217.39500000000001</v>
      </c>
      <c r="H129" s="37">
        <v>1692.954</v>
      </c>
      <c r="I129" s="5">
        <v>2390.0120000000002</v>
      </c>
      <c r="J129" s="5">
        <v>7219</v>
      </c>
      <c r="K129" s="5">
        <v>10977</v>
      </c>
      <c r="L129" s="37">
        <v>17051</v>
      </c>
      <c r="M129" s="5">
        <v>11468</v>
      </c>
      <c r="N129" s="5">
        <v>9586</v>
      </c>
      <c r="O129" s="5">
        <f t="shared" si="118"/>
        <v>8723</v>
      </c>
      <c r="P129" s="37">
        <v>8678</v>
      </c>
      <c r="Q129" s="5">
        <v>6492</v>
      </c>
      <c r="R129" s="5">
        <v>5998</v>
      </c>
      <c r="S129" s="5">
        <f t="shared" si="119"/>
        <v>5590</v>
      </c>
      <c r="T129" s="37">
        <v>9091</v>
      </c>
      <c r="U129" s="5"/>
      <c r="V129" s="5"/>
      <c r="W129" s="5"/>
      <c r="X129" s="5"/>
      <c r="Y129" s="5"/>
      <c r="Z129" s="5"/>
      <c r="AA129" s="5"/>
      <c r="AB129" s="5"/>
      <c r="AC129" s="5"/>
      <c r="AD129" s="5"/>
      <c r="AE129" s="5"/>
      <c r="AF129" s="5"/>
      <c r="AG129" s="5">
        <v>217.39500000000001</v>
      </c>
      <c r="AH129" s="5">
        <v>10977</v>
      </c>
      <c r="AI129" s="5">
        <v>8723</v>
      </c>
      <c r="AJ129" s="5">
        <v>5590</v>
      </c>
      <c r="AK129" s="5"/>
    </row>
    <row r="130" spans="2:40" x14ac:dyDescent="0.35">
      <c r="B130" t="s">
        <v>132</v>
      </c>
      <c r="F130" s="5">
        <v>0</v>
      </c>
      <c r="G130" s="5">
        <f t="shared" si="117"/>
        <v>0</v>
      </c>
      <c r="H130" s="37">
        <v>0</v>
      </c>
      <c r="I130" s="5">
        <v>0</v>
      </c>
      <c r="J130" s="5">
        <v>5652</v>
      </c>
      <c r="K130" s="5">
        <v>8266</v>
      </c>
      <c r="L130" s="37">
        <v>22958</v>
      </c>
      <c r="M130" s="5">
        <v>13632</v>
      </c>
      <c r="N130" s="5">
        <v>8560</v>
      </c>
      <c r="O130" s="5">
        <f t="shared" si="118"/>
        <v>8634</v>
      </c>
      <c r="P130" s="37">
        <v>12333</v>
      </c>
      <c r="Q130" s="5">
        <v>14138</v>
      </c>
      <c r="R130" s="5">
        <v>14979</v>
      </c>
      <c r="S130" s="5">
        <f t="shared" si="119"/>
        <v>16342</v>
      </c>
      <c r="T130" s="37">
        <v>13934</v>
      </c>
      <c r="U130" s="5"/>
      <c r="V130" s="5"/>
      <c r="W130" s="5"/>
      <c r="X130" s="5"/>
      <c r="Y130" s="5"/>
      <c r="Z130" s="5"/>
      <c r="AA130" s="5"/>
      <c r="AB130" s="5"/>
      <c r="AC130" s="5"/>
      <c r="AD130" s="5"/>
      <c r="AE130" s="5"/>
      <c r="AF130" s="5"/>
      <c r="AG130" s="5">
        <v>0</v>
      </c>
      <c r="AH130" s="5">
        <v>8266</v>
      </c>
      <c r="AI130" s="5">
        <v>8634</v>
      </c>
      <c r="AJ130" s="5">
        <v>16342</v>
      </c>
      <c r="AK130" s="5"/>
    </row>
    <row r="131" spans="2:40" x14ac:dyDescent="0.35">
      <c r="B131" t="s">
        <v>133</v>
      </c>
      <c r="F131" s="5">
        <v>0</v>
      </c>
      <c r="G131" s="5">
        <f t="shared" si="117"/>
        <v>0</v>
      </c>
      <c r="H131" s="37">
        <v>0</v>
      </c>
      <c r="I131" s="5">
        <v>0</v>
      </c>
      <c r="J131" s="5">
        <v>51163</v>
      </c>
      <c r="K131" s="5">
        <v>59749</v>
      </c>
      <c r="L131" s="37">
        <v>97116</v>
      </c>
      <c r="M131" s="5">
        <v>90659</v>
      </c>
      <c r="N131" s="5">
        <v>112649</v>
      </c>
      <c r="O131" s="5">
        <f t="shared" si="118"/>
        <v>108344</v>
      </c>
      <c r="P131" s="37">
        <v>125635</v>
      </c>
      <c r="Q131" s="5">
        <v>134574</v>
      </c>
      <c r="R131" s="5">
        <v>133793</v>
      </c>
      <c r="S131" s="5">
        <f t="shared" si="119"/>
        <v>139338</v>
      </c>
      <c r="T131" s="37">
        <v>150535</v>
      </c>
      <c r="U131" s="5"/>
      <c r="V131" s="5"/>
      <c r="W131" s="5"/>
      <c r="X131" s="5"/>
      <c r="Y131" s="5"/>
      <c r="Z131" s="5"/>
      <c r="AA131" s="5"/>
      <c r="AB131" s="5"/>
      <c r="AC131" s="5"/>
      <c r="AD131" s="5"/>
      <c r="AE131" s="5"/>
      <c r="AF131" s="5"/>
      <c r="AG131" s="5">
        <v>0</v>
      </c>
      <c r="AH131" s="5">
        <v>59749</v>
      </c>
      <c r="AI131" s="5">
        <v>108344</v>
      </c>
      <c r="AJ131" s="5">
        <v>139338</v>
      </c>
      <c r="AK131" s="5"/>
    </row>
    <row r="132" spans="2:40" x14ac:dyDescent="0.35">
      <c r="B132" t="s">
        <v>134</v>
      </c>
      <c r="F132" s="5">
        <v>0</v>
      </c>
      <c r="G132" s="5">
        <f t="shared" si="117"/>
        <v>0</v>
      </c>
      <c r="H132" s="37">
        <v>0</v>
      </c>
      <c r="I132" s="5">
        <v>0</v>
      </c>
      <c r="J132" s="5">
        <v>2807</v>
      </c>
      <c r="K132" s="5">
        <v>2827</v>
      </c>
      <c r="L132" s="37">
        <v>2846</v>
      </c>
      <c r="M132" s="5">
        <v>2866</v>
      </c>
      <c r="N132" s="5">
        <v>2886</v>
      </c>
      <c r="O132" s="5">
        <f t="shared" si="118"/>
        <v>2906</v>
      </c>
      <c r="P132" s="37">
        <v>2934</v>
      </c>
      <c r="Q132" s="5">
        <v>104381</v>
      </c>
      <c r="R132" s="5">
        <v>105116</v>
      </c>
      <c r="S132" s="5">
        <f t="shared" si="119"/>
        <v>17764</v>
      </c>
      <c r="T132" s="37">
        <v>10996</v>
      </c>
      <c r="U132" s="5"/>
      <c r="V132" s="5"/>
      <c r="W132" s="5"/>
      <c r="X132" s="5"/>
      <c r="Y132" s="5"/>
      <c r="Z132" s="5"/>
      <c r="AA132" s="5"/>
      <c r="AB132" s="5"/>
      <c r="AC132" s="5"/>
      <c r="AD132" s="5"/>
      <c r="AE132" s="5"/>
      <c r="AF132" s="5"/>
      <c r="AG132" s="5">
        <v>0</v>
      </c>
      <c r="AH132" s="5">
        <v>2827</v>
      </c>
      <c r="AI132" s="5">
        <v>2906</v>
      </c>
      <c r="AJ132" s="5">
        <v>17764</v>
      </c>
      <c r="AK132" s="5"/>
    </row>
    <row r="133" spans="2:40" s="2" customFormat="1" x14ac:dyDescent="0.35">
      <c r="B133" s="2" t="s">
        <v>135</v>
      </c>
      <c r="F133" s="6">
        <v>0</v>
      </c>
      <c r="G133" s="5">
        <f t="shared" si="117"/>
        <v>11200</v>
      </c>
      <c r="H133" s="38">
        <v>0</v>
      </c>
      <c r="I133" s="6">
        <v>0</v>
      </c>
      <c r="J133" s="6">
        <v>7698</v>
      </c>
      <c r="K133" s="6">
        <v>10999</v>
      </c>
      <c r="L133" s="38">
        <v>18307</v>
      </c>
      <c r="M133" s="6">
        <v>11320</v>
      </c>
      <c r="N133" s="6">
        <v>14393</v>
      </c>
      <c r="O133" s="6">
        <f t="shared" si="118"/>
        <v>22249</v>
      </c>
      <c r="P133" s="38">
        <v>24863</v>
      </c>
      <c r="Q133" s="6">
        <v>20489</v>
      </c>
      <c r="R133" s="6">
        <v>18885</v>
      </c>
      <c r="S133" s="5">
        <f t="shared" si="119"/>
        <v>15036</v>
      </c>
      <c r="T133" s="38">
        <v>21911</v>
      </c>
      <c r="U133" s="6"/>
      <c r="V133" s="6"/>
      <c r="W133" s="6"/>
      <c r="X133" s="6"/>
      <c r="Y133" s="6"/>
      <c r="Z133" s="6"/>
      <c r="AA133" s="6"/>
      <c r="AB133" s="6"/>
      <c r="AC133" s="6"/>
      <c r="AD133" s="6"/>
      <c r="AE133" s="6"/>
      <c r="AF133" s="6"/>
      <c r="AG133" s="6">
        <v>11200</v>
      </c>
      <c r="AH133" s="6">
        <v>10999</v>
      </c>
      <c r="AI133" s="6">
        <v>22249</v>
      </c>
      <c r="AJ133" s="6">
        <v>15036</v>
      </c>
      <c r="AK133" s="6"/>
    </row>
    <row r="134" spans="2:40" s="12" customFormat="1" x14ac:dyDescent="0.35">
      <c r="B134" s="12" t="s">
        <v>136</v>
      </c>
      <c r="F134" s="24">
        <f t="shared" ref="F134:U134" si="120">SUM(F128:F133)</f>
        <v>600</v>
      </c>
      <c r="G134" s="24">
        <f t="shared" si="120"/>
        <v>11417.395</v>
      </c>
      <c r="H134" s="40">
        <f t="shared" si="120"/>
        <v>1692.954</v>
      </c>
      <c r="I134" s="24">
        <f t="shared" si="120"/>
        <v>2390.0120000000002</v>
      </c>
      <c r="J134" s="24">
        <f t="shared" si="120"/>
        <v>76744</v>
      </c>
      <c r="K134" s="24">
        <f t="shared" si="120"/>
        <v>96307</v>
      </c>
      <c r="L134" s="40">
        <f t="shared" si="120"/>
        <v>173384</v>
      </c>
      <c r="M134" s="24">
        <f t="shared" si="120"/>
        <v>144101</v>
      </c>
      <c r="N134" s="24">
        <f t="shared" si="120"/>
        <v>161340</v>
      </c>
      <c r="O134" s="24">
        <f t="shared" si="120"/>
        <v>162940</v>
      </c>
      <c r="P134" s="60">
        <f t="shared" si="120"/>
        <v>197295</v>
      </c>
      <c r="Q134" s="24">
        <f t="shared" si="120"/>
        <v>305941</v>
      </c>
      <c r="R134" s="24">
        <f t="shared" si="120"/>
        <v>303751</v>
      </c>
      <c r="S134" s="24">
        <f t="shared" si="120"/>
        <v>223373</v>
      </c>
      <c r="T134" s="40">
        <f t="shared" si="120"/>
        <v>232462</v>
      </c>
      <c r="U134" s="24">
        <f t="shared" si="120"/>
        <v>0</v>
      </c>
      <c r="V134" s="24">
        <f t="shared" ref="V134:Y134" si="121">SUM(V128:V133)</f>
        <v>0</v>
      </c>
      <c r="W134" s="24">
        <f t="shared" si="121"/>
        <v>0</v>
      </c>
      <c r="X134" s="24">
        <f t="shared" si="121"/>
        <v>0</v>
      </c>
      <c r="Y134" s="24">
        <f t="shared" si="121"/>
        <v>0</v>
      </c>
      <c r="Z134" s="24"/>
      <c r="AA134" s="24"/>
      <c r="AB134" s="24"/>
      <c r="AC134" s="24"/>
      <c r="AD134" s="24"/>
      <c r="AE134" s="24"/>
      <c r="AF134" s="24"/>
      <c r="AG134" s="24">
        <f>SUM(AG128:AG133)</f>
        <v>11417.395</v>
      </c>
      <c r="AH134" s="24">
        <f>SUM(AH128:AH133)</f>
        <v>96307</v>
      </c>
      <c r="AI134" s="24">
        <f>SUM(AI128:AI133)</f>
        <v>162940</v>
      </c>
      <c r="AJ134" s="24">
        <f t="shared" ref="AJ134:AN134" si="122">SUM(AJ128:AJ133)</f>
        <v>223373</v>
      </c>
      <c r="AK134" s="24">
        <f t="shared" si="122"/>
        <v>0</v>
      </c>
      <c r="AL134" s="24">
        <f t="shared" si="122"/>
        <v>0</v>
      </c>
      <c r="AM134" s="24">
        <f t="shared" si="122"/>
        <v>0</v>
      </c>
      <c r="AN134" s="24">
        <f t="shared" si="122"/>
        <v>0</v>
      </c>
    </row>
    <row r="135" spans="2:40" s="28" customFormat="1" x14ac:dyDescent="0.35">
      <c r="B135" s="28" t="s">
        <v>119</v>
      </c>
      <c r="F135" s="29"/>
      <c r="G135" s="29"/>
      <c r="H135" s="47"/>
      <c r="I135" s="29"/>
      <c r="J135" s="29"/>
      <c r="K135" s="29"/>
      <c r="L135" s="47"/>
      <c r="M135" s="29"/>
      <c r="N135" s="29"/>
      <c r="O135" s="29"/>
      <c r="P135" s="47"/>
      <c r="Q135" s="29"/>
      <c r="R135" s="29"/>
      <c r="S135" s="29"/>
      <c r="T135" s="47"/>
      <c r="U135" s="29"/>
      <c r="V135" s="29"/>
      <c r="W135" s="29"/>
      <c r="X135" s="29"/>
      <c r="Y135" s="29"/>
      <c r="Z135" s="29"/>
      <c r="AA135" s="29"/>
      <c r="AB135" s="29"/>
      <c r="AC135" s="29"/>
      <c r="AD135" s="29"/>
      <c r="AE135" s="29"/>
      <c r="AF135" s="29"/>
      <c r="AG135" s="29"/>
      <c r="AH135" s="29"/>
      <c r="AI135" s="29"/>
      <c r="AJ135" s="29"/>
      <c r="AK135" s="29"/>
    </row>
    <row r="136" spans="2:40" x14ac:dyDescent="0.35">
      <c r="B136" t="s">
        <v>137</v>
      </c>
      <c r="F136" s="5">
        <v>0</v>
      </c>
      <c r="G136" s="5">
        <f t="shared" ref="G136:G143" si="123">AG136</f>
        <v>0</v>
      </c>
      <c r="H136" s="37">
        <v>46197.334000000003</v>
      </c>
      <c r="I136" s="5">
        <v>46116.000999999997</v>
      </c>
      <c r="J136" s="5">
        <v>0</v>
      </c>
      <c r="K136" s="5">
        <v>0</v>
      </c>
      <c r="L136" s="37">
        <v>0</v>
      </c>
      <c r="M136" s="5">
        <v>0</v>
      </c>
      <c r="N136" s="5">
        <v>0</v>
      </c>
      <c r="O136" s="5">
        <v>0</v>
      </c>
      <c r="P136" s="37">
        <v>0</v>
      </c>
      <c r="Q136" s="5">
        <v>0</v>
      </c>
      <c r="R136" s="5">
        <v>0</v>
      </c>
      <c r="S136" s="5">
        <f t="shared" ref="S136:S143" si="124">AJ136</f>
        <v>0</v>
      </c>
      <c r="T136" s="37">
        <v>343829</v>
      </c>
      <c r="U136" s="5"/>
      <c r="V136" s="5"/>
      <c r="W136" s="5"/>
      <c r="X136" s="5"/>
      <c r="Y136" s="5"/>
      <c r="Z136" s="5"/>
      <c r="AA136" s="5"/>
      <c r="AB136" s="5"/>
      <c r="AC136" s="5"/>
      <c r="AD136" s="5"/>
      <c r="AE136" s="5"/>
      <c r="AF136" s="5"/>
      <c r="AG136" s="5">
        <v>0</v>
      </c>
      <c r="AH136" s="5"/>
      <c r="AI136" s="5">
        <v>0</v>
      </c>
      <c r="AJ136" s="5">
        <v>0</v>
      </c>
      <c r="AK136" s="5"/>
    </row>
    <row r="137" spans="2:40" x14ac:dyDescent="0.35">
      <c r="B137" t="s">
        <v>138</v>
      </c>
      <c r="F137" s="5">
        <v>0</v>
      </c>
      <c r="G137" s="5">
        <f t="shared" si="123"/>
        <v>0</v>
      </c>
      <c r="H137" s="37">
        <v>0</v>
      </c>
      <c r="I137" s="5">
        <v>0</v>
      </c>
      <c r="J137" s="5">
        <v>96616</v>
      </c>
      <c r="K137" s="5">
        <v>97297</v>
      </c>
      <c r="L137" s="37">
        <v>97967</v>
      </c>
      <c r="M137" s="5">
        <v>98649</v>
      </c>
      <c r="N137" s="5">
        <v>99344</v>
      </c>
      <c r="O137" s="5">
        <f>AI137</f>
        <v>100043</v>
      </c>
      <c r="P137" s="37">
        <v>100724</v>
      </c>
      <c r="Q137" s="5">
        <v>0</v>
      </c>
      <c r="R137" s="5">
        <v>0</v>
      </c>
      <c r="S137" s="5">
        <f t="shared" si="124"/>
        <v>87587</v>
      </c>
      <c r="T137" s="37">
        <v>52717</v>
      </c>
      <c r="U137" s="5"/>
      <c r="V137" s="5"/>
      <c r="W137" s="5"/>
      <c r="X137" s="5"/>
      <c r="Y137" s="5"/>
      <c r="Z137" s="5"/>
      <c r="AA137" s="5"/>
      <c r="AB137" s="5"/>
      <c r="AC137" s="5"/>
      <c r="AD137" s="5"/>
      <c r="AE137" s="5"/>
      <c r="AF137" s="5"/>
      <c r="AG137" s="5">
        <v>0</v>
      </c>
      <c r="AH137" s="5">
        <v>97297</v>
      </c>
      <c r="AI137" s="5">
        <v>100043</v>
      </c>
      <c r="AJ137" s="5">
        <v>87587</v>
      </c>
      <c r="AK137" s="5"/>
    </row>
    <row r="138" spans="2:40" x14ac:dyDescent="0.35">
      <c r="B138" t="s">
        <v>139</v>
      </c>
      <c r="F138" s="5">
        <v>0</v>
      </c>
      <c r="G138" s="5">
        <f t="shared" si="123"/>
        <v>0</v>
      </c>
      <c r="H138" s="37">
        <v>0</v>
      </c>
      <c r="I138" s="5">
        <v>0</v>
      </c>
      <c r="J138" s="5">
        <v>25915</v>
      </c>
      <c r="K138" s="5">
        <v>28302</v>
      </c>
      <c r="L138" s="37">
        <v>32303</v>
      </c>
      <c r="M138" s="5">
        <v>30370</v>
      </c>
      <c r="N138" s="5">
        <v>31588</v>
      </c>
      <c r="O138" s="5">
        <f>AI138</f>
        <v>34266</v>
      </c>
      <c r="P138" s="37">
        <v>33870</v>
      </c>
      <c r="Q138" s="5">
        <v>43169</v>
      </c>
      <c r="R138" s="5">
        <v>41695</v>
      </c>
      <c r="S138" s="5">
        <f t="shared" si="124"/>
        <v>56099</v>
      </c>
      <c r="T138" s="37">
        <v>54101</v>
      </c>
      <c r="U138" s="5"/>
      <c r="V138" s="5"/>
      <c r="W138" s="5"/>
      <c r="X138" s="5"/>
      <c r="Y138" s="5"/>
      <c r="Z138" s="5"/>
      <c r="AA138" s="5"/>
      <c r="AB138" s="5"/>
      <c r="AC138" s="5"/>
      <c r="AD138" s="5"/>
      <c r="AE138" s="5"/>
      <c r="AF138" s="5"/>
      <c r="AG138" s="5">
        <v>0</v>
      </c>
      <c r="AH138" s="5">
        <v>28302</v>
      </c>
      <c r="AI138" s="5">
        <v>34266</v>
      </c>
      <c r="AJ138" s="5">
        <v>56099</v>
      </c>
      <c r="AK138" s="5"/>
    </row>
    <row r="139" spans="2:40" x14ac:dyDescent="0.35">
      <c r="B139" t="s">
        <v>140</v>
      </c>
      <c r="F139" s="5">
        <v>0</v>
      </c>
      <c r="G139" s="5">
        <f t="shared" si="123"/>
        <v>0</v>
      </c>
      <c r="H139" s="37">
        <v>0</v>
      </c>
      <c r="I139" s="5">
        <v>0</v>
      </c>
      <c r="J139" s="5">
        <v>0</v>
      </c>
      <c r="K139" s="5"/>
      <c r="L139" s="37">
        <v>15825</v>
      </c>
      <c r="M139" s="5">
        <v>15744</v>
      </c>
      <c r="N139" s="5">
        <v>15656</v>
      </c>
      <c r="O139" s="5">
        <f>AI139</f>
        <v>15568</v>
      </c>
      <c r="P139" s="37">
        <v>15478</v>
      </c>
      <c r="Q139" s="5">
        <v>15385</v>
      </c>
      <c r="R139" s="5">
        <v>15299</v>
      </c>
      <c r="S139" s="5">
        <f t="shared" si="124"/>
        <v>15238</v>
      </c>
      <c r="T139" s="37">
        <v>15177</v>
      </c>
      <c r="U139" s="5"/>
      <c r="V139" s="5"/>
      <c r="W139" s="5"/>
      <c r="X139" s="5"/>
      <c r="Y139" s="5"/>
      <c r="Z139" s="5"/>
      <c r="AA139" s="5"/>
      <c r="AB139" s="5"/>
      <c r="AC139" s="5"/>
      <c r="AD139" s="5"/>
      <c r="AE139" s="5"/>
      <c r="AF139" s="5"/>
      <c r="AG139" s="5">
        <v>0</v>
      </c>
      <c r="AH139" s="5"/>
      <c r="AI139" s="5">
        <v>15568</v>
      </c>
      <c r="AJ139" s="5">
        <v>15238</v>
      </c>
      <c r="AK139" s="5"/>
    </row>
    <row r="140" spans="2:40" x14ac:dyDescent="0.35">
      <c r="B140" t="s">
        <v>141</v>
      </c>
      <c r="F140" s="5">
        <v>0</v>
      </c>
      <c r="G140" s="5">
        <f t="shared" si="123"/>
        <v>0</v>
      </c>
      <c r="H140" s="37">
        <v>0</v>
      </c>
      <c r="I140" s="5">
        <v>0</v>
      </c>
      <c r="J140" s="5">
        <v>0</v>
      </c>
      <c r="K140" s="5">
        <v>466</v>
      </c>
      <c r="L140" s="37">
        <v>509</v>
      </c>
      <c r="M140" s="5">
        <v>17</v>
      </c>
      <c r="N140" s="5">
        <v>22</v>
      </c>
      <c r="O140" s="5">
        <f>AI140</f>
        <v>95</v>
      </c>
      <c r="P140" s="37">
        <v>170</v>
      </c>
      <c r="Q140" s="5">
        <v>237</v>
      </c>
      <c r="R140" s="5">
        <v>308</v>
      </c>
      <c r="S140" s="5">
        <f t="shared" si="124"/>
        <v>426</v>
      </c>
      <c r="T140" s="37">
        <v>530</v>
      </c>
      <c r="U140" s="5"/>
      <c r="V140" s="5"/>
      <c r="W140" s="5"/>
      <c r="X140" s="5"/>
      <c r="Y140" s="5"/>
      <c r="Z140" s="5"/>
      <c r="AA140" s="5"/>
      <c r="AB140" s="5"/>
      <c r="AC140" s="5"/>
      <c r="AD140" s="5"/>
      <c r="AE140" s="5"/>
      <c r="AF140" s="5"/>
      <c r="AG140" s="5">
        <v>0</v>
      </c>
      <c r="AH140" s="5">
        <v>466</v>
      </c>
      <c r="AI140" s="5">
        <v>95</v>
      </c>
      <c r="AJ140" s="5">
        <v>426</v>
      </c>
      <c r="AK140" s="5"/>
    </row>
    <row r="141" spans="2:40" x14ac:dyDescent="0.35">
      <c r="B141" t="s">
        <v>142</v>
      </c>
      <c r="F141" s="5">
        <v>10500</v>
      </c>
      <c r="G141" s="5">
        <f t="shared" si="123"/>
        <v>0</v>
      </c>
      <c r="H141" s="37">
        <v>11200</v>
      </c>
      <c r="I141" s="5">
        <v>11200</v>
      </c>
      <c r="J141" s="5">
        <v>0</v>
      </c>
      <c r="K141" s="5">
        <v>0</v>
      </c>
      <c r="L141" s="37">
        <v>0</v>
      </c>
      <c r="M141" s="5">
        <v>0</v>
      </c>
      <c r="N141" s="5">
        <v>0</v>
      </c>
      <c r="O141" s="5">
        <v>0</v>
      </c>
      <c r="P141" s="37">
        <v>0</v>
      </c>
      <c r="Q141" s="5">
        <v>0</v>
      </c>
      <c r="R141" s="5">
        <v>0</v>
      </c>
      <c r="S141" s="5">
        <f t="shared" si="124"/>
        <v>0</v>
      </c>
      <c r="T141" s="37">
        <v>0</v>
      </c>
      <c r="U141" s="5"/>
      <c r="V141" s="5"/>
      <c r="W141" s="5"/>
      <c r="X141" s="5"/>
      <c r="Y141" s="5"/>
      <c r="Z141" s="5"/>
      <c r="AA141" s="5"/>
      <c r="AB141" s="5"/>
      <c r="AC141" s="5"/>
      <c r="AD141" s="5"/>
      <c r="AE141" s="5"/>
      <c r="AF141" s="5"/>
      <c r="AG141" s="5">
        <v>0</v>
      </c>
      <c r="AH141" s="5"/>
      <c r="AI141" s="5">
        <v>0</v>
      </c>
      <c r="AJ141" s="5">
        <v>0</v>
      </c>
      <c r="AK141" s="5"/>
    </row>
    <row r="142" spans="2:40" x14ac:dyDescent="0.35">
      <c r="B142" t="s">
        <v>143</v>
      </c>
      <c r="F142" s="5">
        <v>0</v>
      </c>
      <c r="G142" s="5">
        <f t="shared" si="123"/>
        <v>0</v>
      </c>
      <c r="H142" s="37">
        <v>0</v>
      </c>
      <c r="I142" s="5">
        <v>0</v>
      </c>
      <c r="J142" s="5">
        <v>81984</v>
      </c>
      <c r="K142" s="5">
        <v>58227</v>
      </c>
      <c r="L142" s="37">
        <v>0</v>
      </c>
      <c r="M142" s="5">
        <v>0</v>
      </c>
      <c r="N142" s="5">
        <v>0</v>
      </c>
      <c r="O142" s="5">
        <f>AI142</f>
        <v>0</v>
      </c>
      <c r="P142" s="37">
        <v>0</v>
      </c>
      <c r="Q142" s="5">
        <v>0</v>
      </c>
      <c r="R142" s="5">
        <v>0</v>
      </c>
      <c r="S142" s="5">
        <f t="shared" si="124"/>
        <v>0</v>
      </c>
      <c r="T142" s="37">
        <v>0</v>
      </c>
      <c r="U142" s="5"/>
      <c r="V142" s="5"/>
      <c r="W142" s="5"/>
      <c r="X142" s="5"/>
      <c r="Y142" s="5"/>
      <c r="Z142" s="5"/>
      <c r="AA142" s="5"/>
      <c r="AB142" s="5"/>
      <c r="AC142" s="5"/>
      <c r="AD142" s="5"/>
      <c r="AE142" s="5"/>
      <c r="AF142" s="5"/>
      <c r="AG142" s="5">
        <v>0</v>
      </c>
      <c r="AH142" s="5">
        <v>58227</v>
      </c>
      <c r="AI142" s="5">
        <v>0</v>
      </c>
      <c r="AJ142" s="5">
        <v>0</v>
      </c>
      <c r="AK142" s="5"/>
    </row>
    <row r="143" spans="2:40" s="2" customFormat="1" x14ac:dyDescent="0.35">
      <c r="B143" s="2" t="s">
        <v>144</v>
      </c>
      <c r="F143" s="6">
        <v>0</v>
      </c>
      <c r="G143" s="5">
        <f t="shared" si="123"/>
        <v>0</v>
      </c>
      <c r="H143" s="38">
        <v>0</v>
      </c>
      <c r="I143" s="6">
        <v>0</v>
      </c>
      <c r="J143" s="6">
        <v>0</v>
      </c>
      <c r="K143" s="6">
        <v>1800</v>
      </c>
      <c r="L143" s="38">
        <v>4901</v>
      </c>
      <c r="M143" s="6">
        <v>2417</v>
      </c>
      <c r="N143" s="6">
        <v>2576</v>
      </c>
      <c r="O143" s="5">
        <f>AI143</f>
        <v>3005</v>
      </c>
      <c r="P143" s="38">
        <v>3353</v>
      </c>
      <c r="Q143" s="6">
        <v>5716</v>
      </c>
      <c r="R143" s="6">
        <v>3638</v>
      </c>
      <c r="S143" s="5">
        <f t="shared" si="124"/>
        <v>3944</v>
      </c>
      <c r="T143" s="38">
        <v>4162</v>
      </c>
      <c r="U143" s="6"/>
      <c r="V143" s="6"/>
      <c r="W143" s="6"/>
      <c r="X143" s="6"/>
      <c r="Y143" s="6"/>
      <c r="Z143" s="6"/>
      <c r="AA143" s="6"/>
      <c r="AB143" s="6"/>
      <c r="AC143" s="6"/>
      <c r="AD143" s="6"/>
      <c r="AE143" s="6"/>
      <c r="AF143" s="6"/>
      <c r="AG143" s="6">
        <v>0</v>
      </c>
      <c r="AH143" s="6">
        <v>1800</v>
      </c>
      <c r="AI143" s="6">
        <v>3005</v>
      </c>
      <c r="AJ143" s="6">
        <v>3944</v>
      </c>
      <c r="AK143" s="6"/>
    </row>
    <row r="144" spans="2:40" s="32" customFormat="1" x14ac:dyDescent="0.35">
      <c r="B144" s="32" t="s">
        <v>145</v>
      </c>
      <c r="F144" s="33">
        <f t="shared" ref="F144:Q144" si="125">SUM(F136:F143)</f>
        <v>10500</v>
      </c>
      <c r="G144" s="33">
        <f t="shared" si="125"/>
        <v>0</v>
      </c>
      <c r="H144" s="45">
        <f t="shared" si="125"/>
        <v>57397.334000000003</v>
      </c>
      <c r="I144" s="33">
        <f t="shared" si="125"/>
        <v>57316.000999999997</v>
      </c>
      <c r="J144" s="33">
        <f t="shared" si="125"/>
        <v>204515</v>
      </c>
      <c r="K144" s="33">
        <f t="shared" si="125"/>
        <v>186092</v>
      </c>
      <c r="L144" s="45">
        <f t="shared" si="125"/>
        <v>151505</v>
      </c>
      <c r="M144" s="33">
        <f t="shared" si="125"/>
        <v>147197</v>
      </c>
      <c r="N144" s="33">
        <f t="shared" si="125"/>
        <v>149186</v>
      </c>
      <c r="O144" s="33">
        <f t="shared" si="125"/>
        <v>152977</v>
      </c>
      <c r="P144" s="45">
        <f t="shared" si="125"/>
        <v>153595</v>
      </c>
      <c r="Q144" s="33">
        <f t="shared" si="125"/>
        <v>64507</v>
      </c>
      <c r="R144" s="33">
        <f t="shared" ref="R144:U144" si="126">SUM(R136:R143)</f>
        <v>60940</v>
      </c>
      <c r="S144" s="33">
        <f t="shared" si="126"/>
        <v>163294</v>
      </c>
      <c r="T144" s="45">
        <f t="shared" si="126"/>
        <v>470516</v>
      </c>
      <c r="U144" s="33">
        <f t="shared" si="126"/>
        <v>0</v>
      </c>
      <c r="V144" s="33">
        <f t="shared" ref="V144:Y144" si="127">SUM(V136:V143)</f>
        <v>0</v>
      </c>
      <c r="W144" s="33">
        <f t="shared" si="127"/>
        <v>0</v>
      </c>
      <c r="X144" s="33">
        <f t="shared" si="127"/>
        <v>0</v>
      </c>
      <c r="Y144" s="33">
        <f t="shared" si="127"/>
        <v>0</v>
      </c>
      <c r="Z144" s="33"/>
      <c r="AA144" s="33"/>
      <c r="AB144" s="33"/>
      <c r="AC144" s="33"/>
      <c r="AD144" s="33"/>
      <c r="AE144" s="33"/>
      <c r="AF144" s="33"/>
      <c r="AG144" s="33">
        <f>SUM(AG136:AG143)</f>
        <v>0</v>
      </c>
      <c r="AH144" s="33">
        <f>SUM(AH136:AH143)</f>
        <v>186092</v>
      </c>
      <c r="AI144" s="33">
        <f>SUM(AI136:AI143)</f>
        <v>152977</v>
      </c>
      <c r="AJ144" s="33">
        <f t="shared" ref="AJ144:AN144" si="128">SUM(AJ136:AJ143)</f>
        <v>163294</v>
      </c>
      <c r="AK144" s="33">
        <f t="shared" si="128"/>
        <v>0</v>
      </c>
      <c r="AL144" s="33">
        <f t="shared" si="128"/>
        <v>0</v>
      </c>
      <c r="AM144" s="33">
        <f t="shared" si="128"/>
        <v>0</v>
      </c>
      <c r="AN144" s="33">
        <f t="shared" si="128"/>
        <v>0</v>
      </c>
    </row>
    <row r="145" spans="2:40" s="12" customFormat="1" x14ac:dyDescent="0.35">
      <c r="B145" s="12" t="s">
        <v>146</v>
      </c>
      <c r="F145" s="24">
        <f t="shared" ref="F145:Q145" si="129">F144+F134</f>
        <v>11100</v>
      </c>
      <c r="G145" s="24">
        <f t="shared" si="129"/>
        <v>11417.395</v>
      </c>
      <c r="H145" s="40">
        <f t="shared" si="129"/>
        <v>59090.288</v>
      </c>
      <c r="I145" s="24">
        <f t="shared" si="129"/>
        <v>59706.012999999999</v>
      </c>
      <c r="J145" s="24">
        <f t="shared" si="129"/>
        <v>281259</v>
      </c>
      <c r="K145" s="24">
        <f t="shared" si="129"/>
        <v>282399</v>
      </c>
      <c r="L145" s="40">
        <f t="shared" si="129"/>
        <v>324889</v>
      </c>
      <c r="M145" s="24">
        <f t="shared" si="129"/>
        <v>291298</v>
      </c>
      <c r="N145" s="24">
        <f t="shared" si="129"/>
        <v>310526</v>
      </c>
      <c r="O145" s="24">
        <f t="shared" si="129"/>
        <v>315917</v>
      </c>
      <c r="P145" s="40">
        <f t="shared" si="129"/>
        <v>350890</v>
      </c>
      <c r="Q145" s="24">
        <f t="shared" si="129"/>
        <v>370448</v>
      </c>
      <c r="R145" s="24">
        <f t="shared" ref="R145:U145" si="130">R144+R134</f>
        <v>364691</v>
      </c>
      <c r="S145" s="24">
        <f t="shared" si="130"/>
        <v>386667</v>
      </c>
      <c r="T145" s="40">
        <f t="shared" si="130"/>
        <v>702978</v>
      </c>
      <c r="U145" s="24">
        <f t="shared" si="130"/>
        <v>0</v>
      </c>
      <c r="V145" s="24">
        <f t="shared" ref="V145:Y145" si="131">V144+V134</f>
        <v>0</v>
      </c>
      <c r="W145" s="24">
        <f t="shared" si="131"/>
        <v>0</v>
      </c>
      <c r="X145" s="24">
        <f t="shared" si="131"/>
        <v>0</v>
      </c>
      <c r="Y145" s="24">
        <f t="shared" si="131"/>
        <v>0</v>
      </c>
      <c r="Z145" s="24"/>
      <c r="AA145" s="24"/>
      <c r="AB145" s="24"/>
      <c r="AC145" s="24"/>
      <c r="AD145" s="24"/>
      <c r="AE145" s="24"/>
      <c r="AF145" s="24"/>
      <c r="AG145" s="24">
        <f>AG144+AG134</f>
        <v>11417.395</v>
      </c>
      <c r="AH145" s="24">
        <f>AH144+AH134</f>
        <v>282399</v>
      </c>
      <c r="AI145" s="24">
        <f>AI144+AI134</f>
        <v>315917</v>
      </c>
      <c r="AJ145" s="24">
        <f t="shared" ref="AJ145:AN145" si="132">AJ144+AJ134</f>
        <v>386667</v>
      </c>
      <c r="AK145" s="24">
        <f t="shared" si="132"/>
        <v>0</v>
      </c>
      <c r="AL145" s="24">
        <f t="shared" si="132"/>
        <v>0</v>
      </c>
      <c r="AM145" s="24">
        <f t="shared" si="132"/>
        <v>0</v>
      </c>
      <c r="AN145" s="24">
        <f t="shared" si="132"/>
        <v>0</v>
      </c>
    </row>
    <row r="146" spans="2:40" s="28" customFormat="1" x14ac:dyDescent="0.35">
      <c r="B146" s="28" t="s">
        <v>147</v>
      </c>
      <c r="F146" s="29"/>
      <c r="G146" s="29"/>
      <c r="H146" s="47"/>
      <c r="I146" s="29"/>
      <c r="J146" s="29"/>
      <c r="K146" s="29"/>
      <c r="L146" s="47"/>
      <c r="M146" s="29"/>
      <c r="N146" s="29"/>
      <c r="O146" s="29"/>
      <c r="P146" s="47"/>
      <c r="Q146" s="29"/>
      <c r="R146" s="29"/>
      <c r="S146" s="29"/>
      <c r="T146" s="47"/>
      <c r="U146" s="29"/>
      <c r="V146" s="29"/>
      <c r="W146" s="29"/>
      <c r="X146" s="29"/>
      <c r="Y146" s="29"/>
      <c r="Z146" s="29"/>
      <c r="AA146" s="29"/>
      <c r="AB146" s="29"/>
      <c r="AC146" s="29"/>
      <c r="AD146" s="29"/>
      <c r="AE146" s="29"/>
      <c r="AF146" s="29"/>
      <c r="AG146" s="29"/>
      <c r="AH146" s="29"/>
      <c r="AI146" s="29"/>
      <c r="AJ146" s="29"/>
      <c r="AK146" s="29"/>
    </row>
    <row r="147" spans="2:40" x14ac:dyDescent="0.35">
      <c r="B147" t="s">
        <v>148</v>
      </c>
      <c r="F147" s="5">
        <v>285851910</v>
      </c>
      <c r="G147" s="5">
        <f t="shared" ref="G147:G156" si="133">AG147</f>
        <v>304820</v>
      </c>
      <c r="H147" s="37">
        <v>256697.07</v>
      </c>
      <c r="I147" s="5">
        <v>320000</v>
      </c>
      <c r="J147" s="5">
        <v>0</v>
      </c>
      <c r="K147" s="5">
        <v>0</v>
      </c>
      <c r="L147" s="37">
        <v>0</v>
      </c>
      <c r="M147" s="5">
        <v>0</v>
      </c>
      <c r="N147" s="5">
        <v>0</v>
      </c>
      <c r="O147" s="5">
        <f t="shared" ref="O147:O156" si="134">AI147</f>
        <v>0</v>
      </c>
      <c r="P147" s="37">
        <v>0</v>
      </c>
      <c r="Q147" s="5">
        <v>0</v>
      </c>
      <c r="R147" s="5">
        <v>0</v>
      </c>
      <c r="S147" s="5">
        <f t="shared" ref="S147:S156" si="135">AJ147</f>
        <v>0</v>
      </c>
      <c r="T147" s="37">
        <v>0</v>
      </c>
      <c r="U147" s="5"/>
      <c r="V147" s="5"/>
      <c r="W147" s="5"/>
      <c r="X147" s="5"/>
      <c r="Y147" s="5"/>
      <c r="Z147" s="5"/>
      <c r="AA147" s="5"/>
      <c r="AB147" s="5"/>
      <c r="AC147" s="5"/>
      <c r="AD147" s="5"/>
      <c r="AE147" s="5"/>
      <c r="AF147" s="5"/>
      <c r="AG147" s="5">
        <v>304820</v>
      </c>
      <c r="AH147" s="5">
        <v>0</v>
      </c>
      <c r="AI147" s="5">
        <v>0</v>
      </c>
      <c r="AJ147" s="5">
        <v>0</v>
      </c>
      <c r="AK147" s="5"/>
    </row>
    <row r="148" spans="2:40" x14ac:dyDescent="0.35">
      <c r="B148" t="s">
        <v>149</v>
      </c>
      <c r="F148" s="5">
        <v>141</v>
      </c>
      <c r="G148" s="5">
        <f t="shared" si="133"/>
        <v>0</v>
      </c>
      <c r="H148" s="37">
        <v>0</v>
      </c>
      <c r="I148" s="5">
        <v>0</v>
      </c>
      <c r="J148" s="5" t="s">
        <v>150</v>
      </c>
      <c r="K148" s="5" t="s">
        <v>150</v>
      </c>
      <c r="L148" s="37" t="s">
        <v>150</v>
      </c>
      <c r="M148" s="5" t="s">
        <v>150</v>
      </c>
      <c r="N148" s="5" t="s">
        <v>150</v>
      </c>
      <c r="O148" s="5">
        <f t="shared" si="134"/>
        <v>0</v>
      </c>
      <c r="P148" s="37">
        <v>0</v>
      </c>
      <c r="Q148" s="5">
        <v>0</v>
      </c>
      <c r="R148" s="5">
        <v>0</v>
      </c>
      <c r="S148" s="5">
        <f t="shared" si="135"/>
        <v>0</v>
      </c>
      <c r="T148" s="37">
        <v>0</v>
      </c>
      <c r="U148" s="5"/>
      <c r="V148" s="5"/>
      <c r="W148" s="5"/>
      <c r="X148" s="5"/>
      <c r="Y148" s="5"/>
      <c r="Z148" s="5"/>
      <c r="AA148" s="5"/>
      <c r="AB148" s="5"/>
      <c r="AC148" s="5"/>
      <c r="AD148" s="5"/>
      <c r="AE148" s="5"/>
      <c r="AF148" s="5"/>
      <c r="AG148" s="5">
        <v>0</v>
      </c>
      <c r="AH148" s="5">
        <v>0</v>
      </c>
      <c r="AI148" s="5">
        <v>0</v>
      </c>
      <c r="AJ148" s="5">
        <v>0</v>
      </c>
      <c r="AK148" s="5"/>
    </row>
    <row r="149" spans="2:40" x14ac:dyDescent="0.35">
      <c r="B149" t="s">
        <v>151</v>
      </c>
      <c r="F149" s="5">
        <v>863</v>
      </c>
      <c r="G149" s="5">
        <f t="shared" si="133"/>
        <v>0</v>
      </c>
      <c r="H149" s="37">
        <v>0</v>
      </c>
      <c r="I149" s="5">
        <v>0</v>
      </c>
      <c r="J149" s="5" t="s">
        <v>150</v>
      </c>
      <c r="K149" s="5" t="s">
        <v>150</v>
      </c>
      <c r="L149" s="37" t="s">
        <v>150</v>
      </c>
      <c r="M149" s="5" t="s">
        <v>150</v>
      </c>
      <c r="N149" s="5" t="s">
        <v>150</v>
      </c>
      <c r="O149" s="5">
        <f t="shared" si="134"/>
        <v>0</v>
      </c>
      <c r="P149" s="37">
        <v>0</v>
      </c>
      <c r="Q149" s="5">
        <v>0</v>
      </c>
      <c r="R149" s="5">
        <v>0</v>
      </c>
      <c r="S149" s="5">
        <f t="shared" si="135"/>
        <v>0</v>
      </c>
      <c r="T149" s="37">
        <v>0</v>
      </c>
      <c r="U149" s="5"/>
      <c r="V149" s="5"/>
      <c r="W149" s="5"/>
      <c r="X149" s="5"/>
      <c r="Y149" s="5"/>
      <c r="Z149" s="5"/>
      <c r="AA149" s="5"/>
      <c r="AB149" s="5"/>
      <c r="AC149" s="5"/>
      <c r="AD149" s="5"/>
      <c r="AE149" s="5"/>
      <c r="AF149" s="5"/>
      <c r="AG149" s="5">
        <v>0</v>
      </c>
      <c r="AH149" s="5">
        <v>0</v>
      </c>
      <c r="AI149" s="5">
        <v>0</v>
      </c>
      <c r="AJ149" s="5">
        <v>0</v>
      </c>
      <c r="AK149" s="5"/>
    </row>
    <row r="150" spans="2:40" x14ac:dyDescent="0.35">
      <c r="B150" t="s">
        <v>152</v>
      </c>
      <c r="F150" s="5">
        <v>0</v>
      </c>
      <c r="G150" s="5">
        <f t="shared" si="133"/>
        <v>0</v>
      </c>
      <c r="H150" s="37">
        <v>0</v>
      </c>
      <c r="I150" s="5">
        <v>0</v>
      </c>
      <c r="J150" s="5" t="s">
        <v>150</v>
      </c>
      <c r="K150" s="5" t="s">
        <v>150</v>
      </c>
      <c r="L150" s="37" t="s">
        <v>150</v>
      </c>
      <c r="M150" s="5" t="s">
        <v>150</v>
      </c>
      <c r="N150" s="5" t="s">
        <v>150</v>
      </c>
      <c r="O150" s="5">
        <f t="shared" si="134"/>
        <v>0</v>
      </c>
      <c r="P150" s="37">
        <v>0</v>
      </c>
      <c r="Q150" s="5">
        <v>0</v>
      </c>
      <c r="R150" s="5">
        <v>0</v>
      </c>
      <c r="S150" s="5">
        <f t="shared" si="135"/>
        <v>0</v>
      </c>
      <c r="T150" s="37">
        <v>0</v>
      </c>
      <c r="U150" s="5"/>
      <c r="V150" s="5"/>
      <c r="W150" s="5"/>
      <c r="X150" s="5"/>
      <c r="Y150" s="5"/>
      <c r="Z150" s="5"/>
      <c r="AA150" s="5"/>
      <c r="AB150" s="5"/>
      <c r="AC150" s="5"/>
      <c r="AD150" s="5"/>
      <c r="AE150" s="5"/>
      <c r="AF150" s="5"/>
      <c r="AG150" s="5">
        <v>0</v>
      </c>
      <c r="AH150" s="5">
        <v>0</v>
      </c>
      <c r="AI150" s="5">
        <v>0</v>
      </c>
      <c r="AJ150" s="5">
        <v>0</v>
      </c>
      <c r="AK150" s="5"/>
    </row>
    <row r="151" spans="2:40" x14ac:dyDescent="0.35">
      <c r="B151" t="s">
        <v>153</v>
      </c>
      <c r="F151" s="5">
        <v>0</v>
      </c>
      <c r="G151" s="5">
        <f t="shared" si="133"/>
        <v>0</v>
      </c>
      <c r="H151" s="37">
        <v>0</v>
      </c>
      <c r="I151" s="5">
        <v>0</v>
      </c>
      <c r="J151" s="5" t="s">
        <v>150</v>
      </c>
      <c r="K151" s="5" t="s">
        <v>150</v>
      </c>
      <c r="L151" s="37" t="s">
        <v>150</v>
      </c>
      <c r="M151" s="5" t="s">
        <v>150</v>
      </c>
      <c r="N151" s="5" t="s">
        <v>150</v>
      </c>
      <c r="O151" s="5">
        <f t="shared" si="134"/>
        <v>0</v>
      </c>
      <c r="P151" s="37">
        <v>0</v>
      </c>
      <c r="Q151" s="5">
        <v>0</v>
      </c>
      <c r="R151" s="5">
        <v>0</v>
      </c>
      <c r="S151" s="5">
        <f t="shared" si="135"/>
        <v>0</v>
      </c>
      <c r="T151" s="37">
        <v>0</v>
      </c>
      <c r="U151" s="5"/>
      <c r="V151" s="5"/>
      <c r="W151" s="5"/>
      <c r="X151" s="5"/>
      <c r="Y151" s="5"/>
      <c r="Z151" s="5"/>
      <c r="AA151" s="5"/>
      <c r="AB151" s="5"/>
      <c r="AC151" s="5"/>
      <c r="AD151" s="5"/>
      <c r="AE151" s="5"/>
      <c r="AF151" s="5"/>
      <c r="AG151" s="5">
        <v>0</v>
      </c>
      <c r="AH151" s="5">
        <v>0</v>
      </c>
      <c r="AI151" s="5">
        <v>0</v>
      </c>
      <c r="AJ151" s="5">
        <v>0</v>
      </c>
      <c r="AK151" s="5"/>
    </row>
    <row r="152" spans="2:40" x14ac:dyDescent="0.35">
      <c r="B152" t="s">
        <v>154</v>
      </c>
      <c r="F152" s="5">
        <v>0</v>
      </c>
      <c r="G152" s="5">
        <f t="shared" si="133"/>
        <v>0</v>
      </c>
      <c r="H152" s="37">
        <v>0</v>
      </c>
      <c r="I152" s="5">
        <v>0</v>
      </c>
      <c r="J152" s="5" t="s">
        <v>150</v>
      </c>
      <c r="K152" s="5" t="s">
        <v>150</v>
      </c>
      <c r="L152" s="37" t="s">
        <v>150</v>
      </c>
      <c r="M152" s="5" t="s">
        <v>150</v>
      </c>
      <c r="N152" s="5" t="s">
        <v>150</v>
      </c>
      <c r="O152" s="5">
        <f t="shared" si="134"/>
        <v>0</v>
      </c>
      <c r="P152" s="37">
        <v>0</v>
      </c>
      <c r="Q152" s="5">
        <v>0</v>
      </c>
      <c r="R152" s="5">
        <v>0</v>
      </c>
      <c r="S152" s="5">
        <f t="shared" si="135"/>
        <v>0</v>
      </c>
      <c r="T152" s="37">
        <v>0</v>
      </c>
      <c r="U152" s="5"/>
      <c r="V152" s="5"/>
      <c r="W152" s="5"/>
      <c r="X152" s="5"/>
      <c r="Y152" s="5"/>
      <c r="Z152" s="5"/>
      <c r="AA152" s="5"/>
      <c r="AB152" s="5"/>
      <c r="AC152" s="5"/>
      <c r="AD152" s="5"/>
      <c r="AE152" s="5"/>
      <c r="AF152" s="5"/>
      <c r="AG152" s="5">
        <v>0</v>
      </c>
      <c r="AH152" s="5">
        <v>0</v>
      </c>
      <c r="AI152" s="5">
        <v>0</v>
      </c>
      <c r="AJ152" s="5">
        <v>0</v>
      </c>
      <c r="AK152" s="5"/>
    </row>
    <row r="153" spans="2:40" x14ac:dyDescent="0.35">
      <c r="B153" t="s">
        <v>155</v>
      </c>
      <c r="F153" s="5">
        <v>0</v>
      </c>
      <c r="G153" s="5">
        <f t="shared" si="133"/>
        <v>0.95200000000000007</v>
      </c>
      <c r="H153" s="37">
        <f>0.633+0.8</f>
        <v>1.4330000000000001</v>
      </c>
      <c r="I153" s="5">
        <v>0.8</v>
      </c>
      <c r="J153" s="5">
        <v>45</v>
      </c>
      <c r="K153" s="5">
        <v>45</v>
      </c>
      <c r="L153" s="37">
        <v>46</v>
      </c>
      <c r="M153" s="5">
        <v>47</v>
      </c>
      <c r="N153" s="5">
        <v>45</v>
      </c>
      <c r="O153" s="5">
        <f t="shared" si="134"/>
        <v>48</v>
      </c>
      <c r="P153" s="37">
        <v>48</v>
      </c>
      <c r="Q153" s="5">
        <v>48</v>
      </c>
      <c r="R153" s="5">
        <v>49</v>
      </c>
      <c r="S153" s="5">
        <f t="shared" si="135"/>
        <v>49</v>
      </c>
      <c r="T153" s="37">
        <v>49</v>
      </c>
      <c r="U153" s="5"/>
      <c r="V153" s="5"/>
      <c r="W153" s="5"/>
      <c r="X153" s="5"/>
      <c r="Y153" s="5"/>
      <c r="Z153" s="5"/>
      <c r="AA153" s="5"/>
      <c r="AB153" s="5"/>
      <c r="AC153" s="5"/>
      <c r="AD153" s="5"/>
      <c r="AE153" s="5"/>
      <c r="AF153" s="5"/>
      <c r="AG153" s="5">
        <f>0.152+0.8</f>
        <v>0.95200000000000007</v>
      </c>
      <c r="AH153" s="5">
        <v>45</v>
      </c>
      <c r="AI153" s="5">
        <v>48</v>
      </c>
      <c r="AJ153" s="5">
        <v>49</v>
      </c>
      <c r="AK153" s="5"/>
    </row>
    <row r="154" spans="2:40" x14ac:dyDescent="0.35">
      <c r="B154" t="s">
        <v>156</v>
      </c>
      <c r="F154" s="5">
        <v>5019704</v>
      </c>
      <c r="G154" s="5">
        <f t="shared" si="133"/>
        <v>5351.6660000000002</v>
      </c>
      <c r="H154" s="37">
        <v>40900.781999999999</v>
      </c>
      <c r="I154" s="5">
        <v>0</v>
      </c>
      <c r="J154" s="5">
        <v>981159</v>
      </c>
      <c r="K154" s="5">
        <v>1002106</v>
      </c>
      <c r="L154" s="37">
        <v>1062085</v>
      </c>
      <c r="M154" s="5">
        <v>1081390</v>
      </c>
      <c r="N154" s="5">
        <v>1098892</v>
      </c>
      <c r="O154" s="5">
        <f t="shared" si="134"/>
        <v>1112977</v>
      </c>
      <c r="P154" s="37">
        <v>1125976</v>
      </c>
      <c r="Q154" s="5">
        <v>1145225</v>
      </c>
      <c r="R154" s="5">
        <v>1161165</v>
      </c>
      <c r="S154" s="5">
        <f t="shared" si="135"/>
        <v>1176484</v>
      </c>
      <c r="T154" s="37">
        <v>1148484</v>
      </c>
      <c r="U154" s="5"/>
      <c r="V154" s="5"/>
      <c r="W154" s="5"/>
      <c r="X154" s="5"/>
      <c r="Y154" s="5"/>
      <c r="Z154" s="5"/>
      <c r="AA154" s="5"/>
      <c r="AB154" s="5"/>
      <c r="AC154" s="5"/>
      <c r="AD154" s="5"/>
      <c r="AE154" s="5"/>
      <c r="AF154" s="5"/>
      <c r="AG154" s="5">
        <v>5351.6660000000002</v>
      </c>
      <c r="AH154" s="5">
        <v>1002106</v>
      </c>
      <c r="AI154" s="5">
        <v>1112977</v>
      </c>
      <c r="AJ154" s="5">
        <v>1176484</v>
      </c>
      <c r="AK154" s="5"/>
    </row>
    <row r="155" spans="2:40" x14ac:dyDescent="0.35">
      <c r="B155" t="s">
        <v>157</v>
      </c>
      <c r="F155" s="5">
        <v>-20698</v>
      </c>
      <c r="G155" s="5">
        <f t="shared" si="133"/>
        <v>-352.61700000000002</v>
      </c>
      <c r="H155" s="37">
        <v>-35902.214</v>
      </c>
      <c r="I155" s="5">
        <v>-59362.822999999997</v>
      </c>
      <c r="J155" s="5">
        <v>-308207</v>
      </c>
      <c r="K155" s="5">
        <v>-305011</v>
      </c>
      <c r="L155" s="37">
        <v>-331720</v>
      </c>
      <c r="M155" s="5">
        <v>-369137</v>
      </c>
      <c r="N155" s="5">
        <v>-403747</v>
      </c>
      <c r="O155" s="5">
        <f t="shared" si="134"/>
        <v>-440955</v>
      </c>
      <c r="P155" s="37">
        <v>-486572</v>
      </c>
      <c r="Q155" s="5">
        <v>-532461</v>
      </c>
      <c r="R155" s="5">
        <v>-573029</v>
      </c>
      <c r="S155" s="5">
        <f t="shared" si="135"/>
        <v>-623526</v>
      </c>
      <c r="T155" s="37">
        <v>-667786</v>
      </c>
      <c r="U155" s="5"/>
      <c r="V155" s="5"/>
      <c r="W155" s="5"/>
      <c r="X155" s="5"/>
      <c r="Y155" s="5"/>
      <c r="Z155" s="5"/>
      <c r="AA155" s="5"/>
      <c r="AB155" s="5"/>
      <c r="AC155" s="5"/>
      <c r="AD155" s="5"/>
      <c r="AE155" s="5"/>
      <c r="AF155" s="5"/>
      <c r="AG155" s="5">
        <v>-352.61700000000002</v>
      </c>
      <c r="AH155" s="5">
        <v>-305011</v>
      </c>
      <c r="AI155" s="5">
        <v>-440955</v>
      </c>
      <c r="AJ155" s="5">
        <v>-623526</v>
      </c>
      <c r="AK155" s="5"/>
    </row>
    <row r="156" spans="2:40" s="2" customFormat="1" x14ac:dyDescent="0.35">
      <c r="B156" s="2" t="s">
        <v>158</v>
      </c>
      <c r="F156" s="6">
        <v>0</v>
      </c>
      <c r="G156" s="5">
        <f t="shared" si="133"/>
        <v>0</v>
      </c>
      <c r="H156" s="38"/>
      <c r="I156" s="6">
        <v>0</v>
      </c>
      <c r="J156" s="6">
        <v>1121</v>
      </c>
      <c r="K156" s="6">
        <v>1308</v>
      </c>
      <c r="L156" s="38">
        <v>2184</v>
      </c>
      <c r="M156" s="6">
        <v>1154</v>
      </c>
      <c r="N156" s="6">
        <v>-4356</v>
      </c>
      <c r="O156" s="5">
        <f t="shared" si="134"/>
        <v>1136</v>
      </c>
      <c r="P156" s="38">
        <v>566</v>
      </c>
      <c r="Q156" s="6">
        <v>-1764</v>
      </c>
      <c r="R156" s="6">
        <v>-2383</v>
      </c>
      <c r="S156" s="128">
        <f t="shared" si="135"/>
        <v>1537</v>
      </c>
      <c r="T156" s="38">
        <v>-1801</v>
      </c>
      <c r="U156" s="6"/>
      <c r="V156" s="6"/>
      <c r="W156" s="6"/>
      <c r="X156" s="6"/>
      <c r="Y156" s="6"/>
      <c r="Z156" s="6"/>
      <c r="AA156" s="6"/>
      <c r="AB156" s="6"/>
      <c r="AC156" s="6"/>
      <c r="AD156" s="6"/>
      <c r="AE156" s="6"/>
      <c r="AF156" s="6"/>
      <c r="AG156" s="6">
        <v>0</v>
      </c>
      <c r="AH156" s="6">
        <v>1308</v>
      </c>
      <c r="AI156" s="6">
        <v>1136</v>
      </c>
      <c r="AJ156" s="6">
        <v>1537</v>
      </c>
      <c r="AK156" s="6"/>
    </row>
    <row r="157" spans="2:40" s="32" customFormat="1" x14ac:dyDescent="0.35">
      <c r="B157" s="32" t="s">
        <v>159</v>
      </c>
      <c r="F157" s="33">
        <f>SUM(F148:F156)</f>
        <v>5000010</v>
      </c>
      <c r="G157" s="33">
        <f>SUM(G148:G156)</f>
        <v>5000.0010000000002</v>
      </c>
      <c r="H157" s="45">
        <f t="shared" ref="H157:Q157" si="136">SUM(H153:H156)</f>
        <v>5000.0009999999966</v>
      </c>
      <c r="I157" s="33">
        <f t="shared" si="136"/>
        <v>-59362.022999999994</v>
      </c>
      <c r="J157" s="33">
        <f t="shared" si="136"/>
        <v>674118</v>
      </c>
      <c r="K157" s="33">
        <f t="shared" si="136"/>
        <v>698448</v>
      </c>
      <c r="L157" s="45">
        <f t="shared" si="136"/>
        <v>732595</v>
      </c>
      <c r="M157" s="33">
        <f t="shared" si="136"/>
        <v>713454</v>
      </c>
      <c r="N157" s="33">
        <f t="shared" si="136"/>
        <v>690834</v>
      </c>
      <c r="O157" s="33">
        <f t="shared" si="136"/>
        <v>673206</v>
      </c>
      <c r="P157" s="45">
        <f t="shared" si="136"/>
        <v>640018</v>
      </c>
      <c r="Q157" s="33">
        <f t="shared" si="136"/>
        <v>611048</v>
      </c>
      <c r="R157" s="33">
        <f t="shared" ref="R157" si="137">SUM(R153:R156)</f>
        <v>585802</v>
      </c>
      <c r="S157" s="33">
        <f t="shared" ref="S157:U157" si="138">SUM(S153:S156)</f>
        <v>554544</v>
      </c>
      <c r="T157" s="45">
        <f t="shared" si="138"/>
        <v>478946</v>
      </c>
      <c r="U157" s="33">
        <f t="shared" si="138"/>
        <v>0</v>
      </c>
      <c r="V157" s="33">
        <f t="shared" ref="V157:Y157" si="139">SUM(V153:V156)</f>
        <v>0</v>
      </c>
      <c r="W157" s="33">
        <f t="shared" si="139"/>
        <v>0</v>
      </c>
      <c r="X157" s="33">
        <f t="shared" si="139"/>
        <v>0</v>
      </c>
      <c r="Y157" s="33">
        <f t="shared" si="139"/>
        <v>0</v>
      </c>
      <c r="Z157" s="33"/>
      <c r="AA157" s="33"/>
      <c r="AB157" s="33"/>
      <c r="AC157" s="33"/>
      <c r="AD157" s="33"/>
      <c r="AE157" s="33"/>
      <c r="AF157" s="33"/>
      <c r="AG157" s="33">
        <f>SUM(AG153:AG156)</f>
        <v>5000.0010000000002</v>
      </c>
      <c r="AH157" s="33">
        <f>SUM(AH153:AH156)</f>
        <v>698448</v>
      </c>
      <c r="AI157" s="33">
        <f>SUM(AI153:AI156)</f>
        <v>673206</v>
      </c>
      <c r="AJ157" s="33">
        <f t="shared" ref="AJ157:AN157" si="140">SUM(AJ153:AJ156)</f>
        <v>554544</v>
      </c>
      <c r="AK157" s="33">
        <f t="shared" si="140"/>
        <v>0</v>
      </c>
      <c r="AL157" s="33">
        <f t="shared" si="140"/>
        <v>0</v>
      </c>
      <c r="AM157" s="33">
        <f t="shared" si="140"/>
        <v>0</v>
      </c>
      <c r="AN157" s="33">
        <f t="shared" si="140"/>
        <v>0</v>
      </c>
    </row>
    <row r="158" spans="2:40" s="12" customFormat="1" x14ac:dyDescent="0.35">
      <c r="B158" s="12" t="s">
        <v>160</v>
      </c>
      <c r="F158" s="24">
        <f>SUM(F145:F156)</f>
        <v>290863020</v>
      </c>
      <c r="G158" s="24">
        <f>G157+G145+G147</f>
        <v>321237.39600000001</v>
      </c>
      <c r="H158" s="40">
        <f t="shared" ref="H158:O158" si="141">SUM(H145:H156)</f>
        <v>320787.35900000005</v>
      </c>
      <c r="I158" s="24">
        <f t="shared" si="141"/>
        <v>320343.99</v>
      </c>
      <c r="J158" s="24">
        <f t="shared" si="141"/>
        <v>955377</v>
      </c>
      <c r="K158" s="24">
        <f t="shared" si="141"/>
        <v>980847</v>
      </c>
      <c r="L158" s="40">
        <f t="shared" si="141"/>
        <v>1057484</v>
      </c>
      <c r="M158" s="24">
        <f t="shared" si="141"/>
        <v>1004752</v>
      </c>
      <c r="N158" s="24">
        <f t="shared" si="141"/>
        <v>1001360</v>
      </c>
      <c r="O158" s="24">
        <f t="shared" si="141"/>
        <v>989123</v>
      </c>
      <c r="P158" s="40">
        <f t="shared" ref="P158:Q158" si="142">SUM(P145:P156)</f>
        <v>990908</v>
      </c>
      <c r="Q158" s="24">
        <f t="shared" si="142"/>
        <v>981496</v>
      </c>
      <c r="R158" s="24">
        <f t="shared" ref="R158:S158" si="143">SUM(R145:R156)</f>
        <v>950493</v>
      </c>
      <c r="S158" s="24">
        <f t="shared" si="143"/>
        <v>941211</v>
      </c>
      <c r="T158" s="40">
        <f t="shared" ref="T158:U158" si="144">SUM(T145:T156)</f>
        <v>1181924</v>
      </c>
      <c r="U158" s="24">
        <f t="shared" si="144"/>
        <v>0</v>
      </c>
      <c r="V158" s="24">
        <f t="shared" ref="V158:Y158" si="145">SUM(V145:V156)</f>
        <v>0</v>
      </c>
      <c r="W158" s="24">
        <f t="shared" si="145"/>
        <v>0</v>
      </c>
      <c r="X158" s="24">
        <f t="shared" si="145"/>
        <v>0</v>
      </c>
      <c r="Y158" s="24">
        <f t="shared" si="145"/>
        <v>0</v>
      </c>
      <c r="Z158" s="24"/>
      <c r="AA158" s="24"/>
      <c r="AB158" s="24"/>
      <c r="AC158" s="24"/>
      <c r="AD158" s="24"/>
      <c r="AE158" s="24"/>
      <c r="AF158" s="24"/>
      <c r="AG158" s="24">
        <f>SUM(AG145:AG156)</f>
        <v>321237.39600000001</v>
      </c>
      <c r="AH158" s="24">
        <f>SUM(AH145:AH156)</f>
        <v>980847</v>
      </c>
      <c r="AI158" s="24">
        <f>SUM(AI145:AI156)</f>
        <v>989123</v>
      </c>
      <c r="AJ158" s="24">
        <f t="shared" ref="AJ158:AN158" si="146">SUM(AJ145:AJ156)</f>
        <v>941211</v>
      </c>
      <c r="AK158" s="24">
        <f t="shared" si="146"/>
        <v>0</v>
      </c>
      <c r="AL158" s="24">
        <f t="shared" si="146"/>
        <v>0</v>
      </c>
      <c r="AM158" s="24">
        <f t="shared" si="146"/>
        <v>0</v>
      </c>
      <c r="AN158" s="24">
        <f t="shared" si="146"/>
        <v>0</v>
      </c>
    </row>
    <row r="159" spans="2:40" x14ac:dyDescent="0.35">
      <c r="H159" s="37"/>
      <c r="I159" s="5"/>
      <c r="J159" s="5"/>
      <c r="K159" s="5"/>
      <c r="L159" s="37"/>
      <c r="M159" s="5"/>
      <c r="N159" s="5"/>
      <c r="O159" s="5"/>
      <c r="P159" s="37"/>
      <c r="Q159" s="5"/>
      <c r="R159" s="5"/>
      <c r="S159" s="5"/>
      <c r="T159" s="37"/>
      <c r="U159" s="5"/>
      <c r="V159" s="5"/>
      <c r="W159" s="5"/>
      <c r="X159" s="5"/>
      <c r="Y159" s="5"/>
      <c r="Z159" s="5"/>
      <c r="AA159" s="5"/>
      <c r="AB159" s="5"/>
      <c r="AC159" s="5"/>
      <c r="AD159" s="5"/>
      <c r="AE159" s="5"/>
      <c r="AF159" s="5"/>
      <c r="AG159" s="5"/>
      <c r="AH159" s="5"/>
      <c r="AI159" s="5"/>
      <c r="AJ159" s="5"/>
      <c r="AK159" s="5"/>
    </row>
    <row r="160" spans="2:40" x14ac:dyDescent="0.35">
      <c r="B160" t="s">
        <v>161</v>
      </c>
      <c r="F160" s="25">
        <f t="shared" ref="F160:Q160" si="147">F112/F134</f>
        <v>715.12395000000004</v>
      </c>
      <c r="G160" s="25">
        <f t="shared" si="147"/>
        <v>0.10795369696852915</v>
      </c>
      <c r="H160" s="50">
        <f t="shared" si="147"/>
        <v>0.45937633272965478</v>
      </c>
      <c r="I160" s="25">
        <f t="shared" si="147"/>
        <v>0.13785328274502387</v>
      </c>
      <c r="J160" s="25">
        <f t="shared" si="147"/>
        <v>11.141144584592933</v>
      </c>
      <c r="K160" s="25">
        <f t="shared" si="147"/>
        <v>8.0447319509485293</v>
      </c>
      <c r="L160" s="50">
        <f t="shared" si="147"/>
        <v>4.3036381673049418</v>
      </c>
      <c r="M160" s="25">
        <f t="shared" si="147"/>
        <v>4.9022282982075076</v>
      </c>
      <c r="N160" s="25">
        <f t="shared" si="147"/>
        <v>4.3352547415396057</v>
      </c>
      <c r="O160" s="25">
        <f t="shared" si="147"/>
        <v>4.0646495642567819</v>
      </c>
      <c r="P160" s="50">
        <f t="shared" si="147"/>
        <v>3.2198281760815024</v>
      </c>
      <c r="Q160" s="25">
        <f t="shared" si="147"/>
        <v>1.8310883470996042</v>
      </c>
      <c r="R160" s="5"/>
      <c r="S160" s="5"/>
      <c r="T160" s="37"/>
      <c r="U160" s="5"/>
      <c r="V160" s="5"/>
      <c r="W160" s="5"/>
      <c r="X160" s="5"/>
      <c r="Y160" s="5"/>
      <c r="Z160" s="5"/>
      <c r="AA160" s="5"/>
      <c r="AB160" s="5"/>
      <c r="AC160" s="5"/>
      <c r="AD160" s="5"/>
      <c r="AE160" s="5"/>
      <c r="AF160" s="5"/>
      <c r="AG160" s="25">
        <f>AG112/AG134</f>
        <v>0.10795369696852915</v>
      </c>
      <c r="AH160" s="25">
        <f>AH112/AH134</f>
        <v>8.0447319509485293</v>
      </c>
      <c r="AI160" s="25">
        <f>AI112/AI134</f>
        <v>4.0646495642567819</v>
      </c>
      <c r="AJ160" s="25">
        <f t="shared" ref="AJ160:AN160" si="148">AJ112/AJ134</f>
        <v>2.1341970605220864</v>
      </c>
      <c r="AK160" s="25" t="e">
        <f t="shared" si="148"/>
        <v>#DIV/0!</v>
      </c>
      <c r="AL160" s="25" t="e">
        <f t="shared" si="148"/>
        <v>#DIV/0!</v>
      </c>
      <c r="AM160" s="25" t="e">
        <f t="shared" si="148"/>
        <v>#DIV/0!</v>
      </c>
      <c r="AN160" s="25" t="e">
        <f t="shared" si="148"/>
        <v>#DIV/0!</v>
      </c>
    </row>
    <row r="162" spans="2:40" s="8" customFormat="1" x14ac:dyDescent="0.35">
      <c r="B162" s="4" t="s">
        <v>379</v>
      </c>
      <c r="C162" s="4"/>
      <c r="D162" s="4"/>
      <c r="E162" s="4"/>
      <c r="F162" s="4"/>
      <c r="G162" s="4"/>
      <c r="H162" s="51"/>
      <c r="L162" s="51"/>
      <c r="P162" s="51"/>
      <c r="T162" s="51"/>
    </row>
    <row r="163" spans="2:40" s="5" customFormat="1" x14ac:dyDescent="0.35">
      <c r="B163" s="5" t="s">
        <v>162</v>
      </c>
      <c r="F163" s="5">
        <v>0</v>
      </c>
      <c r="G163" s="5">
        <v>0</v>
      </c>
      <c r="H163" s="37">
        <v>0</v>
      </c>
      <c r="I163" s="5">
        <v>0</v>
      </c>
      <c r="J163" s="5">
        <v>-49877</v>
      </c>
      <c r="K163" s="5">
        <v>-21914</v>
      </c>
      <c r="L163" s="37">
        <v>-26339</v>
      </c>
      <c r="M163" s="5">
        <f>-64595</f>
        <v>-64595</v>
      </c>
      <c r="N163" s="5">
        <v>-87592</v>
      </c>
      <c r="O163" s="5">
        <f>AI163</f>
        <v>-106538</v>
      </c>
      <c r="P163" s="37">
        <v>-25385</v>
      </c>
      <c r="Q163" s="5">
        <f>-31449</f>
        <v>-31449</v>
      </c>
      <c r="R163" s="5">
        <v>-56650</v>
      </c>
      <c r="S163" s="5">
        <f>AJ163</f>
        <v>-98867</v>
      </c>
      <c r="T163" s="37">
        <v>-2588</v>
      </c>
      <c r="AG163" s="5">
        <v>-27757</v>
      </c>
      <c r="AH163" s="5">
        <v>-71791</v>
      </c>
      <c r="AI163" s="5">
        <v>-106538</v>
      </c>
      <c r="AJ163" s="5">
        <v>-98867</v>
      </c>
    </row>
    <row r="164" spans="2:40" s="6" customFormat="1" x14ac:dyDescent="0.35">
      <c r="B164" s="6" t="s">
        <v>163</v>
      </c>
      <c r="F164" s="6">
        <v>0</v>
      </c>
      <c r="G164" s="6">
        <v>0</v>
      </c>
      <c r="H164" s="38">
        <v>0</v>
      </c>
      <c r="I164" s="6">
        <v>0</v>
      </c>
      <c r="J164" s="6">
        <v>-11447</v>
      </c>
      <c r="K164" s="6">
        <v>-14252</v>
      </c>
      <c r="L164" s="38">
        <v>-6242</v>
      </c>
      <c r="M164" s="6">
        <f>-19070</f>
        <v>-19070</v>
      </c>
      <c r="N164" s="6">
        <v>-27419</v>
      </c>
      <c r="O164" s="6">
        <f>AI164</f>
        <v>-42412</v>
      </c>
      <c r="P164" s="38">
        <v>-12674</v>
      </c>
      <c r="Q164" s="6">
        <f>-23246</f>
        <v>-23246</v>
      </c>
      <c r="R164" s="6">
        <v>-44293</v>
      </c>
      <c r="S164" s="128">
        <f>AJ164</f>
        <v>-54707</v>
      </c>
      <c r="T164" s="38">
        <v>-19177</v>
      </c>
      <c r="AG164" s="6">
        <v>-25121</v>
      </c>
      <c r="AH164" s="6">
        <v>-25699</v>
      </c>
      <c r="AI164" s="6">
        <v>-42412</v>
      </c>
      <c r="AJ164" s="6">
        <v>-54707</v>
      </c>
    </row>
    <row r="165" spans="2:40" s="5" customFormat="1" x14ac:dyDescent="0.35">
      <c r="B165" s="5" t="s">
        <v>164</v>
      </c>
      <c r="F165" s="5">
        <f t="shared" ref="F165:U165" si="149">F163+F164</f>
        <v>0</v>
      </c>
      <c r="G165" s="5">
        <f t="shared" si="149"/>
        <v>0</v>
      </c>
      <c r="H165" s="37">
        <f t="shared" si="149"/>
        <v>0</v>
      </c>
      <c r="I165" s="5">
        <f t="shared" si="149"/>
        <v>0</v>
      </c>
      <c r="J165" s="5">
        <f t="shared" si="149"/>
        <v>-61324</v>
      </c>
      <c r="K165" s="5">
        <f t="shared" si="149"/>
        <v>-36166</v>
      </c>
      <c r="L165" s="37">
        <f t="shared" si="149"/>
        <v>-32581</v>
      </c>
      <c r="M165" s="5">
        <f t="shared" si="149"/>
        <v>-83665</v>
      </c>
      <c r="N165" s="5">
        <f t="shared" si="149"/>
        <v>-115011</v>
      </c>
      <c r="O165" s="5">
        <f t="shared" si="149"/>
        <v>-148950</v>
      </c>
      <c r="P165" s="37">
        <f t="shared" si="149"/>
        <v>-38059</v>
      </c>
      <c r="Q165" s="5">
        <f t="shared" si="149"/>
        <v>-54695</v>
      </c>
      <c r="R165" s="5">
        <f t="shared" si="149"/>
        <v>-100943</v>
      </c>
      <c r="S165" s="5">
        <f t="shared" si="149"/>
        <v>-153574</v>
      </c>
      <c r="T165" s="37">
        <f t="shared" si="149"/>
        <v>-21765</v>
      </c>
      <c r="U165" s="5">
        <f t="shared" si="149"/>
        <v>0</v>
      </c>
      <c r="V165" s="5">
        <f t="shared" ref="V165:Y165" si="150">V163+V164</f>
        <v>0</v>
      </c>
      <c r="W165" s="5">
        <f t="shared" si="150"/>
        <v>0</v>
      </c>
      <c r="X165" s="5">
        <f t="shared" si="150"/>
        <v>0</v>
      </c>
      <c r="Y165" s="5">
        <f t="shared" si="150"/>
        <v>0</v>
      </c>
      <c r="AG165" s="5">
        <f>AG163+AG164</f>
        <v>-52878</v>
      </c>
      <c r="AH165" s="5">
        <f>AH163+AH164</f>
        <v>-97490</v>
      </c>
      <c r="AI165" s="5">
        <f>AI163+AI164</f>
        <v>-148950</v>
      </c>
      <c r="AJ165" s="5">
        <f t="shared" ref="AJ165:AN165" si="151">AJ163+AJ164</f>
        <v>-153574</v>
      </c>
      <c r="AK165" s="5">
        <f t="shared" si="151"/>
        <v>0</v>
      </c>
      <c r="AL165" s="5">
        <f t="shared" si="151"/>
        <v>0</v>
      </c>
      <c r="AM165" s="5">
        <f t="shared" si="151"/>
        <v>0</v>
      </c>
      <c r="AN165" s="5">
        <f t="shared" si="151"/>
        <v>0</v>
      </c>
    </row>
    <row r="167" spans="2:40" s="5" customFormat="1" x14ac:dyDescent="0.35">
      <c r="B167" s="5" t="s">
        <v>177</v>
      </c>
      <c r="H167" s="37"/>
      <c r="L167" s="37">
        <v>0</v>
      </c>
      <c r="M167" s="5">
        <v>0</v>
      </c>
      <c r="N167" s="5">
        <v>0</v>
      </c>
      <c r="O167" s="5">
        <f>AI167</f>
        <v>0</v>
      </c>
      <c r="P167" s="37">
        <v>0</v>
      </c>
      <c r="Q167" s="5">
        <v>0</v>
      </c>
      <c r="R167" s="5">
        <v>0</v>
      </c>
      <c r="S167" s="5">
        <f>AJ167</f>
        <v>0</v>
      </c>
      <c r="T167" s="37">
        <v>0</v>
      </c>
      <c r="AG167" s="5">
        <v>20500</v>
      </c>
      <c r="AH167" s="5">
        <v>0</v>
      </c>
      <c r="AI167" s="5">
        <v>0</v>
      </c>
      <c r="AJ167" s="5">
        <v>0</v>
      </c>
    </row>
    <row r="168" spans="2:40" s="5" customFormat="1" x14ac:dyDescent="0.35">
      <c r="B168" s="5" t="s">
        <v>178</v>
      </c>
      <c r="H168" s="37"/>
      <c r="L168" s="37">
        <v>11958</v>
      </c>
      <c r="M168" s="5">
        <f>28827</f>
        <v>28827</v>
      </c>
      <c r="N168" s="5">
        <v>43312</v>
      </c>
      <c r="O168" s="5">
        <f>AI168</f>
        <v>55649</v>
      </c>
      <c r="P168" s="37">
        <v>14036</v>
      </c>
      <c r="Q168" s="5">
        <f>29300</f>
        <v>29300</v>
      </c>
      <c r="R168" s="5">
        <v>43398</v>
      </c>
      <c r="S168" s="5">
        <f>AJ168</f>
        <v>53461</v>
      </c>
      <c r="T168" s="37">
        <v>13093</v>
      </c>
      <c r="AG168" s="5">
        <v>4218</v>
      </c>
      <c r="AH168" s="5">
        <v>32557</v>
      </c>
      <c r="AI168" s="5">
        <v>55649</v>
      </c>
      <c r="AJ168" s="5">
        <v>53461</v>
      </c>
    </row>
    <row r="169" spans="2:40" s="5" customFormat="1" x14ac:dyDescent="0.35">
      <c r="B169" s="5" t="s">
        <v>179</v>
      </c>
      <c r="H169" s="37"/>
      <c r="L169" s="37">
        <v>0</v>
      </c>
      <c r="M169" s="5">
        <v>0</v>
      </c>
      <c r="N169" s="5">
        <v>0</v>
      </c>
      <c r="O169" s="5">
        <f>AI169</f>
        <v>0</v>
      </c>
      <c r="P169" s="37">
        <v>0</v>
      </c>
      <c r="Q169" s="5">
        <v>0</v>
      </c>
      <c r="R169" s="5">
        <v>0</v>
      </c>
      <c r="S169" s="5">
        <f>AJ169</f>
        <v>0</v>
      </c>
      <c r="T169" s="37">
        <v>0</v>
      </c>
      <c r="AG169" s="5">
        <v>0</v>
      </c>
      <c r="AH169" s="5">
        <v>0</v>
      </c>
      <c r="AI169" s="5">
        <v>0</v>
      </c>
      <c r="AJ169" s="5">
        <v>0</v>
      </c>
    </row>
    <row r="170" spans="2:40" s="5" customFormat="1" x14ac:dyDescent="0.35">
      <c r="B170" s="5" t="s">
        <v>180</v>
      </c>
      <c r="H170" s="37"/>
      <c r="L170" s="37">
        <v>0</v>
      </c>
      <c r="M170" s="5">
        <v>0</v>
      </c>
      <c r="N170" s="5">
        <v>0</v>
      </c>
      <c r="O170" s="5">
        <f>AI170</f>
        <v>0</v>
      </c>
      <c r="P170" s="37">
        <v>0</v>
      </c>
      <c r="Q170" s="5">
        <v>0</v>
      </c>
      <c r="R170" s="5">
        <v>0</v>
      </c>
      <c r="S170" s="5">
        <f>AJ170</f>
        <v>0</v>
      </c>
      <c r="T170" s="37">
        <v>0</v>
      </c>
      <c r="AG170" s="5">
        <v>0</v>
      </c>
      <c r="AH170" s="5">
        <v>0</v>
      </c>
      <c r="AI170" s="5">
        <v>0</v>
      </c>
      <c r="AJ170" s="5">
        <v>0</v>
      </c>
    </row>
    <row r="171" spans="2:40" s="5" customFormat="1" x14ac:dyDescent="0.35">
      <c r="H171" s="37"/>
      <c r="L171" s="37"/>
      <c r="P171" s="37"/>
      <c r="T171" s="37"/>
    </row>
    <row r="172" spans="2:40" s="88" customFormat="1" x14ac:dyDescent="0.35">
      <c r="B172" s="88" t="s">
        <v>374</v>
      </c>
      <c r="H172" s="97"/>
      <c r="L172" s="97"/>
      <c r="P172" s="97"/>
      <c r="T172" s="97"/>
      <c r="AH172" s="88">
        <v>53933</v>
      </c>
      <c r="AI172" s="88">
        <v>692075</v>
      </c>
      <c r="AJ172" s="88">
        <v>245871</v>
      </c>
    </row>
    <row r="173" spans="2:40" s="88" customFormat="1" x14ac:dyDescent="0.35">
      <c r="B173" s="88" t="s">
        <v>375</v>
      </c>
      <c r="T173" s="97"/>
      <c r="AH173" s="88">
        <v>692075</v>
      </c>
      <c r="AI173" s="88">
        <v>245871</v>
      </c>
      <c r="AJ173" s="88">
        <v>166434</v>
      </c>
    </row>
    <row r="174" spans="2:40" s="88" customFormat="1" x14ac:dyDescent="0.35">
      <c r="B174" s="88" t="s">
        <v>365</v>
      </c>
      <c r="T174" s="97"/>
      <c r="AG174" s="88">
        <f>AG173-AG172</f>
        <v>0</v>
      </c>
      <c r="AH174" s="88">
        <f>AH173-AH172</f>
        <v>638142</v>
      </c>
      <c r="AI174" s="88">
        <f>AI173-AI172</f>
        <v>-446204</v>
      </c>
      <c r="AJ174" s="88">
        <f>AJ173-AJ172</f>
        <v>-79437</v>
      </c>
      <c r="AK174" s="88">
        <f t="shared" ref="AK174:AN174" si="152">AK173-AK172</f>
        <v>0</v>
      </c>
      <c r="AL174" s="88">
        <f t="shared" si="152"/>
        <v>0</v>
      </c>
      <c r="AM174" s="88">
        <f t="shared" si="152"/>
        <v>0</v>
      </c>
      <c r="AN174" s="88">
        <f t="shared" si="152"/>
        <v>0</v>
      </c>
    </row>
    <row r="175" spans="2:40" s="5" customFormat="1" x14ac:dyDescent="0.35">
      <c r="B175" s="5" t="s">
        <v>377</v>
      </c>
      <c r="H175" s="37"/>
      <c r="L175" s="37"/>
      <c r="P175" s="37"/>
      <c r="T175" s="37"/>
      <c r="AH175" s="5">
        <v>12</v>
      </c>
      <c r="AI175" s="5">
        <v>12</v>
      </c>
      <c r="AJ175" s="5">
        <v>12</v>
      </c>
    </row>
    <row r="176" spans="2:40" s="63" customFormat="1" x14ac:dyDescent="0.35">
      <c r="B176" s="63" t="s">
        <v>378</v>
      </c>
      <c r="H176" s="87"/>
      <c r="L176" s="87"/>
      <c r="P176" s="87"/>
      <c r="T176" s="87"/>
      <c r="AG176" s="63" t="e">
        <f>AG174/AG175</f>
        <v>#DIV/0!</v>
      </c>
      <c r="AH176" s="63">
        <f t="shared" ref="AH176:AN176" si="153">AH174/AH175</f>
        <v>53178.5</v>
      </c>
      <c r="AI176" s="63">
        <f t="shared" si="153"/>
        <v>-37183.666666666664</v>
      </c>
      <c r="AJ176" s="63">
        <f t="shared" si="153"/>
        <v>-6619.75</v>
      </c>
      <c r="AK176" s="63" t="e">
        <f t="shared" si="153"/>
        <v>#DIV/0!</v>
      </c>
      <c r="AL176" s="63" t="e">
        <f t="shared" si="153"/>
        <v>#DIV/0!</v>
      </c>
      <c r="AM176" s="63" t="e">
        <f t="shared" si="153"/>
        <v>#DIV/0!</v>
      </c>
      <c r="AN176" s="63" t="e">
        <f t="shared" si="153"/>
        <v>#DIV/0!</v>
      </c>
    </row>
    <row r="177" spans="2:25" s="63" customFormat="1" x14ac:dyDescent="0.35">
      <c r="H177" s="87"/>
      <c r="L177" s="87"/>
      <c r="P177" s="87"/>
      <c r="T177" s="87"/>
    </row>
    <row r="178" spans="2:25" s="63" customFormat="1" x14ac:dyDescent="0.35">
      <c r="H178" s="87"/>
      <c r="L178" s="87"/>
      <c r="P178" s="87"/>
      <c r="T178" s="87"/>
    </row>
    <row r="179" spans="2:25" s="29" customFormat="1" x14ac:dyDescent="0.35">
      <c r="B179" s="29" t="s">
        <v>216</v>
      </c>
      <c r="H179" s="47"/>
      <c r="L179" s="47"/>
      <c r="P179" s="47"/>
      <c r="T179" s="47"/>
    </row>
    <row r="180" spans="2:25" s="5" customFormat="1" x14ac:dyDescent="0.35">
      <c r="B180" s="5" t="s">
        <v>162</v>
      </c>
      <c r="H180" s="37"/>
      <c r="L180" s="37">
        <f>L163</f>
        <v>-26339</v>
      </c>
      <c r="M180" s="5">
        <f>M163-L163</f>
        <v>-38256</v>
      </c>
      <c r="N180" s="5">
        <f>N163-M180-L180</f>
        <v>-22997</v>
      </c>
      <c r="O180" s="5">
        <f>O163-N180-M180-L180</f>
        <v>-18946</v>
      </c>
      <c r="P180" s="37">
        <f>P163</f>
        <v>-25385</v>
      </c>
      <c r="Q180" s="5">
        <f>Q163-P163</f>
        <v>-6064</v>
      </c>
      <c r="R180" s="5">
        <f>R163-Q180-P180</f>
        <v>-25201</v>
      </c>
      <c r="S180" s="5">
        <f>S163-R180-Q180-P180</f>
        <v>-42217</v>
      </c>
      <c r="T180" s="37">
        <f>T163</f>
        <v>-2588</v>
      </c>
      <c r="U180" s="5">
        <f>U163-T163</f>
        <v>2588</v>
      </c>
      <c r="V180" s="5">
        <f>V163-U180-T180</f>
        <v>0</v>
      </c>
      <c r="W180" s="5">
        <f>W163-V180-U180-T180</f>
        <v>0</v>
      </c>
    </row>
    <row r="181" spans="2:25" s="6" customFormat="1" x14ac:dyDescent="0.35">
      <c r="B181" s="6" t="s">
        <v>163</v>
      </c>
      <c r="H181" s="38"/>
      <c r="L181" s="38">
        <f>L164</f>
        <v>-6242</v>
      </c>
      <c r="M181" s="6">
        <f>M164-L164</f>
        <v>-12828</v>
      </c>
      <c r="N181" s="6">
        <f>N164-M181-L181</f>
        <v>-8349</v>
      </c>
      <c r="O181" s="6">
        <f>O164-N181-M181-L181</f>
        <v>-14993</v>
      </c>
      <c r="P181" s="38">
        <f>P164</f>
        <v>-12674</v>
      </c>
      <c r="Q181" s="6">
        <f>Q164-P164</f>
        <v>-10572</v>
      </c>
      <c r="R181" s="6">
        <f>R164-Q181-P181</f>
        <v>-21047</v>
      </c>
      <c r="S181" s="6">
        <f>S164-R181-Q181-P181</f>
        <v>-10414</v>
      </c>
      <c r="T181" s="38">
        <f>T164</f>
        <v>-19177</v>
      </c>
      <c r="U181" s="6">
        <f>U164-T164</f>
        <v>19177</v>
      </c>
      <c r="V181" s="6">
        <f>V164-U181-T181</f>
        <v>0</v>
      </c>
      <c r="W181" s="6">
        <f>W164-V181-U181-T181</f>
        <v>0</v>
      </c>
    </row>
    <row r="182" spans="2:25" s="5" customFormat="1" x14ac:dyDescent="0.35">
      <c r="B182" s="5" t="s">
        <v>164</v>
      </c>
      <c r="H182" s="37"/>
      <c r="L182" s="37">
        <f>SUM(L180:L181)</f>
        <v>-32581</v>
      </c>
      <c r="M182" s="5">
        <f t="shared" ref="M182" si="154">SUM(M180:M181)</f>
        <v>-51084</v>
      </c>
      <c r="N182" s="5">
        <f t="shared" ref="N182:O182" si="155">SUM(N180:N181)</f>
        <v>-31346</v>
      </c>
      <c r="O182" s="5">
        <f t="shared" si="155"/>
        <v>-33939</v>
      </c>
      <c r="P182" s="37">
        <f>SUM(P180:P181)</f>
        <v>-38059</v>
      </c>
      <c r="Q182" s="5">
        <f t="shared" ref="Q182:S182" si="156">SUM(Q180:Q181)</f>
        <v>-16636</v>
      </c>
      <c r="R182" s="5">
        <f t="shared" si="156"/>
        <v>-46248</v>
      </c>
      <c r="S182" s="5">
        <f t="shared" si="156"/>
        <v>-52631</v>
      </c>
      <c r="T182" s="37">
        <f>SUM(T180:T181)</f>
        <v>-21765</v>
      </c>
      <c r="U182" s="5">
        <f t="shared" ref="U182:W182" si="157">SUM(U180:U181)</f>
        <v>21765</v>
      </c>
      <c r="V182" s="5">
        <f t="shared" si="157"/>
        <v>0</v>
      </c>
      <c r="W182" s="5">
        <f t="shared" si="157"/>
        <v>0</v>
      </c>
      <c r="X182" s="5">
        <f t="shared" ref="X182:Y182" si="158">SUM(X180:X181)</f>
        <v>0</v>
      </c>
      <c r="Y182" s="5">
        <f t="shared" si="158"/>
        <v>0</v>
      </c>
    </row>
    <row r="183" spans="2:25" s="5" customFormat="1" x14ac:dyDescent="0.35">
      <c r="B183"/>
      <c r="C183"/>
      <c r="D183"/>
      <c r="E183"/>
      <c r="H183" s="37"/>
      <c r="L183" s="37"/>
      <c r="P183" s="37"/>
      <c r="T183" s="37"/>
    </row>
    <row r="184" spans="2:25" s="5" customFormat="1" x14ac:dyDescent="0.35">
      <c r="B184" s="5" t="s">
        <v>177</v>
      </c>
      <c r="H184" s="37"/>
      <c r="L184" s="37">
        <f>L167</f>
        <v>0</v>
      </c>
      <c r="M184" s="5">
        <v>0</v>
      </c>
      <c r="N184" s="5">
        <f>N167</f>
        <v>0</v>
      </c>
      <c r="O184" s="5">
        <f>O167-N184-M184-L184</f>
        <v>0</v>
      </c>
      <c r="P184" s="37">
        <f>P167</f>
        <v>0</v>
      </c>
      <c r="Q184" s="5">
        <v>0</v>
      </c>
      <c r="R184" s="5">
        <f>R167</f>
        <v>0</v>
      </c>
      <c r="S184" s="5">
        <f>S167-R184-Q184-P184</f>
        <v>0</v>
      </c>
      <c r="T184" s="37">
        <f>T167</f>
        <v>0</v>
      </c>
      <c r="U184" s="5">
        <v>0</v>
      </c>
      <c r="V184" s="5">
        <f>V167</f>
        <v>0</v>
      </c>
      <c r="W184" s="5">
        <f>W167-V184-U184-T184</f>
        <v>0</v>
      </c>
    </row>
    <row r="185" spans="2:25" s="5" customFormat="1" x14ac:dyDescent="0.35">
      <c r="B185" s="5" t="s">
        <v>178</v>
      </c>
      <c r="H185" s="37"/>
      <c r="L185" s="37">
        <f>L168</f>
        <v>11958</v>
      </c>
      <c r="M185" s="5">
        <f>29300-L185</f>
        <v>17342</v>
      </c>
      <c r="N185" s="5">
        <f>N168-M185-L185</f>
        <v>14012</v>
      </c>
      <c r="O185" s="5">
        <f>O168-N185-M185-L185</f>
        <v>12337</v>
      </c>
      <c r="P185" s="37">
        <f>P168</f>
        <v>14036</v>
      </c>
      <c r="Q185" s="5">
        <f>29300-P185</f>
        <v>15264</v>
      </c>
      <c r="R185" s="5">
        <f>R168-Q185-P185</f>
        <v>14098</v>
      </c>
      <c r="S185" s="5">
        <f>S168-R185-Q185-P185</f>
        <v>10063</v>
      </c>
      <c r="T185" s="37">
        <f>T168</f>
        <v>13093</v>
      </c>
      <c r="U185" s="5">
        <f>29300-T185</f>
        <v>16207</v>
      </c>
      <c r="V185" s="5">
        <f>V168-U185-T185</f>
        <v>-29300</v>
      </c>
      <c r="W185" s="5">
        <f>W168-V185-U185-T185</f>
        <v>0</v>
      </c>
    </row>
    <row r="186" spans="2:25" s="5" customFormat="1" x14ac:dyDescent="0.35">
      <c r="B186" s="5" t="s">
        <v>179</v>
      </c>
      <c r="H186" s="37"/>
      <c r="L186" s="37">
        <f>L169</f>
        <v>0</v>
      </c>
      <c r="M186" s="5">
        <v>0</v>
      </c>
      <c r="N186" s="5">
        <f>N169</f>
        <v>0</v>
      </c>
      <c r="O186" s="5">
        <f>O169-N186-M186-L186</f>
        <v>0</v>
      </c>
      <c r="P186" s="37">
        <f>P169</f>
        <v>0</v>
      </c>
      <c r="Q186" s="5">
        <v>0</v>
      </c>
      <c r="R186" s="5">
        <f>R169</f>
        <v>0</v>
      </c>
      <c r="S186" s="5">
        <f>S169-R186-Q186-P186</f>
        <v>0</v>
      </c>
      <c r="T186" s="37">
        <f>T169</f>
        <v>0</v>
      </c>
      <c r="U186" s="5">
        <v>0</v>
      </c>
      <c r="V186" s="5">
        <f>V169</f>
        <v>0</v>
      </c>
      <c r="W186" s="5">
        <f>W169-V186-U186-T186</f>
        <v>0</v>
      </c>
    </row>
    <row r="187" spans="2:25" s="5" customFormat="1" x14ac:dyDescent="0.35">
      <c r="B187" s="5" t="s">
        <v>180</v>
      </c>
      <c r="H187" s="37"/>
      <c r="L187" s="37">
        <f>L170</f>
        <v>0</v>
      </c>
      <c r="M187" s="5">
        <v>0</v>
      </c>
      <c r="N187" s="5">
        <f>N170</f>
        <v>0</v>
      </c>
      <c r="O187" s="5">
        <f>O170-N187-M187-L187</f>
        <v>0</v>
      </c>
      <c r="P187" s="37">
        <f>P170</f>
        <v>0</v>
      </c>
      <c r="Q187" s="5">
        <v>0</v>
      </c>
      <c r="R187" s="5">
        <f>R170</f>
        <v>0</v>
      </c>
      <c r="S187" s="5">
        <f>S170-R187-Q187-P187</f>
        <v>0</v>
      </c>
      <c r="T187" s="37">
        <f>T170</f>
        <v>0</v>
      </c>
      <c r="U187" s="5">
        <v>0</v>
      </c>
      <c r="V187" s="5">
        <f>V170</f>
        <v>0</v>
      </c>
      <c r="W187" s="5">
        <f>W170-V187-U187-T187</f>
        <v>0</v>
      </c>
    </row>
    <row r="188" spans="2:25" s="5" customFormat="1" x14ac:dyDescent="0.35">
      <c r="H188" s="37"/>
      <c r="L188" s="37"/>
      <c r="P188" s="37"/>
      <c r="T188" s="37"/>
    </row>
    <row r="189" spans="2:25" s="5" customFormat="1" x14ac:dyDescent="0.35">
      <c r="B189" s="5" t="s">
        <v>374</v>
      </c>
      <c r="H189" s="37"/>
      <c r="L189" s="37"/>
      <c r="P189" s="37"/>
      <c r="T189" s="37"/>
    </row>
    <row r="190" spans="2:25" x14ac:dyDescent="0.35">
      <c r="B190" s="5" t="s">
        <v>375</v>
      </c>
    </row>
    <row r="191" spans="2:25" x14ac:dyDescent="0.35">
      <c r="B191" s="5" t="s">
        <v>376</v>
      </c>
    </row>
    <row r="193" spans="2:40" s="4" customFormat="1" x14ac:dyDescent="0.35">
      <c r="B193" s="4" t="s">
        <v>165</v>
      </c>
      <c r="H193" s="52"/>
      <c r="L193" s="52"/>
      <c r="P193" s="52"/>
      <c r="T193" s="52"/>
    </row>
    <row r="194" spans="2:40" s="88" customFormat="1" x14ac:dyDescent="0.35">
      <c r="B194" s="88" t="s">
        <v>166</v>
      </c>
      <c r="H194" s="97">
        <f t="shared" ref="H194:U194" si="159">H7*H195</f>
        <v>872604.65024999995</v>
      </c>
      <c r="I194" s="88">
        <f t="shared" si="159"/>
        <v>821195.39840000006</v>
      </c>
      <c r="J194" s="88">
        <f t="shared" si="159"/>
        <v>2730069.0981200002</v>
      </c>
      <c r="K194" s="88">
        <f t="shared" si="159"/>
        <v>6395324.7363199992</v>
      </c>
      <c r="L194" s="97">
        <f t="shared" si="159"/>
        <v>4259101.0370399999</v>
      </c>
      <c r="M194" s="88">
        <f t="shared" si="159"/>
        <v>2751141.9500799999</v>
      </c>
      <c r="N194" s="88">
        <f t="shared" si="159"/>
        <v>2325355.5451500001</v>
      </c>
      <c r="O194" s="88">
        <f t="shared" si="159"/>
        <v>2317083.58</v>
      </c>
      <c r="P194" s="97">
        <f t="shared" si="159"/>
        <v>2142898.6950000003</v>
      </c>
      <c r="Q194" s="88">
        <f t="shared" si="159"/>
        <v>2192392.8710600003</v>
      </c>
      <c r="R194" s="88">
        <f t="shared" si="159"/>
        <v>2942927.1516800001</v>
      </c>
      <c r="S194" s="88">
        <f t="shared" si="159"/>
        <v>2210914.65772</v>
      </c>
      <c r="T194" s="97">
        <f t="shared" si="159"/>
        <v>0</v>
      </c>
      <c r="U194" s="88">
        <f t="shared" si="159"/>
        <v>0</v>
      </c>
      <c r="V194" s="88">
        <f t="shared" ref="V194:Y194" si="160">V7*V195</f>
        <v>0</v>
      </c>
      <c r="W194" s="88">
        <f t="shared" si="160"/>
        <v>0</v>
      </c>
      <c r="X194" s="88">
        <f t="shared" si="160"/>
        <v>0</v>
      </c>
      <c r="Y194" s="88">
        <f t="shared" si="160"/>
        <v>0</v>
      </c>
      <c r="AG194" s="88">
        <f>AG7*AG195</f>
        <v>767723.55984</v>
      </c>
      <c r="AH194" s="88">
        <f>AH7*AH195</f>
        <v>5605204.6744200001</v>
      </c>
      <c r="AI194" s="88">
        <f>AI7*AI195</f>
        <v>2421681.7380599999</v>
      </c>
      <c r="AJ194" s="88">
        <f t="shared" ref="AJ194:AM194" si="161">AJ7*AJ195</f>
        <v>2406570.8221200001</v>
      </c>
      <c r="AK194" s="88">
        <f t="shared" si="161"/>
        <v>0</v>
      </c>
      <c r="AL194" s="88">
        <f t="shared" si="161"/>
        <v>0</v>
      </c>
      <c r="AM194" s="88">
        <f t="shared" si="161"/>
        <v>0</v>
      </c>
    </row>
    <row r="195" spans="2:40" x14ac:dyDescent="0.35">
      <c r="B195" t="s">
        <v>1</v>
      </c>
      <c r="F195" s="5"/>
      <c r="G195" s="5"/>
      <c r="H195" s="37">
        <f t="shared" ref="H195:K195" si="162">H86</f>
        <v>78826.074999999997</v>
      </c>
      <c r="I195" s="5">
        <f t="shared" si="162"/>
        <v>78961.096000000005</v>
      </c>
      <c r="J195" s="5">
        <f t="shared" si="162"/>
        <v>228266.647</v>
      </c>
      <c r="K195" s="5">
        <f t="shared" si="162"/>
        <v>464776.50699999998</v>
      </c>
      <c r="L195" s="37">
        <f>L86</f>
        <v>456495.288</v>
      </c>
      <c r="M195" s="5">
        <f t="shared" ref="M195:U195" si="163">M86</f>
        <v>464719.924</v>
      </c>
      <c r="N195" s="5">
        <f t="shared" si="163"/>
        <v>469768.79700000002</v>
      </c>
      <c r="O195" s="5">
        <f t="shared" si="163"/>
        <v>466214</v>
      </c>
      <c r="P195" s="37">
        <f t="shared" si="163"/>
        <v>476199.71</v>
      </c>
      <c r="Q195" s="5">
        <f t="shared" si="163"/>
        <v>479735.85800000001</v>
      </c>
      <c r="R195" s="5">
        <f t="shared" si="163"/>
        <v>484034.071</v>
      </c>
      <c r="S195" s="5">
        <f t="shared" si="163"/>
        <v>489140.41100000002</v>
      </c>
      <c r="T195" s="37">
        <f t="shared" si="163"/>
        <v>489994.70899999997</v>
      </c>
      <c r="U195" s="5">
        <f t="shared" si="163"/>
        <v>0</v>
      </c>
      <c r="V195" s="5">
        <f t="shared" ref="V195:Y195" si="164">V86</f>
        <v>0</v>
      </c>
      <c r="W195" s="5">
        <f t="shared" si="164"/>
        <v>0</v>
      </c>
      <c r="X195" s="5">
        <f t="shared" si="164"/>
        <v>0</v>
      </c>
      <c r="Y195" s="5">
        <f t="shared" si="164"/>
        <v>0</v>
      </c>
      <c r="AG195" s="5">
        <f>AG86</f>
        <v>75414.888000000006</v>
      </c>
      <c r="AH195" s="5">
        <f>AH86</f>
        <v>464776.50699999998</v>
      </c>
      <c r="AI195" s="5">
        <f>AI86</f>
        <v>477649.25799999997</v>
      </c>
      <c r="AJ195" s="5">
        <f t="shared" ref="AJ195:AM195" si="165">AJ86</f>
        <v>489140.41100000002</v>
      </c>
      <c r="AK195" s="5">
        <f t="shared" si="165"/>
        <v>0</v>
      </c>
      <c r="AL195" s="5">
        <f t="shared" si="165"/>
        <v>0</v>
      </c>
      <c r="AM195" s="5">
        <f t="shared" si="165"/>
        <v>0</v>
      </c>
    </row>
    <row r="196" spans="2:40" x14ac:dyDescent="0.35">
      <c r="B196" t="s">
        <v>184</v>
      </c>
      <c r="F196" s="63"/>
      <c r="G196" s="63"/>
      <c r="H196" s="87">
        <f t="shared" ref="H196:U196" si="166">H194/SUM(E67:H67)</f>
        <v>16.355612727732794</v>
      </c>
      <c r="I196" s="63">
        <f t="shared" si="166"/>
        <v>12.705709221438298</v>
      </c>
      <c r="J196" s="63">
        <f t="shared" si="166"/>
        <v>46.077893266046686</v>
      </c>
      <c r="K196" s="63">
        <f t="shared" si="166"/>
        <v>102.75759976091392</v>
      </c>
      <c r="L196" s="87">
        <f t="shared" si="166"/>
        <v>50.256065476943405</v>
      </c>
      <c r="M196" s="63">
        <f t="shared" si="166"/>
        <v>21.336274837368737</v>
      </c>
      <c r="N196" s="63">
        <f t="shared" si="166"/>
        <v>12.454237248543212</v>
      </c>
      <c r="O196" s="63">
        <f t="shared" si="166"/>
        <v>10.981646950653094</v>
      </c>
      <c r="P196" s="87">
        <f t="shared" si="166"/>
        <v>9.5160430173899151</v>
      </c>
      <c r="Q196" s="63">
        <f t="shared" si="166"/>
        <v>9.45979604269953</v>
      </c>
      <c r="R196" s="63">
        <f t="shared" si="166"/>
        <v>12.450879163320824</v>
      </c>
      <c r="S196" s="63">
        <f t="shared" si="166"/>
        <v>9.0391944860011773</v>
      </c>
      <c r="T196" s="87">
        <f t="shared" si="166"/>
        <v>0</v>
      </c>
      <c r="U196" s="63">
        <f t="shared" si="166"/>
        <v>0</v>
      </c>
      <c r="V196" s="63">
        <f t="shared" ref="V196" si="167">V194/SUM(S67:V67)</f>
        <v>0</v>
      </c>
      <c r="W196" s="63">
        <f t="shared" ref="W196" si="168">W194/SUM(T67:W67)</f>
        <v>0</v>
      </c>
      <c r="X196" s="63" t="e">
        <f t="shared" ref="X196" si="169">X194/SUM(U67:X67)</f>
        <v>#DIV/0!</v>
      </c>
      <c r="Y196" s="63" t="e">
        <f t="shared" ref="Y196" si="170">Y194/SUM(V67:Y67)</f>
        <v>#DIV/0!</v>
      </c>
      <c r="AG196" s="63">
        <f>AG194/AG67</f>
        <v>21.835141064846418</v>
      </c>
      <c r="AH196" s="63">
        <f>AH194/AH67</f>
        <v>90.062256767196359</v>
      </c>
      <c r="AI196" s="63">
        <f>AI194/AI67</f>
        <v>11.477382216060967</v>
      </c>
      <c r="AJ196" s="63">
        <f t="shared" ref="AJ196:AM196" si="171">AJ194/AJ67</f>
        <v>9.8391232015765038</v>
      </c>
      <c r="AK196" s="63" t="e">
        <f t="shared" si="171"/>
        <v>#DIV/0!</v>
      </c>
      <c r="AL196" s="63" t="e">
        <f t="shared" si="171"/>
        <v>#DIV/0!</v>
      </c>
      <c r="AM196" s="63" t="e">
        <f t="shared" si="171"/>
        <v>#DIV/0!</v>
      </c>
    </row>
    <row r="197" spans="2:40" x14ac:dyDescent="0.35">
      <c r="B197" t="s">
        <v>185</v>
      </c>
      <c r="F197" s="63"/>
      <c r="G197" s="63"/>
      <c r="H197" s="87">
        <f t="shared" ref="H197:U197" si="172">H194/SUM(E84:H84)</f>
        <v>-12.644245207355242</v>
      </c>
      <c r="I197" s="63">
        <f t="shared" si="172"/>
        <v>-9.6221808023997006</v>
      </c>
      <c r="J197" s="63">
        <f t="shared" si="172"/>
        <v>-16.881873767097876</v>
      </c>
      <c r="K197" s="63">
        <f t="shared" si="172"/>
        <v>-54.629611558509225</v>
      </c>
      <c r="L197" s="87">
        <f t="shared" si="172"/>
        <v>-33.33699416119412</v>
      </c>
      <c r="M197" s="63">
        <f t="shared" si="172"/>
        <v>-18.356365681038739</v>
      </c>
      <c r="N197" s="63">
        <f t="shared" si="172"/>
        <v>-23.01944766870923</v>
      </c>
      <c r="O197" s="63">
        <f t="shared" si="172"/>
        <v>-17.022859766669605</v>
      </c>
      <c r="P197" s="87">
        <f t="shared" si="172"/>
        <v>-13.695268709656805</v>
      </c>
      <c r="Q197" s="63">
        <f t="shared" si="172"/>
        <v>-13.187960148819194</v>
      </c>
      <c r="R197" s="63">
        <f t="shared" si="172"/>
        <v>-17.589771929065382</v>
      </c>
      <c r="S197" s="63">
        <f t="shared" si="172"/>
        <v>-12.136546400175661</v>
      </c>
      <c r="T197" s="87">
        <f t="shared" si="172"/>
        <v>0</v>
      </c>
      <c r="U197" s="63">
        <f t="shared" si="172"/>
        <v>0</v>
      </c>
      <c r="V197" s="63">
        <f t="shared" ref="V197" si="173">V194/SUM(S84:V84)</f>
        <v>0</v>
      </c>
      <c r="W197" s="63">
        <f t="shared" ref="W197" si="174">W194/SUM(T84:W84)</f>
        <v>0</v>
      </c>
      <c r="X197" s="63" t="e">
        <f t="shared" ref="X197" si="175">X194/SUM(U84:X84)</f>
        <v>#DIV/0!</v>
      </c>
      <c r="Y197" s="63" t="e">
        <f t="shared" ref="Y197" si="176">Y194/SUM(V84:Y84)</f>
        <v>#DIV/0!</v>
      </c>
      <c r="AG197" s="63">
        <f>AG194/AG84</f>
        <v>-14.251147367600378</v>
      </c>
      <c r="AH197" s="63">
        <f>AH194/AH84</f>
        <v>-47.880313618867831</v>
      </c>
      <c r="AI197" s="63">
        <f>AI194/AI84</f>
        <v>-17.892789765782005</v>
      </c>
      <c r="AJ197" s="63">
        <f t="shared" ref="AJ197:AM197" si="177">AJ194/AJ84</f>
        <v>-13.174850118906846</v>
      </c>
      <c r="AK197" s="63" t="e">
        <f t="shared" si="177"/>
        <v>#DIV/0!</v>
      </c>
      <c r="AL197" s="63" t="e">
        <f t="shared" si="177"/>
        <v>#DIV/0!</v>
      </c>
      <c r="AM197" s="63" t="e">
        <f t="shared" si="177"/>
        <v>#DIV/0!</v>
      </c>
    </row>
    <row r="198" spans="2:40" x14ac:dyDescent="0.35">
      <c r="B198" t="s">
        <v>187</v>
      </c>
      <c r="F198" s="63"/>
      <c r="G198" s="63"/>
      <c r="H198" s="87">
        <f t="shared" ref="H198:U198" si="178">H194/H157</f>
        <v>174.52089514582107</v>
      </c>
      <c r="I198" s="63">
        <f t="shared" si="178"/>
        <v>-13.833682831193272</v>
      </c>
      <c r="J198" s="63">
        <f t="shared" si="178"/>
        <v>4.0498386011351135</v>
      </c>
      <c r="K198" s="63">
        <f t="shared" si="178"/>
        <v>9.156479417680341</v>
      </c>
      <c r="L198" s="87">
        <f t="shared" si="178"/>
        <v>5.8137184079061415</v>
      </c>
      <c r="M198" s="63">
        <f t="shared" si="178"/>
        <v>3.8560887598639852</v>
      </c>
      <c r="N198" s="63">
        <f t="shared" si="178"/>
        <v>3.366012016128332</v>
      </c>
      <c r="O198" s="63">
        <f t="shared" si="178"/>
        <v>3.4418641247998383</v>
      </c>
      <c r="P198" s="87">
        <f t="shared" si="178"/>
        <v>3.3481850432331597</v>
      </c>
      <c r="Q198" s="63">
        <f t="shared" si="178"/>
        <v>3.5879225053678274</v>
      </c>
      <c r="R198" s="63">
        <f t="shared" si="178"/>
        <v>5.0237574328527392</v>
      </c>
      <c r="S198" s="63">
        <f t="shared" si="178"/>
        <v>3.9869057418707983</v>
      </c>
      <c r="T198" s="87">
        <f t="shared" si="178"/>
        <v>0</v>
      </c>
      <c r="U198" s="63" t="e">
        <f t="shared" si="178"/>
        <v>#DIV/0!</v>
      </c>
      <c r="V198" s="63" t="e">
        <f t="shared" ref="V198:Y198" si="179">V194/V157</f>
        <v>#DIV/0!</v>
      </c>
      <c r="W198" s="63" t="e">
        <f t="shared" si="179"/>
        <v>#DIV/0!</v>
      </c>
      <c r="X198" s="63" t="e">
        <f t="shared" si="179"/>
        <v>#DIV/0!</v>
      </c>
      <c r="Y198" s="63" t="e">
        <f t="shared" si="179"/>
        <v>#DIV/0!</v>
      </c>
      <c r="AG198" s="63">
        <f>AG194/AG157</f>
        <v>153.54468125906374</v>
      </c>
      <c r="AH198" s="63">
        <f>AH194/AH157</f>
        <v>8.0252283268332079</v>
      </c>
      <c r="AI198" s="63">
        <f>AI194/AI157</f>
        <v>3.5972373063519933</v>
      </c>
      <c r="AJ198" s="63">
        <f t="shared" ref="AJ198:AM198" si="180">AJ194/AJ157</f>
        <v>4.3397292588505154</v>
      </c>
      <c r="AK198" s="63" t="e">
        <f t="shared" si="180"/>
        <v>#DIV/0!</v>
      </c>
      <c r="AL198" s="63" t="e">
        <f t="shared" si="180"/>
        <v>#DIV/0!</v>
      </c>
      <c r="AM198" s="63" t="e">
        <f t="shared" si="180"/>
        <v>#DIV/0!</v>
      </c>
    </row>
    <row r="199" spans="2:40" x14ac:dyDescent="0.35">
      <c r="B199" t="s">
        <v>186</v>
      </c>
      <c r="F199" s="63"/>
      <c r="G199" s="63"/>
      <c r="H199" s="87" t="e">
        <f t="shared" ref="H199:U199" si="181">H194/H182</f>
        <v>#DIV/0!</v>
      </c>
      <c r="I199" s="63" t="e">
        <f t="shared" si="181"/>
        <v>#DIV/0!</v>
      </c>
      <c r="J199" s="63" t="e">
        <f t="shared" si="181"/>
        <v>#DIV/0!</v>
      </c>
      <c r="K199" s="63" t="e">
        <f t="shared" si="181"/>
        <v>#DIV/0!</v>
      </c>
      <c r="L199" s="87">
        <f t="shared" si="181"/>
        <v>-130.72345959424203</v>
      </c>
      <c r="M199" s="63">
        <f t="shared" si="181"/>
        <v>-53.855257029206797</v>
      </c>
      <c r="N199" s="63">
        <f t="shared" si="181"/>
        <v>-74.183485776494607</v>
      </c>
      <c r="O199" s="63">
        <f t="shared" si="181"/>
        <v>-68.27200506791597</v>
      </c>
      <c r="P199" s="87">
        <f t="shared" si="181"/>
        <v>-56.304650542578635</v>
      </c>
      <c r="Q199" s="63">
        <f t="shared" si="181"/>
        <v>-131.78605861144507</v>
      </c>
      <c r="R199" s="63">
        <f t="shared" si="181"/>
        <v>-63.633609057256535</v>
      </c>
      <c r="S199" s="63">
        <f t="shared" si="181"/>
        <v>-42.007840582926413</v>
      </c>
      <c r="T199" s="87">
        <f t="shared" si="181"/>
        <v>0</v>
      </c>
      <c r="U199" s="63">
        <f t="shared" si="181"/>
        <v>0</v>
      </c>
      <c r="V199" s="63" t="e">
        <f t="shared" ref="V199:Y199" si="182">V194/V182</f>
        <v>#DIV/0!</v>
      </c>
      <c r="W199" s="63" t="e">
        <f t="shared" si="182"/>
        <v>#DIV/0!</v>
      </c>
      <c r="X199" s="63" t="e">
        <f t="shared" si="182"/>
        <v>#DIV/0!</v>
      </c>
      <c r="Y199" s="63" t="e">
        <f t="shared" si="182"/>
        <v>#DIV/0!</v>
      </c>
      <c r="AG199" s="63">
        <f>AG194/AG165</f>
        <v>-14.518770752297742</v>
      </c>
      <c r="AH199" s="63">
        <f>AH194/AH165</f>
        <v>-57.495175653092623</v>
      </c>
      <c r="AI199" s="63">
        <f>AI194/AI165</f>
        <v>-16.258353394159112</v>
      </c>
      <c r="AJ199" s="63">
        <f t="shared" ref="AJ199:AM199" si="183">AJ194/AJ165</f>
        <v>-15.670431336814826</v>
      </c>
      <c r="AK199" s="63" t="e">
        <f t="shared" si="183"/>
        <v>#DIV/0!</v>
      </c>
      <c r="AL199" s="63" t="e">
        <f t="shared" si="183"/>
        <v>#DIV/0!</v>
      </c>
      <c r="AM199" s="63" t="e">
        <f t="shared" si="183"/>
        <v>#DIV/0!</v>
      </c>
    </row>
    <row r="201" spans="2:40" x14ac:dyDescent="0.35">
      <c r="B201" s="12" t="s">
        <v>188</v>
      </c>
    </row>
    <row r="202" spans="2:40" s="1" customFormat="1" x14ac:dyDescent="0.35">
      <c r="B202" s="1" t="s">
        <v>86</v>
      </c>
      <c r="H202" s="41"/>
      <c r="L202" s="41"/>
      <c r="P202" s="41"/>
      <c r="T202" s="41"/>
      <c r="AG202" s="1" t="e">
        <f t="shared" ref="AG202:AN202" si="184">(AG67-AF67)/ABS(AF67)</f>
        <v>#DIV/0!</v>
      </c>
      <c r="AH202" s="1">
        <f t="shared" si="184"/>
        <v>0.77010807736063713</v>
      </c>
      <c r="AI202" s="1">
        <f t="shared" si="184"/>
        <v>2.390201969889294</v>
      </c>
      <c r="AJ202" s="1">
        <f t="shared" si="184"/>
        <v>0.15922576731312441</v>
      </c>
      <c r="AK202" s="1">
        <f t="shared" si="184"/>
        <v>-1</v>
      </c>
      <c r="AL202" s="1" t="e">
        <f t="shared" si="184"/>
        <v>#DIV/0!</v>
      </c>
      <c r="AM202" s="1" t="e">
        <f t="shared" si="184"/>
        <v>#DIV/0!</v>
      </c>
      <c r="AN202" s="1" t="e">
        <f t="shared" si="184"/>
        <v>#DIV/0!</v>
      </c>
    </row>
    <row r="203" spans="2:40" s="1" customFormat="1" x14ac:dyDescent="0.35">
      <c r="B203" s="1" t="s">
        <v>189</v>
      </c>
      <c r="H203" s="41"/>
      <c r="L203" s="41"/>
      <c r="P203" s="41"/>
      <c r="T203" s="41"/>
      <c r="AG203" s="1" t="e">
        <f t="shared" ref="AG203:AN203" si="185">(AG84-AF84)/ABS(AF84)</f>
        <v>#DIV/0!</v>
      </c>
      <c r="AH203" s="1">
        <f t="shared" si="185"/>
        <v>-1.1730986987432941</v>
      </c>
      <c r="AI203" s="1">
        <f t="shared" si="185"/>
        <v>-0.15612427071676904</v>
      </c>
      <c r="AJ203" s="1">
        <f t="shared" si="185"/>
        <v>-0.34962761555739447</v>
      </c>
      <c r="AK203" s="1">
        <f t="shared" si="185"/>
        <v>1</v>
      </c>
      <c r="AL203" s="1" t="e">
        <f t="shared" si="185"/>
        <v>#DIV/0!</v>
      </c>
      <c r="AM203" s="1" t="e">
        <f t="shared" si="185"/>
        <v>#DIV/0!</v>
      </c>
      <c r="AN203" s="1" t="e">
        <f t="shared" si="185"/>
        <v>#DIV/0!</v>
      </c>
    </row>
    <row r="204" spans="2:40" s="1" customFormat="1" x14ac:dyDescent="0.35">
      <c r="B204" s="1" t="s">
        <v>164</v>
      </c>
      <c r="H204" s="41"/>
      <c r="L204" s="41"/>
      <c r="P204" s="41"/>
      <c r="T204" s="41"/>
      <c r="AG204" s="1" t="e">
        <f>(AG165-AF165)/ABS(AF165)</f>
        <v>#DIV/0!</v>
      </c>
      <c r="AH204" s="1">
        <f>(AH165-AG165)/ABS(AG165)</f>
        <v>-0.8436779000718635</v>
      </c>
      <c r="AI204" s="1">
        <f>(AI165-AH165)/ABS(AH165)</f>
        <v>-0.52784901015488772</v>
      </c>
      <c r="AJ204" s="1">
        <f t="shared" ref="AJ204:AN204" si="186">(AJ165-AI165)/ABS(AI165)</f>
        <v>-3.1043974488083249E-2</v>
      </c>
      <c r="AK204" s="1">
        <f t="shared" si="186"/>
        <v>1</v>
      </c>
      <c r="AL204" s="1" t="e">
        <f t="shared" si="186"/>
        <v>#DIV/0!</v>
      </c>
      <c r="AM204" s="1" t="e">
        <f t="shared" si="186"/>
        <v>#DIV/0!</v>
      </c>
      <c r="AN204" s="1" t="e">
        <f t="shared" si="186"/>
        <v>#DIV/0!</v>
      </c>
    </row>
    <row r="208" spans="2:40" s="12" customFormat="1" x14ac:dyDescent="0.35">
      <c r="B208" s="12" t="s">
        <v>183</v>
      </c>
      <c r="H208" s="71"/>
      <c r="L208" s="71"/>
      <c r="P208" s="72"/>
      <c r="Q208" s="73"/>
      <c r="R208" s="24"/>
      <c r="S208" s="24"/>
      <c r="T208" s="40"/>
      <c r="U208" s="24"/>
      <c r="V208" s="24"/>
      <c r="W208" s="24"/>
      <c r="X208" s="24"/>
      <c r="Y208" s="24"/>
      <c r="Z208" s="24"/>
      <c r="AB208" s="24"/>
      <c r="AC208" s="24"/>
    </row>
    <row r="209" spans="2:40" s="9" customFormat="1" x14ac:dyDescent="0.35">
      <c r="B209" s="9" t="s">
        <v>167</v>
      </c>
      <c r="F209" s="9">
        <f t="shared" ref="F209:N209" si="187">F105/F86</f>
        <v>1.2154280110076857E-2</v>
      </c>
      <c r="G209" s="9">
        <f t="shared" si="187"/>
        <v>1.1481857534549412E-2</v>
      </c>
      <c r="H209" s="46">
        <f t="shared" si="187"/>
        <v>5.397363753047453E-3</v>
      </c>
      <c r="I209" s="9">
        <f t="shared" si="187"/>
        <v>5.6795057657254395E-4</v>
      </c>
      <c r="J209" s="9">
        <f t="shared" si="187"/>
        <v>3.4725178225446141</v>
      </c>
      <c r="K209" s="9">
        <f t="shared" si="187"/>
        <v>1.4866478610546467</v>
      </c>
      <c r="L209" s="46">
        <f t="shared" si="187"/>
        <v>1.3212491253578942</v>
      </c>
      <c r="M209" s="9">
        <f t="shared" si="187"/>
        <v>1.1673934599799942</v>
      </c>
      <c r="N209" s="9">
        <f t="shared" si="187"/>
        <v>0.70945325046780405</v>
      </c>
      <c r="P209" s="53"/>
      <c r="Q209" s="9">
        <f>Q105/Q86</f>
        <v>0.41097615846760405</v>
      </c>
      <c r="R209" s="5"/>
      <c r="S209" s="5"/>
      <c r="T209" s="37"/>
      <c r="U209" s="5"/>
      <c r="V209" s="5"/>
      <c r="W209" s="5"/>
      <c r="X209" s="5"/>
      <c r="Y209" s="5"/>
      <c r="Z209" s="5"/>
      <c r="AB209" s="5"/>
      <c r="AC209" s="5"/>
      <c r="AG209" s="9">
        <f>AG105/AG86</f>
        <v>1.1481857534549412E-2</v>
      </c>
      <c r="AH209" s="9">
        <f>AH105/AH86</f>
        <v>1.4866478610546467</v>
      </c>
      <c r="AI209" s="9">
        <f>AI105/AI86</f>
        <v>0.50772611060980655</v>
      </c>
    </row>
    <row r="210" spans="2:40" s="9" customFormat="1" x14ac:dyDescent="0.35">
      <c r="B210" s="9" t="s">
        <v>168</v>
      </c>
      <c r="F210" s="9">
        <f t="shared" ref="F210:N210" si="188">(F131+F138)/F86</f>
        <v>0</v>
      </c>
      <c r="G210" s="9">
        <f t="shared" si="188"/>
        <v>0</v>
      </c>
      <c r="H210" s="46">
        <f t="shared" si="188"/>
        <v>0</v>
      </c>
      <c r="I210" s="9">
        <f t="shared" si="188"/>
        <v>0</v>
      </c>
      <c r="J210" s="9">
        <f t="shared" si="188"/>
        <v>0.3376665010547949</v>
      </c>
      <c r="K210" s="9">
        <f t="shared" si="188"/>
        <v>0.18944804368091694</v>
      </c>
      <c r="L210" s="46">
        <f t="shared" si="188"/>
        <v>0.28350566457544685</v>
      </c>
      <c r="M210" s="9">
        <f t="shared" si="188"/>
        <v>0.26043428256370604</v>
      </c>
      <c r="N210" s="9">
        <f t="shared" si="188"/>
        <v>0.30703827270162432</v>
      </c>
      <c r="P210" s="53"/>
      <c r="Q210" s="9">
        <f>(Q131+Q138)/Q86</f>
        <v>0.37050180226469542</v>
      </c>
      <c r="R210" s="5"/>
      <c r="S210" s="5"/>
      <c r="T210" s="37"/>
      <c r="U210" s="5"/>
      <c r="V210" s="5"/>
      <c r="W210" s="5"/>
      <c r="X210" s="5"/>
      <c r="Y210" s="5"/>
      <c r="Z210" s="5"/>
      <c r="AB210" s="5"/>
      <c r="AG210" s="9">
        <f>(AG131+AG138)/AG86</f>
        <v>0</v>
      </c>
      <c r="AH210" s="9">
        <f>(AH131+AH138)/AH86</f>
        <v>0.18944804368091694</v>
      </c>
      <c r="AI210" s="9">
        <f>(AI131+AI138)/AI86</f>
        <v>0.29856635933474013</v>
      </c>
    </row>
    <row r="211" spans="2:40" x14ac:dyDescent="0.35">
      <c r="Q211" s="54"/>
      <c r="R211" s="5"/>
      <c r="S211" s="5"/>
      <c r="T211" s="37"/>
      <c r="U211" s="5"/>
      <c r="V211" s="5"/>
      <c r="W211" s="5"/>
      <c r="X211" s="5"/>
      <c r="Y211" s="5"/>
      <c r="Z211" s="5"/>
    </row>
    <row r="212" spans="2:40" x14ac:dyDescent="0.35">
      <c r="Q212" s="54"/>
      <c r="R212" s="5"/>
      <c r="S212" s="5"/>
      <c r="T212" s="37"/>
      <c r="U212" s="5"/>
      <c r="V212" s="5"/>
      <c r="W212" s="5"/>
      <c r="X212" s="5"/>
      <c r="Y212" s="5"/>
      <c r="Z212" s="5"/>
    </row>
    <row r="213" spans="2:40" x14ac:dyDescent="0.35">
      <c r="Q213" s="54"/>
    </row>
    <row r="214" spans="2:40" x14ac:dyDescent="0.35">
      <c r="B214" s="12" t="s">
        <v>364</v>
      </c>
      <c r="AB214" s="37"/>
    </row>
    <row r="215" spans="2:40" s="1" customFormat="1" x14ac:dyDescent="0.35">
      <c r="B215" s="1" t="s">
        <v>365</v>
      </c>
      <c r="H215" s="41" t="e">
        <f>(H71-D71)/ABS(D71)</f>
        <v>#DIV/0!</v>
      </c>
      <c r="I215" s="1" t="e">
        <f>(I71-E71)/ABS(E71)</f>
        <v>#DIV/0!</v>
      </c>
      <c r="J215" s="1">
        <f>(J71-F71)/ABS(F71)</f>
        <v>1.893942484193351</v>
      </c>
      <c r="L215" s="41">
        <f>(L71-H71)/ABS(H71)</f>
        <v>0.90406894602995191</v>
      </c>
      <c r="M215" s="1">
        <f>(M71-I71)/ABS(I71)</f>
        <v>1.2470395122523157</v>
      </c>
      <c r="N215" s="1">
        <f>(N71-J71)/ABS(J71)</f>
        <v>0.23391359503841003</v>
      </c>
      <c r="P215" s="41">
        <f>(P71-L71)/ABS(L71)</f>
        <v>0.77376270683386505</v>
      </c>
      <c r="Q215" s="1">
        <f>(Q71-M71)/ABS(M71)</f>
        <v>0.61935820506130967</v>
      </c>
      <c r="R215" s="1">
        <f>(R71-N71)/ABS(N71)</f>
        <v>0.52079049577336078</v>
      </c>
      <c r="T215" s="41"/>
      <c r="AB215" s="41"/>
      <c r="AG215" s="1" t="e">
        <f>(AG71-AF71)/ABS(AF71)</f>
        <v>#DIV/0!</v>
      </c>
      <c r="AH215" s="1">
        <f t="shared" ref="AH215:AN215" si="189">(AH71-AG71)/ABS(AG71)</f>
        <v>1.181851426183262</v>
      </c>
      <c r="AI215" s="1">
        <f t="shared" si="189"/>
        <v>0.56034957500299298</v>
      </c>
      <c r="AJ215" s="1">
        <f t="shared" si="189"/>
        <v>0.82687822244046161</v>
      </c>
      <c r="AK215" s="1">
        <f t="shared" si="189"/>
        <v>-1</v>
      </c>
      <c r="AL215" s="1" t="e">
        <f t="shared" si="189"/>
        <v>#DIV/0!</v>
      </c>
      <c r="AM215" s="1" t="e">
        <f t="shared" si="189"/>
        <v>#DIV/0!</v>
      </c>
      <c r="AN215" s="1" t="e">
        <f t="shared" si="189"/>
        <v>#DIV/0!</v>
      </c>
    </row>
    <row r="216" spans="2:40" s="1" customFormat="1" x14ac:dyDescent="0.35">
      <c r="B216" s="1" t="s">
        <v>366</v>
      </c>
      <c r="H216" s="41">
        <f>H71/H67</f>
        <v>0.38907211961301669</v>
      </c>
      <c r="I216" s="1">
        <f>I71/I67</f>
        <v>0.75611702127659575</v>
      </c>
      <c r="J216" s="1">
        <f>J71/J67</f>
        <v>2.6837526007187442</v>
      </c>
      <c r="L216" s="41">
        <f>L71/L67</f>
        <v>0.33110581529616984</v>
      </c>
      <c r="M216" s="1">
        <f>M71/M67</f>
        <v>0.34547716047157229</v>
      </c>
      <c r="N216" s="1">
        <f>N71/N67</f>
        <v>0.27765355154859889</v>
      </c>
      <c r="P216" s="41">
        <f>P71/P67</f>
        <v>0.43546771108479826</v>
      </c>
      <c r="Q216" s="1">
        <f>Q71/Q67</f>
        <v>0.50020146667741161</v>
      </c>
      <c r="R216" s="1">
        <f>R71/R67</f>
        <v>0.39352063965947887</v>
      </c>
      <c r="T216" s="41"/>
      <c r="AG216" s="1">
        <f>AG71/AG67</f>
        <v>0.54442548350398179</v>
      </c>
      <c r="AH216" s="1">
        <f t="shared" ref="AH216:AN216" si="190">AH71/AH67</f>
        <v>0.67106383662451596</v>
      </c>
      <c r="AI216" s="1">
        <f t="shared" si="190"/>
        <v>0.30885893571442113</v>
      </c>
      <c r="AJ216" s="1">
        <f t="shared" si="190"/>
        <v>0.48674527376202004</v>
      </c>
      <c r="AK216" s="1" t="e">
        <f t="shared" si="190"/>
        <v>#DIV/0!</v>
      </c>
      <c r="AL216" s="1" t="e">
        <f t="shared" si="190"/>
        <v>#DIV/0!</v>
      </c>
      <c r="AM216" s="1" t="e">
        <f t="shared" si="190"/>
        <v>#DIV/0!</v>
      </c>
      <c r="AN216" s="1" t="e">
        <f t="shared" si="190"/>
        <v>#DIV/0!</v>
      </c>
    </row>
    <row r="217" spans="2:40" s="5" customFormat="1" x14ac:dyDescent="0.35">
      <c r="H217" s="37"/>
      <c r="L217" s="37"/>
      <c r="P217" s="37"/>
      <c r="R217" s="68"/>
      <c r="T217" s="37"/>
    </row>
    <row r="218" spans="2:40" s="5" customFormat="1" x14ac:dyDescent="0.35">
      <c r="B218" s="24" t="s">
        <v>91</v>
      </c>
      <c r="H218" s="37"/>
      <c r="L218" s="37"/>
      <c r="P218" s="37"/>
      <c r="R218" s="68"/>
      <c r="T218" s="37"/>
    </row>
    <row r="219" spans="2:40" s="5" customFormat="1" x14ac:dyDescent="0.35">
      <c r="B219" s="5" t="s">
        <v>365</v>
      </c>
      <c r="H219" s="37"/>
      <c r="L219" s="37"/>
      <c r="P219" s="37"/>
      <c r="T219" s="37"/>
    </row>
    <row r="220" spans="2:40" x14ac:dyDescent="0.35">
      <c r="B220" t="s">
        <v>367</v>
      </c>
    </row>
    <row r="223" spans="2:40" s="4" customFormat="1" x14ac:dyDescent="0.35">
      <c r="B223" s="4" t="s">
        <v>483</v>
      </c>
      <c r="H223" s="52"/>
      <c r="L223" s="52"/>
      <c r="P223" s="52"/>
      <c r="T223" s="52"/>
    </row>
    <row r="224" spans="2:40" x14ac:dyDescent="0.35">
      <c r="T224" s="34" t="s">
        <v>484</v>
      </c>
    </row>
    <row r="225" spans="20:20" x14ac:dyDescent="0.35">
      <c r="T225" s="34" t="s">
        <v>362</v>
      </c>
    </row>
    <row r="226" spans="20:20" x14ac:dyDescent="0.35">
      <c r="T226" s="34" t="s">
        <v>485</v>
      </c>
    </row>
  </sheetData>
  <pageMargins left="0.7" right="0.7" top="0.75" bottom="0.75" header="0.3" footer="0.3"/>
  <pageSetup orientation="portrait" r:id="rId1"/>
  <ignoredErrors>
    <ignoredError sqref="P126 O184:O187" formula="1"/>
    <ignoredError sqref="P157:P158 Q157 AH157:AI158 AG59:AI60" formulaRange="1"/>
  </ignoredError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3A3546-2646-49A3-B9D1-7BD85C8F3A81}">
  <dimension ref="A1:AI24"/>
  <sheetViews>
    <sheetView workbookViewId="0">
      <pane xSplit="2" ySplit="2" topLeftCell="R3" activePane="bottomRight" state="frozen"/>
      <selection pane="topRight" activeCell="B1" sqref="B1"/>
      <selection pane="bottomLeft" activeCell="A2" sqref="A2"/>
      <selection pane="bottomRight" activeCell="U25" sqref="U25"/>
    </sheetView>
  </sheetViews>
  <sheetFormatPr defaultRowHeight="14.5" x14ac:dyDescent="0.35"/>
  <cols>
    <col min="1" max="1" width="5.6328125" customWidth="1"/>
    <col min="2" max="2" width="12.6328125" customWidth="1"/>
    <col min="3" max="4" width="12.6328125" style="93" customWidth="1"/>
    <col min="5" max="5" width="12.6328125" style="126" customWidth="1"/>
    <col min="6" max="6" width="12.6328125" style="93" customWidth="1"/>
    <col min="7" max="7" width="12.6328125" customWidth="1"/>
    <col min="8" max="8" width="12.6328125" style="93" customWidth="1"/>
    <col min="9" max="12" width="12.6328125" customWidth="1"/>
    <col min="13" max="13" width="12.6328125" style="11" customWidth="1"/>
    <col min="14" max="16" width="12.6328125" customWidth="1"/>
    <col min="17" max="17" width="12.6328125" style="5" customWidth="1"/>
    <col min="18" max="18" width="12.6328125" customWidth="1"/>
    <col min="19" max="19" width="12.6328125" style="114" customWidth="1"/>
    <col min="20" max="20" width="12.6328125" style="88" customWidth="1"/>
    <col min="21" max="21" width="12.6328125" customWidth="1"/>
    <col min="22" max="30" width="12.6328125" style="5" customWidth="1"/>
    <col min="31" max="34" width="12.6328125" customWidth="1"/>
  </cols>
  <sheetData>
    <row r="1" spans="1:35" x14ac:dyDescent="0.35">
      <c r="A1" s="17" t="s">
        <v>472</v>
      </c>
    </row>
    <row r="2" spans="1:35" s="4" customFormat="1" x14ac:dyDescent="0.35">
      <c r="B2" s="4" t="s">
        <v>432</v>
      </c>
      <c r="C2" s="107" t="s">
        <v>232</v>
      </c>
      <c r="D2" s="107" t="s">
        <v>454</v>
      </c>
      <c r="E2" s="120" t="s">
        <v>433</v>
      </c>
      <c r="F2" s="107" t="s">
        <v>223</v>
      </c>
      <c r="G2" s="107" t="s">
        <v>224</v>
      </c>
      <c r="H2" s="107" t="s">
        <v>434</v>
      </c>
      <c r="I2" s="107" t="s">
        <v>435</v>
      </c>
      <c r="J2" s="107" t="s">
        <v>222</v>
      </c>
      <c r="K2" s="107" t="s">
        <v>46</v>
      </c>
      <c r="L2" s="107" t="s">
        <v>226</v>
      </c>
      <c r="M2" s="108" t="s">
        <v>227</v>
      </c>
      <c r="N2" s="4" t="s">
        <v>342</v>
      </c>
      <c r="O2" s="4" t="s">
        <v>436</v>
      </c>
      <c r="P2" s="4" t="s">
        <v>437</v>
      </c>
      <c r="Q2" s="7" t="s">
        <v>343</v>
      </c>
      <c r="R2" s="4" t="s">
        <v>345</v>
      </c>
      <c r="S2" s="112" t="s">
        <v>348</v>
      </c>
      <c r="T2" s="110" t="s">
        <v>354</v>
      </c>
      <c r="U2" s="4" t="s">
        <v>355</v>
      </c>
      <c r="V2" s="7" t="s">
        <v>441</v>
      </c>
      <c r="W2" s="7" t="s">
        <v>442</v>
      </c>
      <c r="X2" s="7" t="s">
        <v>443</v>
      </c>
      <c r="Y2" s="7" t="s">
        <v>444</v>
      </c>
      <c r="Z2" s="7" t="s">
        <v>445</v>
      </c>
      <c r="AA2" s="7" t="s">
        <v>446</v>
      </c>
      <c r="AB2" s="7" t="s">
        <v>447</v>
      </c>
      <c r="AC2" s="7" t="s">
        <v>448</v>
      </c>
      <c r="AD2" s="7" t="s">
        <v>449</v>
      </c>
      <c r="AE2" s="4" t="s">
        <v>440</v>
      </c>
      <c r="AF2" s="4" t="s">
        <v>450</v>
      </c>
      <c r="AG2" s="4" t="s">
        <v>451</v>
      </c>
      <c r="AH2" s="4" t="s">
        <v>452</v>
      </c>
    </row>
    <row r="3" spans="1:35" s="28" customFormat="1" x14ac:dyDescent="0.35">
      <c r="A3" s="28" t="s">
        <v>397</v>
      </c>
      <c r="B3" s="28" t="s">
        <v>220</v>
      </c>
      <c r="C3" s="92"/>
      <c r="D3" s="92"/>
      <c r="E3" s="121"/>
      <c r="F3" s="92"/>
      <c r="H3" s="92"/>
      <c r="M3" s="109"/>
      <c r="Q3" s="29"/>
      <c r="S3" s="113"/>
      <c r="T3" s="111"/>
      <c r="V3" s="29"/>
      <c r="W3" s="29"/>
      <c r="X3" s="29"/>
      <c r="Y3" s="29"/>
      <c r="Z3" s="29"/>
      <c r="AA3" s="29"/>
      <c r="AB3" s="29"/>
      <c r="AC3" s="29"/>
      <c r="AD3" s="29"/>
    </row>
    <row r="4" spans="1:35" x14ac:dyDescent="0.35">
      <c r="B4" s="12" t="s">
        <v>36</v>
      </c>
      <c r="C4" s="93" t="s">
        <v>233</v>
      </c>
      <c r="D4" s="93" t="s">
        <v>455</v>
      </c>
      <c r="E4" s="122">
        <v>7.5</v>
      </c>
      <c r="F4" s="93">
        <v>18</v>
      </c>
      <c r="G4" s="93">
        <v>1.2</v>
      </c>
      <c r="H4" s="93">
        <v>12.5</v>
      </c>
      <c r="I4" s="93">
        <v>11.3</v>
      </c>
      <c r="J4" s="93">
        <v>2</v>
      </c>
      <c r="K4" s="93">
        <v>46</v>
      </c>
      <c r="L4" s="93">
        <v>4</v>
      </c>
      <c r="M4" s="95">
        <f>(K4-L4)/K4</f>
        <v>0.91304347826086951</v>
      </c>
      <c r="N4" s="93" t="s">
        <v>349</v>
      </c>
      <c r="O4" s="93">
        <v>25.79</v>
      </c>
      <c r="P4" s="93">
        <v>9</v>
      </c>
      <c r="Q4" s="94">
        <f>O4*P4</f>
        <v>232.10999999999999</v>
      </c>
      <c r="R4" s="93">
        <v>343</v>
      </c>
      <c r="S4" s="115">
        <f>X4/(H4*1000)</f>
        <v>2.4E-2</v>
      </c>
      <c r="T4" s="96">
        <f>(E4*1000000)/X4</f>
        <v>25000</v>
      </c>
      <c r="U4" s="96" t="b">
        <v>1</v>
      </c>
      <c r="V4" s="94" t="s">
        <v>150</v>
      </c>
      <c r="W4" s="94" t="s">
        <v>150</v>
      </c>
      <c r="X4" s="94">
        <v>300</v>
      </c>
      <c r="Y4" s="94" t="s">
        <v>150</v>
      </c>
      <c r="Z4" s="94" t="s">
        <v>150</v>
      </c>
      <c r="AA4" s="94">
        <v>200</v>
      </c>
      <c r="AB4" s="94" t="s">
        <v>150</v>
      </c>
      <c r="AC4" s="94" t="s">
        <v>150</v>
      </c>
      <c r="AD4" s="94" t="s">
        <v>150</v>
      </c>
      <c r="AE4" s="94" t="s">
        <v>150</v>
      </c>
      <c r="AF4" s="94" t="s">
        <v>150</v>
      </c>
      <c r="AG4" s="94" t="s">
        <v>150</v>
      </c>
      <c r="AH4" s="94" t="s">
        <v>150</v>
      </c>
      <c r="AI4" s="94"/>
    </row>
    <row r="5" spans="1:35" x14ac:dyDescent="0.35">
      <c r="B5" s="12" t="s">
        <v>225</v>
      </c>
      <c r="C5" s="93" t="s">
        <v>236</v>
      </c>
      <c r="D5" s="93" t="s">
        <v>456</v>
      </c>
      <c r="E5" s="122">
        <v>50</v>
      </c>
      <c r="F5" s="93">
        <v>42.8</v>
      </c>
      <c r="G5" s="93">
        <v>7</v>
      </c>
      <c r="H5" s="93">
        <v>480</v>
      </c>
      <c r="I5" s="93" t="s">
        <v>230</v>
      </c>
      <c r="J5" s="93" t="s">
        <v>230</v>
      </c>
      <c r="K5" s="93" t="s">
        <v>230</v>
      </c>
      <c r="L5" s="93" t="s">
        <v>230</v>
      </c>
      <c r="M5" s="95" t="e">
        <f>(K5-L5)/K5</f>
        <v>#VALUE!</v>
      </c>
      <c r="N5" s="93" t="s">
        <v>350</v>
      </c>
      <c r="O5" s="93">
        <v>1000</v>
      </c>
      <c r="P5" s="93">
        <v>9</v>
      </c>
      <c r="Q5" s="94">
        <f>O5*P5</f>
        <v>9000</v>
      </c>
      <c r="R5" s="93">
        <v>320</v>
      </c>
      <c r="S5" s="115">
        <f>X5/(H5*1000)</f>
        <v>2.7083333333333334E-2</v>
      </c>
      <c r="T5" s="96">
        <f>(E5*1000000)/X5</f>
        <v>3846.1538461538462</v>
      </c>
      <c r="U5" s="96" t="b">
        <v>1</v>
      </c>
      <c r="V5" s="94" t="s">
        <v>150</v>
      </c>
      <c r="W5" s="94" t="s">
        <v>150</v>
      </c>
      <c r="X5" s="94">
        <v>13000</v>
      </c>
      <c r="Y5" s="94" t="s">
        <v>150</v>
      </c>
      <c r="Z5" s="94" t="s">
        <v>150</v>
      </c>
      <c r="AA5" s="94" t="s">
        <v>230</v>
      </c>
      <c r="AB5" s="94" t="s">
        <v>150</v>
      </c>
      <c r="AC5" s="94" t="s">
        <v>150</v>
      </c>
      <c r="AD5" s="94" t="s">
        <v>150</v>
      </c>
      <c r="AE5" s="93" t="s">
        <v>150</v>
      </c>
      <c r="AF5" s="93" t="s">
        <v>150</v>
      </c>
      <c r="AG5" s="93" t="s">
        <v>150</v>
      </c>
      <c r="AH5" s="93" t="s">
        <v>150</v>
      </c>
    </row>
    <row r="6" spans="1:35" s="28" customFormat="1" x14ac:dyDescent="0.35">
      <c r="A6" s="28" t="s">
        <v>397</v>
      </c>
      <c r="B6" s="28" t="s">
        <v>221</v>
      </c>
      <c r="C6" s="92"/>
      <c r="D6" s="92"/>
      <c r="E6" s="123"/>
      <c r="F6" s="92"/>
      <c r="G6" s="92"/>
      <c r="H6" s="92"/>
      <c r="I6" s="92"/>
      <c r="J6" s="92"/>
      <c r="K6" s="92"/>
      <c r="L6" s="92"/>
      <c r="M6" s="116"/>
      <c r="N6" s="92"/>
      <c r="O6" s="92"/>
      <c r="P6" s="92"/>
      <c r="Q6" s="117"/>
      <c r="R6" s="92"/>
      <c r="S6" s="118"/>
      <c r="T6" s="119"/>
      <c r="U6" s="92"/>
      <c r="V6" s="117"/>
      <c r="W6" s="117"/>
      <c r="X6" s="117"/>
      <c r="Y6" s="117"/>
      <c r="Z6" s="117"/>
      <c r="AA6" s="117"/>
      <c r="AB6" s="117"/>
      <c r="AC6" s="117"/>
      <c r="AD6" s="117"/>
      <c r="AE6" s="92"/>
      <c r="AF6" s="92"/>
      <c r="AG6" s="92"/>
      <c r="AH6" s="92"/>
    </row>
    <row r="7" spans="1:35" x14ac:dyDescent="0.35">
      <c r="B7" t="s">
        <v>228</v>
      </c>
      <c r="C7" s="93" t="s">
        <v>233</v>
      </c>
      <c r="D7" s="93" t="s">
        <v>456</v>
      </c>
      <c r="E7" s="122">
        <v>67</v>
      </c>
      <c r="F7" s="93">
        <v>70</v>
      </c>
      <c r="G7" s="93">
        <v>3.7</v>
      </c>
      <c r="H7" s="93">
        <v>549</v>
      </c>
      <c r="I7" s="93" t="s">
        <v>439</v>
      </c>
      <c r="J7" s="93">
        <v>2</v>
      </c>
      <c r="K7" s="93">
        <v>295</v>
      </c>
      <c r="L7" s="93">
        <v>1</v>
      </c>
      <c r="M7" s="95">
        <f>(K7-L7)/K7</f>
        <v>0.99661016949152548</v>
      </c>
      <c r="N7" s="93" t="s">
        <v>351</v>
      </c>
      <c r="O7" s="93">
        <v>854</v>
      </c>
      <c r="P7" s="93">
        <v>9</v>
      </c>
      <c r="Q7" s="94">
        <f>O7*P7</f>
        <v>7686</v>
      </c>
      <c r="R7" s="93">
        <v>283</v>
      </c>
      <c r="S7" s="115">
        <f>X7/(H7*1000)</f>
        <v>4.1530054644808745E-2</v>
      </c>
      <c r="T7" s="96">
        <f>(E7*1000000)/X7</f>
        <v>2938.5964912280701</v>
      </c>
      <c r="U7" s="96" t="b">
        <v>1</v>
      </c>
      <c r="V7" s="94">
        <v>11660</v>
      </c>
      <c r="W7" s="94">
        <v>15520</v>
      </c>
      <c r="X7" s="94">
        <v>22800</v>
      </c>
      <c r="Y7" s="94">
        <v>7960</v>
      </c>
      <c r="Z7" s="94">
        <v>11030</v>
      </c>
      <c r="AA7" s="94" t="s">
        <v>150</v>
      </c>
      <c r="AB7" s="94">
        <v>3490</v>
      </c>
      <c r="AC7" s="94">
        <v>5450</v>
      </c>
      <c r="AD7" s="94">
        <v>8300</v>
      </c>
      <c r="AE7" s="94">
        <v>4020</v>
      </c>
      <c r="AF7" s="94">
        <v>1385</v>
      </c>
      <c r="AG7" s="94">
        <v>2840</v>
      </c>
      <c r="AH7" s="94">
        <v>4020</v>
      </c>
    </row>
    <row r="8" spans="1:35" x14ac:dyDescent="0.35">
      <c r="B8" t="s">
        <v>438</v>
      </c>
      <c r="C8" s="93" t="s">
        <v>233</v>
      </c>
      <c r="D8" s="93" t="s">
        <v>456</v>
      </c>
      <c r="E8" s="122">
        <v>97</v>
      </c>
      <c r="F8" s="93">
        <v>70</v>
      </c>
      <c r="G8" s="93">
        <v>3.66</v>
      </c>
      <c r="H8" s="93">
        <v>1420</v>
      </c>
      <c r="I8" s="93" t="s">
        <v>439</v>
      </c>
      <c r="J8" s="93">
        <v>2</v>
      </c>
      <c r="K8" s="93">
        <v>9</v>
      </c>
      <c r="L8" s="93">
        <v>0</v>
      </c>
      <c r="M8" s="95">
        <f>(K8-L8)/K8</f>
        <v>1</v>
      </c>
      <c r="N8" s="93" t="s">
        <v>351</v>
      </c>
      <c r="O8" s="93">
        <v>854</v>
      </c>
      <c r="P8" s="93">
        <v>27</v>
      </c>
      <c r="Q8" s="94">
        <f>O8*P8</f>
        <v>23058</v>
      </c>
      <c r="R8" s="93">
        <v>283</v>
      </c>
      <c r="S8" s="115">
        <f>X8/(H8*1000)</f>
        <v>3.8309859154929578E-2</v>
      </c>
      <c r="T8" s="96">
        <f>(E8*1000000)/X8</f>
        <v>1783.0882352941176</v>
      </c>
      <c r="U8" s="96" t="b">
        <v>1</v>
      </c>
      <c r="V8" s="94">
        <v>54400</v>
      </c>
      <c r="W8" s="94">
        <v>54400</v>
      </c>
      <c r="X8" s="94">
        <v>54400</v>
      </c>
      <c r="Y8" s="94" t="s">
        <v>150</v>
      </c>
      <c r="Z8" s="94" t="s">
        <v>150</v>
      </c>
      <c r="AA8" s="94" t="s">
        <v>150</v>
      </c>
      <c r="AB8" s="94">
        <v>8000</v>
      </c>
      <c r="AC8" s="94">
        <v>8000</v>
      </c>
      <c r="AD8" s="94">
        <v>22200</v>
      </c>
      <c r="AE8" s="93" t="s">
        <v>150</v>
      </c>
      <c r="AF8" s="94">
        <v>5160</v>
      </c>
      <c r="AG8" s="94">
        <v>5160</v>
      </c>
      <c r="AH8" s="94">
        <v>11320</v>
      </c>
    </row>
    <row r="9" spans="1:35" x14ac:dyDescent="0.35">
      <c r="B9" t="s">
        <v>229</v>
      </c>
      <c r="C9" s="93" t="s">
        <v>236</v>
      </c>
      <c r="D9" s="93" t="s">
        <v>457</v>
      </c>
      <c r="E9" s="124">
        <v>150</v>
      </c>
      <c r="F9" s="93">
        <v>121</v>
      </c>
      <c r="G9" s="93">
        <v>9</v>
      </c>
      <c r="H9" s="93">
        <v>4900</v>
      </c>
      <c r="I9" s="93">
        <v>4600</v>
      </c>
      <c r="J9" s="93" t="s">
        <v>230</v>
      </c>
      <c r="K9" s="93" t="s">
        <v>230</v>
      </c>
      <c r="L9" s="93" t="s">
        <v>230</v>
      </c>
      <c r="M9" s="95" t="s">
        <v>230</v>
      </c>
      <c r="N9" s="93" t="s">
        <v>352</v>
      </c>
      <c r="O9" s="93">
        <v>14700</v>
      </c>
      <c r="P9" s="93">
        <v>6</v>
      </c>
      <c r="Q9" s="94">
        <f>O9*P9</f>
        <v>88200</v>
      </c>
      <c r="R9" s="93">
        <v>382</v>
      </c>
      <c r="S9" s="115">
        <f>X9/(H9*1000)</f>
        <v>3.0612244897959183E-2</v>
      </c>
      <c r="T9" s="96">
        <f>(E9*1000000)/X9</f>
        <v>1000</v>
      </c>
      <c r="U9" s="96" t="b">
        <v>1</v>
      </c>
      <c r="V9" s="94" t="s">
        <v>150</v>
      </c>
      <c r="W9" s="94" t="s">
        <v>150</v>
      </c>
      <c r="X9" s="94">
        <v>150000</v>
      </c>
      <c r="Y9" s="94" t="s">
        <v>150</v>
      </c>
      <c r="Z9" s="94" t="s">
        <v>150</v>
      </c>
      <c r="AA9" s="94" t="s">
        <v>150</v>
      </c>
      <c r="AB9" s="94" t="s">
        <v>150</v>
      </c>
      <c r="AC9" s="94" t="s">
        <v>150</v>
      </c>
      <c r="AD9" s="94" t="s">
        <v>150</v>
      </c>
      <c r="AE9" s="94" t="s">
        <v>150</v>
      </c>
      <c r="AF9" s="94" t="s">
        <v>150</v>
      </c>
      <c r="AG9" s="94" t="s">
        <v>150</v>
      </c>
      <c r="AH9" s="94" t="s">
        <v>150</v>
      </c>
    </row>
    <row r="10" spans="1:35" s="28" customFormat="1" x14ac:dyDescent="0.35">
      <c r="A10" s="28" t="s">
        <v>397</v>
      </c>
      <c r="B10" s="28" t="s">
        <v>453</v>
      </c>
      <c r="C10" s="92"/>
      <c r="D10" s="92"/>
      <c r="E10" s="123"/>
      <c r="F10" s="92"/>
      <c r="G10" s="92"/>
      <c r="H10" s="92"/>
      <c r="I10" s="92"/>
      <c r="J10" s="92"/>
      <c r="K10" s="92"/>
      <c r="L10" s="92"/>
      <c r="M10" s="116"/>
      <c r="N10" s="92"/>
      <c r="O10" s="92"/>
      <c r="P10" s="92"/>
      <c r="Q10" s="117"/>
      <c r="R10" s="92"/>
      <c r="S10" s="118"/>
      <c r="T10" s="119"/>
      <c r="U10" s="92"/>
      <c r="V10" s="117"/>
      <c r="W10" s="117"/>
      <c r="X10" s="117"/>
      <c r="Y10" s="117"/>
      <c r="Z10" s="117"/>
      <c r="AA10" s="117"/>
      <c r="AB10" s="117"/>
      <c r="AC10" s="117"/>
      <c r="AD10" s="117"/>
      <c r="AE10" s="92"/>
      <c r="AF10" s="92"/>
      <c r="AG10" s="92"/>
      <c r="AH10" s="92"/>
    </row>
    <row r="11" spans="1:35" x14ac:dyDescent="0.35">
      <c r="B11" s="17" t="s">
        <v>231</v>
      </c>
      <c r="C11" s="93" t="s">
        <v>233</v>
      </c>
      <c r="D11" s="93" t="s">
        <v>455</v>
      </c>
      <c r="E11" s="122"/>
      <c r="F11" s="93">
        <v>18</v>
      </c>
      <c r="G11" s="93">
        <v>3.7</v>
      </c>
      <c r="H11" s="93">
        <v>75</v>
      </c>
      <c r="I11" s="93" t="s">
        <v>150</v>
      </c>
      <c r="J11" s="93">
        <v>1</v>
      </c>
      <c r="K11" s="93">
        <v>24</v>
      </c>
      <c r="L11" s="93">
        <v>1</v>
      </c>
      <c r="M11" s="95">
        <f>(K11-L11)/K11</f>
        <v>0.95833333333333337</v>
      </c>
      <c r="N11" s="93" t="s">
        <v>353</v>
      </c>
      <c r="O11" s="93">
        <v>490</v>
      </c>
      <c r="P11" s="93">
        <v>1</v>
      </c>
      <c r="Q11" s="94">
        <f>O11*P11</f>
        <v>490</v>
      </c>
      <c r="R11" s="93">
        <v>315</v>
      </c>
      <c r="S11" s="115" t="e">
        <f>X11/(H11*1000)</f>
        <v>#VALUE!</v>
      </c>
      <c r="T11" s="96" t="e">
        <f>(E11*1000000)/X11</f>
        <v>#VALUE!</v>
      </c>
      <c r="U11" s="96" t="b">
        <v>1</v>
      </c>
      <c r="V11" s="94" t="s">
        <v>150</v>
      </c>
      <c r="W11" s="94" t="s">
        <v>150</v>
      </c>
      <c r="X11" s="94" t="s">
        <v>150</v>
      </c>
      <c r="Y11" s="94" t="s">
        <v>150</v>
      </c>
      <c r="Z11" s="94" t="s">
        <v>150</v>
      </c>
      <c r="AA11" s="94" t="s">
        <v>150</v>
      </c>
      <c r="AB11" s="94" t="s">
        <v>150</v>
      </c>
      <c r="AC11" s="94" t="s">
        <v>150</v>
      </c>
      <c r="AD11" s="94" t="s">
        <v>150</v>
      </c>
      <c r="AE11" s="94" t="s">
        <v>150</v>
      </c>
      <c r="AF11" s="94" t="s">
        <v>150</v>
      </c>
      <c r="AG11" s="94" t="s">
        <v>150</v>
      </c>
      <c r="AH11" s="94" t="s">
        <v>150</v>
      </c>
    </row>
    <row r="12" spans="1:35" x14ac:dyDescent="0.35">
      <c r="B12" s="17" t="s">
        <v>234</v>
      </c>
      <c r="C12" s="93" t="s">
        <v>236</v>
      </c>
      <c r="D12" s="93" t="s">
        <v>457</v>
      </c>
      <c r="E12" s="122"/>
      <c r="F12" s="93">
        <v>98</v>
      </c>
      <c r="G12" s="93">
        <v>7</v>
      </c>
      <c r="H12" s="93" t="s">
        <v>230</v>
      </c>
      <c r="I12" s="93" t="s">
        <v>150</v>
      </c>
      <c r="J12" s="93">
        <v>2</v>
      </c>
      <c r="K12" s="93" t="s">
        <v>230</v>
      </c>
      <c r="L12" s="93" t="s">
        <v>230</v>
      </c>
      <c r="M12" s="95" t="s">
        <v>230</v>
      </c>
      <c r="N12" s="93" t="s">
        <v>347</v>
      </c>
      <c r="O12" s="93">
        <v>2446.5</v>
      </c>
      <c r="P12" s="93">
        <v>4</v>
      </c>
      <c r="Q12" s="94">
        <f>O12*P12</f>
        <v>9786</v>
      </c>
      <c r="R12" s="93">
        <v>340</v>
      </c>
      <c r="S12" s="115" t="e">
        <f>X12/(H12*1000)</f>
        <v>#VALUE!</v>
      </c>
      <c r="T12" s="96" t="e">
        <f>(E12*1000000)/X12</f>
        <v>#VALUE!</v>
      </c>
      <c r="U12" s="96" t="b">
        <v>1</v>
      </c>
      <c r="V12" s="94" t="s">
        <v>150</v>
      </c>
      <c r="W12" s="94" t="s">
        <v>150</v>
      </c>
      <c r="X12" s="94" t="s">
        <v>150</v>
      </c>
      <c r="Y12" s="94" t="s">
        <v>150</v>
      </c>
      <c r="Z12" s="94" t="s">
        <v>150</v>
      </c>
      <c r="AA12" s="94" t="s">
        <v>150</v>
      </c>
      <c r="AB12" s="94" t="s">
        <v>150</v>
      </c>
      <c r="AC12" s="94" t="s">
        <v>150</v>
      </c>
      <c r="AD12" s="94" t="s">
        <v>150</v>
      </c>
      <c r="AE12" s="94" t="s">
        <v>150</v>
      </c>
      <c r="AF12" s="94" t="s">
        <v>150</v>
      </c>
      <c r="AG12" s="94" t="s">
        <v>150</v>
      </c>
      <c r="AH12" s="94" t="s">
        <v>150</v>
      </c>
    </row>
    <row r="13" spans="1:35" s="28" customFormat="1" x14ac:dyDescent="0.35">
      <c r="A13" s="28" t="s">
        <v>397</v>
      </c>
      <c r="B13" s="28" t="s">
        <v>235</v>
      </c>
      <c r="C13" s="92"/>
      <c r="D13" s="92"/>
      <c r="E13" s="123"/>
      <c r="F13" s="92"/>
      <c r="G13" s="92"/>
      <c r="H13" s="92"/>
      <c r="I13" s="92"/>
      <c r="J13" s="92"/>
      <c r="K13" s="92"/>
      <c r="L13" s="92"/>
      <c r="M13" s="116"/>
      <c r="N13" s="92"/>
      <c r="O13" s="92"/>
      <c r="P13" s="92"/>
      <c r="Q13" s="117"/>
      <c r="R13" s="92"/>
      <c r="S13" s="118"/>
      <c r="T13" s="119"/>
      <c r="U13" s="92"/>
      <c r="V13" s="117"/>
      <c r="W13" s="117"/>
      <c r="X13" s="117"/>
      <c r="Y13" s="117"/>
      <c r="Z13" s="117"/>
      <c r="AA13" s="117"/>
      <c r="AB13" s="117"/>
      <c r="AC13" s="117"/>
      <c r="AD13" s="117"/>
      <c r="AE13" s="92"/>
      <c r="AF13" s="92"/>
      <c r="AG13" s="92"/>
      <c r="AH13" s="92"/>
    </row>
    <row r="14" spans="1:35" x14ac:dyDescent="0.35">
      <c r="B14" t="s">
        <v>237</v>
      </c>
      <c r="C14" s="93" t="s">
        <v>233</v>
      </c>
      <c r="D14" s="93" t="s">
        <v>456</v>
      </c>
      <c r="E14" s="122">
        <v>153</v>
      </c>
      <c r="F14" s="93">
        <v>58.3</v>
      </c>
      <c r="G14" s="93">
        <v>3.81</v>
      </c>
      <c r="H14" s="93">
        <v>590</v>
      </c>
      <c r="I14" s="93">
        <v>43.63</v>
      </c>
      <c r="J14" s="93">
        <v>2</v>
      </c>
      <c r="K14" s="93">
        <v>99</v>
      </c>
      <c r="L14" s="93">
        <v>1</v>
      </c>
      <c r="M14" s="95">
        <f>(K14-L14)/K14</f>
        <v>0.98989898989898994</v>
      </c>
      <c r="N14" s="93" t="s">
        <v>346</v>
      </c>
      <c r="O14" s="93">
        <v>3825</v>
      </c>
      <c r="P14" s="93">
        <v>1</v>
      </c>
      <c r="Q14" s="94">
        <f>O14*P14</f>
        <v>3825</v>
      </c>
      <c r="R14" s="93">
        <v>339.3</v>
      </c>
      <c r="S14" s="115">
        <f>X14/(H14*1000)</f>
        <v>3.1888135593220339E-2</v>
      </c>
      <c r="T14" s="96">
        <f>(E14*1000000)/X14</f>
        <v>8132.2419474859144</v>
      </c>
      <c r="U14" s="96" t="b">
        <v>0</v>
      </c>
      <c r="V14" s="94" t="s">
        <v>150</v>
      </c>
      <c r="W14" s="94" t="s">
        <v>150</v>
      </c>
      <c r="X14" s="94">
        <v>18814</v>
      </c>
      <c r="Y14" s="94" t="s">
        <v>150</v>
      </c>
      <c r="Z14" s="94" t="s">
        <v>150</v>
      </c>
      <c r="AA14" s="94" t="s">
        <v>150</v>
      </c>
      <c r="AB14" s="94" t="s">
        <v>150</v>
      </c>
      <c r="AC14" s="94" t="s">
        <v>150</v>
      </c>
      <c r="AD14" s="94">
        <v>8900</v>
      </c>
      <c r="AE14" s="94" t="s">
        <v>150</v>
      </c>
      <c r="AF14" s="94" t="s">
        <v>150</v>
      </c>
      <c r="AG14" s="94" t="s">
        <v>150</v>
      </c>
      <c r="AH14" s="94" t="s">
        <v>150</v>
      </c>
    </row>
    <row r="15" spans="1:35" x14ac:dyDescent="0.35">
      <c r="B15" t="s">
        <v>238</v>
      </c>
      <c r="C15" s="93" t="s">
        <v>233</v>
      </c>
      <c r="D15" s="93" t="s">
        <v>456</v>
      </c>
      <c r="E15" s="122">
        <v>200</v>
      </c>
      <c r="F15" s="93">
        <v>61.6</v>
      </c>
      <c r="G15" s="93">
        <v>5.4</v>
      </c>
      <c r="H15" s="93">
        <v>546.70000000000005</v>
      </c>
      <c r="I15" s="93" t="s">
        <v>150</v>
      </c>
      <c r="J15" s="93">
        <v>2</v>
      </c>
      <c r="K15" s="93">
        <v>1</v>
      </c>
      <c r="L15" s="93">
        <v>0</v>
      </c>
      <c r="M15" s="95">
        <f>(K15-L15)/K15</f>
        <v>1</v>
      </c>
      <c r="N15" s="93" t="s">
        <v>347</v>
      </c>
      <c r="O15" s="93">
        <v>2446.5</v>
      </c>
      <c r="P15" s="93">
        <v>2</v>
      </c>
      <c r="Q15" s="94">
        <f>O15*P15</f>
        <v>4893</v>
      </c>
      <c r="R15" s="93">
        <v>340</v>
      </c>
      <c r="S15" s="115">
        <f>X15/(H15*1000)</f>
        <v>4.9753063837570881E-2</v>
      </c>
      <c r="T15" s="96">
        <f>(E15*1000000)/X15</f>
        <v>7352.9411764705883</v>
      </c>
      <c r="U15" s="96" t="b">
        <v>0</v>
      </c>
      <c r="V15" s="94" t="s">
        <v>150</v>
      </c>
      <c r="W15" s="94" t="s">
        <v>150</v>
      </c>
      <c r="X15" s="94">
        <v>27200</v>
      </c>
      <c r="Y15" s="94" t="s">
        <v>150</v>
      </c>
      <c r="Z15" s="94" t="s">
        <v>150</v>
      </c>
      <c r="AA15" s="94" t="s">
        <v>150</v>
      </c>
      <c r="AB15" s="94" t="s">
        <v>150</v>
      </c>
      <c r="AC15" s="94" t="s">
        <v>150</v>
      </c>
      <c r="AD15" s="94">
        <v>14500</v>
      </c>
      <c r="AE15" s="93" t="s">
        <v>150</v>
      </c>
      <c r="AF15" s="93" t="s">
        <v>150</v>
      </c>
      <c r="AG15" s="93" t="s">
        <v>150</v>
      </c>
      <c r="AH15" s="93" t="s">
        <v>150</v>
      </c>
      <c r="AI15" s="93"/>
    </row>
    <row r="16" spans="1:35" s="28" customFormat="1" x14ac:dyDescent="0.35">
      <c r="A16" s="28" t="s">
        <v>397</v>
      </c>
      <c r="B16" s="28" t="s">
        <v>239</v>
      </c>
      <c r="C16" s="92"/>
      <c r="D16" s="92"/>
      <c r="E16" s="121"/>
      <c r="F16" s="92"/>
      <c r="H16" s="92"/>
      <c r="M16" s="109"/>
      <c r="Q16" s="29"/>
      <c r="S16" s="113"/>
      <c r="T16" s="111"/>
      <c r="V16" s="29"/>
      <c r="W16" s="29"/>
      <c r="X16" s="29"/>
      <c r="Y16" s="29"/>
      <c r="Z16" s="29"/>
      <c r="AA16" s="29"/>
      <c r="AB16" s="29"/>
      <c r="AC16" s="29"/>
      <c r="AD16" s="29"/>
    </row>
    <row r="17" spans="1:35" x14ac:dyDescent="0.35">
      <c r="B17" s="17" t="s">
        <v>240</v>
      </c>
      <c r="C17" s="93" t="s">
        <v>233</v>
      </c>
      <c r="D17" s="93" t="s">
        <v>455</v>
      </c>
      <c r="E17" s="126">
        <v>17</v>
      </c>
      <c r="F17" s="93">
        <v>29</v>
      </c>
      <c r="G17" s="93">
        <v>1.82</v>
      </c>
      <c r="H17" s="93">
        <v>54</v>
      </c>
      <c r="I17" t="s">
        <v>150</v>
      </c>
      <c r="J17" s="93">
        <v>2</v>
      </c>
      <c r="K17" s="93">
        <v>4</v>
      </c>
      <c r="L17" s="93">
        <v>3</v>
      </c>
      <c r="M17" s="95">
        <f>(K17-L17)/K17</f>
        <v>0.25</v>
      </c>
      <c r="N17" s="93" t="s">
        <v>344</v>
      </c>
      <c r="O17" s="93">
        <v>184</v>
      </c>
      <c r="P17" s="93">
        <v>4</v>
      </c>
      <c r="Q17" s="94">
        <f>O17*P17</f>
        <v>736</v>
      </c>
      <c r="R17" s="93">
        <v>295.60000000000002</v>
      </c>
      <c r="S17" s="115" t="e">
        <f>X17/(H17*1000)</f>
        <v>#VALUE!</v>
      </c>
      <c r="T17" s="96" t="e">
        <f>(E17*1000000)/X17</f>
        <v>#VALUE!</v>
      </c>
      <c r="U17" s="96" t="b">
        <v>0</v>
      </c>
      <c r="V17" s="5" t="s">
        <v>150</v>
      </c>
      <c r="W17" s="5" t="s">
        <v>150</v>
      </c>
      <c r="X17" s="5" t="s">
        <v>150</v>
      </c>
      <c r="Y17" s="5" t="s">
        <v>150</v>
      </c>
      <c r="Z17" s="5" t="s">
        <v>150</v>
      </c>
      <c r="AB17" s="5" t="s">
        <v>150</v>
      </c>
      <c r="AC17" s="5" t="s">
        <v>150</v>
      </c>
      <c r="AD17" s="5" t="s">
        <v>150</v>
      </c>
      <c r="AE17" s="5" t="s">
        <v>150</v>
      </c>
      <c r="AF17" s="5" t="s">
        <v>150</v>
      </c>
      <c r="AG17" s="5" t="s">
        <v>150</v>
      </c>
      <c r="AH17" s="5" t="s">
        <v>150</v>
      </c>
      <c r="AI17" s="5"/>
    </row>
    <row r="18" spans="1:35" s="28" customFormat="1" x14ac:dyDescent="0.35">
      <c r="A18" s="28" t="s">
        <v>397</v>
      </c>
      <c r="B18" s="28" t="s">
        <v>458</v>
      </c>
      <c r="C18" s="92"/>
      <c r="D18" s="92"/>
      <c r="E18" s="121"/>
      <c r="F18" s="92"/>
      <c r="H18" s="92"/>
      <c r="M18" s="109"/>
      <c r="Q18" s="29"/>
      <c r="S18" s="113"/>
      <c r="T18" s="111"/>
      <c r="V18" s="29"/>
      <c r="W18" s="29"/>
      <c r="X18" s="29"/>
      <c r="Y18" s="29"/>
      <c r="Z18" s="29"/>
      <c r="AA18" s="29"/>
      <c r="AB18" s="29"/>
      <c r="AC18" s="29"/>
      <c r="AD18" s="29"/>
    </row>
    <row r="19" spans="1:35" x14ac:dyDescent="0.35">
      <c r="B19" t="s">
        <v>459</v>
      </c>
      <c r="C19" s="93" t="s">
        <v>460</v>
      </c>
      <c r="D19" s="93" t="s">
        <v>455</v>
      </c>
      <c r="E19" s="126">
        <v>2.5</v>
      </c>
      <c r="F19" s="93">
        <v>11.6</v>
      </c>
      <c r="K19" s="93">
        <v>9</v>
      </c>
      <c r="L19" s="93">
        <v>7</v>
      </c>
      <c r="M19" s="95">
        <f>(K19-L19)/K19</f>
        <v>0.22222222222222221</v>
      </c>
      <c r="N19" s="93" t="s">
        <v>461</v>
      </c>
      <c r="O19" s="93">
        <v>29</v>
      </c>
      <c r="P19" s="93">
        <v>5</v>
      </c>
      <c r="Q19" s="94">
        <f>O19*P19</f>
        <v>145</v>
      </c>
      <c r="R19" t="s">
        <v>150</v>
      </c>
      <c r="S19" s="115" t="e">
        <f>X19/(H19*1000)</f>
        <v>#DIV/0!</v>
      </c>
      <c r="T19" s="96">
        <f>(E19*1000000)/X19</f>
        <v>25000</v>
      </c>
      <c r="U19" s="96" t="b">
        <v>0</v>
      </c>
      <c r="V19" s="5" t="s">
        <v>150</v>
      </c>
      <c r="W19" s="5" t="s">
        <v>150</v>
      </c>
      <c r="X19" s="5">
        <v>100</v>
      </c>
      <c r="Y19" s="5" t="s">
        <v>150</v>
      </c>
      <c r="Z19" s="5" t="s">
        <v>150</v>
      </c>
      <c r="AA19" s="5">
        <v>40</v>
      </c>
    </row>
    <row r="22" spans="1:35" s="4" customFormat="1" x14ac:dyDescent="0.35">
      <c r="A22" s="4" t="s">
        <v>397</v>
      </c>
      <c r="B22" s="4" t="s">
        <v>462</v>
      </c>
      <c r="C22" s="91"/>
      <c r="D22" s="91"/>
      <c r="E22" s="125"/>
      <c r="F22" s="91"/>
      <c r="H22" s="91"/>
      <c r="M22" s="108"/>
      <c r="Q22" s="7"/>
      <c r="S22" s="112"/>
      <c r="T22" s="110"/>
      <c r="V22" s="7"/>
      <c r="W22" s="7"/>
      <c r="X22" s="7"/>
      <c r="Y22" s="7"/>
      <c r="Z22" s="7"/>
      <c r="AA22" s="7"/>
      <c r="AB22" s="7"/>
      <c r="AC22" s="7"/>
      <c r="AD22" s="7"/>
    </row>
    <row r="23" spans="1:35" x14ac:dyDescent="0.35">
      <c r="B23" t="s">
        <v>463</v>
      </c>
      <c r="C23" s="127" t="s">
        <v>464</v>
      </c>
    </row>
    <row r="24" spans="1:35" x14ac:dyDescent="0.35">
      <c r="B24" t="s">
        <v>465</v>
      </c>
      <c r="C24" s="127" t="s">
        <v>466</v>
      </c>
      <c r="D24" s="127" t="s">
        <v>467</v>
      </c>
    </row>
  </sheetData>
  <conditionalFormatting sqref="C17">
    <cfRule type="containsText" dxfId="34" priority="11" operator="containsText" text="Retired">
      <formula>NOT(ISERROR(SEARCH("Retired",C17)))</formula>
    </cfRule>
    <cfRule type="containsText" dxfId="33" priority="12" operator="containsText" text="Active">
      <formula>NOT(ISERROR(SEARCH("Active",C17)))</formula>
    </cfRule>
    <cfRule type="containsText" dxfId="32" priority="13" operator="containsText" text="In Development">
      <formula>NOT(ISERROR(SEARCH("In Development",C17)))</formula>
    </cfRule>
  </conditionalFormatting>
  <conditionalFormatting sqref="C19">
    <cfRule type="containsText" dxfId="31" priority="6" operator="containsText" text="Retired">
      <formula>NOT(ISERROR(SEARCH("Retired",C19)))</formula>
    </cfRule>
    <cfRule type="containsText" dxfId="30" priority="7" operator="containsText" text="Active">
      <formula>NOT(ISERROR(SEARCH("Active",C19)))</formula>
    </cfRule>
    <cfRule type="containsText" dxfId="29" priority="8" operator="containsText" text="In Development">
      <formula>NOT(ISERROR(SEARCH("In Development",C19)))</formula>
    </cfRule>
  </conditionalFormatting>
  <conditionalFormatting sqref="C4:D5">
    <cfRule type="containsText" dxfId="28" priority="48" operator="containsText" text="In Development">
      <formula>NOT(ISERROR(SEARCH("In Development",C4)))</formula>
    </cfRule>
    <cfRule type="containsText" dxfId="27" priority="46" operator="containsText" text="Retired">
      <formula>NOT(ISERROR(SEARCH("Retired",C4)))</formula>
    </cfRule>
    <cfRule type="containsText" dxfId="26" priority="47" operator="containsText" text="Active">
      <formula>NOT(ISERROR(SEARCH("Active",C4)))</formula>
    </cfRule>
  </conditionalFormatting>
  <conditionalFormatting sqref="C7:D9">
    <cfRule type="containsText" dxfId="25" priority="37" operator="containsText" text="In Development">
      <formula>NOT(ISERROR(SEARCH("In Development",C7)))</formula>
    </cfRule>
    <cfRule type="containsText" dxfId="24" priority="36" operator="containsText" text="Active">
      <formula>NOT(ISERROR(SEARCH("Active",C7)))</formula>
    </cfRule>
    <cfRule type="containsText" dxfId="23" priority="35" operator="containsText" text="Retired">
      <formula>NOT(ISERROR(SEARCH("Retired",C7)))</formula>
    </cfRule>
  </conditionalFormatting>
  <conditionalFormatting sqref="C11:D12">
    <cfRule type="containsText" dxfId="22" priority="25" operator="containsText" text="In Development">
      <formula>NOT(ISERROR(SEARCH("In Development",C11)))</formula>
    </cfRule>
    <cfRule type="containsText" dxfId="21" priority="24" operator="containsText" text="Active">
      <formula>NOT(ISERROR(SEARCH("Active",C11)))</formula>
    </cfRule>
    <cfRule type="containsText" dxfId="20" priority="23" operator="containsText" text="Retired">
      <formula>NOT(ISERROR(SEARCH("Retired",C11)))</formula>
    </cfRule>
  </conditionalFormatting>
  <conditionalFormatting sqref="C14:D15">
    <cfRule type="containsText" dxfId="19" priority="18" operator="containsText" text="Retired">
      <formula>NOT(ISERROR(SEARCH("Retired",C14)))</formula>
    </cfRule>
    <cfRule type="containsText" dxfId="18" priority="19" operator="containsText" text="Active">
      <formula>NOT(ISERROR(SEARCH("Active",C14)))</formula>
    </cfRule>
    <cfRule type="containsText" dxfId="17" priority="20" operator="containsText" text="In Development">
      <formula>NOT(ISERROR(SEARCH("In Development",C14)))</formula>
    </cfRule>
  </conditionalFormatting>
  <conditionalFormatting sqref="M1:M1048576">
    <cfRule type="colorScale" priority="4">
      <colorScale>
        <cfvo type="min"/>
        <cfvo type="percentile" val="50"/>
        <cfvo type="max"/>
        <color rgb="FFF8696B"/>
        <color rgb="FFFFEB84"/>
        <color rgb="FF63BE7B"/>
      </colorScale>
    </cfRule>
  </conditionalFormatting>
  <conditionalFormatting sqref="T4:T19">
    <cfRule type="colorScale" priority="1">
      <colorScale>
        <cfvo type="min"/>
        <cfvo type="percentile" val="50"/>
        <cfvo type="max"/>
        <color rgb="FF63BE7B"/>
        <color rgb="FFFFEB84"/>
        <color rgb="FFF8696B"/>
      </colorScale>
    </cfRule>
  </conditionalFormatting>
  <conditionalFormatting sqref="U8:U9">
    <cfRule type="containsText" dxfId="16" priority="29" operator="containsText" text="TRUE">
      <formula>NOT(ISERROR(SEARCH("TRUE",U8)))</formula>
    </cfRule>
    <cfRule type="containsText" dxfId="15" priority="30" operator="containsText" text="FALSE">
      <formula>NOT(ISERROR(SEARCH("FALSE",U8)))</formula>
    </cfRule>
  </conditionalFormatting>
  <conditionalFormatting sqref="U11:U12">
    <cfRule type="containsText" dxfId="14" priority="22" operator="containsText" text="FALSE">
      <formula>NOT(ISERROR(SEARCH("FALSE",U11)))</formula>
    </cfRule>
    <cfRule type="containsText" dxfId="13" priority="21" operator="containsText" text="TRUE">
      <formula>NOT(ISERROR(SEARCH("TRUE",U11)))</formula>
    </cfRule>
  </conditionalFormatting>
  <conditionalFormatting sqref="U14:U15">
    <cfRule type="containsText" dxfId="12" priority="14" operator="containsText" text="TRUE">
      <formula>NOT(ISERROR(SEARCH("TRUE",U14)))</formula>
    </cfRule>
    <cfRule type="containsText" dxfId="11" priority="15" operator="containsText" text="FALSE">
      <formula>NOT(ISERROR(SEARCH("FALSE",U14)))</formula>
    </cfRule>
  </conditionalFormatting>
  <conditionalFormatting sqref="U17">
    <cfRule type="containsText" dxfId="10" priority="10" operator="containsText" text="FALSE">
      <formula>NOT(ISERROR(SEARCH("FALSE",U17)))</formula>
    </cfRule>
    <cfRule type="containsText" dxfId="9" priority="9" operator="containsText" text="TRUE">
      <formula>NOT(ISERROR(SEARCH("TRUE",U17)))</formula>
    </cfRule>
  </conditionalFormatting>
  <conditionalFormatting sqref="U19">
    <cfRule type="containsText" dxfId="8" priority="3" operator="containsText" text="FALSE">
      <formula>NOT(ISERROR(SEARCH("FALSE",U19)))</formula>
    </cfRule>
    <cfRule type="containsText" dxfId="7" priority="2" operator="containsText" text="TRUE">
      <formula>NOT(ISERROR(SEARCH("TRUE",U19)))</formula>
    </cfRule>
  </conditionalFormatting>
  <conditionalFormatting sqref="U7:AD7 AF7:AH7">
    <cfRule type="containsText" dxfId="6" priority="33" operator="containsText" text="TRUE">
      <formula>NOT(ISERROR(SEARCH("TRUE",U7)))</formula>
    </cfRule>
    <cfRule type="containsText" dxfId="5" priority="34" operator="containsText" text="FALSE">
      <formula>NOT(ISERROR(SEARCH("FALSE",U7)))</formula>
    </cfRule>
  </conditionalFormatting>
  <conditionalFormatting sqref="AE4:AI4 U4:AD5">
    <cfRule type="containsText" dxfId="4" priority="44" operator="containsText" text="TRUE">
      <formula>NOT(ISERROR(SEARCH("TRUE",U4)))</formula>
    </cfRule>
    <cfRule type="containsText" dxfId="3" priority="45" operator="containsText" text="FALSE">
      <formula>NOT(ISERROR(SEARCH("FALSE",U4)))</formula>
    </cfRule>
  </conditionalFormatting>
  <hyperlinks>
    <hyperlink ref="B11" r:id="rId1" xr:uid="{11779971-37E2-4AC3-AB9D-89FE4A2D0192}"/>
    <hyperlink ref="B12" r:id="rId2" xr:uid="{0A21E059-6868-43B8-BCCA-BD8D03A6EFC8}"/>
    <hyperlink ref="B17" r:id="rId3" xr:uid="{34C024A9-5A5D-400D-B3E5-1363E3E312AF}"/>
    <hyperlink ref="A1" location="Main!A1" display="Main" xr:uid="{6D5BD830-4B1B-45A9-A2A3-A8842351A2D0}"/>
  </hyperlinks>
  <pageMargins left="0.7" right="0.7" top="0.75" bottom="0.75" header="0.3" footer="0.3"/>
  <legacy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B1D1E6-93E2-4768-850E-EEEF0057B66A}">
  <dimension ref="A8:E13"/>
  <sheetViews>
    <sheetView workbookViewId="0">
      <selection activeCell="C11" sqref="C11"/>
    </sheetView>
  </sheetViews>
  <sheetFormatPr defaultRowHeight="14.5" x14ac:dyDescent="0.35"/>
  <cols>
    <col min="1" max="1" width="12.453125" customWidth="1"/>
    <col min="2" max="2" width="44.26953125" customWidth="1"/>
    <col min="5" max="5" width="12.453125" customWidth="1"/>
  </cols>
  <sheetData>
    <row r="8" spans="1:5" s="99" customFormat="1" x14ac:dyDescent="0.35">
      <c r="A8" s="8" t="s">
        <v>19</v>
      </c>
      <c r="B8" s="4" t="s">
        <v>17</v>
      </c>
      <c r="C8" s="51" t="s">
        <v>18</v>
      </c>
      <c r="E8" s="8"/>
    </row>
    <row r="9" spans="1:5" x14ac:dyDescent="0.35">
      <c r="B9" t="s">
        <v>20</v>
      </c>
      <c r="C9" s="34"/>
    </row>
    <row r="10" spans="1:5" x14ac:dyDescent="0.35">
      <c r="A10" s="3">
        <v>43951</v>
      </c>
      <c r="B10" t="s">
        <v>21</v>
      </c>
      <c r="C10" s="34" t="s">
        <v>22</v>
      </c>
      <c r="E10" s="3"/>
    </row>
    <row r="11" spans="1:5" x14ac:dyDescent="0.35">
      <c r="A11" s="3">
        <v>44579</v>
      </c>
      <c r="B11" s="17" t="s">
        <v>23</v>
      </c>
      <c r="C11" s="34" t="s">
        <v>20</v>
      </c>
      <c r="E11" s="3"/>
    </row>
    <row r="12" spans="1:5" x14ac:dyDescent="0.35">
      <c r="A12" s="3">
        <v>44515</v>
      </c>
      <c r="B12" s="17" t="s">
        <v>24</v>
      </c>
      <c r="C12" s="34" t="s">
        <v>25</v>
      </c>
      <c r="E12" s="3"/>
    </row>
    <row r="13" spans="1:5" x14ac:dyDescent="0.35">
      <c r="A13" s="3">
        <v>44481</v>
      </c>
      <c r="B13" s="17" t="s">
        <v>26</v>
      </c>
      <c r="C13" s="34"/>
      <c r="E13"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18D21-6DEA-4EF3-9F8E-349207A6B42F}">
  <dimension ref="A1:E10"/>
  <sheetViews>
    <sheetView workbookViewId="0">
      <selection activeCell="E4" sqref="E4"/>
    </sheetView>
  </sheetViews>
  <sheetFormatPr defaultRowHeight="14.5" x14ac:dyDescent="0.35"/>
  <cols>
    <col min="5" max="5" width="8.7265625" style="1"/>
  </cols>
  <sheetData>
    <row r="1" spans="1:5" s="4" customFormat="1" x14ac:dyDescent="0.35">
      <c r="A1" s="4" t="s">
        <v>341</v>
      </c>
      <c r="E1" s="81"/>
    </row>
    <row r="2" spans="1:5" s="28" customFormat="1" x14ac:dyDescent="0.35">
      <c r="A2" s="28" t="s">
        <v>340</v>
      </c>
      <c r="B2" s="28" t="s">
        <v>50</v>
      </c>
      <c r="C2" s="28" t="s">
        <v>49</v>
      </c>
      <c r="D2" s="28" t="s">
        <v>320</v>
      </c>
      <c r="E2" s="90" t="s">
        <v>227</v>
      </c>
    </row>
    <row r="3" spans="1:5" x14ac:dyDescent="0.35">
      <c r="A3">
        <v>2024</v>
      </c>
      <c r="B3">
        <v>4</v>
      </c>
      <c r="C3">
        <f>COUNTIF(Missions!F33, "Failure")</f>
        <v>0</v>
      </c>
      <c r="D3">
        <f t="shared" ref="D3:D9" si="0">SUM(B3:C3)</f>
        <v>4</v>
      </c>
      <c r="E3" s="1">
        <f t="shared" ref="E3:E9" si="1">B3/D3</f>
        <v>1</v>
      </c>
    </row>
    <row r="4" spans="1:5" x14ac:dyDescent="0.35">
      <c r="A4">
        <v>2023</v>
      </c>
      <c r="B4">
        <f>COUNTIF(Missions!$F$35:$F$44, "Success")</f>
        <v>9</v>
      </c>
      <c r="C4">
        <f>COUNTIF(Missions!$F$35:$F$44, "Failure")</f>
        <v>1</v>
      </c>
      <c r="D4">
        <f t="shared" si="0"/>
        <v>10</v>
      </c>
      <c r="E4" s="1">
        <f t="shared" si="1"/>
        <v>0.9</v>
      </c>
    </row>
    <row r="5" spans="1:5" x14ac:dyDescent="0.35">
      <c r="A5">
        <v>2022</v>
      </c>
      <c r="B5">
        <f>COUNTIF(Missions!$F$46:$F$54, "Success")</f>
        <v>9</v>
      </c>
      <c r="C5">
        <f>COUNTIF(Missions!$F$46:$F$54, "Failure")</f>
        <v>0</v>
      </c>
      <c r="D5">
        <f t="shared" si="0"/>
        <v>9</v>
      </c>
      <c r="E5" s="1">
        <f t="shared" si="1"/>
        <v>1</v>
      </c>
    </row>
    <row r="6" spans="1:5" x14ac:dyDescent="0.35">
      <c r="A6">
        <v>2021</v>
      </c>
      <c r="B6">
        <f>COUNTIF(Missions!$F$56:$F$61,"Success")</f>
        <v>5</v>
      </c>
      <c r="C6">
        <f>COUNTIF(Missions!$F$56:$F$61,"Failure")</f>
        <v>1</v>
      </c>
      <c r="D6">
        <f t="shared" si="0"/>
        <v>6</v>
      </c>
      <c r="E6" s="1">
        <f t="shared" si="1"/>
        <v>0.83333333333333337</v>
      </c>
    </row>
    <row r="7" spans="1:5" x14ac:dyDescent="0.35">
      <c r="A7">
        <v>2020</v>
      </c>
      <c r="B7">
        <f>COUNTIF(Missions!$F$63:$F$69,"Success")</f>
        <v>6</v>
      </c>
      <c r="C7">
        <f>COUNTIF(Missions!$F$63:$F$69,"Failure")</f>
        <v>1</v>
      </c>
      <c r="D7">
        <f t="shared" si="0"/>
        <v>7</v>
      </c>
      <c r="E7" s="1">
        <f t="shared" si="1"/>
        <v>0.8571428571428571</v>
      </c>
    </row>
    <row r="8" spans="1:5" x14ac:dyDescent="0.35">
      <c r="A8">
        <v>2019</v>
      </c>
      <c r="B8">
        <f>COUNTIF(Missions!$F$71:$F$76,"Success")</f>
        <v>6</v>
      </c>
      <c r="C8">
        <f>COUNTIF(Missions!$F$71:$F$76,"Failure")</f>
        <v>0</v>
      </c>
      <c r="D8">
        <f t="shared" si="0"/>
        <v>6</v>
      </c>
      <c r="E8" s="1">
        <f t="shared" si="1"/>
        <v>1</v>
      </c>
    </row>
    <row r="9" spans="1:5" s="2" customFormat="1" x14ac:dyDescent="0.35">
      <c r="A9" s="2">
        <v>2018</v>
      </c>
      <c r="B9" s="2">
        <f>COUNTIF(Missions!$F$78:$F$81,"Success")</f>
        <v>3</v>
      </c>
      <c r="C9" s="2">
        <f>COUNTIF(Missions!$F$78:$F$81,"Failure")</f>
        <v>1</v>
      </c>
      <c r="D9" s="2">
        <f t="shared" si="0"/>
        <v>4</v>
      </c>
      <c r="E9" s="22">
        <f t="shared" si="1"/>
        <v>0.75</v>
      </c>
    </row>
    <row r="10" spans="1:5" x14ac:dyDescent="0.35">
      <c r="A10" t="s">
        <v>74</v>
      </c>
      <c r="D10">
        <f>SUM(D3:D9)</f>
        <v>46</v>
      </c>
      <c r="E10" s="1">
        <f>AVERAGE(E3:E9)</f>
        <v>0.90578231292516997</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853586-FB62-461E-8981-A87D0E9C4E8F}">
  <dimension ref="A1:H81"/>
  <sheetViews>
    <sheetView workbookViewId="0">
      <pane xSplit="2" ySplit="20" topLeftCell="C21" activePane="bottomRight" state="frozen"/>
      <selection pane="topRight" activeCell="B1" sqref="B1"/>
      <selection pane="bottomLeft" activeCell="A11" sqref="A11"/>
      <selection pane="bottomRight" activeCell="C22" sqref="C22"/>
    </sheetView>
  </sheetViews>
  <sheetFormatPr defaultRowHeight="14.5" x14ac:dyDescent="0.35"/>
  <cols>
    <col min="1" max="1" width="5.36328125" customWidth="1"/>
    <col min="2" max="2" width="16.81640625" customWidth="1"/>
    <col min="3" max="3" width="23.1796875" customWidth="1"/>
    <col min="4" max="4" width="11.6328125" customWidth="1"/>
    <col min="5" max="5" width="10.81640625" customWidth="1"/>
  </cols>
  <sheetData>
    <row r="1" spans="1:5" x14ac:dyDescent="0.35">
      <c r="B1" t="s">
        <v>321</v>
      </c>
    </row>
    <row r="4" spans="1:5" s="28" customFormat="1" x14ac:dyDescent="0.35">
      <c r="B4" s="28" t="s">
        <v>322</v>
      </c>
    </row>
    <row r="5" spans="1:5" x14ac:dyDescent="0.35">
      <c r="B5" t="s">
        <v>50</v>
      </c>
      <c r="C5">
        <f>COUNTIF(F:F,"Success")</f>
        <v>46</v>
      </c>
    </row>
    <row r="6" spans="1:5" x14ac:dyDescent="0.35">
      <c r="A6" s="2"/>
      <c r="B6" s="2" t="s">
        <v>49</v>
      </c>
      <c r="C6" s="2">
        <f>COUNTIF(F:F, "Failure")</f>
        <v>4</v>
      </c>
      <c r="D6" s="2"/>
      <c r="E6" s="2"/>
    </row>
    <row r="7" spans="1:5" x14ac:dyDescent="0.35">
      <c r="B7" t="s">
        <v>74</v>
      </c>
      <c r="C7">
        <f>SUM(C5:C6)</f>
        <v>50</v>
      </c>
    </row>
    <row r="8" spans="1:5" x14ac:dyDescent="0.35">
      <c r="B8" t="s">
        <v>227</v>
      </c>
      <c r="C8" s="11">
        <f>C5/C7</f>
        <v>0.92</v>
      </c>
    </row>
    <row r="9" spans="1:5" s="19" customFormat="1" x14ac:dyDescent="0.35">
      <c r="B9" s="28" t="s">
        <v>317</v>
      </c>
      <c r="C9" s="19" t="s">
        <v>319</v>
      </c>
      <c r="D9" s="19" t="s">
        <v>318</v>
      </c>
    </row>
    <row r="10" spans="1:5" x14ac:dyDescent="0.35">
      <c r="B10">
        <v>2024</v>
      </c>
      <c r="C10">
        <f>C21</f>
        <v>8</v>
      </c>
      <c r="D10" s="11">
        <f t="shared" ref="D10:D16" si="0">C10/C$17</f>
        <v>0.16</v>
      </c>
    </row>
    <row r="11" spans="1:5" x14ac:dyDescent="0.35">
      <c r="B11">
        <v>2023</v>
      </c>
      <c r="C11">
        <f>C34</f>
        <v>10</v>
      </c>
      <c r="D11" s="11">
        <f t="shared" si="0"/>
        <v>0.2</v>
      </c>
    </row>
    <row r="12" spans="1:5" x14ac:dyDescent="0.35">
      <c r="B12">
        <v>2022</v>
      </c>
      <c r="C12">
        <f>C45</f>
        <v>9</v>
      </c>
      <c r="D12" s="11">
        <f t="shared" si="0"/>
        <v>0.18</v>
      </c>
    </row>
    <row r="13" spans="1:5" x14ac:dyDescent="0.35">
      <c r="B13">
        <v>2021</v>
      </c>
      <c r="C13">
        <f>C55</f>
        <v>6</v>
      </c>
      <c r="D13" s="11">
        <f t="shared" si="0"/>
        <v>0.12</v>
      </c>
    </row>
    <row r="14" spans="1:5" x14ac:dyDescent="0.35">
      <c r="B14">
        <v>2020</v>
      </c>
      <c r="C14">
        <f>C62</f>
        <v>7</v>
      </c>
      <c r="D14" s="11">
        <f t="shared" si="0"/>
        <v>0.14000000000000001</v>
      </c>
    </row>
    <row r="15" spans="1:5" x14ac:dyDescent="0.35">
      <c r="B15">
        <v>2019</v>
      </c>
      <c r="C15">
        <f>C70</f>
        <v>6</v>
      </c>
      <c r="D15" s="11">
        <f t="shared" si="0"/>
        <v>0.12</v>
      </c>
    </row>
    <row r="16" spans="1:5" x14ac:dyDescent="0.35">
      <c r="A16" s="2"/>
      <c r="B16" s="2">
        <v>2018</v>
      </c>
      <c r="C16" s="2">
        <f>C77</f>
        <v>4</v>
      </c>
      <c r="D16" s="21">
        <f t="shared" si="0"/>
        <v>0.08</v>
      </c>
      <c r="E16" s="2"/>
    </row>
    <row r="17" spans="1:8" x14ac:dyDescent="0.35">
      <c r="B17" t="s">
        <v>320</v>
      </c>
      <c r="C17">
        <f>SUM(C10:C16)</f>
        <v>50</v>
      </c>
      <c r="D17" s="11">
        <f>SUM(D10:D16)</f>
        <v>1</v>
      </c>
    </row>
    <row r="19" spans="1:8" s="4" customFormat="1" x14ac:dyDescent="0.35">
      <c r="B19" s="4" t="s">
        <v>169</v>
      </c>
      <c r="H19" s="80" t="s">
        <v>291</v>
      </c>
    </row>
    <row r="20" spans="1:8" s="79" customFormat="1" x14ac:dyDescent="0.35">
      <c r="A20" s="79" t="s">
        <v>316</v>
      </c>
      <c r="B20" s="79" t="s">
        <v>287</v>
      </c>
      <c r="C20" s="79" t="s">
        <v>288</v>
      </c>
      <c r="D20" s="79" t="s">
        <v>48</v>
      </c>
      <c r="E20" s="79" t="s">
        <v>47</v>
      </c>
      <c r="F20" s="79" t="s">
        <v>232</v>
      </c>
      <c r="G20" s="79" t="s">
        <v>340</v>
      </c>
    </row>
    <row r="21" spans="1:8" s="102" customFormat="1" x14ac:dyDescent="0.35">
      <c r="B21" s="102" t="s">
        <v>400</v>
      </c>
      <c r="C21" s="102">
        <f>COUNTA(C26:C33)</f>
        <v>8</v>
      </c>
    </row>
    <row r="22" spans="1:8" s="129" customFormat="1" x14ac:dyDescent="0.35"/>
    <row r="23" spans="1:8" s="100" customFormat="1" x14ac:dyDescent="0.35"/>
    <row r="24" spans="1:8" s="100" customFormat="1" x14ac:dyDescent="0.35"/>
    <row r="25" spans="1:8" s="100" customFormat="1" x14ac:dyDescent="0.35">
      <c r="A25" s="100">
        <f>A26+1</f>
        <v>51</v>
      </c>
    </row>
    <row r="26" spans="1:8" s="100" customFormat="1" x14ac:dyDescent="0.35">
      <c r="A26" s="100">
        <f>A27+1</f>
        <v>50</v>
      </c>
      <c r="B26" s="101">
        <v>45462</v>
      </c>
      <c r="C26" s="100" t="s">
        <v>491</v>
      </c>
      <c r="D26" s="100" t="s">
        <v>492</v>
      </c>
      <c r="E26" s="100" t="s">
        <v>315</v>
      </c>
      <c r="F26" s="100" t="s">
        <v>50</v>
      </c>
    </row>
    <row r="27" spans="1:8" s="100" customFormat="1" x14ac:dyDescent="0.35">
      <c r="A27" s="100">
        <f>A28+1</f>
        <v>49</v>
      </c>
      <c r="B27" s="101">
        <v>45448</v>
      </c>
      <c r="C27" s="100" t="s">
        <v>490</v>
      </c>
      <c r="D27" s="100" t="s">
        <v>51</v>
      </c>
      <c r="E27" s="100" t="s">
        <v>315</v>
      </c>
      <c r="F27" s="100" t="s">
        <v>50</v>
      </c>
    </row>
    <row r="28" spans="1:8" s="100" customFormat="1" x14ac:dyDescent="0.35">
      <c r="A28" s="100">
        <f>A29+1</f>
        <v>48</v>
      </c>
      <c r="B28" s="101">
        <v>45437</v>
      </c>
      <c r="C28" s="100" t="s">
        <v>489</v>
      </c>
      <c r="D28" s="100" t="s">
        <v>51</v>
      </c>
      <c r="E28" s="100" t="s">
        <v>315</v>
      </c>
      <c r="F28" s="100" t="s">
        <v>50</v>
      </c>
    </row>
    <row r="29" spans="1:8" s="100" customFormat="1" x14ac:dyDescent="0.35">
      <c r="A29" s="100">
        <f>A30+1</f>
        <v>47</v>
      </c>
      <c r="B29" s="101">
        <v>45406</v>
      </c>
      <c r="C29" s="100" t="s">
        <v>487</v>
      </c>
      <c r="D29" s="100" t="s">
        <v>488</v>
      </c>
      <c r="E29" s="100" t="s">
        <v>315</v>
      </c>
      <c r="F29" s="100" t="s">
        <v>50</v>
      </c>
      <c r="G29" s="100">
        <v>2024</v>
      </c>
    </row>
    <row r="30" spans="1:8" s="100" customFormat="1" x14ac:dyDescent="0.35">
      <c r="A30" s="100">
        <v>46</v>
      </c>
      <c r="B30" s="101">
        <v>45372</v>
      </c>
      <c r="C30" s="100" t="s">
        <v>477</v>
      </c>
      <c r="D30" s="100" t="s">
        <v>260</v>
      </c>
      <c r="E30" s="100" t="s">
        <v>314</v>
      </c>
      <c r="F30" t="s">
        <v>50</v>
      </c>
      <c r="G30" s="100">
        <v>2024</v>
      </c>
    </row>
    <row r="31" spans="1:8" s="100" customFormat="1" x14ac:dyDescent="0.35">
      <c r="A31" s="100">
        <v>45</v>
      </c>
      <c r="B31" s="101">
        <v>45364</v>
      </c>
      <c r="C31" s="100" t="s">
        <v>478</v>
      </c>
      <c r="D31" s="100" t="s">
        <v>259</v>
      </c>
      <c r="E31" s="100" t="s">
        <v>315</v>
      </c>
      <c r="F31" t="s">
        <v>50</v>
      </c>
      <c r="G31" s="100">
        <v>2024</v>
      </c>
    </row>
    <row r="32" spans="1:8" s="100" customFormat="1" x14ac:dyDescent="0.35">
      <c r="A32" s="100">
        <v>44</v>
      </c>
      <c r="B32" s="101">
        <v>45341</v>
      </c>
      <c r="C32" s="100" t="s">
        <v>398</v>
      </c>
      <c r="D32" s="100" t="s">
        <v>399</v>
      </c>
      <c r="E32" s="100" t="s">
        <v>315</v>
      </c>
      <c r="F32" t="s">
        <v>50</v>
      </c>
      <c r="G32" s="100">
        <v>2024</v>
      </c>
    </row>
    <row r="33" spans="1:7" x14ac:dyDescent="0.35">
      <c r="A33">
        <v>43</v>
      </c>
      <c r="B33" s="3">
        <v>45322</v>
      </c>
      <c r="C33" t="s">
        <v>289</v>
      </c>
      <c r="D33" t="s">
        <v>290</v>
      </c>
      <c r="E33" t="s">
        <v>315</v>
      </c>
      <c r="F33" t="s">
        <v>50</v>
      </c>
      <c r="G33">
        <v>2024</v>
      </c>
    </row>
    <row r="34" spans="1:7" s="23" customFormat="1" x14ac:dyDescent="0.35">
      <c r="B34" s="103" t="s">
        <v>293</v>
      </c>
      <c r="C34" s="23">
        <f>COUNTA(C35:C44)</f>
        <v>10</v>
      </c>
    </row>
    <row r="35" spans="1:7" x14ac:dyDescent="0.35">
      <c r="A35">
        <v>42</v>
      </c>
      <c r="B35" s="3">
        <v>45275</v>
      </c>
      <c r="C35" t="s">
        <v>242</v>
      </c>
      <c r="D35" t="s">
        <v>243</v>
      </c>
      <c r="E35" t="s">
        <v>315</v>
      </c>
      <c r="F35" t="s">
        <v>50</v>
      </c>
      <c r="G35">
        <v>2023</v>
      </c>
    </row>
    <row r="36" spans="1:7" x14ac:dyDescent="0.35">
      <c r="A36">
        <v>41</v>
      </c>
      <c r="B36" s="3">
        <v>45188</v>
      </c>
      <c r="C36" t="s">
        <v>292</v>
      </c>
      <c r="D36" t="s">
        <v>244</v>
      </c>
      <c r="E36" t="s">
        <v>315</v>
      </c>
      <c r="F36" t="s">
        <v>49</v>
      </c>
      <c r="G36">
        <v>2023</v>
      </c>
    </row>
    <row r="37" spans="1:7" x14ac:dyDescent="0.35">
      <c r="A37">
        <v>40</v>
      </c>
      <c r="B37" s="3">
        <v>45162</v>
      </c>
      <c r="C37" t="s">
        <v>245</v>
      </c>
      <c r="D37" t="s">
        <v>247</v>
      </c>
      <c r="E37" t="s">
        <v>315</v>
      </c>
      <c r="F37" t="s">
        <v>50</v>
      </c>
      <c r="G37">
        <v>2023</v>
      </c>
    </row>
    <row r="38" spans="1:7" x14ac:dyDescent="0.35">
      <c r="A38">
        <v>39</v>
      </c>
      <c r="B38" s="3">
        <v>45125</v>
      </c>
      <c r="C38" t="s">
        <v>246</v>
      </c>
      <c r="D38" t="s">
        <v>249</v>
      </c>
      <c r="E38" t="s">
        <v>315</v>
      </c>
      <c r="F38" t="s">
        <v>50</v>
      </c>
      <c r="G38">
        <v>2023</v>
      </c>
    </row>
    <row r="39" spans="1:7" x14ac:dyDescent="0.35">
      <c r="A39">
        <v>38</v>
      </c>
      <c r="B39" s="3">
        <v>45095</v>
      </c>
      <c r="C39" t="s">
        <v>248</v>
      </c>
      <c r="D39" t="s">
        <v>51</v>
      </c>
      <c r="E39" t="s">
        <v>314</v>
      </c>
      <c r="F39" t="s">
        <v>50</v>
      </c>
      <c r="G39">
        <v>2023</v>
      </c>
    </row>
    <row r="40" spans="1:7" x14ac:dyDescent="0.35">
      <c r="A40">
        <v>37</v>
      </c>
      <c r="B40" s="3">
        <v>45072</v>
      </c>
      <c r="C40" t="s">
        <v>250</v>
      </c>
      <c r="D40" t="s">
        <v>51</v>
      </c>
      <c r="E40" t="s">
        <v>315</v>
      </c>
      <c r="F40" t="s">
        <v>50</v>
      </c>
      <c r="G40">
        <v>2023</v>
      </c>
    </row>
    <row r="41" spans="1:7" x14ac:dyDescent="0.35">
      <c r="A41">
        <v>36</v>
      </c>
      <c r="B41" s="3">
        <v>45054</v>
      </c>
      <c r="C41" t="s">
        <v>251</v>
      </c>
      <c r="D41" t="s">
        <v>51</v>
      </c>
      <c r="E41" t="s">
        <v>315</v>
      </c>
      <c r="F41" t="s">
        <v>50</v>
      </c>
      <c r="G41">
        <v>2023</v>
      </c>
    </row>
    <row r="42" spans="1:7" x14ac:dyDescent="0.35">
      <c r="A42">
        <v>35</v>
      </c>
      <c r="B42" s="3">
        <v>45009</v>
      </c>
      <c r="C42" t="s">
        <v>252</v>
      </c>
      <c r="D42" t="s">
        <v>294</v>
      </c>
      <c r="E42" t="s">
        <v>315</v>
      </c>
      <c r="F42" t="s">
        <v>50</v>
      </c>
      <c r="G42">
        <v>2023</v>
      </c>
    </row>
    <row r="43" spans="1:7" x14ac:dyDescent="0.35">
      <c r="A43">
        <v>34</v>
      </c>
      <c r="B43" s="3">
        <v>45001</v>
      </c>
      <c r="C43" t="s">
        <v>253</v>
      </c>
      <c r="D43" t="s">
        <v>244</v>
      </c>
      <c r="E43" t="s">
        <v>314</v>
      </c>
      <c r="F43" t="s">
        <v>50</v>
      </c>
      <c r="G43">
        <v>2023</v>
      </c>
    </row>
    <row r="44" spans="1:7" x14ac:dyDescent="0.35">
      <c r="A44">
        <v>33</v>
      </c>
      <c r="B44" s="3">
        <v>44950</v>
      </c>
      <c r="C44" t="s">
        <v>254</v>
      </c>
      <c r="D44" t="s">
        <v>295</v>
      </c>
      <c r="E44" t="s">
        <v>314</v>
      </c>
      <c r="F44" t="s">
        <v>50</v>
      </c>
      <c r="G44">
        <v>2023</v>
      </c>
    </row>
    <row r="45" spans="1:7" s="23" customFormat="1" x14ac:dyDescent="0.35">
      <c r="B45" s="103" t="s">
        <v>299</v>
      </c>
      <c r="C45" s="23">
        <f>COUNTA(C46:C54)</f>
        <v>9</v>
      </c>
    </row>
    <row r="46" spans="1:7" x14ac:dyDescent="0.35">
      <c r="A46">
        <v>32</v>
      </c>
      <c r="B46" s="3">
        <v>44869</v>
      </c>
      <c r="C46" t="s">
        <v>255</v>
      </c>
      <c r="D46" t="s">
        <v>297</v>
      </c>
      <c r="E46" t="s">
        <v>315</v>
      </c>
      <c r="F46" t="s">
        <v>50</v>
      </c>
      <c r="G46">
        <v>2022</v>
      </c>
    </row>
    <row r="47" spans="1:7" x14ac:dyDescent="0.35">
      <c r="A47">
        <v>31</v>
      </c>
      <c r="B47" s="3">
        <v>44841</v>
      </c>
      <c r="C47" t="s">
        <v>256</v>
      </c>
      <c r="D47" t="s">
        <v>257</v>
      </c>
      <c r="E47" t="s">
        <v>315</v>
      </c>
      <c r="F47" t="s">
        <v>50</v>
      </c>
      <c r="G47">
        <v>2022</v>
      </c>
    </row>
    <row r="48" spans="1:7" x14ac:dyDescent="0.35">
      <c r="A48">
        <v>30</v>
      </c>
      <c r="B48" s="3">
        <v>44819</v>
      </c>
      <c r="C48" t="s">
        <v>258</v>
      </c>
      <c r="D48" t="s">
        <v>259</v>
      </c>
      <c r="E48" t="s">
        <v>315</v>
      </c>
      <c r="F48" t="s">
        <v>50</v>
      </c>
      <c r="G48">
        <v>2022</v>
      </c>
    </row>
    <row r="49" spans="1:7" x14ac:dyDescent="0.35">
      <c r="A49">
        <v>29</v>
      </c>
      <c r="B49" s="3">
        <v>44777</v>
      </c>
      <c r="C49" t="s">
        <v>296</v>
      </c>
      <c r="D49" t="s">
        <v>260</v>
      </c>
      <c r="E49" t="s">
        <v>315</v>
      </c>
      <c r="F49" t="s">
        <v>50</v>
      </c>
      <c r="G49">
        <v>2022</v>
      </c>
    </row>
    <row r="50" spans="1:7" x14ac:dyDescent="0.35">
      <c r="A50">
        <v>28</v>
      </c>
      <c r="B50" s="3">
        <v>44755</v>
      </c>
      <c r="C50" t="s">
        <v>261</v>
      </c>
      <c r="D50" t="s">
        <v>260</v>
      </c>
      <c r="E50" t="s">
        <v>315</v>
      </c>
      <c r="F50" t="s">
        <v>50</v>
      </c>
      <c r="G50">
        <v>2022</v>
      </c>
    </row>
    <row r="51" spans="1:7" x14ac:dyDescent="0.35">
      <c r="A51">
        <v>27</v>
      </c>
      <c r="B51" s="3">
        <v>44740</v>
      </c>
      <c r="C51" t="s">
        <v>262</v>
      </c>
      <c r="D51" t="s">
        <v>298</v>
      </c>
      <c r="E51" t="s">
        <v>315</v>
      </c>
      <c r="F51" t="s">
        <v>50</v>
      </c>
      <c r="G51">
        <v>2022</v>
      </c>
    </row>
    <row r="52" spans="1:7" x14ac:dyDescent="0.35">
      <c r="A52">
        <v>26</v>
      </c>
      <c r="B52" s="3">
        <v>44683</v>
      </c>
      <c r="C52" t="s">
        <v>263</v>
      </c>
      <c r="D52" t="s">
        <v>247</v>
      </c>
      <c r="E52" t="s">
        <v>315</v>
      </c>
      <c r="F52" t="s">
        <v>50</v>
      </c>
      <c r="G52">
        <v>2022</v>
      </c>
    </row>
    <row r="53" spans="1:7" x14ac:dyDescent="0.35">
      <c r="A53">
        <v>25</v>
      </c>
      <c r="B53" s="3">
        <v>44653</v>
      </c>
      <c r="C53" t="s">
        <v>264</v>
      </c>
      <c r="D53" t="s">
        <v>300</v>
      </c>
      <c r="E53" t="s">
        <v>315</v>
      </c>
      <c r="F53" t="s">
        <v>50</v>
      </c>
      <c r="G53">
        <v>2022</v>
      </c>
    </row>
    <row r="54" spans="1:7" x14ac:dyDescent="0.35">
      <c r="A54">
        <v>24</v>
      </c>
      <c r="B54" s="3">
        <v>44620</v>
      </c>
      <c r="C54" t="s">
        <v>266</v>
      </c>
      <c r="D54" t="s">
        <v>259</v>
      </c>
      <c r="E54" t="s">
        <v>315</v>
      </c>
      <c r="F54" t="s">
        <v>50</v>
      </c>
      <c r="G54">
        <v>2022</v>
      </c>
    </row>
    <row r="55" spans="1:7" s="23" customFormat="1" x14ac:dyDescent="0.35">
      <c r="B55" s="103" t="s">
        <v>310</v>
      </c>
      <c r="C55" s="23">
        <f>COUNTA(C56:C61)</f>
        <v>6</v>
      </c>
    </row>
    <row r="56" spans="1:7" x14ac:dyDescent="0.35">
      <c r="A56">
        <v>23</v>
      </c>
      <c r="B56" s="3">
        <v>44539</v>
      </c>
      <c r="C56" t="s">
        <v>267</v>
      </c>
      <c r="D56" t="s">
        <v>265</v>
      </c>
      <c r="E56" t="s">
        <v>315</v>
      </c>
      <c r="F56" t="s">
        <v>50</v>
      </c>
      <c r="G56">
        <v>2021</v>
      </c>
    </row>
    <row r="57" spans="1:7" x14ac:dyDescent="0.35">
      <c r="A57">
        <v>22</v>
      </c>
      <c r="B57" s="3">
        <v>44518</v>
      </c>
      <c r="C57" t="s">
        <v>301</v>
      </c>
      <c r="D57" t="s">
        <v>265</v>
      </c>
      <c r="E57" t="s">
        <v>315</v>
      </c>
      <c r="F57" t="s">
        <v>50</v>
      </c>
      <c r="G57">
        <v>2021</v>
      </c>
    </row>
    <row r="58" spans="1:7" x14ac:dyDescent="0.35">
      <c r="A58">
        <v>21</v>
      </c>
      <c r="B58" s="3">
        <v>44406</v>
      </c>
      <c r="C58" t="s">
        <v>302</v>
      </c>
      <c r="D58" t="s">
        <v>268</v>
      </c>
      <c r="E58" t="s">
        <v>315</v>
      </c>
      <c r="F58" t="s">
        <v>50</v>
      </c>
      <c r="G58">
        <v>2021</v>
      </c>
    </row>
    <row r="59" spans="1:7" x14ac:dyDescent="0.35">
      <c r="A59">
        <v>20</v>
      </c>
      <c r="B59" s="3">
        <v>44331</v>
      </c>
      <c r="C59" t="s">
        <v>303</v>
      </c>
      <c r="D59" t="s">
        <v>265</v>
      </c>
      <c r="E59" t="s">
        <v>315</v>
      </c>
      <c r="F59" t="s">
        <v>49</v>
      </c>
      <c r="G59">
        <v>2021</v>
      </c>
    </row>
    <row r="60" spans="1:7" x14ac:dyDescent="0.35">
      <c r="A60">
        <v>19</v>
      </c>
      <c r="B60" s="3">
        <v>44277</v>
      </c>
      <c r="C60" t="s">
        <v>269</v>
      </c>
      <c r="D60" t="s">
        <v>247</v>
      </c>
      <c r="E60" t="s">
        <v>315</v>
      </c>
      <c r="F60" t="s">
        <v>50</v>
      </c>
      <c r="G60">
        <v>2021</v>
      </c>
    </row>
    <row r="61" spans="1:7" x14ac:dyDescent="0.35">
      <c r="A61">
        <v>18</v>
      </c>
      <c r="B61" s="3">
        <v>44216</v>
      </c>
      <c r="C61" t="s">
        <v>270</v>
      </c>
      <c r="D61" t="s">
        <v>271</v>
      </c>
      <c r="E61" t="s">
        <v>315</v>
      </c>
      <c r="F61" t="s">
        <v>50</v>
      </c>
      <c r="G61">
        <v>2021</v>
      </c>
    </row>
    <row r="62" spans="1:7" s="23" customFormat="1" x14ac:dyDescent="0.35">
      <c r="B62" s="103" t="s">
        <v>311</v>
      </c>
      <c r="C62" s="23">
        <f>COUNTA(C63:C69)</f>
        <v>7</v>
      </c>
    </row>
    <row r="63" spans="1:7" x14ac:dyDescent="0.35">
      <c r="A63">
        <v>17</v>
      </c>
      <c r="B63" s="3">
        <v>44180</v>
      </c>
      <c r="C63" t="s">
        <v>272</v>
      </c>
      <c r="D63" t="s">
        <v>259</v>
      </c>
      <c r="E63" t="s">
        <v>315</v>
      </c>
      <c r="F63" t="s">
        <v>50</v>
      </c>
      <c r="G63">
        <v>2020</v>
      </c>
    </row>
    <row r="64" spans="1:7" x14ac:dyDescent="0.35">
      <c r="A64">
        <v>16</v>
      </c>
      <c r="B64" s="3">
        <v>44155</v>
      </c>
      <c r="C64" t="s">
        <v>304</v>
      </c>
      <c r="D64" t="s">
        <v>247</v>
      </c>
      <c r="E64" t="s">
        <v>315</v>
      </c>
      <c r="F64" t="s">
        <v>50</v>
      </c>
      <c r="G64">
        <v>2020</v>
      </c>
    </row>
    <row r="65" spans="1:7" x14ac:dyDescent="0.35">
      <c r="A65">
        <v>15</v>
      </c>
      <c r="B65" s="3">
        <v>44132</v>
      </c>
      <c r="C65" t="s">
        <v>273</v>
      </c>
      <c r="D65" t="s">
        <v>247</v>
      </c>
      <c r="E65" t="s">
        <v>315</v>
      </c>
      <c r="F65" t="s">
        <v>50</v>
      </c>
      <c r="G65">
        <v>2020</v>
      </c>
    </row>
    <row r="66" spans="1:7" x14ac:dyDescent="0.35">
      <c r="A66">
        <v>14</v>
      </c>
      <c r="B66" s="3">
        <v>44074</v>
      </c>
      <c r="C66" t="s">
        <v>274</v>
      </c>
      <c r="D66" t="s">
        <v>244</v>
      </c>
      <c r="E66" t="s">
        <v>315</v>
      </c>
      <c r="F66" t="s">
        <v>50</v>
      </c>
      <c r="G66">
        <v>2020</v>
      </c>
    </row>
    <row r="67" spans="1:7" x14ac:dyDescent="0.35">
      <c r="A67">
        <v>13</v>
      </c>
      <c r="B67" s="3">
        <v>44016</v>
      </c>
      <c r="C67" t="s">
        <v>275</v>
      </c>
      <c r="D67" t="s">
        <v>247</v>
      </c>
      <c r="E67" t="s">
        <v>315</v>
      </c>
      <c r="F67" t="s">
        <v>49</v>
      </c>
      <c r="G67">
        <v>2020</v>
      </c>
    </row>
    <row r="68" spans="1:7" x14ac:dyDescent="0.35">
      <c r="A68">
        <v>12</v>
      </c>
      <c r="B68" s="3">
        <v>43995</v>
      </c>
      <c r="C68" t="s">
        <v>276</v>
      </c>
      <c r="D68" t="s">
        <v>247</v>
      </c>
      <c r="E68" t="s">
        <v>315</v>
      </c>
      <c r="F68" t="s">
        <v>50</v>
      </c>
      <c r="G68">
        <v>2020</v>
      </c>
    </row>
    <row r="69" spans="1:7" x14ac:dyDescent="0.35">
      <c r="A69">
        <v>11</v>
      </c>
      <c r="B69" s="3">
        <v>43861</v>
      </c>
      <c r="C69" t="s">
        <v>305</v>
      </c>
      <c r="D69" t="s">
        <v>260</v>
      </c>
      <c r="E69" t="s">
        <v>315</v>
      </c>
      <c r="F69" t="s">
        <v>50</v>
      </c>
      <c r="G69">
        <v>2020</v>
      </c>
    </row>
    <row r="70" spans="1:7" s="23" customFormat="1" x14ac:dyDescent="0.35">
      <c r="B70" s="103" t="s">
        <v>312</v>
      </c>
      <c r="C70" s="23">
        <f>COUNTA(C71:C76)</f>
        <v>6</v>
      </c>
    </row>
    <row r="71" spans="1:7" x14ac:dyDescent="0.35">
      <c r="A71">
        <v>10</v>
      </c>
      <c r="B71" s="3">
        <v>43805</v>
      </c>
      <c r="C71" t="s">
        <v>277</v>
      </c>
      <c r="D71" t="s">
        <v>247</v>
      </c>
      <c r="E71" t="s">
        <v>315</v>
      </c>
      <c r="F71" t="s">
        <v>50</v>
      </c>
      <c r="G71">
        <v>2019</v>
      </c>
    </row>
    <row r="72" spans="1:7" x14ac:dyDescent="0.35">
      <c r="A72">
        <v>9</v>
      </c>
      <c r="B72" s="3">
        <v>43755</v>
      </c>
      <c r="C72" t="s">
        <v>278</v>
      </c>
      <c r="D72" t="s">
        <v>279</v>
      </c>
      <c r="E72" t="s">
        <v>315</v>
      </c>
      <c r="F72" t="s">
        <v>50</v>
      </c>
      <c r="G72">
        <v>2019</v>
      </c>
    </row>
    <row r="73" spans="1:7" x14ac:dyDescent="0.35">
      <c r="A73">
        <v>8</v>
      </c>
      <c r="B73" s="3">
        <v>43696</v>
      </c>
      <c r="C73" t="s">
        <v>306</v>
      </c>
      <c r="D73" t="s">
        <v>247</v>
      </c>
      <c r="E73" t="s">
        <v>315</v>
      </c>
      <c r="F73" t="s">
        <v>50</v>
      </c>
      <c r="G73">
        <v>2019</v>
      </c>
    </row>
    <row r="74" spans="1:7" x14ac:dyDescent="0.35">
      <c r="A74">
        <v>7</v>
      </c>
      <c r="B74" s="3">
        <v>43645</v>
      </c>
      <c r="C74" t="s">
        <v>307</v>
      </c>
      <c r="D74" t="s">
        <v>280</v>
      </c>
      <c r="E74" t="s">
        <v>315</v>
      </c>
      <c r="F74" t="s">
        <v>50</v>
      </c>
      <c r="G74">
        <v>2019</v>
      </c>
    </row>
    <row r="75" spans="1:7" x14ac:dyDescent="0.35">
      <c r="A75">
        <v>6</v>
      </c>
      <c r="B75" s="3">
        <v>43590</v>
      </c>
      <c r="C75" t="s">
        <v>281</v>
      </c>
      <c r="D75" t="s">
        <v>282</v>
      </c>
      <c r="E75" t="s">
        <v>315</v>
      </c>
      <c r="F75" t="s">
        <v>50</v>
      </c>
      <c r="G75">
        <v>2019</v>
      </c>
    </row>
    <row r="76" spans="1:7" x14ac:dyDescent="0.35">
      <c r="A76">
        <v>5</v>
      </c>
      <c r="B76" s="3">
        <v>43552</v>
      </c>
      <c r="C76" t="s">
        <v>283</v>
      </c>
      <c r="D76" t="s">
        <v>170</v>
      </c>
      <c r="E76" t="s">
        <v>315</v>
      </c>
      <c r="F76" t="s">
        <v>50</v>
      </c>
      <c r="G76">
        <v>2019</v>
      </c>
    </row>
    <row r="77" spans="1:7" s="23" customFormat="1" x14ac:dyDescent="0.35">
      <c r="B77" s="103" t="s">
        <v>313</v>
      </c>
      <c r="C77" s="23">
        <f>COUNTA(C78:C81)</f>
        <v>4</v>
      </c>
    </row>
    <row r="78" spans="1:7" x14ac:dyDescent="0.35">
      <c r="A78">
        <v>4</v>
      </c>
      <c r="B78" s="3">
        <v>43450</v>
      </c>
      <c r="C78" t="s">
        <v>284</v>
      </c>
      <c r="D78" t="s">
        <v>51</v>
      </c>
      <c r="E78" t="s">
        <v>315</v>
      </c>
      <c r="F78" t="s">
        <v>50</v>
      </c>
      <c r="G78">
        <v>2018</v>
      </c>
    </row>
    <row r="79" spans="1:7" x14ac:dyDescent="0.35">
      <c r="A79">
        <v>3</v>
      </c>
      <c r="B79" s="3">
        <v>43415</v>
      </c>
      <c r="C79" t="s">
        <v>285</v>
      </c>
      <c r="D79" t="s">
        <v>247</v>
      </c>
      <c r="E79" t="s">
        <v>315</v>
      </c>
      <c r="F79" t="s">
        <v>50</v>
      </c>
      <c r="G79">
        <v>2018</v>
      </c>
    </row>
    <row r="80" spans="1:7" x14ac:dyDescent="0.35">
      <c r="A80">
        <v>2</v>
      </c>
      <c r="B80" s="3">
        <v>43121</v>
      </c>
      <c r="C80" t="s">
        <v>286</v>
      </c>
      <c r="D80" t="s">
        <v>247</v>
      </c>
      <c r="E80" t="s">
        <v>315</v>
      </c>
      <c r="F80" t="s">
        <v>50</v>
      </c>
      <c r="G80">
        <v>2018</v>
      </c>
    </row>
    <row r="81" spans="1:7" x14ac:dyDescent="0.35">
      <c r="A81">
        <v>1</v>
      </c>
      <c r="B81" s="3">
        <v>42880</v>
      </c>
      <c r="C81" t="s">
        <v>308</v>
      </c>
      <c r="D81" t="s">
        <v>309</v>
      </c>
      <c r="E81" t="s">
        <v>315</v>
      </c>
      <c r="F81" t="s">
        <v>49</v>
      </c>
      <c r="G81">
        <v>2018</v>
      </c>
    </row>
  </sheetData>
  <phoneticPr fontId="22" type="noConversion"/>
  <conditionalFormatting sqref="D10:D16">
    <cfRule type="colorScale" priority="3">
      <colorScale>
        <cfvo type="min"/>
        <cfvo type="percentile" val="50"/>
        <cfvo type="max"/>
        <color rgb="FFF8696B"/>
        <color rgb="FFFFEB84"/>
        <color rgb="FF63BE7B"/>
      </colorScale>
    </cfRule>
  </conditionalFormatting>
  <conditionalFormatting sqref="F1:F1048576">
    <cfRule type="containsText" dxfId="2" priority="1" operator="containsText" text="Success">
      <formula>NOT(ISERROR(SEARCH("Success",F1)))</formula>
    </cfRule>
    <cfRule type="containsText" dxfId="1" priority="2" operator="containsText" text="Failure">
      <formula>NOT(ISERROR(SEARCH("Failure",F1)))</formula>
    </cfRule>
  </conditionalFormatting>
  <conditionalFormatting sqref="F30:F1048576">
    <cfRule type="containsText" dxfId="0" priority="5" operator="containsText" text="Success">
      <formula>NOT(ISERROR(SEARCH("Success",F30)))</formula>
    </cfRule>
  </conditionalFormatting>
  <hyperlinks>
    <hyperlink ref="H19" r:id="rId1" xr:uid="{95217AF9-062E-44DB-B155-55F7D476BDB6}"/>
  </hyperlinks>
  <pageMargins left="0.7" right="0.7" top="0.75" bottom="0.75" header="0.3" footer="0.3"/>
  <pageSetup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987D01-6431-4CA1-A250-9F3437EC2A1D}">
  <dimension ref="A10:C54"/>
  <sheetViews>
    <sheetView workbookViewId="0">
      <selection activeCell="C49" sqref="C49"/>
    </sheetView>
  </sheetViews>
  <sheetFormatPr defaultRowHeight="14.5" x14ac:dyDescent="0.35"/>
  <cols>
    <col min="2" max="2" width="27.54296875" customWidth="1"/>
  </cols>
  <sheetData>
    <row r="10" spans="1:3" s="4" customFormat="1" x14ac:dyDescent="0.35">
      <c r="A10" s="4" t="s">
        <v>397</v>
      </c>
      <c r="B10" s="4" t="s">
        <v>387</v>
      </c>
      <c r="C10" s="4" t="s">
        <v>388</v>
      </c>
    </row>
    <row r="11" spans="1:3" s="79" customFormat="1" x14ac:dyDescent="0.35">
      <c r="B11" s="79" t="s">
        <v>46</v>
      </c>
    </row>
    <row r="12" spans="1:3" x14ac:dyDescent="0.35">
      <c r="B12" s="74" t="s">
        <v>389</v>
      </c>
    </row>
    <row r="13" spans="1:3" x14ac:dyDescent="0.35">
      <c r="B13" s="74" t="s">
        <v>390</v>
      </c>
    </row>
    <row r="14" spans="1:3" x14ac:dyDescent="0.35">
      <c r="B14" s="74" t="s">
        <v>391</v>
      </c>
    </row>
    <row r="15" spans="1:3" x14ac:dyDescent="0.35">
      <c r="B15" s="74" t="s">
        <v>392</v>
      </c>
    </row>
    <row r="16" spans="1:3" s="79" customFormat="1" x14ac:dyDescent="0.35">
      <c r="B16" s="79" t="s">
        <v>393</v>
      </c>
    </row>
    <row r="17" spans="2:2" x14ac:dyDescent="0.35">
      <c r="B17" s="74" t="s">
        <v>394</v>
      </c>
    </row>
    <row r="18" spans="2:2" x14ac:dyDescent="0.35">
      <c r="B18" s="74" t="s">
        <v>395</v>
      </c>
    </row>
    <row r="19" spans="2:2" x14ac:dyDescent="0.35">
      <c r="B19" s="74" t="s">
        <v>396</v>
      </c>
    </row>
    <row r="20" spans="2:2" s="28" customFormat="1" x14ac:dyDescent="0.35">
      <c r="B20" s="104" t="s">
        <v>225</v>
      </c>
    </row>
    <row r="21" spans="2:2" x14ac:dyDescent="0.35">
      <c r="B21" s="12" t="s">
        <v>420</v>
      </c>
    </row>
    <row r="22" spans="2:2" x14ac:dyDescent="0.35">
      <c r="B22" t="s">
        <v>405</v>
      </c>
    </row>
    <row r="23" spans="2:2" x14ac:dyDescent="0.35">
      <c r="B23" t="s">
        <v>406</v>
      </c>
    </row>
    <row r="24" spans="2:2" x14ac:dyDescent="0.35">
      <c r="B24" t="s">
        <v>407</v>
      </c>
    </row>
    <row r="25" spans="2:2" x14ac:dyDescent="0.35">
      <c r="B25" t="s">
        <v>408</v>
      </c>
    </row>
    <row r="26" spans="2:2" x14ac:dyDescent="0.35">
      <c r="B26" s="12" t="s">
        <v>421</v>
      </c>
    </row>
    <row r="27" spans="2:2" x14ac:dyDescent="0.35">
      <c r="B27" t="s">
        <v>409</v>
      </c>
    </row>
    <row r="28" spans="2:2" x14ac:dyDescent="0.35">
      <c r="B28" t="s">
        <v>410</v>
      </c>
    </row>
    <row r="29" spans="2:2" x14ac:dyDescent="0.35">
      <c r="B29" t="s">
        <v>411</v>
      </c>
    </row>
    <row r="30" spans="2:2" x14ac:dyDescent="0.35">
      <c r="B30" s="12" t="s">
        <v>422</v>
      </c>
    </row>
    <row r="31" spans="2:2" x14ac:dyDescent="0.35">
      <c r="B31" t="s">
        <v>412</v>
      </c>
    </row>
    <row r="32" spans="2:2" x14ac:dyDescent="0.35">
      <c r="B32" t="s">
        <v>413</v>
      </c>
    </row>
    <row r="33" spans="2:2" x14ac:dyDescent="0.35">
      <c r="B33" s="12" t="s">
        <v>424</v>
      </c>
    </row>
    <row r="34" spans="2:2" x14ac:dyDescent="0.35">
      <c r="B34" t="s">
        <v>414</v>
      </c>
    </row>
    <row r="35" spans="2:2" x14ac:dyDescent="0.35">
      <c r="B35" t="s">
        <v>415</v>
      </c>
    </row>
    <row r="36" spans="2:2" x14ac:dyDescent="0.35">
      <c r="B36" t="s">
        <v>416</v>
      </c>
    </row>
    <row r="37" spans="2:2" s="12" customFormat="1" x14ac:dyDescent="0.35">
      <c r="B37" s="12" t="s">
        <v>423</v>
      </c>
    </row>
    <row r="38" spans="2:2" x14ac:dyDescent="0.35">
      <c r="B38" t="s">
        <v>417</v>
      </c>
    </row>
    <row r="39" spans="2:2" x14ac:dyDescent="0.35">
      <c r="B39" t="s">
        <v>418</v>
      </c>
    </row>
    <row r="40" spans="2:2" x14ac:dyDescent="0.35">
      <c r="B40" t="s">
        <v>419</v>
      </c>
    </row>
    <row r="41" spans="2:2" x14ac:dyDescent="0.35">
      <c r="B41" s="12" t="s">
        <v>425</v>
      </c>
    </row>
    <row r="42" spans="2:2" x14ac:dyDescent="0.35">
      <c r="B42" t="s">
        <v>426</v>
      </c>
    </row>
    <row r="43" spans="2:2" ht="101.5" x14ac:dyDescent="0.35">
      <c r="B43" s="105" t="s">
        <v>427</v>
      </c>
    </row>
    <row r="44" spans="2:2" x14ac:dyDescent="0.35">
      <c r="B44" t="s">
        <v>428</v>
      </c>
    </row>
    <row r="45" spans="2:2" s="28" customFormat="1" x14ac:dyDescent="0.35">
      <c r="B45" s="106" t="s">
        <v>431</v>
      </c>
    </row>
    <row r="46" spans="2:2" x14ac:dyDescent="0.35">
      <c r="B46" t="s">
        <v>429</v>
      </c>
    </row>
    <row r="47" spans="2:2" x14ac:dyDescent="0.35">
      <c r="B47" t="s">
        <v>430</v>
      </c>
    </row>
    <row r="48" spans="2:2" x14ac:dyDescent="0.35">
      <c r="B48" s="105"/>
    </row>
    <row r="49" spans="1:3" x14ac:dyDescent="0.35">
      <c r="B49" s="105"/>
    </row>
    <row r="50" spans="1:3" x14ac:dyDescent="0.35">
      <c r="B50" s="105"/>
    </row>
    <row r="51" spans="1:3" x14ac:dyDescent="0.35">
      <c r="B51" s="105"/>
    </row>
    <row r="52" spans="1:3" x14ac:dyDescent="0.35">
      <c r="B52" s="105"/>
    </row>
    <row r="53" spans="1:3" s="4" customFormat="1" x14ac:dyDescent="0.35">
      <c r="A53" s="4" t="s">
        <v>397</v>
      </c>
      <c r="B53" s="4" t="s">
        <v>403</v>
      </c>
      <c r="C53" s="4" t="s">
        <v>404</v>
      </c>
    </row>
    <row r="54" spans="1:3" s="79" customFormat="1" x14ac:dyDescent="0.35">
      <c r="B54" s="79" t="s">
        <v>46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24AF0B-0C82-481A-BEED-A91E7AAAEB14}">
  <dimension ref="A1:E5"/>
  <sheetViews>
    <sheetView workbookViewId="0">
      <selection activeCell="D6" sqref="D6"/>
    </sheetView>
  </sheetViews>
  <sheetFormatPr defaultRowHeight="14.5" x14ac:dyDescent="0.35"/>
  <sheetData>
    <row r="1" spans="1:5" x14ac:dyDescent="0.35">
      <c r="A1" t="s">
        <v>356</v>
      </c>
      <c r="B1" t="s">
        <v>358</v>
      </c>
      <c r="C1" t="s">
        <v>357</v>
      </c>
      <c r="D1" t="s">
        <v>360</v>
      </c>
      <c r="E1" t="s">
        <v>361</v>
      </c>
    </row>
    <row r="5" spans="1:5" x14ac:dyDescent="0.35">
      <c r="A5" s="98">
        <v>44593</v>
      </c>
      <c r="B5" t="s">
        <v>359</v>
      </c>
      <c r="C5">
        <v>143</v>
      </c>
      <c r="D5" t="s">
        <v>362</v>
      </c>
      <c r="E5" t="s">
        <v>363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B837D-5045-4214-AE90-D63D0BE86971}">
  <dimension ref="A3:D5"/>
  <sheetViews>
    <sheetView workbookViewId="0">
      <selection activeCell="G23" sqref="G23"/>
    </sheetView>
  </sheetViews>
  <sheetFormatPr defaultRowHeight="14.5" x14ac:dyDescent="0.35"/>
  <cols>
    <col min="1" max="1" width="24.36328125" customWidth="1"/>
  </cols>
  <sheetData>
    <row r="3" spans="1:4" s="4" customFormat="1" x14ac:dyDescent="0.35">
      <c r="A3" s="4" t="s">
        <v>380</v>
      </c>
      <c r="B3" s="4" t="s">
        <v>382</v>
      </c>
      <c r="C3" s="4" t="s">
        <v>384</v>
      </c>
    </row>
    <row r="4" spans="1:4" x14ac:dyDescent="0.35">
      <c r="A4" t="s">
        <v>381</v>
      </c>
      <c r="B4" s="12" t="s">
        <v>383</v>
      </c>
      <c r="C4" t="s">
        <v>402</v>
      </c>
      <c r="D4" s="12"/>
    </row>
    <row r="5" spans="1:4" x14ac:dyDescent="0.35">
      <c r="A5" t="s">
        <v>385</v>
      </c>
      <c r="B5" s="12" t="s">
        <v>386</v>
      </c>
      <c r="C5" t="s">
        <v>401</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B53023D-9985-4082-BB77-2CCCB4915FC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Main</vt:lpstr>
      <vt:lpstr>Info</vt:lpstr>
      <vt:lpstr>Model</vt:lpstr>
      <vt:lpstr>Competition</vt:lpstr>
      <vt:lpstr>Acquisitions</vt:lpstr>
      <vt:lpstr>Analysis</vt:lpstr>
      <vt:lpstr>Missions</vt:lpstr>
      <vt:lpstr>Highlights</vt:lpstr>
      <vt:lpstr>Contracts</vt:lpstr>
      <vt:lpstr>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2022-08-14T22:27:05Z</dcterms:created>
  <dcterms:modified xsi:type="dcterms:W3CDTF">2024-07-23T23:12:53Z</dcterms:modified>
</cp:coreProperties>
</file>