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AMZN/"/>
    </mc:Choice>
  </mc:AlternateContent>
  <xr:revisionPtr revIDLastSave="1692" documentId="11_2083BC90071DD593AC5C88F2D4CE03C220FD4CD7" xr6:coauthVersionLast="47" xr6:coauthVersionMax="47" xr10:uidLastSave="{1BA6F41B-E8ED-4288-9090-80DFEDB0BAFE}"/>
  <bookViews>
    <workbookView xWindow="-110" yWindow="-110" windowWidth="38620" windowHeight="212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8" i="3" l="1"/>
  <c r="M168" i="3"/>
  <c r="N168" i="3"/>
  <c r="O168" i="3"/>
  <c r="P168" i="3"/>
  <c r="Q168" i="3"/>
  <c r="R168" i="3"/>
  <c r="S168" i="3"/>
  <c r="T168" i="3"/>
  <c r="U168" i="3"/>
  <c r="V168" i="3"/>
  <c r="W168" i="3"/>
  <c r="X168" i="3"/>
  <c r="Y168" i="3"/>
  <c r="Z168" i="3"/>
  <c r="AA168" i="3"/>
  <c r="AB168" i="3"/>
  <c r="AC168" i="3"/>
  <c r="AD168" i="3"/>
  <c r="AE168" i="3"/>
  <c r="AF168" i="3"/>
  <c r="AG168" i="3"/>
  <c r="AH168" i="3"/>
  <c r="AI168" i="3"/>
  <c r="AJ168" i="3"/>
  <c r="AK168" i="3"/>
  <c r="AL168" i="3"/>
  <c r="AM168" i="3"/>
  <c r="AN168" i="3"/>
  <c r="AO168" i="3"/>
  <c r="AP168" i="3"/>
  <c r="AQ168" i="3"/>
  <c r="L169" i="3"/>
  <c r="M169" i="3"/>
  <c r="N169" i="3"/>
  <c r="O169" i="3"/>
  <c r="P169" i="3"/>
  <c r="Q169" i="3"/>
  <c r="R169" i="3"/>
  <c r="S169" i="3"/>
  <c r="T169" i="3"/>
  <c r="U169" i="3"/>
  <c r="V169" i="3"/>
  <c r="W169" i="3"/>
  <c r="X169" i="3"/>
  <c r="Y169" i="3"/>
  <c r="Z169" i="3"/>
  <c r="AA169" i="3"/>
  <c r="AB169" i="3"/>
  <c r="AC169" i="3"/>
  <c r="AD169" i="3"/>
  <c r="AE169" i="3"/>
  <c r="AF169" i="3"/>
  <c r="AG169" i="3"/>
  <c r="AH169" i="3"/>
  <c r="AI169" i="3"/>
  <c r="AJ169" i="3"/>
  <c r="AK169" i="3"/>
  <c r="AL169" i="3"/>
  <c r="AM169" i="3"/>
  <c r="AN169" i="3"/>
  <c r="AO169" i="3"/>
  <c r="AP169" i="3"/>
  <c r="AQ169" i="3"/>
  <c r="L170" i="3"/>
  <c r="M170" i="3"/>
  <c r="N170" i="3"/>
  <c r="O170" i="3"/>
  <c r="P170" i="3"/>
  <c r="Q170" i="3"/>
  <c r="R170" i="3"/>
  <c r="S170" i="3"/>
  <c r="T170" i="3"/>
  <c r="U170" i="3"/>
  <c r="V170" i="3"/>
  <c r="W170" i="3"/>
  <c r="X170" i="3"/>
  <c r="Y170" i="3"/>
  <c r="Z170" i="3"/>
  <c r="AA170" i="3"/>
  <c r="AB170" i="3"/>
  <c r="AC170" i="3"/>
  <c r="AD170" i="3"/>
  <c r="AE170" i="3"/>
  <c r="AF170" i="3"/>
  <c r="AG170" i="3"/>
  <c r="AH170" i="3"/>
  <c r="AI170" i="3"/>
  <c r="AJ170" i="3"/>
  <c r="AK170" i="3"/>
  <c r="AL170" i="3"/>
  <c r="AM170" i="3"/>
  <c r="AN170" i="3"/>
  <c r="AO170" i="3"/>
  <c r="AP170" i="3"/>
  <c r="AQ170" i="3"/>
  <c r="L171" i="3"/>
  <c r="M171" i="3"/>
  <c r="N171" i="3"/>
  <c r="O171" i="3"/>
  <c r="P171" i="3"/>
  <c r="Q171" i="3"/>
  <c r="R171" i="3"/>
  <c r="S171" i="3"/>
  <c r="T171" i="3"/>
  <c r="U171" i="3"/>
  <c r="V171" i="3"/>
  <c r="W171" i="3"/>
  <c r="X171" i="3"/>
  <c r="Y171" i="3"/>
  <c r="Z171" i="3"/>
  <c r="AA171" i="3"/>
  <c r="AB171" i="3"/>
  <c r="AC171" i="3"/>
  <c r="AD171" i="3"/>
  <c r="AE171" i="3"/>
  <c r="AF171" i="3"/>
  <c r="AG171" i="3"/>
  <c r="AH171" i="3"/>
  <c r="AI171" i="3"/>
  <c r="AJ171" i="3"/>
  <c r="AK171" i="3"/>
  <c r="AL171" i="3"/>
  <c r="AM171" i="3"/>
  <c r="AN171" i="3"/>
  <c r="AO171" i="3"/>
  <c r="AP171" i="3"/>
  <c r="AQ171" i="3"/>
  <c r="L172" i="3"/>
  <c r="M172" i="3"/>
  <c r="N172" i="3"/>
  <c r="O172" i="3"/>
  <c r="P172" i="3"/>
  <c r="Q172" i="3"/>
  <c r="R172" i="3"/>
  <c r="S172" i="3"/>
  <c r="T172" i="3"/>
  <c r="U172" i="3"/>
  <c r="V172" i="3"/>
  <c r="W172" i="3"/>
  <c r="X172" i="3"/>
  <c r="Y172" i="3"/>
  <c r="Z172" i="3"/>
  <c r="AA172" i="3"/>
  <c r="AB172" i="3"/>
  <c r="AC172" i="3"/>
  <c r="AD172" i="3"/>
  <c r="AE172" i="3"/>
  <c r="AF172" i="3"/>
  <c r="AG172" i="3"/>
  <c r="AH172" i="3"/>
  <c r="AI172" i="3"/>
  <c r="AJ172" i="3"/>
  <c r="AK172" i="3"/>
  <c r="AL172" i="3"/>
  <c r="AM172" i="3"/>
  <c r="AN172" i="3"/>
  <c r="AO172" i="3"/>
  <c r="AP172" i="3"/>
  <c r="AQ172" i="3"/>
  <c r="K172" i="3"/>
  <c r="K171" i="3"/>
  <c r="K170" i="3"/>
  <c r="K169" i="3"/>
  <c r="K168" i="3"/>
  <c r="Z150" i="3"/>
  <c r="Z149" i="3"/>
  <c r="Z148" i="3"/>
  <c r="Z147" i="3"/>
  <c r="V150" i="3"/>
  <c r="V149" i="3"/>
  <c r="V148" i="3"/>
  <c r="V147" i="3"/>
  <c r="R150" i="3"/>
  <c r="R149" i="3"/>
  <c r="R148" i="3"/>
  <c r="R147" i="3"/>
  <c r="N150" i="3"/>
  <c r="N149" i="3"/>
  <c r="N148" i="3"/>
  <c r="N147" i="3"/>
  <c r="N145" i="3"/>
  <c r="N144" i="3"/>
  <c r="N143" i="3"/>
  <c r="R145" i="3"/>
  <c r="R144" i="3"/>
  <c r="R143" i="3"/>
  <c r="V145" i="3"/>
  <c r="V144" i="3"/>
  <c r="V143" i="3"/>
  <c r="Z145" i="3"/>
  <c r="Z144" i="3"/>
  <c r="Z143" i="3"/>
  <c r="AL150" i="3"/>
  <c r="AL148" i="3"/>
  <c r="AL147" i="3"/>
  <c r="AH150" i="3"/>
  <c r="AH149" i="3"/>
  <c r="AH148" i="3"/>
  <c r="AH147" i="3"/>
  <c r="AD150" i="3"/>
  <c r="AD149" i="3"/>
  <c r="AD148" i="3"/>
  <c r="AD147" i="3"/>
  <c r="AD144" i="3"/>
  <c r="AD143" i="3"/>
  <c r="AD145" i="3"/>
  <c r="AD163" i="3" s="1"/>
  <c r="AH145" i="3"/>
  <c r="AH144" i="3"/>
  <c r="AH143" i="3"/>
  <c r="AL144" i="3"/>
  <c r="AL143" i="3"/>
  <c r="P153" i="3"/>
  <c r="Q153" i="3"/>
  <c r="Q158" i="3" s="1"/>
  <c r="R153" i="3"/>
  <c r="R158" i="3" s="1"/>
  <c r="S153" i="3"/>
  <c r="S158" i="3" s="1"/>
  <c r="T153" i="3"/>
  <c r="T155" i="3" s="1"/>
  <c r="U153" i="3"/>
  <c r="U155" i="3" s="1"/>
  <c r="V153" i="3"/>
  <c r="V155" i="3" s="1"/>
  <c r="W153" i="3"/>
  <c r="W155" i="3" s="1"/>
  <c r="X153" i="3"/>
  <c r="X156" i="3" s="1"/>
  <c r="Y153" i="3"/>
  <c r="Y156" i="3" s="1"/>
  <c r="Z153" i="3"/>
  <c r="Z156" i="3" s="1"/>
  <c r="AA153" i="3"/>
  <c r="AA156" i="3" s="1"/>
  <c r="AF153" i="3"/>
  <c r="AG153" i="3"/>
  <c r="AG158" i="3" s="1"/>
  <c r="AH153" i="3"/>
  <c r="AH158" i="3" s="1"/>
  <c r="AI153" i="3"/>
  <c r="AI158" i="3" s="1"/>
  <c r="AJ153" i="3"/>
  <c r="AJ155" i="3" s="1"/>
  <c r="AK153" i="3"/>
  <c r="AK155" i="3" s="1"/>
  <c r="AL153" i="3"/>
  <c r="AL155" i="3" s="1"/>
  <c r="AM153" i="3"/>
  <c r="AM155" i="3" s="1"/>
  <c r="L154" i="3"/>
  <c r="L153" i="3" s="1"/>
  <c r="M154" i="3"/>
  <c r="M153" i="3" s="1"/>
  <c r="N154" i="3"/>
  <c r="N153" i="3" s="1"/>
  <c r="O154" i="3"/>
  <c r="O153" i="3" s="1"/>
  <c r="P154" i="3"/>
  <c r="Q154" i="3"/>
  <c r="R154" i="3"/>
  <c r="S154" i="3"/>
  <c r="T154" i="3"/>
  <c r="U154" i="3"/>
  <c r="V154" i="3"/>
  <c r="W154" i="3"/>
  <c r="X154" i="3"/>
  <c r="Y154" i="3"/>
  <c r="Z154" i="3"/>
  <c r="AA154" i="3"/>
  <c r="AB154" i="3"/>
  <c r="AB153" i="3" s="1"/>
  <c r="AC154" i="3"/>
  <c r="AC153" i="3" s="1"/>
  <c r="AD154" i="3"/>
  <c r="AD153" i="3" s="1"/>
  <c r="AE154" i="3"/>
  <c r="AE153" i="3" s="1"/>
  <c r="AF154" i="3"/>
  <c r="AG154" i="3"/>
  <c r="AH154" i="3"/>
  <c r="AI154" i="3"/>
  <c r="AJ154" i="3"/>
  <c r="AK154" i="3"/>
  <c r="AL154" i="3"/>
  <c r="AM154" i="3"/>
  <c r="P155" i="3"/>
  <c r="Q155" i="3"/>
  <c r="R155" i="3"/>
  <c r="S155" i="3"/>
  <c r="AF155" i="3"/>
  <c r="AG155" i="3"/>
  <c r="AH155" i="3"/>
  <c r="AI155" i="3"/>
  <c r="P156" i="3"/>
  <c r="Q156" i="3"/>
  <c r="R156" i="3"/>
  <c r="S156" i="3"/>
  <c r="T156" i="3"/>
  <c r="U156" i="3"/>
  <c r="V156" i="3"/>
  <c r="W156" i="3"/>
  <c r="AF156" i="3"/>
  <c r="AG156" i="3"/>
  <c r="AH156" i="3"/>
  <c r="AI156" i="3"/>
  <c r="AJ156" i="3"/>
  <c r="AK156" i="3"/>
  <c r="AL156" i="3"/>
  <c r="AM156" i="3"/>
  <c r="P157" i="3"/>
  <c r="Q157" i="3"/>
  <c r="R157" i="3"/>
  <c r="S157" i="3"/>
  <c r="T157" i="3"/>
  <c r="U157" i="3"/>
  <c r="V157" i="3"/>
  <c r="W157" i="3"/>
  <c r="X157" i="3"/>
  <c r="Z157" i="3"/>
  <c r="AA157" i="3"/>
  <c r="AF157" i="3"/>
  <c r="AG157" i="3"/>
  <c r="AH157" i="3"/>
  <c r="AI157" i="3"/>
  <c r="AJ157" i="3"/>
  <c r="AK157" i="3"/>
  <c r="AL157" i="3"/>
  <c r="AM157" i="3"/>
  <c r="P158" i="3"/>
  <c r="AF158" i="3"/>
  <c r="L161" i="3"/>
  <c r="M161" i="3"/>
  <c r="N161" i="3"/>
  <c r="O161" i="3"/>
  <c r="P161" i="3"/>
  <c r="Q161" i="3"/>
  <c r="R161" i="3"/>
  <c r="S161" i="3"/>
  <c r="T161" i="3"/>
  <c r="U161" i="3"/>
  <c r="V161" i="3"/>
  <c r="W161" i="3"/>
  <c r="X161" i="3"/>
  <c r="Y161" i="3"/>
  <c r="Z161" i="3"/>
  <c r="AA161" i="3"/>
  <c r="AB161" i="3"/>
  <c r="AC161" i="3"/>
  <c r="AD161" i="3"/>
  <c r="AE161" i="3"/>
  <c r="AF161" i="3"/>
  <c r="AG161" i="3"/>
  <c r="AH161" i="3"/>
  <c r="AI161" i="3"/>
  <c r="AJ161" i="3"/>
  <c r="AK161" i="3"/>
  <c r="AL161" i="3"/>
  <c r="AM161" i="3"/>
  <c r="L162" i="3"/>
  <c r="M162" i="3"/>
  <c r="N162" i="3"/>
  <c r="O162" i="3"/>
  <c r="P162" i="3"/>
  <c r="Q162" i="3"/>
  <c r="R162" i="3"/>
  <c r="S162" i="3"/>
  <c r="T162" i="3"/>
  <c r="U162" i="3"/>
  <c r="V162" i="3"/>
  <c r="W162" i="3"/>
  <c r="X162" i="3"/>
  <c r="Y162" i="3"/>
  <c r="Z162" i="3"/>
  <c r="AA162" i="3"/>
  <c r="AB162" i="3"/>
  <c r="AC162" i="3"/>
  <c r="AD162" i="3"/>
  <c r="AE162" i="3"/>
  <c r="AF162" i="3"/>
  <c r="AG162" i="3"/>
  <c r="AH162" i="3"/>
  <c r="AI162" i="3"/>
  <c r="AJ162" i="3"/>
  <c r="AK162" i="3"/>
  <c r="AL162" i="3"/>
  <c r="AM162" i="3"/>
  <c r="L163" i="3"/>
  <c r="M163" i="3"/>
  <c r="N163" i="3"/>
  <c r="O163" i="3"/>
  <c r="P163" i="3"/>
  <c r="Q163" i="3"/>
  <c r="R163" i="3"/>
  <c r="S163" i="3"/>
  <c r="T163" i="3"/>
  <c r="U163" i="3"/>
  <c r="V163" i="3"/>
  <c r="W163" i="3"/>
  <c r="X163" i="3"/>
  <c r="Y163" i="3"/>
  <c r="Z163" i="3"/>
  <c r="AA163" i="3"/>
  <c r="AB163" i="3"/>
  <c r="AC163" i="3"/>
  <c r="AE163" i="3"/>
  <c r="AF163" i="3"/>
  <c r="AG163" i="3"/>
  <c r="AI163" i="3"/>
  <c r="AJ163" i="3"/>
  <c r="AK163" i="3"/>
  <c r="AM163" i="3"/>
  <c r="L164" i="3"/>
  <c r="M164" i="3"/>
  <c r="N164" i="3"/>
  <c r="O164" i="3"/>
  <c r="P164" i="3"/>
  <c r="Q164" i="3"/>
  <c r="R164" i="3"/>
  <c r="S164" i="3"/>
  <c r="T164" i="3"/>
  <c r="U164" i="3"/>
  <c r="V164" i="3"/>
  <c r="W164" i="3"/>
  <c r="X164" i="3"/>
  <c r="Y164" i="3"/>
  <c r="Z164" i="3"/>
  <c r="AA164" i="3"/>
  <c r="AB164" i="3"/>
  <c r="AC164" i="3"/>
  <c r="AD164" i="3"/>
  <c r="AE164" i="3"/>
  <c r="AF164" i="3"/>
  <c r="AG164" i="3"/>
  <c r="AH164" i="3"/>
  <c r="AI164" i="3"/>
  <c r="AJ164" i="3"/>
  <c r="AK164" i="3"/>
  <c r="AL164" i="3"/>
  <c r="AM164" i="3"/>
  <c r="K164" i="3"/>
  <c r="K163" i="3"/>
  <c r="K162" i="3"/>
  <c r="K161" i="3"/>
  <c r="K154" i="3"/>
  <c r="K153" i="3"/>
  <c r="K158" i="3" s="1"/>
  <c r="AN164" i="3"/>
  <c r="AN163" i="3"/>
  <c r="AN162" i="3"/>
  <c r="AN161" i="3"/>
  <c r="AL145" i="3"/>
  <c r="AN158" i="3" s="1"/>
  <c r="AN157" i="3"/>
  <c r="AN156" i="3"/>
  <c r="AN155" i="3"/>
  <c r="AN154" i="3"/>
  <c r="AN153" i="3" s="1"/>
  <c r="AV168" i="3"/>
  <c r="AV169" i="3"/>
  <c r="AV170" i="3"/>
  <c r="AV171" i="3"/>
  <c r="AV172" i="3"/>
  <c r="AU172" i="3"/>
  <c r="AU171" i="3"/>
  <c r="AU170" i="3"/>
  <c r="AU169" i="3"/>
  <c r="AU168" i="3"/>
  <c r="AX172" i="3"/>
  <c r="AY172" i="3"/>
  <c r="AZ172" i="3"/>
  <c r="BA172" i="3"/>
  <c r="BB172" i="3"/>
  <c r="BC172" i="3"/>
  <c r="BD172" i="3"/>
  <c r="BE172" i="3"/>
  <c r="BF172" i="3"/>
  <c r="BG172" i="3"/>
  <c r="BH172" i="3"/>
  <c r="BI172" i="3"/>
  <c r="BJ172" i="3"/>
  <c r="BK172" i="3"/>
  <c r="BL172" i="3"/>
  <c r="BM172" i="3"/>
  <c r="BN172" i="3"/>
  <c r="AW172" i="3"/>
  <c r="AX168" i="3"/>
  <c r="AY168" i="3"/>
  <c r="AZ168" i="3"/>
  <c r="BA168" i="3"/>
  <c r="BB168" i="3"/>
  <c r="BC168" i="3"/>
  <c r="BD168" i="3"/>
  <c r="BE168" i="3"/>
  <c r="BF168" i="3"/>
  <c r="BG168" i="3"/>
  <c r="BH168" i="3"/>
  <c r="BI168" i="3"/>
  <c r="BJ168" i="3"/>
  <c r="BK168" i="3"/>
  <c r="BL168" i="3"/>
  <c r="BM168" i="3"/>
  <c r="BN168" i="3"/>
  <c r="AX169" i="3"/>
  <c r="AY169" i="3"/>
  <c r="AZ169" i="3"/>
  <c r="BA169" i="3"/>
  <c r="BB169" i="3"/>
  <c r="BC169" i="3"/>
  <c r="BD169" i="3"/>
  <c r="BE169" i="3"/>
  <c r="BF169" i="3"/>
  <c r="BG169" i="3"/>
  <c r="BH169" i="3"/>
  <c r="BI169" i="3"/>
  <c r="BJ169" i="3"/>
  <c r="BK169" i="3"/>
  <c r="BL169" i="3"/>
  <c r="BM169" i="3"/>
  <c r="BN169" i="3"/>
  <c r="AX170" i="3"/>
  <c r="AY170" i="3"/>
  <c r="AZ170" i="3"/>
  <c r="BA170" i="3"/>
  <c r="BB170" i="3"/>
  <c r="BC170" i="3"/>
  <c r="BD170" i="3"/>
  <c r="BE170" i="3"/>
  <c r="BF170" i="3"/>
  <c r="BG170" i="3"/>
  <c r="BH170" i="3"/>
  <c r="BI170" i="3"/>
  <c r="BJ170" i="3"/>
  <c r="BK170" i="3"/>
  <c r="BL170" i="3"/>
  <c r="BM170" i="3"/>
  <c r="BN170" i="3"/>
  <c r="AX171" i="3"/>
  <c r="AY171" i="3"/>
  <c r="AZ171" i="3"/>
  <c r="BA171" i="3"/>
  <c r="BB171" i="3"/>
  <c r="BC171" i="3"/>
  <c r="BD171" i="3"/>
  <c r="BE171" i="3"/>
  <c r="BF171" i="3"/>
  <c r="BG171" i="3"/>
  <c r="BH171" i="3"/>
  <c r="BI171" i="3"/>
  <c r="BJ171" i="3"/>
  <c r="BK171" i="3"/>
  <c r="BL171" i="3"/>
  <c r="BM171" i="3"/>
  <c r="BN171" i="3"/>
  <c r="AW171" i="3"/>
  <c r="AW170" i="3"/>
  <c r="AW169" i="3"/>
  <c r="AW168" i="3"/>
  <c r="BK161" i="3"/>
  <c r="BL161" i="3"/>
  <c r="BM161" i="3"/>
  <c r="BN161" i="3"/>
  <c r="BK162" i="3"/>
  <c r="BL162" i="3"/>
  <c r="BM162" i="3"/>
  <c r="BN162" i="3"/>
  <c r="AV164" i="3"/>
  <c r="AW164" i="3"/>
  <c r="AX164" i="3"/>
  <c r="AY164" i="3"/>
  <c r="AZ164" i="3"/>
  <c r="BA164" i="3"/>
  <c r="BB164" i="3"/>
  <c r="BC164" i="3"/>
  <c r="BD164" i="3"/>
  <c r="BE164" i="3"/>
  <c r="BF164" i="3"/>
  <c r="BG164" i="3"/>
  <c r="BH164" i="3"/>
  <c r="BI164" i="3"/>
  <c r="BJ164" i="3"/>
  <c r="BK164" i="3"/>
  <c r="BL164" i="3"/>
  <c r="BM164" i="3"/>
  <c r="BN164" i="3"/>
  <c r="AU164" i="3"/>
  <c r="BJ155" i="3"/>
  <c r="BK155" i="3"/>
  <c r="BL155" i="3"/>
  <c r="BM155" i="3"/>
  <c r="BN155" i="3"/>
  <c r="BJ156" i="3"/>
  <c r="BK156" i="3"/>
  <c r="BL156" i="3"/>
  <c r="BM156" i="3"/>
  <c r="BN156" i="3"/>
  <c r="BJ157" i="3"/>
  <c r="BK157" i="3"/>
  <c r="BL157" i="3"/>
  <c r="BM157" i="3"/>
  <c r="BN157" i="3"/>
  <c r="BA155" i="3"/>
  <c r="AV158" i="3"/>
  <c r="AU158" i="3"/>
  <c r="AU157" i="3"/>
  <c r="BA153" i="3"/>
  <c r="BA158" i="3" s="1"/>
  <c r="BB153" i="3"/>
  <c r="BG153" i="3"/>
  <c r="BH153" i="3"/>
  <c r="AV154" i="3"/>
  <c r="AV153" i="3" s="1"/>
  <c r="AV157" i="3" s="1"/>
  <c r="AW154" i="3"/>
  <c r="AW153" i="3" s="1"/>
  <c r="AW158" i="3" s="1"/>
  <c r="AX154" i="3"/>
  <c r="AX153" i="3" s="1"/>
  <c r="AX158" i="3" s="1"/>
  <c r="AY154" i="3"/>
  <c r="AY153" i="3" s="1"/>
  <c r="AY158" i="3" s="1"/>
  <c r="AZ154" i="3"/>
  <c r="AZ153" i="3" s="1"/>
  <c r="BA154" i="3"/>
  <c r="BB154" i="3"/>
  <c r="BG154" i="3"/>
  <c r="BH154" i="3"/>
  <c r="AU154" i="3"/>
  <c r="AU153" i="3" s="1"/>
  <c r="BI154" i="3"/>
  <c r="BI153" i="3" s="1"/>
  <c r="BD71" i="3"/>
  <c r="BD62" i="3"/>
  <c r="AV40" i="3"/>
  <c r="AW40" i="3"/>
  <c r="AX40" i="3"/>
  <c r="AY40" i="3"/>
  <c r="AZ40" i="3"/>
  <c r="BA40" i="3"/>
  <c r="AV41" i="3"/>
  <c r="AW41" i="3"/>
  <c r="AX41" i="3"/>
  <c r="AY41" i="3"/>
  <c r="AZ41" i="3"/>
  <c r="BA41" i="3"/>
  <c r="AV42" i="3"/>
  <c r="AW42" i="3"/>
  <c r="AX42" i="3"/>
  <c r="AY42" i="3"/>
  <c r="AZ42" i="3"/>
  <c r="BA42" i="3"/>
  <c r="AU42" i="3"/>
  <c r="AU41" i="3"/>
  <c r="AU40" i="3"/>
  <c r="AV49" i="3"/>
  <c r="AW49" i="3"/>
  <c r="AX49" i="3"/>
  <c r="AY49" i="3"/>
  <c r="AZ49" i="3"/>
  <c r="BA49" i="3"/>
  <c r="BB49" i="3"/>
  <c r="BC49" i="3"/>
  <c r="BD49" i="3"/>
  <c r="BE49" i="3"/>
  <c r="BF49" i="3"/>
  <c r="BG49" i="3"/>
  <c r="BH49" i="3"/>
  <c r="BI49" i="3"/>
  <c r="BE50" i="3"/>
  <c r="BF50" i="3"/>
  <c r="BG50" i="3"/>
  <c r="BH50" i="3"/>
  <c r="BI50" i="3"/>
  <c r="AU49" i="3"/>
  <c r="AU145" i="3"/>
  <c r="AU163" i="3" s="1"/>
  <c r="AU138" i="3"/>
  <c r="AU129" i="3"/>
  <c r="AU124" i="3"/>
  <c r="AU118" i="3"/>
  <c r="AU112" i="3"/>
  <c r="AU94" i="3"/>
  <c r="AU88" i="3"/>
  <c r="AU80" i="3"/>
  <c r="AU161" i="3" s="1"/>
  <c r="AU38" i="3"/>
  <c r="AU29" i="3"/>
  <c r="AU27" i="3"/>
  <c r="AU24" i="3"/>
  <c r="AU22" i="3"/>
  <c r="AU19" i="3"/>
  <c r="AU17" i="3"/>
  <c r="AU13" i="3"/>
  <c r="AV145" i="3"/>
  <c r="AV163" i="3" s="1"/>
  <c r="AV138" i="3"/>
  <c r="AV129" i="3"/>
  <c r="AV124" i="3"/>
  <c r="AV118" i="3"/>
  <c r="AV112" i="3"/>
  <c r="AV94" i="3"/>
  <c r="AV88" i="3"/>
  <c r="AV80" i="3"/>
  <c r="AV161" i="3" s="1"/>
  <c r="AV38" i="3"/>
  <c r="AV29" i="3"/>
  <c r="AV27" i="3"/>
  <c r="AV24" i="3"/>
  <c r="AV22" i="3"/>
  <c r="AV19" i="3"/>
  <c r="AV17" i="3"/>
  <c r="AV13" i="3"/>
  <c r="AW145" i="3"/>
  <c r="AW163" i="3" s="1"/>
  <c r="AW138" i="3"/>
  <c r="AW129" i="3"/>
  <c r="AW124" i="3"/>
  <c r="AW118" i="3"/>
  <c r="AW112" i="3"/>
  <c r="AW94" i="3"/>
  <c r="AW88" i="3"/>
  <c r="AW80" i="3"/>
  <c r="AW161" i="3" s="1"/>
  <c r="AW38" i="3"/>
  <c r="AW29" i="3"/>
  <c r="AW27" i="3"/>
  <c r="AW24" i="3"/>
  <c r="AW22" i="3"/>
  <c r="AW19" i="3"/>
  <c r="AW17" i="3"/>
  <c r="AW13" i="3"/>
  <c r="AY29" i="3"/>
  <c r="AZ29" i="3"/>
  <c r="AX29" i="3"/>
  <c r="AY27" i="3"/>
  <c r="AZ27" i="3"/>
  <c r="AX27" i="3"/>
  <c r="AY24" i="3"/>
  <c r="AZ24" i="3"/>
  <c r="AX24" i="3"/>
  <c r="AX22" i="3"/>
  <c r="AY22" i="3"/>
  <c r="AZ22" i="3"/>
  <c r="AX17" i="3"/>
  <c r="AY17" i="3"/>
  <c r="AZ17" i="3"/>
  <c r="AY19" i="3"/>
  <c r="AZ19" i="3"/>
  <c r="AX19" i="3"/>
  <c r="AY145" i="3"/>
  <c r="AZ145" i="3"/>
  <c r="AZ163" i="3" s="1"/>
  <c r="BA145" i="3"/>
  <c r="BA163" i="3" s="1"/>
  <c r="AX145" i="3"/>
  <c r="AX163" i="3" s="1"/>
  <c r="AY138" i="3"/>
  <c r="AX138" i="3"/>
  <c r="AY129" i="3"/>
  <c r="AX129" i="3"/>
  <c r="AY124" i="3"/>
  <c r="AX124" i="3"/>
  <c r="AY118" i="3"/>
  <c r="AX118" i="3"/>
  <c r="AY112" i="3"/>
  <c r="AY141" i="3" s="1"/>
  <c r="AX112" i="3"/>
  <c r="BA138" i="3"/>
  <c r="BA157" i="3" s="1"/>
  <c r="AZ138" i="3"/>
  <c r="BA129" i="3"/>
  <c r="AZ129" i="3"/>
  <c r="BA124" i="3"/>
  <c r="AZ124" i="3"/>
  <c r="BA118" i="3"/>
  <c r="AZ118" i="3"/>
  <c r="BA112" i="3"/>
  <c r="AZ112" i="3"/>
  <c r="AX94" i="3"/>
  <c r="AX88" i="3"/>
  <c r="AX80" i="3"/>
  <c r="AX161" i="3" s="1"/>
  <c r="AZ94" i="3"/>
  <c r="AY94" i="3"/>
  <c r="AZ88" i="3"/>
  <c r="AY88" i="3"/>
  <c r="AZ80" i="3"/>
  <c r="AZ161" i="3" s="1"/>
  <c r="AY80" i="3"/>
  <c r="AY161" i="3" s="1"/>
  <c r="BA80" i="3"/>
  <c r="BA161" i="3" s="1"/>
  <c r="AY13" i="3"/>
  <c r="AZ13" i="3"/>
  <c r="BA13" i="3"/>
  <c r="BB13" i="3"/>
  <c r="BC13" i="3"/>
  <c r="BD13" i="3"/>
  <c r="BE13" i="3"/>
  <c r="BF13" i="3"/>
  <c r="BG13" i="3"/>
  <c r="BH13" i="3"/>
  <c r="BI13" i="3"/>
  <c r="BJ13" i="3"/>
  <c r="BK13" i="3"/>
  <c r="BL13" i="3"/>
  <c r="BM13" i="3"/>
  <c r="AX13" i="3"/>
  <c r="AY38" i="3"/>
  <c r="AZ38" i="3"/>
  <c r="AX38" i="3"/>
  <c r="BA27" i="3"/>
  <c r="BB27" i="3"/>
  <c r="BA22" i="3"/>
  <c r="BB22" i="3"/>
  <c r="BA17" i="3"/>
  <c r="BB17" i="3"/>
  <c r="BA19" i="3"/>
  <c r="BA24" i="3"/>
  <c r="BA29" i="3"/>
  <c r="BC27" i="3"/>
  <c r="BD27" i="3"/>
  <c r="BC22" i="3"/>
  <c r="BD22" i="3"/>
  <c r="BC17" i="3"/>
  <c r="BD17" i="3"/>
  <c r="BC103" i="3"/>
  <c r="BC102" i="3"/>
  <c r="BC154" i="3" s="1"/>
  <c r="BC153" i="3" s="1"/>
  <c r="BD103" i="3"/>
  <c r="BD102" i="3"/>
  <c r="BD154" i="3" s="1"/>
  <c r="BD153" i="3" s="1"/>
  <c r="BJ145" i="3"/>
  <c r="BJ158" i="3" s="1"/>
  <c r="BK145" i="3"/>
  <c r="BK158" i="3" s="1"/>
  <c r="BL145" i="3"/>
  <c r="BL158" i="3" s="1"/>
  <c r="BM145" i="3"/>
  <c r="BM158" i="3" s="1"/>
  <c r="BN145" i="3"/>
  <c r="BN158" i="3" s="1"/>
  <c r="BF112" i="3"/>
  <c r="BG112" i="3"/>
  <c r="BH112" i="3"/>
  <c r="BI112" i="3"/>
  <c r="BJ112" i="3"/>
  <c r="BK112" i="3"/>
  <c r="BL112" i="3"/>
  <c r="BM112" i="3"/>
  <c r="BN112" i="3"/>
  <c r="BF118" i="3"/>
  <c r="BG118" i="3"/>
  <c r="BH118" i="3"/>
  <c r="BI118" i="3"/>
  <c r="BJ118" i="3"/>
  <c r="BK118" i="3"/>
  <c r="BL118" i="3"/>
  <c r="BM118" i="3"/>
  <c r="BN118" i="3"/>
  <c r="BC124" i="3"/>
  <c r="BD124" i="3"/>
  <c r="BE124" i="3"/>
  <c r="BF124" i="3"/>
  <c r="BG124" i="3"/>
  <c r="BH124" i="3"/>
  <c r="BI124" i="3"/>
  <c r="BJ124" i="3"/>
  <c r="BK124" i="3"/>
  <c r="BL124" i="3"/>
  <c r="BM124" i="3"/>
  <c r="BN124" i="3"/>
  <c r="BC129" i="3"/>
  <c r="BD129" i="3"/>
  <c r="BE129" i="3"/>
  <c r="BF129" i="3"/>
  <c r="BG129" i="3"/>
  <c r="BH129" i="3"/>
  <c r="BI129" i="3"/>
  <c r="BJ129" i="3"/>
  <c r="BK129" i="3"/>
  <c r="BL129" i="3"/>
  <c r="BM129" i="3"/>
  <c r="BN129" i="3"/>
  <c r="BB129" i="3"/>
  <c r="BC118" i="3"/>
  <c r="BD118" i="3"/>
  <c r="BE118" i="3"/>
  <c r="BB118" i="3"/>
  <c r="BI145" i="3"/>
  <c r="BI163" i="3" s="1"/>
  <c r="K145" i="3"/>
  <c r="O145" i="3"/>
  <c r="P145" i="3"/>
  <c r="L145" i="3"/>
  <c r="K38" i="3"/>
  <c r="L38" i="3"/>
  <c r="M38" i="3"/>
  <c r="M145" i="3"/>
  <c r="Q145" i="3"/>
  <c r="S145" i="3"/>
  <c r="W145" i="3"/>
  <c r="T145" i="3"/>
  <c r="X145" i="3"/>
  <c r="U145" i="3"/>
  <c r="Y145" i="3"/>
  <c r="AA145" i="3"/>
  <c r="AE145" i="3"/>
  <c r="AB145" i="3"/>
  <c r="AF145" i="3"/>
  <c r="AC145" i="3"/>
  <c r="AL37" i="3"/>
  <c r="AL36" i="3"/>
  <c r="AL35" i="3"/>
  <c r="AL34" i="3"/>
  <c r="AL33" i="3"/>
  <c r="AL32" i="3"/>
  <c r="AL31" i="3"/>
  <c r="AM28" i="3"/>
  <c r="AM29" i="3" s="1"/>
  <c r="AM23" i="3"/>
  <c r="AM24" i="3" s="1"/>
  <c r="AM18" i="3"/>
  <c r="AM19" i="3" s="1"/>
  <c r="AM124" i="3"/>
  <c r="AM112" i="3"/>
  <c r="AM94" i="3"/>
  <c r="AM88" i="3"/>
  <c r="AM80" i="3"/>
  <c r="AG145" i="3"/>
  <c r="AJ145" i="3"/>
  <c r="AI145" i="3"/>
  <c r="AM145" i="3"/>
  <c r="M49" i="3"/>
  <c r="O49" i="3"/>
  <c r="P49" i="3"/>
  <c r="Q49" i="3"/>
  <c r="S49" i="3"/>
  <c r="T49" i="3"/>
  <c r="U49" i="3"/>
  <c r="W49" i="3"/>
  <c r="X49" i="3"/>
  <c r="Y49" i="3"/>
  <c r="AA49" i="3"/>
  <c r="AB49" i="3"/>
  <c r="AC49" i="3"/>
  <c r="AE49" i="3"/>
  <c r="AF49" i="3"/>
  <c r="AG49" i="3"/>
  <c r="AI49" i="3"/>
  <c r="AJ49" i="3"/>
  <c r="AK49" i="3"/>
  <c r="AM49" i="3"/>
  <c r="AN49" i="3"/>
  <c r="AO49" i="3"/>
  <c r="AP49" i="3"/>
  <c r="AQ49" i="3"/>
  <c r="M50" i="3"/>
  <c r="O50" i="3"/>
  <c r="P50" i="3"/>
  <c r="Q50" i="3"/>
  <c r="S50" i="3"/>
  <c r="T50" i="3"/>
  <c r="U50" i="3"/>
  <c r="W50" i="3"/>
  <c r="X50" i="3"/>
  <c r="Y50" i="3"/>
  <c r="AA50" i="3"/>
  <c r="AB50" i="3"/>
  <c r="AC50" i="3"/>
  <c r="AE50" i="3"/>
  <c r="AF50" i="3"/>
  <c r="AG50" i="3"/>
  <c r="AI50" i="3"/>
  <c r="AJ50" i="3"/>
  <c r="AK50" i="3"/>
  <c r="AM50" i="3"/>
  <c r="AN50" i="3"/>
  <c r="AO50" i="3"/>
  <c r="AP50" i="3"/>
  <c r="AQ50" i="3"/>
  <c r="L49" i="3"/>
  <c r="L50" i="3"/>
  <c r="K50" i="3"/>
  <c r="K49" i="3"/>
  <c r="M40" i="3"/>
  <c r="O40" i="3"/>
  <c r="P40" i="3"/>
  <c r="Q40" i="3"/>
  <c r="S40" i="3"/>
  <c r="T40" i="3"/>
  <c r="U40" i="3"/>
  <c r="W40" i="3"/>
  <c r="X40" i="3"/>
  <c r="Y40" i="3"/>
  <c r="AA40" i="3"/>
  <c r="AB40" i="3"/>
  <c r="AC40" i="3"/>
  <c r="AE40" i="3"/>
  <c r="AF40" i="3"/>
  <c r="AG40" i="3"/>
  <c r="AI40" i="3"/>
  <c r="AJ40" i="3"/>
  <c r="AK40" i="3"/>
  <c r="AM40" i="3"/>
  <c r="AN40" i="3"/>
  <c r="AO40" i="3"/>
  <c r="AP40" i="3"/>
  <c r="AQ40" i="3"/>
  <c r="M41" i="3"/>
  <c r="O41" i="3"/>
  <c r="P41" i="3"/>
  <c r="Q41" i="3"/>
  <c r="S41" i="3"/>
  <c r="T41" i="3"/>
  <c r="U41" i="3"/>
  <c r="W41" i="3"/>
  <c r="X41" i="3"/>
  <c r="Y41" i="3"/>
  <c r="AA41" i="3"/>
  <c r="AB41" i="3"/>
  <c r="AC41" i="3"/>
  <c r="AE41" i="3"/>
  <c r="AF41" i="3"/>
  <c r="AG41" i="3"/>
  <c r="AI41" i="3"/>
  <c r="AJ41" i="3"/>
  <c r="AK41" i="3"/>
  <c r="AM41" i="3"/>
  <c r="AN41" i="3"/>
  <c r="AO41" i="3"/>
  <c r="AP41" i="3"/>
  <c r="AQ41" i="3"/>
  <c r="M42" i="3"/>
  <c r="O42" i="3"/>
  <c r="P42" i="3"/>
  <c r="Q42" i="3"/>
  <c r="S42" i="3"/>
  <c r="T42" i="3"/>
  <c r="U42" i="3"/>
  <c r="W42" i="3"/>
  <c r="X42" i="3"/>
  <c r="Y42" i="3"/>
  <c r="AA42" i="3"/>
  <c r="AB42" i="3"/>
  <c r="AC42" i="3"/>
  <c r="AE42" i="3"/>
  <c r="AF42" i="3"/>
  <c r="AG42" i="3"/>
  <c r="AI42" i="3"/>
  <c r="AJ42" i="3"/>
  <c r="AK42" i="3"/>
  <c r="AM42" i="3"/>
  <c r="AN42" i="3"/>
  <c r="AO42" i="3"/>
  <c r="AP42" i="3"/>
  <c r="AQ42" i="3"/>
  <c r="L42" i="3"/>
  <c r="L41" i="3"/>
  <c r="L40" i="3"/>
  <c r="K42" i="3"/>
  <c r="K41" i="3"/>
  <c r="K40" i="3"/>
  <c r="AM38" i="3"/>
  <c r="AN38" i="3"/>
  <c r="AO38" i="3"/>
  <c r="AP38" i="3"/>
  <c r="AQ38" i="3"/>
  <c r="AN28" i="3"/>
  <c r="AN29" i="3" s="1"/>
  <c r="AN23" i="3"/>
  <c r="AN24" i="3" s="1"/>
  <c r="AN18" i="3"/>
  <c r="AN19" i="3" s="1"/>
  <c r="AM138" i="3"/>
  <c r="AO138" i="3"/>
  <c r="AO139" i="3" s="1"/>
  <c r="AP138" i="3"/>
  <c r="AP139" i="3" s="1"/>
  <c r="AQ138" i="3"/>
  <c r="AQ139" i="3" s="1"/>
  <c r="AN138" i="3"/>
  <c r="L129" i="3"/>
  <c r="M129" i="3"/>
  <c r="N129" i="3"/>
  <c r="O129" i="3"/>
  <c r="P129" i="3"/>
  <c r="Q129" i="3"/>
  <c r="R129" i="3"/>
  <c r="S129" i="3"/>
  <c r="T129" i="3"/>
  <c r="U129" i="3"/>
  <c r="V129" i="3"/>
  <c r="W129" i="3"/>
  <c r="X129" i="3"/>
  <c r="Y129" i="3"/>
  <c r="Z129" i="3"/>
  <c r="AA129" i="3"/>
  <c r="AB129" i="3"/>
  <c r="AC129" i="3"/>
  <c r="AD129" i="3"/>
  <c r="AE129" i="3"/>
  <c r="AF129" i="3"/>
  <c r="AG129" i="3"/>
  <c r="AH129" i="3"/>
  <c r="AI129" i="3"/>
  <c r="AJ129" i="3"/>
  <c r="AK129" i="3"/>
  <c r="AL129" i="3"/>
  <c r="AM129" i="3"/>
  <c r="AN129" i="3"/>
  <c r="AO129" i="3"/>
  <c r="AO130" i="3" s="1"/>
  <c r="AP129" i="3"/>
  <c r="AP130" i="3" s="1"/>
  <c r="AQ129" i="3"/>
  <c r="AQ130" i="3" s="1"/>
  <c r="K129" i="3"/>
  <c r="AN124" i="3"/>
  <c r="L118" i="3"/>
  <c r="M118" i="3"/>
  <c r="N118" i="3"/>
  <c r="O118" i="3"/>
  <c r="P118" i="3"/>
  <c r="Q118" i="3"/>
  <c r="R118" i="3"/>
  <c r="S118" i="3"/>
  <c r="T118" i="3"/>
  <c r="U118" i="3"/>
  <c r="V118" i="3"/>
  <c r="W118" i="3"/>
  <c r="X118" i="3"/>
  <c r="Y118" i="3"/>
  <c r="Z118" i="3"/>
  <c r="AA118" i="3"/>
  <c r="AB118" i="3"/>
  <c r="AC118" i="3"/>
  <c r="AD118" i="3"/>
  <c r="AE118" i="3"/>
  <c r="AF118" i="3"/>
  <c r="AG118" i="3"/>
  <c r="AH118" i="3"/>
  <c r="AI118" i="3"/>
  <c r="AJ118" i="3"/>
  <c r="AK118" i="3"/>
  <c r="AL118" i="3"/>
  <c r="AM118" i="3"/>
  <c r="AN118" i="3"/>
  <c r="AO118" i="3"/>
  <c r="AO119" i="3" s="1"/>
  <c r="AP118" i="3"/>
  <c r="AP119" i="3" s="1"/>
  <c r="AQ118" i="3"/>
  <c r="AQ119" i="3" s="1"/>
  <c r="K118" i="3"/>
  <c r="AN112" i="3"/>
  <c r="L102" i="3"/>
  <c r="M102" i="3"/>
  <c r="N102" i="3"/>
  <c r="O102" i="3"/>
  <c r="P102" i="3"/>
  <c r="Q102" i="3"/>
  <c r="R102" i="3"/>
  <c r="S102" i="3"/>
  <c r="T102" i="3"/>
  <c r="U102" i="3"/>
  <c r="V102" i="3"/>
  <c r="K102" i="3"/>
  <c r="W102" i="3"/>
  <c r="X102" i="3"/>
  <c r="Y102" i="3"/>
  <c r="Z102" i="3"/>
  <c r="AA102" i="3"/>
  <c r="AB102" i="3"/>
  <c r="AC102" i="3"/>
  <c r="AD102" i="3"/>
  <c r="AE102" i="3"/>
  <c r="AF102" i="3"/>
  <c r="AG102" i="3"/>
  <c r="AH102" i="3"/>
  <c r="AI102" i="3"/>
  <c r="AN94" i="3"/>
  <c r="AN88" i="3"/>
  <c r="AK88" i="3"/>
  <c r="AN80" i="3"/>
  <c r="AL27" i="3"/>
  <c r="AL26" i="3"/>
  <c r="AL42" i="3" s="1"/>
  <c r="AL22" i="3"/>
  <c r="AL21" i="3"/>
  <c r="AL41" i="3" s="1"/>
  <c r="AL17" i="3"/>
  <c r="AL16" i="3"/>
  <c r="AL40" i="3" s="1"/>
  <c r="AL138" i="3"/>
  <c r="AL124" i="3"/>
  <c r="AL112" i="3"/>
  <c r="AL97" i="3"/>
  <c r="AL96" i="3"/>
  <c r="AL93" i="3"/>
  <c r="AL92" i="3"/>
  <c r="AL91" i="3"/>
  <c r="AL87" i="3"/>
  <c r="AL86" i="3"/>
  <c r="AL85" i="3"/>
  <c r="AL84" i="3"/>
  <c r="AL83" i="3"/>
  <c r="AL82" i="3"/>
  <c r="AL79" i="3"/>
  <c r="AL78" i="3"/>
  <c r="AA35" i="5"/>
  <c r="Z35" i="5"/>
  <c r="Y35" i="5"/>
  <c r="X35" i="5"/>
  <c r="W35" i="5"/>
  <c r="V35" i="5"/>
  <c r="U35" i="5"/>
  <c r="T35" i="5"/>
  <c r="S35" i="5"/>
  <c r="R35" i="5"/>
  <c r="Q35" i="5"/>
  <c r="P35" i="5"/>
  <c r="O35" i="5"/>
  <c r="N35" i="5"/>
  <c r="M35" i="5"/>
  <c r="L35" i="5"/>
  <c r="K35" i="5"/>
  <c r="J35" i="5"/>
  <c r="I35" i="5"/>
  <c r="H35" i="5"/>
  <c r="G35" i="5"/>
  <c r="F35" i="5"/>
  <c r="E35" i="5"/>
  <c r="D35" i="5"/>
  <c r="C35" i="5"/>
  <c r="B35" i="5"/>
  <c r="AA34" i="5"/>
  <c r="Z34" i="5"/>
  <c r="Y34" i="5"/>
  <c r="X34" i="5"/>
  <c r="W34" i="5"/>
  <c r="V34" i="5"/>
  <c r="U34" i="5"/>
  <c r="T34" i="5"/>
  <c r="S34" i="5"/>
  <c r="R34" i="5"/>
  <c r="Q34" i="5"/>
  <c r="P34" i="5"/>
  <c r="O34" i="5"/>
  <c r="N34" i="5"/>
  <c r="M34" i="5"/>
  <c r="L34" i="5"/>
  <c r="K34" i="5"/>
  <c r="J34" i="5"/>
  <c r="I34" i="5"/>
  <c r="H34" i="5"/>
  <c r="G34" i="5"/>
  <c r="F34" i="5"/>
  <c r="E34" i="5"/>
  <c r="D34" i="5"/>
  <c r="C34" i="5"/>
  <c r="B34" i="5"/>
  <c r="AA33" i="5"/>
  <c r="Z33" i="5"/>
  <c r="Y33" i="5"/>
  <c r="X33" i="5"/>
  <c r="W33" i="5"/>
  <c r="V33" i="5"/>
  <c r="U33" i="5"/>
  <c r="T33" i="5"/>
  <c r="S33" i="5"/>
  <c r="R33" i="5"/>
  <c r="Q33" i="5"/>
  <c r="P33" i="5"/>
  <c r="O33" i="5"/>
  <c r="N33" i="5"/>
  <c r="M33" i="5"/>
  <c r="L33" i="5"/>
  <c r="K33" i="5"/>
  <c r="J33" i="5"/>
  <c r="I33" i="5"/>
  <c r="H33" i="5"/>
  <c r="G33" i="5"/>
  <c r="F33" i="5"/>
  <c r="E33" i="5"/>
  <c r="D33" i="5"/>
  <c r="C33" i="5"/>
  <c r="B33" i="5"/>
  <c r="AA29" i="5"/>
  <c r="Z29" i="5"/>
  <c r="Y29" i="5"/>
  <c r="X29" i="5"/>
  <c r="W29" i="5"/>
  <c r="V29" i="5"/>
  <c r="U29" i="5"/>
  <c r="T29" i="5"/>
  <c r="S29" i="5"/>
  <c r="R29" i="5"/>
  <c r="Q29" i="5"/>
  <c r="P29" i="5"/>
  <c r="O29" i="5"/>
  <c r="N29" i="5"/>
  <c r="M29" i="5"/>
  <c r="L29" i="5"/>
  <c r="K29" i="5"/>
  <c r="J29" i="5"/>
  <c r="I29" i="5"/>
  <c r="H29" i="5"/>
  <c r="G29" i="5"/>
  <c r="F29" i="5"/>
  <c r="E29" i="5"/>
  <c r="D29" i="5"/>
  <c r="C29" i="5"/>
  <c r="C28" i="5"/>
  <c r="R30" i="4"/>
  <c r="Q30" i="4"/>
  <c r="P30" i="4"/>
  <c r="O30" i="4"/>
  <c r="N30" i="4"/>
  <c r="M30" i="4"/>
  <c r="L30" i="4"/>
  <c r="K30" i="4"/>
  <c r="J30" i="4"/>
  <c r="I30" i="4"/>
  <c r="H30" i="4"/>
  <c r="G30" i="4"/>
  <c r="F30" i="4"/>
  <c r="E30" i="4"/>
  <c r="D30" i="4"/>
  <c r="C30" i="4"/>
  <c r="B30" i="4"/>
  <c r="R28" i="4"/>
  <c r="Q28" i="4"/>
  <c r="P28" i="4"/>
  <c r="O28" i="4"/>
  <c r="N28" i="4"/>
  <c r="M28" i="4"/>
  <c r="L28" i="4"/>
  <c r="K28" i="4"/>
  <c r="J28" i="4"/>
  <c r="I28" i="4"/>
  <c r="H28" i="4"/>
  <c r="G28" i="4"/>
  <c r="F28" i="4"/>
  <c r="E28" i="4"/>
  <c r="D28" i="4"/>
  <c r="C28" i="4"/>
  <c r="B28" i="4"/>
  <c r="BH145" i="3"/>
  <c r="BH163" i="3" s="1"/>
  <c r="BG145" i="3"/>
  <c r="BG163" i="3" s="1"/>
  <c r="BF145" i="3"/>
  <c r="BF163" i="3" s="1"/>
  <c r="BE145" i="3"/>
  <c r="BE163" i="3" s="1"/>
  <c r="BD145" i="3"/>
  <c r="BD163" i="3" s="1"/>
  <c r="BC145" i="3"/>
  <c r="BC163" i="3" s="1"/>
  <c r="BB145" i="3"/>
  <c r="BB163" i="3" s="1"/>
  <c r="AK145" i="3"/>
  <c r="BI138" i="3"/>
  <c r="BH138" i="3"/>
  <c r="BH157" i="3" s="1"/>
  <c r="BG138" i="3"/>
  <c r="BG157" i="3" s="1"/>
  <c r="BF138" i="3"/>
  <c r="BE138" i="3"/>
  <c r="BD138" i="3"/>
  <c r="BC138" i="3"/>
  <c r="BB138" i="3"/>
  <c r="BB157" i="3" s="1"/>
  <c r="AK138" i="3"/>
  <c r="AJ138" i="3"/>
  <c r="AI138" i="3"/>
  <c r="AH138" i="3"/>
  <c r="AG138" i="3"/>
  <c r="AF138" i="3"/>
  <c r="AE138" i="3"/>
  <c r="AD138" i="3"/>
  <c r="AC138" i="3"/>
  <c r="AB138" i="3"/>
  <c r="AA138" i="3"/>
  <c r="Z138" i="3"/>
  <c r="Y138" i="3"/>
  <c r="X138" i="3"/>
  <c r="W138" i="3"/>
  <c r="V138" i="3"/>
  <c r="U138" i="3"/>
  <c r="T138" i="3"/>
  <c r="S138" i="3"/>
  <c r="R138" i="3"/>
  <c r="Q138" i="3"/>
  <c r="P138" i="3"/>
  <c r="O138" i="3"/>
  <c r="N138" i="3"/>
  <c r="M138" i="3"/>
  <c r="L138" i="3"/>
  <c r="K138" i="3"/>
  <c r="BB124" i="3"/>
  <c r="AK124" i="3"/>
  <c r="AJ124" i="3"/>
  <c r="AI124" i="3"/>
  <c r="AH124" i="3"/>
  <c r="AG124" i="3"/>
  <c r="AF124" i="3"/>
  <c r="AE124" i="3"/>
  <c r="AD124" i="3"/>
  <c r="AC124" i="3"/>
  <c r="AB124" i="3"/>
  <c r="AA124" i="3"/>
  <c r="Z124" i="3"/>
  <c r="Y124" i="3"/>
  <c r="X124" i="3"/>
  <c r="W124" i="3"/>
  <c r="V124" i="3"/>
  <c r="U124" i="3"/>
  <c r="T124" i="3"/>
  <c r="S124" i="3"/>
  <c r="R124" i="3"/>
  <c r="Q124" i="3"/>
  <c r="P124" i="3"/>
  <c r="O124" i="3"/>
  <c r="N124" i="3"/>
  <c r="M124" i="3"/>
  <c r="L124" i="3"/>
  <c r="K124" i="3"/>
  <c r="BE112" i="3"/>
  <c r="BD112" i="3"/>
  <c r="BC112" i="3"/>
  <c r="BB112" i="3"/>
  <c r="AK112" i="3"/>
  <c r="AJ112" i="3"/>
  <c r="AI112" i="3"/>
  <c r="AH112" i="3"/>
  <c r="AG112" i="3"/>
  <c r="AF112" i="3"/>
  <c r="AE112" i="3"/>
  <c r="AD112" i="3"/>
  <c r="AC112" i="3"/>
  <c r="AB112" i="3"/>
  <c r="AA112" i="3"/>
  <c r="Z112" i="3"/>
  <c r="Y112" i="3"/>
  <c r="X112" i="3"/>
  <c r="W112" i="3"/>
  <c r="V112" i="3"/>
  <c r="U112" i="3"/>
  <c r="T112" i="3"/>
  <c r="S112" i="3"/>
  <c r="R112" i="3"/>
  <c r="Q112" i="3"/>
  <c r="P112" i="3"/>
  <c r="O112" i="3"/>
  <c r="N112" i="3"/>
  <c r="M112" i="3"/>
  <c r="L112" i="3"/>
  <c r="K112" i="3"/>
  <c r="BF103" i="3"/>
  <c r="BE103" i="3"/>
  <c r="BF102" i="3"/>
  <c r="BF154" i="3" s="1"/>
  <c r="BF153" i="3" s="1"/>
  <c r="BE102" i="3"/>
  <c r="BE154" i="3" s="1"/>
  <c r="BE153" i="3" s="1"/>
  <c r="AH97" i="3"/>
  <c r="AD97" i="3"/>
  <c r="Z97" i="3"/>
  <c r="V97" i="3"/>
  <c r="R97" i="3"/>
  <c r="N97" i="3"/>
  <c r="AH96" i="3"/>
  <c r="AD96" i="3"/>
  <c r="Z96" i="3"/>
  <c r="V96" i="3"/>
  <c r="R96" i="3"/>
  <c r="N96" i="3"/>
  <c r="BI94" i="3"/>
  <c r="BH94" i="3"/>
  <c r="BG94" i="3"/>
  <c r="BF94" i="3"/>
  <c r="BE94" i="3"/>
  <c r="BD94" i="3"/>
  <c r="BC94" i="3"/>
  <c r="BB94" i="3"/>
  <c r="BA94" i="3"/>
  <c r="AK94" i="3"/>
  <c r="AJ94" i="3"/>
  <c r="AI94" i="3"/>
  <c r="AG94" i="3"/>
  <c r="AF94" i="3"/>
  <c r="AE94" i="3"/>
  <c r="AC94" i="3"/>
  <c r="AB94" i="3"/>
  <c r="AA94" i="3"/>
  <c r="Y94" i="3"/>
  <c r="X94" i="3"/>
  <c r="W94" i="3"/>
  <c r="U94" i="3"/>
  <c r="T94" i="3"/>
  <c r="S94" i="3"/>
  <c r="Q94" i="3"/>
  <c r="P94" i="3"/>
  <c r="O94" i="3"/>
  <c r="M94" i="3"/>
  <c r="L94" i="3"/>
  <c r="K94" i="3"/>
  <c r="AH93" i="3"/>
  <c r="AD93" i="3"/>
  <c r="Z93" i="3"/>
  <c r="V93" i="3"/>
  <c r="R93" i="3"/>
  <c r="N93" i="3"/>
  <c r="AH92" i="3"/>
  <c r="AD92" i="3"/>
  <c r="Z92" i="3"/>
  <c r="V92" i="3"/>
  <c r="R92" i="3"/>
  <c r="N92" i="3"/>
  <c r="AH91" i="3"/>
  <c r="AD91" i="3"/>
  <c r="Z91" i="3"/>
  <c r="V91" i="3"/>
  <c r="R91" i="3"/>
  <c r="N91" i="3"/>
  <c r="BI88" i="3"/>
  <c r="BH88" i="3"/>
  <c r="BG88" i="3"/>
  <c r="BF88" i="3"/>
  <c r="BE88" i="3"/>
  <c r="BD88" i="3"/>
  <c r="BC88" i="3"/>
  <c r="BB88" i="3"/>
  <c r="BA88" i="3"/>
  <c r="AJ88" i="3"/>
  <c r="AI88" i="3"/>
  <c r="AG88" i="3"/>
  <c r="AF88" i="3"/>
  <c r="AE88" i="3"/>
  <c r="AC88" i="3"/>
  <c r="AB88" i="3"/>
  <c r="AA88" i="3"/>
  <c r="Y88" i="3"/>
  <c r="X88" i="3"/>
  <c r="W88" i="3"/>
  <c r="U88" i="3"/>
  <c r="T88" i="3"/>
  <c r="S88" i="3"/>
  <c r="Q88" i="3"/>
  <c r="P88" i="3"/>
  <c r="O88" i="3"/>
  <c r="M88" i="3"/>
  <c r="L88" i="3"/>
  <c r="K88" i="3"/>
  <c r="AH87" i="3"/>
  <c r="AD87" i="3"/>
  <c r="Z87" i="3"/>
  <c r="V87" i="3"/>
  <c r="R87" i="3"/>
  <c r="N87" i="3"/>
  <c r="AH86" i="3"/>
  <c r="AD86" i="3"/>
  <c r="Z86" i="3"/>
  <c r="V86" i="3"/>
  <c r="R86" i="3"/>
  <c r="N86" i="3"/>
  <c r="AH85" i="3"/>
  <c r="AD85" i="3"/>
  <c r="Z85" i="3"/>
  <c r="V85" i="3"/>
  <c r="R85" i="3"/>
  <c r="N85" i="3"/>
  <c r="AH84" i="3"/>
  <c r="AD84" i="3"/>
  <c r="Z84" i="3"/>
  <c r="V84" i="3"/>
  <c r="R84" i="3"/>
  <c r="N84" i="3"/>
  <c r="AH83" i="3"/>
  <c r="AD83" i="3"/>
  <c r="Z83" i="3"/>
  <c r="V83" i="3"/>
  <c r="R83" i="3"/>
  <c r="N83" i="3"/>
  <c r="AH82" i="3"/>
  <c r="AD82" i="3"/>
  <c r="Z82" i="3"/>
  <c r="V82" i="3"/>
  <c r="R82" i="3"/>
  <c r="N82" i="3"/>
  <c r="BI80" i="3"/>
  <c r="BI161" i="3" s="1"/>
  <c r="BH80" i="3"/>
  <c r="BH161" i="3" s="1"/>
  <c r="BG80" i="3"/>
  <c r="BG161" i="3" s="1"/>
  <c r="BF80" i="3"/>
  <c r="BF161" i="3" s="1"/>
  <c r="BE80" i="3"/>
  <c r="BE161" i="3" s="1"/>
  <c r="BD80" i="3"/>
  <c r="BD161" i="3" s="1"/>
  <c r="BC80" i="3"/>
  <c r="BC161" i="3" s="1"/>
  <c r="BB80" i="3"/>
  <c r="BB161" i="3" s="1"/>
  <c r="AK80" i="3"/>
  <c r="AJ80" i="3"/>
  <c r="AI80" i="3"/>
  <c r="AG80" i="3"/>
  <c r="AF80" i="3"/>
  <c r="AE80" i="3"/>
  <c r="AC80" i="3"/>
  <c r="AB80" i="3"/>
  <c r="AA80" i="3"/>
  <c r="Y80" i="3"/>
  <c r="X80" i="3"/>
  <c r="W80" i="3"/>
  <c r="U80" i="3"/>
  <c r="T80" i="3"/>
  <c r="S80" i="3"/>
  <c r="Q80" i="3"/>
  <c r="P80" i="3"/>
  <c r="O80" i="3"/>
  <c r="M80" i="3"/>
  <c r="L80" i="3"/>
  <c r="K80" i="3"/>
  <c r="AH79" i="3"/>
  <c r="AD79" i="3"/>
  <c r="Z79" i="3"/>
  <c r="V79" i="3"/>
  <c r="R79" i="3"/>
  <c r="N79" i="3"/>
  <c r="AH78" i="3"/>
  <c r="AD78" i="3"/>
  <c r="Z78" i="3"/>
  <c r="V78" i="3"/>
  <c r="R78" i="3"/>
  <c r="N78" i="3"/>
  <c r="BI42" i="3"/>
  <c r="BH42" i="3"/>
  <c r="BG42" i="3"/>
  <c r="BF42" i="3"/>
  <c r="BE42" i="3"/>
  <c r="BD42" i="3"/>
  <c r="BC42" i="3"/>
  <c r="BB42" i="3"/>
  <c r="BI41" i="3"/>
  <c r="BH41" i="3"/>
  <c r="BG41" i="3"/>
  <c r="BF41" i="3"/>
  <c r="BE41" i="3"/>
  <c r="BD41" i="3"/>
  <c r="BC41" i="3"/>
  <c r="BB41" i="3"/>
  <c r="BI40" i="3"/>
  <c r="BH40" i="3"/>
  <c r="BG40" i="3"/>
  <c r="BF40" i="3"/>
  <c r="BE40" i="3"/>
  <c r="BD40" i="3"/>
  <c r="BC40" i="3"/>
  <c r="BB40" i="3"/>
  <c r="BI38" i="3"/>
  <c r="BH38" i="3"/>
  <c r="BG38" i="3"/>
  <c r="BF38" i="3"/>
  <c r="BE38" i="3"/>
  <c r="BD38" i="3"/>
  <c r="BC38" i="3"/>
  <c r="BB38" i="3"/>
  <c r="BA38" i="3"/>
  <c r="AK38" i="3"/>
  <c r="AJ38" i="3"/>
  <c r="AI38" i="3"/>
  <c r="AH38" i="3"/>
  <c r="AG38" i="3"/>
  <c r="AF38" i="3"/>
  <c r="AE38" i="3"/>
  <c r="AD38" i="3"/>
  <c r="AC38" i="3"/>
  <c r="AB38" i="3"/>
  <c r="AA38" i="3"/>
  <c r="Z38" i="3"/>
  <c r="Y38" i="3"/>
  <c r="X38" i="3"/>
  <c r="W38" i="3"/>
  <c r="V38" i="3"/>
  <c r="U38" i="3"/>
  <c r="T38" i="3"/>
  <c r="S38" i="3"/>
  <c r="R38" i="3"/>
  <c r="Q38" i="3"/>
  <c r="P38" i="3"/>
  <c r="O38" i="3"/>
  <c r="BI29" i="3"/>
  <c r="BH28" i="3"/>
  <c r="BH29" i="3" s="1"/>
  <c r="BG28" i="3"/>
  <c r="BG29" i="3" s="1"/>
  <c r="BF28" i="3"/>
  <c r="BF29" i="3" s="1"/>
  <c r="BE28" i="3"/>
  <c r="BE29" i="3" s="1"/>
  <c r="BD29" i="3"/>
  <c r="BC29" i="3"/>
  <c r="BB29" i="3"/>
  <c r="AK28" i="3"/>
  <c r="AK29" i="3" s="1"/>
  <c r="AJ28" i="3"/>
  <c r="AJ29" i="3" s="1"/>
  <c r="AI28" i="3"/>
  <c r="AI29" i="3" s="1"/>
  <c r="AG28" i="3"/>
  <c r="AG29" i="3" s="1"/>
  <c r="AF28" i="3"/>
  <c r="AE28" i="3"/>
  <c r="AE29" i="3" s="1"/>
  <c r="AC28" i="3"/>
  <c r="AC29" i="3" s="1"/>
  <c r="AB28" i="3"/>
  <c r="AB29" i="3" s="1"/>
  <c r="AA28" i="3"/>
  <c r="AA29" i="3" s="1"/>
  <c r="Y28" i="3"/>
  <c r="Y29" i="3" s="1"/>
  <c r="X28" i="3"/>
  <c r="X29" i="3" s="1"/>
  <c r="W28" i="3"/>
  <c r="W29" i="3" s="1"/>
  <c r="U28" i="3"/>
  <c r="U29" i="3" s="1"/>
  <c r="T28" i="3"/>
  <c r="T29" i="3" s="1"/>
  <c r="S28" i="3"/>
  <c r="Q28" i="3"/>
  <c r="Q29" i="3" s="1"/>
  <c r="P28" i="3"/>
  <c r="P29" i="3" s="1"/>
  <c r="O28" i="3"/>
  <c r="O29" i="3" s="1"/>
  <c r="M28" i="3"/>
  <c r="M29" i="3" s="1"/>
  <c r="L28" i="3"/>
  <c r="L29" i="3" s="1"/>
  <c r="K28" i="3"/>
  <c r="K29" i="3" s="1"/>
  <c r="AH26" i="3"/>
  <c r="AH42" i="3" s="1"/>
  <c r="AD26" i="3"/>
  <c r="AD42" i="3" s="1"/>
  <c r="Z26" i="3"/>
  <c r="Z42" i="3" s="1"/>
  <c r="V26" i="3"/>
  <c r="V42" i="3" s="1"/>
  <c r="R26" i="3"/>
  <c r="R42" i="3" s="1"/>
  <c r="N26" i="3"/>
  <c r="N42" i="3" s="1"/>
  <c r="BI24" i="3"/>
  <c r="BH23" i="3"/>
  <c r="BH24" i="3" s="1"/>
  <c r="BG23" i="3"/>
  <c r="BG24" i="3" s="1"/>
  <c r="BF23" i="3"/>
  <c r="BF24" i="3" s="1"/>
  <c r="BE23" i="3"/>
  <c r="BE24" i="3" s="1"/>
  <c r="BD24" i="3"/>
  <c r="BC24" i="3"/>
  <c r="AK23" i="3"/>
  <c r="AK24" i="3" s="1"/>
  <c r="AJ23" i="3"/>
  <c r="AJ24" i="3" s="1"/>
  <c r="AI23" i="3"/>
  <c r="AI24" i="3" s="1"/>
  <c r="AG23" i="3"/>
  <c r="AF23" i="3"/>
  <c r="AF24" i="3" s="1"/>
  <c r="AE23" i="3"/>
  <c r="AE24" i="3" s="1"/>
  <c r="AC23" i="3"/>
  <c r="AC24" i="3" s="1"/>
  <c r="AB23" i="3"/>
  <c r="AB24" i="3" s="1"/>
  <c r="AA23" i="3"/>
  <c r="AA24" i="3" s="1"/>
  <c r="Y23" i="3"/>
  <c r="Y24" i="3" s="1"/>
  <c r="X23" i="3"/>
  <c r="X24" i="3" s="1"/>
  <c r="W23" i="3"/>
  <c r="W24" i="3" s="1"/>
  <c r="U23" i="3"/>
  <c r="U24" i="3" s="1"/>
  <c r="T23" i="3"/>
  <c r="T24" i="3" s="1"/>
  <c r="S23" i="3"/>
  <c r="S24" i="3" s="1"/>
  <c r="Q23" i="3"/>
  <c r="P23" i="3"/>
  <c r="P24" i="3" s="1"/>
  <c r="O23" i="3"/>
  <c r="O24" i="3" s="1"/>
  <c r="M23" i="3"/>
  <c r="M24" i="3" s="1"/>
  <c r="L23" i="3"/>
  <c r="L24" i="3" s="1"/>
  <c r="K23" i="3"/>
  <c r="K24" i="3" s="1"/>
  <c r="V22" i="3"/>
  <c r="AH21" i="3"/>
  <c r="AH41" i="3" s="1"/>
  <c r="AD21" i="3"/>
  <c r="AD41" i="3" s="1"/>
  <c r="Z21" i="3"/>
  <c r="Z41" i="3" s="1"/>
  <c r="V21" i="3"/>
  <c r="V41" i="3" s="1"/>
  <c r="R21" i="3"/>
  <c r="R41" i="3" s="1"/>
  <c r="N21" i="3"/>
  <c r="N41" i="3" s="1"/>
  <c r="BI19" i="3"/>
  <c r="BH18" i="3"/>
  <c r="BH19" i="3" s="1"/>
  <c r="BG18" i="3"/>
  <c r="BG19" i="3" s="1"/>
  <c r="BF18" i="3"/>
  <c r="BF19" i="3" s="1"/>
  <c r="BE18" i="3"/>
  <c r="BE19" i="3" s="1"/>
  <c r="BD19" i="3"/>
  <c r="BC19" i="3"/>
  <c r="AK18" i="3"/>
  <c r="AK19" i="3" s="1"/>
  <c r="AJ18" i="3"/>
  <c r="AJ19" i="3" s="1"/>
  <c r="AI18" i="3"/>
  <c r="AI19" i="3" s="1"/>
  <c r="AG18" i="3"/>
  <c r="AG19" i="3" s="1"/>
  <c r="AF18" i="3"/>
  <c r="AF19" i="3" s="1"/>
  <c r="AE18" i="3"/>
  <c r="AE19" i="3" s="1"/>
  <c r="AC18" i="3"/>
  <c r="AB18" i="3"/>
  <c r="AB19" i="3" s="1"/>
  <c r="AA18" i="3"/>
  <c r="AA19" i="3" s="1"/>
  <c r="Y18" i="3"/>
  <c r="Y19" i="3" s="1"/>
  <c r="X18" i="3"/>
  <c r="W18" i="3"/>
  <c r="W19" i="3" s="1"/>
  <c r="U18" i="3"/>
  <c r="T18" i="3"/>
  <c r="T19" i="3" s="1"/>
  <c r="S18" i="3"/>
  <c r="S19" i="3" s="1"/>
  <c r="Q18" i="3"/>
  <c r="Q19" i="3" s="1"/>
  <c r="P18" i="3"/>
  <c r="P19" i="3" s="1"/>
  <c r="O18" i="3"/>
  <c r="O19" i="3" s="1"/>
  <c r="M18" i="3"/>
  <c r="L18" i="3"/>
  <c r="L19" i="3" s="1"/>
  <c r="K18" i="3"/>
  <c r="K19" i="3" s="1"/>
  <c r="V17" i="3"/>
  <c r="AH16" i="3"/>
  <c r="AH40" i="3" s="1"/>
  <c r="AD16" i="3"/>
  <c r="AD40" i="3" s="1"/>
  <c r="Z16" i="3"/>
  <c r="Z40" i="3" s="1"/>
  <c r="V16" i="3"/>
  <c r="V40" i="3" s="1"/>
  <c r="R16" i="3"/>
  <c r="R40" i="3" s="1"/>
  <c r="N16" i="3"/>
  <c r="N40" i="3" s="1"/>
  <c r="B6" i="1"/>
  <c r="B5" i="1"/>
  <c r="B3" i="1" a="1"/>
  <c r="B3" i="1" s="1"/>
  <c r="B2" i="1" a="1"/>
  <c r="B2" i="1" s="1"/>
  <c r="AH163" i="3" l="1"/>
  <c r="AL163" i="3"/>
  <c r="AE157" i="3"/>
  <c r="AE156" i="3"/>
  <c r="AE155" i="3"/>
  <c r="AE158" i="3"/>
  <c r="O157" i="3"/>
  <c r="O156" i="3"/>
  <c r="O155" i="3"/>
  <c r="O158" i="3"/>
  <c r="AD157" i="3"/>
  <c r="AD156" i="3"/>
  <c r="AD155" i="3"/>
  <c r="AD158" i="3"/>
  <c r="N157" i="3"/>
  <c r="N156" i="3"/>
  <c r="N155" i="3"/>
  <c r="N158" i="3"/>
  <c r="AC157" i="3"/>
  <c r="AC156" i="3"/>
  <c r="AC158" i="3"/>
  <c r="AC155" i="3"/>
  <c r="M157" i="3"/>
  <c r="M156" i="3"/>
  <c r="M158" i="3"/>
  <c r="M155" i="3"/>
  <c r="AB157" i="3"/>
  <c r="AB156" i="3"/>
  <c r="AB155" i="3"/>
  <c r="AB158" i="3"/>
  <c r="L157" i="3"/>
  <c r="L156" i="3"/>
  <c r="L155" i="3"/>
  <c r="L158" i="3"/>
  <c r="AA158" i="3"/>
  <c r="Z158" i="3"/>
  <c r="Y158" i="3"/>
  <c r="X158" i="3"/>
  <c r="AM158" i="3"/>
  <c r="W158" i="3"/>
  <c r="AA155" i="3"/>
  <c r="AL158" i="3"/>
  <c r="V158" i="3"/>
  <c r="Z155" i="3"/>
  <c r="AK158" i="3"/>
  <c r="U158" i="3"/>
  <c r="Y155" i="3"/>
  <c r="AJ158" i="3"/>
  <c r="T158" i="3"/>
  <c r="X155" i="3"/>
  <c r="Y157" i="3"/>
  <c r="K155" i="3"/>
  <c r="K156" i="3"/>
  <c r="K157" i="3"/>
  <c r="BI158" i="3"/>
  <c r="BI157" i="3"/>
  <c r="BI155" i="3"/>
  <c r="BF155" i="3"/>
  <c r="BF158" i="3"/>
  <c r="BF157" i="3"/>
  <c r="BE155" i="3"/>
  <c r="BE158" i="3"/>
  <c r="BE157" i="3"/>
  <c r="BE156" i="3"/>
  <c r="AZ158" i="3"/>
  <c r="AZ157" i="3"/>
  <c r="AZ155" i="3"/>
  <c r="BD155" i="3"/>
  <c r="BD158" i="3"/>
  <c r="BD157" i="3"/>
  <c r="BC158" i="3"/>
  <c r="BC157" i="3"/>
  <c r="BC155" i="3"/>
  <c r="BG156" i="3"/>
  <c r="AU155" i="3"/>
  <c r="BB155" i="3"/>
  <c r="AY163" i="3"/>
  <c r="BN163" i="3"/>
  <c r="BH158" i="3"/>
  <c r="AY155" i="3"/>
  <c r="BM163" i="3"/>
  <c r="AW130" i="3"/>
  <c r="AU119" i="3"/>
  <c r="BG158" i="3"/>
  <c r="AX155" i="3"/>
  <c r="BL163" i="3"/>
  <c r="AW155" i="3"/>
  <c r="BK163" i="3"/>
  <c r="AY156" i="3"/>
  <c r="AV155" i="3"/>
  <c r="BJ163" i="3"/>
  <c r="AW156" i="3"/>
  <c r="BB158" i="3"/>
  <c r="AY157" i="3"/>
  <c r="AV156" i="3"/>
  <c r="AX157" i="3"/>
  <c r="BH155" i="3"/>
  <c r="AW157" i="3"/>
  <c r="BG155" i="3"/>
  <c r="BJ161" i="3"/>
  <c r="BC43" i="3"/>
  <c r="BC45" i="3" s="1"/>
  <c r="AW89" i="3"/>
  <c r="AW95" i="3" s="1"/>
  <c r="AW98" i="3" s="1"/>
  <c r="AU89" i="3"/>
  <c r="AU95" i="3" s="1"/>
  <c r="AU98" i="3" s="1"/>
  <c r="BE43" i="3"/>
  <c r="BE46" i="3" s="1"/>
  <c r="BI43" i="3"/>
  <c r="BI44" i="3" s="1"/>
  <c r="BH51" i="3"/>
  <c r="BH52" i="3" s="1"/>
  <c r="AX141" i="3"/>
  <c r="AU130" i="3"/>
  <c r="AU139" i="3" s="1"/>
  <c r="AZ50" i="3"/>
  <c r="AZ51" i="3" s="1"/>
  <c r="AZ52" i="3" s="1"/>
  <c r="BB43" i="3"/>
  <c r="BB45" i="3" s="1"/>
  <c r="AY50" i="3"/>
  <c r="AY51" i="3" s="1"/>
  <c r="AY52" i="3" s="1"/>
  <c r="AV50" i="3"/>
  <c r="AV51" i="3" s="1"/>
  <c r="AV52" i="3" s="1"/>
  <c r="AU50" i="3"/>
  <c r="AU51" i="3" s="1"/>
  <c r="AU52" i="3" s="1"/>
  <c r="BF43" i="3"/>
  <c r="BF45" i="3" s="1"/>
  <c r="AZ141" i="3"/>
  <c r="AX130" i="3"/>
  <c r="AX139" i="3" s="1"/>
  <c r="BD50" i="3"/>
  <c r="BD51" i="3" s="1"/>
  <c r="BD52" i="3" s="1"/>
  <c r="AW141" i="3"/>
  <c r="AV43" i="3"/>
  <c r="AV44" i="3" s="1"/>
  <c r="AV47" i="3" s="1"/>
  <c r="AW43" i="3"/>
  <c r="AW44" i="3" s="1"/>
  <c r="AW47" i="3" s="1"/>
  <c r="AW50" i="3"/>
  <c r="AW51" i="3" s="1"/>
  <c r="AW52" i="3" s="1"/>
  <c r="AX50" i="3"/>
  <c r="AX51" i="3" s="1"/>
  <c r="AX52" i="3" s="1"/>
  <c r="BA50" i="3"/>
  <c r="BA51" i="3" s="1"/>
  <c r="BA52" i="3" s="1"/>
  <c r="BD43" i="3"/>
  <c r="BD45" i="3" s="1"/>
  <c r="BA43" i="3"/>
  <c r="BA44" i="3" s="1"/>
  <c r="BG43" i="3"/>
  <c r="BG45" i="3" s="1"/>
  <c r="BB50" i="3"/>
  <c r="BB51" i="3" s="1"/>
  <c r="BB52" i="3" s="1"/>
  <c r="AZ43" i="3"/>
  <c r="AZ46" i="3" s="1"/>
  <c r="BH43" i="3"/>
  <c r="BH44" i="3" s="1"/>
  <c r="AY43" i="3"/>
  <c r="AY44" i="3" s="1"/>
  <c r="AY47" i="3" s="1"/>
  <c r="BI51" i="3"/>
  <c r="BI52" i="3" s="1"/>
  <c r="AU43" i="3"/>
  <c r="AU46" i="3" s="1"/>
  <c r="AX43" i="3"/>
  <c r="AX45" i="3" s="1"/>
  <c r="BC50" i="3"/>
  <c r="BC51" i="3" s="1"/>
  <c r="BC52" i="3" s="1"/>
  <c r="T119" i="3"/>
  <c r="AU141" i="3"/>
  <c r="BE51" i="3"/>
  <c r="BE52" i="3" s="1"/>
  <c r="BA119" i="3"/>
  <c r="BG51" i="3"/>
  <c r="BG52" i="3" s="1"/>
  <c r="BF51" i="3"/>
  <c r="BF52" i="3" s="1"/>
  <c r="AZ89" i="3"/>
  <c r="AZ95" i="3" s="1"/>
  <c r="AZ98" i="3" s="1"/>
  <c r="AW119" i="3"/>
  <c r="AM89" i="3"/>
  <c r="AM95" i="3" s="1"/>
  <c r="AM98" i="3" s="1"/>
  <c r="AM100" i="3" s="1"/>
  <c r="AY89" i="3"/>
  <c r="AY95" i="3" s="1"/>
  <c r="AY98" i="3" s="1"/>
  <c r="AZ130" i="3"/>
  <c r="AZ139" i="3" s="1"/>
  <c r="AV89" i="3"/>
  <c r="AV95" i="3" s="1"/>
  <c r="AV98" i="3" s="1"/>
  <c r="AV141" i="3"/>
  <c r="BK119" i="3"/>
  <c r="AX119" i="3"/>
  <c r="AV130" i="3"/>
  <c r="AV139" i="3" s="1"/>
  <c r="AN51" i="3"/>
  <c r="AN52" i="3" s="1"/>
  <c r="BH119" i="3"/>
  <c r="AX89" i="3"/>
  <c r="AX95" i="3" s="1"/>
  <c r="AX98" i="3" s="1"/>
  <c r="AX156" i="3" s="1"/>
  <c r="AY119" i="3"/>
  <c r="BA130" i="3"/>
  <c r="BA139" i="3" s="1"/>
  <c r="BA141" i="3"/>
  <c r="AY130" i="3"/>
  <c r="AY139" i="3" s="1"/>
  <c r="AZ119" i="3"/>
  <c r="AV45" i="3"/>
  <c r="AV119" i="3"/>
  <c r="AW139" i="3"/>
  <c r="BA89" i="3"/>
  <c r="BA95" i="3" s="1"/>
  <c r="BA98" i="3" s="1"/>
  <c r="BM119" i="3"/>
  <c r="BC130" i="3"/>
  <c r="BC139" i="3" s="1"/>
  <c r="BF130" i="3"/>
  <c r="BF139" i="3" s="1"/>
  <c r="BC119" i="3"/>
  <c r="BI119" i="3"/>
  <c r="T130" i="3"/>
  <c r="AJ130" i="3"/>
  <c r="BF119" i="3"/>
  <c r="BG119" i="3"/>
  <c r="BK130" i="3"/>
  <c r="BL119" i="3"/>
  <c r="U130" i="3"/>
  <c r="BB130" i="3"/>
  <c r="BB139" i="3" s="1"/>
  <c r="Q119" i="3"/>
  <c r="AG119" i="3"/>
  <c r="S130" i="3"/>
  <c r="BN130" i="3"/>
  <c r="BB119" i="3"/>
  <c r="L119" i="3"/>
  <c r="AB119" i="3"/>
  <c r="BJ119" i="3"/>
  <c r="BD130" i="3"/>
  <c r="BD139" i="3" s="1"/>
  <c r="BD119" i="3"/>
  <c r="BE130" i="3"/>
  <c r="BE139" i="3" s="1"/>
  <c r="BE119" i="3"/>
  <c r="BN119" i="3"/>
  <c r="BM130" i="3"/>
  <c r="BL130" i="3"/>
  <c r="BJ130" i="3"/>
  <c r="BI130" i="3"/>
  <c r="BI139" i="3" s="1"/>
  <c r="BH130" i="3"/>
  <c r="BH139" i="3" s="1"/>
  <c r="BG130" i="3"/>
  <c r="BG139" i="3" s="1"/>
  <c r="K51" i="3"/>
  <c r="K52" i="3" s="1"/>
  <c r="N119" i="3"/>
  <c r="AM51" i="3"/>
  <c r="AM52" i="3" s="1"/>
  <c r="AQ51" i="3"/>
  <c r="AQ52" i="3" s="1"/>
  <c r="AP51" i="3"/>
  <c r="AP52" i="3" s="1"/>
  <c r="AL50" i="3"/>
  <c r="AO51" i="3"/>
  <c r="AO52" i="3" s="1"/>
  <c r="AL38" i="3"/>
  <c r="AM130" i="3"/>
  <c r="AM139" i="3" s="1"/>
  <c r="AM119" i="3"/>
  <c r="AN145" i="3"/>
  <c r="AH49" i="3"/>
  <c r="R49" i="3"/>
  <c r="AA130" i="3"/>
  <c r="AD49" i="3"/>
  <c r="N49" i="3"/>
  <c r="Z49" i="3"/>
  <c r="AL49" i="3"/>
  <c r="V49" i="3"/>
  <c r="S119" i="3"/>
  <c r="AI119" i="3"/>
  <c r="P43" i="3"/>
  <c r="P45" i="3" s="1"/>
  <c r="O43" i="3"/>
  <c r="O46" i="3" s="1"/>
  <c r="AD119" i="3"/>
  <c r="AN89" i="3"/>
  <c r="AN95" i="3" s="1"/>
  <c r="AN98" i="3" s="1"/>
  <c r="AN100" i="3" s="1"/>
  <c r="AF43" i="3"/>
  <c r="AF46" i="3" s="1"/>
  <c r="AE43" i="3"/>
  <c r="AE45" i="3" s="1"/>
  <c r="AM43" i="3"/>
  <c r="AM44" i="3" s="1"/>
  <c r="Y130" i="3"/>
  <c r="M119" i="3"/>
  <c r="AC119" i="3"/>
  <c r="O130" i="3"/>
  <c r="Q130" i="3"/>
  <c r="AG130" i="3"/>
  <c r="L43" i="3"/>
  <c r="L46" i="3" s="1"/>
  <c r="W43" i="3"/>
  <c r="W44" i="3" s="1"/>
  <c r="AL43" i="3"/>
  <c r="AL44" i="3" s="1"/>
  <c r="N43" i="3"/>
  <c r="N45" i="3" s="1"/>
  <c r="AD43" i="3"/>
  <c r="AD45" i="3" s="1"/>
  <c r="M43" i="3"/>
  <c r="M44" i="3" s="1"/>
  <c r="AN43" i="3"/>
  <c r="AN44" i="3" s="1"/>
  <c r="X43" i="3"/>
  <c r="X45" i="3" s="1"/>
  <c r="K43" i="3"/>
  <c r="K44" i="3" s="1"/>
  <c r="AJ119" i="3"/>
  <c r="AC43" i="3"/>
  <c r="AC44" i="3" s="1"/>
  <c r="AB43" i="3"/>
  <c r="AB44" i="3" s="1"/>
  <c r="AQ43" i="3"/>
  <c r="AQ44" i="3" s="1"/>
  <c r="AQ47" i="3" s="1"/>
  <c r="AA43" i="3"/>
  <c r="AA45" i="3" s="1"/>
  <c r="AP43" i="3"/>
  <c r="AP44" i="3" s="1"/>
  <c r="AP47" i="3" s="1"/>
  <c r="Z43" i="3"/>
  <c r="Z44" i="3" s="1"/>
  <c r="AO43" i="3"/>
  <c r="AO46" i="3" s="1"/>
  <c r="Y43" i="3"/>
  <c r="Y44" i="3" s="1"/>
  <c r="V43" i="3"/>
  <c r="V45" i="3" s="1"/>
  <c r="AK43" i="3"/>
  <c r="AK46" i="3" s="1"/>
  <c r="U43" i="3"/>
  <c r="U44" i="3" s="1"/>
  <c r="AJ43" i="3"/>
  <c r="AJ45" i="3" s="1"/>
  <c r="T43" i="3"/>
  <c r="T44" i="3" s="1"/>
  <c r="AI43" i="3"/>
  <c r="AI46" i="3" s="1"/>
  <c r="S43" i="3"/>
  <c r="S46" i="3" s="1"/>
  <c r="AH43" i="3"/>
  <c r="AH46" i="3" s="1"/>
  <c r="R43" i="3"/>
  <c r="R46" i="3" s="1"/>
  <c r="AG43" i="3"/>
  <c r="Q43" i="3"/>
  <c r="Q44" i="3" s="1"/>
  <c r="Z119" i="3"/>
  <c r="N130" i="3"/>
  <c r="AD130" i="3"/>
  <c r="AN130" i="3"/>
  <c r="X130" i="3"/>
  <c r="V130" i="3"/>
  <c r="AB130" i="3"/>
  <c r="L130" i="3"/>
  <c r="AN139" i="3"/>
  <c r="Z130" i="3"/>
  <c r="P130" i="3"/>
  <c r="AF130" i="3"/>
  <c r="V119" i="3"/>
  <c r="AN141" i="3"/>
  <c r="AC130" i="3"/>
  <c r="AE130" i="3"/>
  <c r="U119" i="3"/>
  <c r="AK119" i="3"/>
  <c r="W130" i="3"/>
  <c r="AH130" i="3"/>
  <c r="R119" i="3"/>
  <c r="AH119" i="3"/>
  <c r="AL119" i="3"/>
  <c r="R130" i="3"/>
  <c r="W119" i="3"/>
  <c r="AL130" i="3"/>
  <c r="AL139" i="3" s="1"/>
  <c r="AK130" i="3"/>
  <c r="AI130" i="3"/>
  <c r="K130" i="3"/>
  <c r="O119" i="3"/>
  <c r="AE119" i="3"/>
  <c r="Y119" i="3"/>
  <c r="P119" i="3"/>
  <c r="AF119" i="3"/>
  <c r="M130" i="3"/>
  <c r="AN119" i="3"/>
  <c r="X119" i="3"/>
  <c r="AA119" i="3"/>
  <c r="K119" i="3"/>
  <c r="AL80" i="3"/>
  <c r="AK89" i="3"/>
  <c r="AK95" i="3" s="1"/>
  <c r="AK98" i="3" s="1"/>
  <c r="AK100" i="3" s="1"/>
  <c r="AF89" i="3"/>
  <c r="AF95" i="3" s="1"/>
  <c r="AF98" i="3" s="1"/>
  <c r="AF100" i="3" s="1"/>
  <c r="AL88" i="3"/>
  <c r="AL94" i="3"/>
  <c r="AL141" i="3"/>
  <c r="AL18" i="3"/>
  <c r="AL19" i="3" s="1"/>
  <c r="U89" i="3"/>
  <c r="U95" i="3" s="1"/>
  <c r="U98" i="3" s="1"/>
  <c r="U100" i="3" s="1"/>
  <c r="AL28" i="3"/>
  <c r="AL29" i="3" s="1"/>
  <c r="AL23" i="3"/>
  <c r="AL24" i="3" s="1"/>
  <c r="B4" i="1"/>
  <c r="B7" i="1" s="1"/>
  <c r="B8" i="1" s="1"/>
  <c r="S89" i="3"/>
  <c r="S95" i="3" s="1"/>
  <c r="S98" i="3" s="1"/>
  <c r="S100" i="3" s="1"/>
  <c r="BE89" i="3"/>
  <c r="BE95" i="3" s="1"/>
  <c r="BE98" i="3" s="1"/>
  <c r="W89" i="3"/>
  <c r="W95" i="3" s="1"/>
  <c r="W98" i="3" s="1"/>
  <c r="W100" i="3" s="1"/>
  <c r="M89" i="3"/>
  <c r="M95" i="3" s="1"/>
  <c r="M98" i="3" s="1"/>
  <c r="M100" i="3" s="1"/>
  <c r="U139" i="3"/>
  <c r="AK139" i="3"/>
  <c r="R80" i="3"/>
  <c r="BF89" i="3"/>
  <c r="BF95" i="3" s="1"/>
  <c r="BF98" i="3" s="1"/>
  <c r="X89" i="3"/>
  <c r="X95" i="3" s="1"/>
  <c r="X98" i="3" s="1"/>
  <c r="X100" i="3" s="1"/>
  <c r="T139" i="3"/>
  <c r="AJ139" i="3"/>
  <c r="AJ89" i="3"/>
  <c r="AJ95" i="3" s="1"/>
  <c r="AJ98" i="3" s="1"/>
  <c r="AJ100" i="3" s="1"/>
  <c r="V80" i="3"/>
  <c r="Q51" i="3"/>
  <c r="Q52" i="3" s="1"/>
  <c r="BG89" i="3"/>
  <c r="BG95" i="3" s="1"/>
  <c r="BG98" i="3" s="1"/>
  <c r="Y89" i="3"/>
  <c r="Y95" i="3" s="1"/>
  <c r="Y98" i="3" s="1"/>
  <c r="Y100" i="3" s="1"/>
  <c r="V18" i="3"/>
  <c r="V19" i="3" s="1"/>
  <c r="BB89" i="3"/>
  <c r="BB95" i="3" s="1"/>
  <c r="BB98" i="3" s="1"/>
  <c r="AK51" i="3"/>
  <c r="AK52" i="3" s="1"/>
  <c r="Z94" i="3"/>
  <c r="Q89" i="3"/>
  <c r="Q95" i="3" s="1"/>
  <c r="Q98" i="3" s="1"/>
  <c r="Q100" i="3" s="1"/>
  <c r="T89" i="3"/>
  <c r="T95" i="3" s="1"/>
  <c r="T98" i="3" s="1"/>
  <c r="T100" i="3" s="1"/>
  <c r="BD89" i="3"/>
  <c r="BD95" i="3" s="1"/>
  <c r="BD98" i="3" s="1"/>
  <c r="O139" i="3"/>
  <c r="AE139" i="3"/>
  <c r="Y139" i="3"/>
  <c r="S139" i="3"/>
  <c r="AI139" i="3"/>
  <c r="M139" i="3"/>
  <c r="AC139" i="3"/>
  <c r="AB89" i="3"/>
  <c r="AB95" i="3" s="1"/>
  <c r="AB98" i="3" s="1"/>
  <c r="AB100" i="3" s="1"/>
  <c r="AD80" i="3"/>
  <c r="V88" i="3"/>
  <c r="U19" i="3"/>
  <c r="AH28" i="3"/>
  <c r="AH29" i="3" s="1"/>
  <c r="R23" i="3"/>
  <c r="R24" i="3" s="1"/>
  <c r="BH89" i="3"/>
  <c r="BH95" i="3" s="1"/>
  <c r="BH98" i="3" s="1"/>
  <c r="BH156" i="3" s="1"/>
  <c r="AA89" i="3"/>
  <c r="AA95" i="3" s="1"/>
  <c r="AA98" i="3" s="1"/>
  <c r="AA100" i="3" s="1"/>
  <c r="BI89" i="3"/>
  <c r="BI95" i="3" s="1"/>
  <c r="BI98" i="3" s="1"/>
  <c r="W139" i="3"/>
  <c r="N94" i="3"/>
  <c r="Z139" i="3"/>
  <c r="R28" i="3"/>
  <c r="R27" i="3" s="1"/>
  <c r="Q24" i="3"/>
  <c r="S51" i="3"/>
  <c r="S52" i="3" s="1"/>
  <c r="Z88" i="3"/>
  <c r="R94" i="3"/>
  <c r="AA141" i="3"/>
  <c r="BG141" i="3"/>
  <c r="K139" i="3"/>
  <c r="AA139" i="3"/>
  <c r="T51" i="3"/>
  <c r="T52" i="3" s="1"/>
  <c r="L89" i="3"/>
  <c r="L95" i="3" s="1"/>
  <c r="L98" i="3" s="1"/>
  <c r="L100" i="3" s="1"/>
  <c r="AG89" i="3"/>
  <c r="AG95" i="3" s="1"/>
  <c r="AG98" i="3" s="1"/>
  <c r="AG100" i="3" s="1"/>
  <c r="V94" i="3"/>
  <c r="L139" i="3"/>
  <c r="AB139" i="3"/>
  <c r="N139" i="3"/>
  <c r="AD139" i="3"/>
  <c r="Z18" i="3"/>
  <c r="Z17" i="3" s="1"/>
  <c r="N80" i="3"/>
  <c r="P89" i="3"/>
  <c r="P95" i="3" s="1"/>
  <c r="P98" i="3" s="1"/>
  <c r="P100" i="3" s="1"/>
  <c r="O141" i="3"/>
  <c r="AE141" i="3"/>
  <c r="AD88" i="3"/>
  <c r="O89" i="3"/>
  <c r="O95" i="3" s="1"/>
  <c r="O98" i="3" s="1"/>
  <c r="O100" i="3" s="1"/>
  <c r="AI89" i="3"/>
  <c r="AI95" i="3" s="1"/>
  <c r="AI98" i="3" s="1"/>
  <c r="AI100" i="3" s="1"/>
  <c r="AH88" i="3"/>
  <c r="V139" i="3"/>
  <c r="U51" i="3"/>
  <c r="U52" i="3" s="1"/>
  <c r="AD94" i="3"/>
  <c r="AD18" i="3"/>
  <c r="AD19" i="3" s="1"/>
  <c r="N28" i="3"/>
  <c r="N29" i="3" s="1"/>
  <c r="BC89" i="3"/>
  <c r="BC95" i="3" s="1"/>
  <c r="BC98" i="3" s="1"/>
  <c r="P141" i="3"/>
  <c r="AF141" i="3"/>
  <c r="X19" i="3"/>
  <c r="N18" i="3"/>
  <c r="N17" i="3" s="1"/>
  <c r="AH80" i="3"/>
  <c r="AF29" i="3"/>
  <c r="AH23" i="3"/>
  <c r="AH24" i="3" s="1"/>
  <c r="T141" i="3"/>
  <c r="AJ141" i="3"/>
  <c r="AH94" i="3"/>
  <c r="AG24" i="3"/>
  <c r="R18" i="3"/>
  <c r="R17" i="3" s="1"/>
  <c r="V28" i="3"/>
  <c r="V29" i="3" s="1"/>
  <c r="AD28" i="3"/>
  <c r="AD29" i="3" s="1"/>
  <c r="Z80" i="3"/>
  <c r="P139" i="3"/>
  <c r="AF139" i="3"/>
  <c r="Q141" i="3"/>
  <c r="AG51" i="3"/>
  <c r="AG52" i="3" s="1"/>
  <c r="AC89" i="3"/>
  <c r="AC95" i="3" s="1"/>
  <c r="AC98" i="3" s="1"/>
  <c r="AC100" i="3" s="1"/>
  <c r="N88" i="3"/>
  <c r="Q139" i="3"/>
  <c r="AG139" i="3"/>
  <c r="AG141" i="3"/>
  <c r="R88" i="3"/>
  <c r="R139" i="3"/>
  <c r="AH139" i="3"/>
  <c r="AH18" i="3"/>
  <c r="AH19" i="3" s="1"/>
  <c r="AI51" i="3"/>
  <c r="AI52" i="3" s="1"/>
  <c r="AJ51" i="3"/>
  <c r="AJ52" i="3" s="1"/>
  <c r="K89" i="3"/>
  <c r="K95" i="3" s="1"/>
  <c r="K98" i="3" s="1"/>
  <c r="K100" i="3" s="1"/>
  <c r="AE89" i="3"/>
  <c r="AE95" i="3" s="1"/>
  <c r="AE98" i="3" s="1"/>
  <c r="AE100" i="3" s="1"/>
  <c r="BE44" i="3"/>
  <c r="BE45" i="3"/>
  <c r="Z23" i="3"/>
  <c r="Z24" i="3" s="1"/>
  <c r="R141" i="3"/>
  <c r="AH141" i="3"/>
  <c r="Z28" i="3"/>
  <c r="W51" i="3"/>
  <c r="W52" i="3" s="1"/>
  <c r="S141" i="3"/>
  <c r="AI141" i="3"/>
  <c r="M19" i="3"/>
  <c r="AC19" i="3"/>
  <c r="X51" i="3"/>
  <c r="X52" i="3" s="1"/>
  <c r="Y51" i="3"/>
  <c r="Y52" i="3" s="1"/>
  <c r="X139" i="3"/>
  <c r="U141" i="3"/>
  <c r="AK141" i="3"/>
  <c r="N23" i="3"/>
  <c r="AD23" i="3"/>
  <c r="V141" i="3"/>
  <c r="BB141" i="3"/>
  <c r="AA51" i="3"/>
  <c r="AA52" i="3" s="1"/>
  <c r="W141" i="3"/>
  <c r="BC141" i="3"/>
  <c r="L51" i="3"/>
  <c r="L52" i="3" s="1"/>
  <c r="AB51" i="3"/>
  <c r="AB52" i="3" s="1"/>
  <c r="X141" i="3"/>
  <c r="BD141" i="3"/>
  <c r="M51" i="3"/>
  <c r="M52" i="3" s="1"/>
  <c r="AC51" i="3"/>
  <c r="AC52" i="3" s="1"/>
  <c r="Y141" i="3"/>
  <c r="BE141" i="3"/>
  <c r="Z141" i="3"/>
  <c r="BF141" i="3"/>
  <c r="O51" i="3"/>
  <c r="O52" i="3" s="1"/>
  <c r="AE51" i="3"/>
  <c r="AE52" i="3" s="1"/>
  <c r="K141" i="3"/>
  <c r="P51" i="3"/>
  <c r="P52" i="3" s="1"/>
  <c r="AF51" i="3"/>
  <c r="AF52" i="3" s="1"/>
  <c r="L141" i="3"/>
  <c r="AB141" i="3"/>
  <c r="BH141" i="3"/>
  <c r="M141" i="3"/>
  <c r="AC141" i="3"/>
  <c r="BI141" i="3"/>
  <c r="V23" i="3"/>
  <c r="V24" i="3" s="1"/>
  <c r="S29" i="3"/>
  <c r="N141" i="3"/>
  <c r="AD141" i="3"/>
  <c r="BC101" i="3" l="1"/>
  <c r="BC162" i="3"/>
  <c r="AZ101" i="3"/>
  <c r="AZ162" i="3"/>
  <c r="AZ156" i="3"/>
  <c r="BF101" i="3"/>
  <c r="BF162" i="3"/>
  <c r="AX101" i="3"/>
  <c r="AX162" i="3"/>
  <c r="AU162" i="3"/>
  <c r="AU156" i="3"/>
  <c r="AW101" i="3"/>
  <c r="AW162" i="3"/>
  <c r="BF156" i="3"/>
  <c r="BD101" i="3"/>
  <c r="BD162" i="3"/>
  <c r="BE101" i="3"/>
  <c r="BE162" i="3"/>
  <c r="BC156" i="3"/>
  <c r="BH101" i="3"/>
  <c r="BH162" i="3"/>
  <c r="BG100" i="3"/>
  <c r="BG162" i="3"/>
  <c r="BA101" i="3"/>
  <c r="BA156" i="3"/>
  <c r="BA162" i="3"/>
  <c r="AV101" i="3"/>
  <c r="AV162" i="3"/>
  <c r="BD156" i="3"/>
  <c r="BI100" i="3"/>
  <c r="BI162" i="3"/>
  <c r="BJ162" i="3"/>
  <c r="BI156" i="3"/>
  <c r="BB100" i="3"/>
  <c r="BB156" i="3"/>
  <c r="BB162" i="3"/>
  <c r="BI45" i="3"/>
  <c r="AY101" i="3"/>
  <c r="AY162" i="3"/>
  <c r="AW46" i="3"/>
  <c r="BC46" i="3"/>
  <c r="BC44" i="3"/>
  <c r="BC47" i="3" s="1"/>
  <c r="BG44" i="3"/>
  <c r="BG46" i="3"/>
  <c r="BF46" i="3"/>
  <c r="BF44" i="3"/>
  <c r="BF47" i="3" s="1"/>
  <c r="BI46" i="3"/>
  <c r="BI47" i="3" s="1"/>
  <c r="BH46" i="3"/>
  <c r="BH45" i="3"/>
  <c r="AU100" i="3"/>
  <c r="AU101" i="3"/>
  <c r="AY46" i="3"/>
  <c r="AZ45" i="3"/>
  <c r="AZ44" i="3"/>
  <c r="AZ47" i="3" s="1"/>
  <c r="BA46" i="3"/>
  <c r="BA45" i="3"/>
  <c r="BD46" i="3"/>
  <c r="AW45" i="3"/>
  <c r="BB46" i="3"/>
  <c r="AV100" i="3"/>
  <c r="BB44" i="3"/>
  <c r="AV46" i="3"/>
  <c r="AX44" i="3"/>
  <c r="AX47" i="3" s="1"/>
  <c r="AY45" i="3"/>
  <c r="BD44" i="3"/>
  <c r="AU44" i="3"/>
  <c r="AU47" i="3" s="1"/>
  <c r="AZ100" i="3"/>
  <c r="AU45" i="3"/>
  <c r="AX46" i="3"/>
  <c r="AW100" i="3"/>
  <c r="AD44" i="3"/>
  <c r="AX100" i="3"/>
  <c r="AE44" i="3"/>
  <c r="AE46" i="3"/>
  <c r="BE47" i="3"/>
  <c r="N46" i="3"/>
  <c r="K46" i="3"/>
  <c r="Z45" i="3"/>
  <c r="AP45" i="3"/>
  <c r="AL89" i="3"/>
  <c r="AL95" i="3" s="1"/>
  <c r="AL98" i="3" s="1"/>
  <c r="AL100" i="3" s="1"/>
  <c r="AQ46" i="3"/>
  <c r="AF45" i="3"/>
  <c r="AF44" i="3"/>
  <c r="AF47" i="3" s="1"/>
  <c r="AL45" i="3"/>
  <c r="O45" i="3"/>
  <c r="O44" i="3"/>
  <c r="O47" i="3" s="1"/>
  <c r="P46" i="3"/>
  <c r="AQ45" i="3"/>
  <c r="W45" i="3"/>
  <c r="X46" i="3"/>
  <c r="P44" i="3"/>
  <c r="X44" i="3"/>
  <c r="AN45" i="3"/>
  <c r="AL46" i="3"/>
  <c r="AM46" i="3"/>
  <c r="AO44" i="3"/>
  <c r="AO47" i="3" s="1"/>
  <c r="AH45" i="3"/>
  <c r="AH44" i="3"/>
  <c r="S45" i="3"/>
  <c r="W46" i="3"/>
  <c r="AB46" i="3"/>
  <c r="K45" i="3"/>
  <c r="AM45" i="3"/>
  <c r="L45" i="3"/>
  <c r="AO45" i="3"/>
  <c r="L44" i="3"/>
  <c r="Z46" i="3"/>
  <c r="M46" i="3"/>
  <c r="AP46" i="3"/>
  <c r="AC46" i="3"/>
  <c r="AC45" i="3"/>
  <c r="S44" i="3"/>
  <c r="AJ44" i="3"/>
  <c r="M45" i="3"/>
  <c r="U45" i="3"/>
  <c r="AK45" i="3"/>
  <c r="V46" i="3"/>
  <c r="N44" i="3"/>
  <c r="AN46" i="3"/>
  <c r="R44" i="3"/>
  <c r="AD46" i="3"/>
  <c r="Y46" i="3"/>
  <c r="Y45" i="3"/>
  <c r="AI44" i="3"/>
  <c r="V44" i="3"/>
  <c r="AA46" i="3"/>
  <c r="AI45" i="3"/>
  <c r="AK44" i="3"/>
  <c r="AG46" i="3"/>
  <c r="AG45" i="3"/>
  <c r="U46" i="3"/>
  <c r="AA44" i="3"/>
  <c r="AJ46" i="3"/>
  <c r="T45" i="3"/>
  <c r="Q46" i="3"/>
  <c r="Q45" i="3"/>
  <c r="AG44" i="3"/>
  <c r="AB45" i="3"/>
  <c r="T46" i="3"/>
  <c r="R45" i="3"/>
  <c r="AL51" i="3"/>
  <c r="AL52" i="3" s="1"/>
  <c r="BF100" i="3"/>
  <c r="BE100" i="3"/>
  <c r="N19" i="3"/>
  <c r="BI101" i="3"/>
  <c r="R89" i="3"/>
  <c r="R95" i="3" s="1"/>
  <c r="R98" i="3" s="1"/>
  <c r="R100" i="3" s="1"/>
  <c r="BG101" i="3"/>
  <c r="BB101" i="3"/>
  <c r="BD100" i="3"/>
  <c r="V89" i="3"/>
  <c r="V95" i="3" s="1"/>
  <c r="V98" i="3" s="1"/>
  <c r="V100" i="3" s="1"/>
  <c r="R22" i="3"/>
  <c r="R50" i="3" s="1"/>
  <c r="AH27" i="3"/>
  <c r="AH89" i="3"/>
  <c r="AH95" i="3" s="1"/>
  <c r="AH98" i="3" s="1"/>
  <c r="AH100" i="3" s="1"/>
  <c r="R19" i="3"/>
  <c r="BH100" i="3"/>
  <c r="Z19" i="3"/>
  <c r="AD89" i="3"/>
  <c r="AD95" i="3" s="1"/>
  <c r="AD98" i="3" s="1"/>
  <c r="AD100" i="3" s="1"/>
  <c r="Z89" i="3"/>
  <c r="Z95" i="3" s="1"/>
  <c r="Z98" i="3" s="1"/>
  <c r="Z100" i="3" s="1"/>
  <c r="AH22" i="3"/>
  <c r="N27" i="3"/>
  <c r="AD17" i="3"/>
  <c r="AH17" i="3"/>
  <c r="R29" i="3"/>
  <c r="N89" i="3"/>
  <c r="N95" i="3" s="1"/>
  <c r="N98" i="3" s="1"/>
  <c r="N100" i="3" s="1"/>
  <c r="AD27" i="3"/>
  <c r="X20" i="3"/>
  <c r="BC100" i="3"/>
  <c r="V27" i="3"/>
  <c r="V50" i="3" s="1"/>
  <c r="Z27" i="3"/>
  <c r="Z29" i="3"/>
  <c r="N22" i="3"/>
  <c r="N24" i="3"/>
  <c r="Z22" i="3"/>
  <c r="AD22" i="3"/>
  <c r="AD24" i="3"/>
  <c r="BG47" i="3" l="1"/>
  <c r="L47" i="3"/>
  <c r="BB47" i="3"/>
  <c r="BH47" i="3"/>
  <c r="X47" i="3"/>
  <c r="BD47" i="3"/>
  <c r="Y47" i="3"/>
  <c r="Z50" i="3"/>
  <c r="Z51" i="3" s="1"/>
  <c r="Z52" i="3" s="1"/>
  <c r="BA47" i="3"/>
  <c r="P47" i="3"/>
  <c r="AN47" i="3"/>
  <c r="Q47" i="3"/>
  <c r="AC47" i="3"/>
  <c r="AD47" i="3"/>
  <c r="AE47" i="3"/>
  <c r="M47" i="3"/>
  <c r="AH47" i="3"/>
  <c r="U47" i="3"/>
  <c r="Z47" i="3"/>
  <c r="K47" i="3"/>
  <c r="N47" i="3"/>
  <c r="AL47" i="3"/>
  <c r="AK47" i="3"/>
  <c r="S47" i="3"/>
  <c r="V47" i="3"/>
  <c r="AB47" i="3"/>
  <c r="W47" i="3"/>
  <c r="T47" i="3"/>
  <c r="N50" i="3"/>
  <c r="N51" i="3" s="1"/>
  <c r="N52" i="3" s="1"/>
  <c r="AG47" i="3"/>
  <c r="AM47" i="3"/>
  <c r="AI47" i="3"/>
  <c r="R47" i="3"/>
  <c r="R51" i="3"/>
  <c r="R52" i="3" s="1"/>
  <c r="AH50" i="3"/>
  <c r="AH51" i="3" s="1"/>
  <c r="AH52" i="3" s="1"/>
  <c r="AD50" i="3"/>
  <c r="AD51" i="3" s="1"/>
  <c r="AD52" i="3" s="1"/>
  <c r="AA47" i="3"/>
  <c r="AJ47" i="3"/>
  <c r="V51" i="3"/>
  <c r="V52" i="3" s="1"/>
  <c r="BB19" i="3"/>
  <c r="BB2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G35" authorId="0" shapeId="0" xr:uid="{4F47587B-6489-4300-A86B-84BF8A7246A1}">
      <text>
        <r>
          <rPr>
            <b/>
            <sz val="9"/>
            <color indexed="81"/>
            <rFont val="Tahoma"/>
            <family val="2"/>
          </rPr>
          <t>William:</t>
        </r>
        <r>
          <rPr>
            <sz val="9"/>
            <color indexed="81"/>
            <rFont val="Tahoma"/>
            <family val="2"/>
          </rPr>
          <t xml:space="preserve">
NOTES: Did not track "advertising services" in this quarter. 
- It is lumped in with the "Other" line. It is impossible to subtract it out without more information. </t>
        </r>
      </text>
    </comment>
    <comment ref="AJ102" authorId="0" shapeId="0" xr:uid="{00000000-0006-0000-0200-000001000000}">
      <text>
        <r>
          <rPr>
            <sz val="11"/>
            <color theme="1"/>
            <rFont val="Calibri"/>
            <family val="2"/>
            <scheme val="minor"/>
          </rPr>
          <t xml:space="preserve">William:
1-for-20 Split took place June 6th.
Pre-split adjusted: 509
</t>
        </r>
      </text>
    </comment>
    <comment ref="AJ132" authorId="0" shapeId="0" xr:uid="{00000000-0006-0000-0200-000002000000}">
      <text>
        <r>
          <rPr>
            <sz val="11"/>
            <color theme="1"/>
            <rFont val="Calibri"/>
            <family val="2"/>
            <scheme val="minor"/>
          </rPr>
          <t xml:space="preserve">William:
1-20 stock split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24" authorId="0" shapeId="0" xr:uid="{00000000-0006-0000-0400-000001000000}">
      <text>
        <r>
          <rPr>
            <sz val="11"/>
            <color theme="1"/>
            <rFont val="Calibri"/>
            <family val="2"/>
            <scheme val="minor"/>
          </rPr>
          <t xml:space="preserve">William:
The number of shares outstanding may conflict with the "Model" tab. This is because past SEC filings do not account for the 1-20 stock split.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<sst xmlns="http://schemas.openxmlformats.org/spreadsheetml/2006/main" count="3325" uniqueCount="1926">
  <si>
    <t>Price</t>
  </si>
  <si>
    <t>Shares</t>
  </si>
  <si>
    <t>MC</t>
  </si>
  <si>
    <t>Cash</t>
  </si>
  <si>
    <t>Debt</t>
  </si>
  <si>
    <t>EV</t>
  </si>
  <si>
    <t>EV/Share</t>
  </si>
  <si>
    <t>Company Name</t>
  </si>
  <si>
    <t>Amazon.com, Inc.</t>
  </si>
  <si>
    <t>Ticker</t>
  </si>
  <si>
    <t>AMZN</t>
  </si>
  <si>
    <t>Country</t>
  </si>
  <si>
    <t>USA</t>
  </si>
  <si>
    <t>Sector</t>
  </si>
  <si>
    <t>Consumer Cyclical</t>
  </si>
  <si>
    <t>Industry</t>
  </si>
  <si>
    <t>Internet Retail</t>
  </si>
  <si>
    <t>Filing Date</t>
  </si>
  <si>
    <t>2/31/2020</t>
  </si>
  <si>
    <t>Period of Report</t>
  </si>
  <si>
    <t>Revenue Breakdown *in millions</t>
  </si>
  <si>
    <t>North America</t>
  </si>
  <si>
    <t>Net Sales</t>
  </si>
  <si>
    <t>Operating Expenses</t>
  </si>
  <si>
    <t>Operating Income</t>
  </si>
  <si>
    <t>Operating Margin</t>
  </si>
  <si>
    <t xml:space="preserve">International </t>
  </si>
  <si>
    <t>AWS</t>
  </si>
  <si>
    <t>Total</t>
  </si>
  <si>
    <t xml:space="preserve">Sales by Groups </t>
  </si>
  <si>
    <t>Online Stores</t>
  </si>
  <si>
    <t>Physical Stores</t>
  </si>
  <si>
    <t>-</t>
  </si>
  <si>
    <t>Third-party sellers</t>
  </si>
  <si>
    <t>Subscription services</t>
  </si>
  <si>
    <t>Advertising services</t>
  </si>
  <si>
    <t>Other</t>
  </si>
  <si>
    <t>Total Sales</t>
  </si>
  <si>
    <t>International</t>
  </si>
  <si>
    <t xml:space="preserve">Total Revenue </t>
  </si>
  <si>
    <t>Total Expenses</t>
  </si>
  <si>
    <t>Total Income</t>
  </si>
  <si>
    <t>Margin</t>
  </si>
  <si>
    <t>*in millions</t>
  </si>
  <si>
    <t>Net Product Sales</t>
  </si>
  <si>
    <t>Net Service Sales</t>
  </si>
  <si>
    <t>Total Net Sales</t>
  </si>
  <si>
    <t>Cost of sales</t>
  </si>
  <si>
    <t>Fulfillment</t>
  </si>
  <si>
    <t>Marketing</t>
  </si>
  <si>
    <t>Technology and content</t>
  </si>
  <si>
    <t>General and Administrative</t>
  </si>
  <si>
    <t>Other operating expenses</t>
  </si>
  <si>
    <t>Total operating expenses</t>
  </si>
  <si>
    <t xml:space="preserve">Other Income   </t>
  </si>
  <si>
    <t>Interrest Income</t>
  </si>
  <si>
    <t>Interest Expense</t>
  </si>
  <si>
    <t>Other income (expense)</t>
  </si>
  <si>
    <t>Total non-operating income (expense)</t>
  </si>
  <si>
    <t>Income (loss) before income taxes</t>
  </si>
  <si>
    <t>Benefit (provision) for income taxes</t>
  </si>
  <si>
    <t>Equity Investments</t>
  </si>
  <si>
    <t>Net Income</t>
  </si>
  <si>
    <t xml:space="preserve">EPS - Basic </t>
  </si>
  <si>
    <t xml:space="preserve">  </t>
  </si>
  <si>
    <t>EPS - Diluted</t>
  </si>
  <si>
    <t>Shares - Basic</t>
  </si>
  <si>
    <t>Balance Sheet *in millions</t>
  </si>
  <si>
    <t>Current Assets</t>
  </si>
  <si>
    <t>Cash and cash equivalents</t>
  </si>
  <si>
    <t>Marketable securities</t>
  </si>
  <si>
    <t>Inventories</t>
  </si>
  <si>
    <t>Accounts recievable</t>
  </si>
  <si>
    <t>Total current assets</t>
  </si>
  <si>
    <t>Non-current Assets</t>
  </si>
  <si>
    <t>PP&amp;E</t>
  </si>
  <si>
    <t>Operating leases</t>
  </si>
  <si>
    <t>Goodwill</t>
  </si>
  <si>
    <t>Other assets</t>
  </si>
  <si>
    <t>Total Assets</t>
  </si>
  <si>
    <t>Current Liabilities</t>
  </si>
  <si>
    <t xml:space="preserve">Accounts payable </t>
  </si>
  <si>
    <t>Accrued expenses</t>
  </si>
  <si>
    <t xml:space="preserve">Unearned revneue </t>
  </si>
  <si>
    <t>Total current liabilities</t>
  </si>
  <si>
    <t>Non-current Liabilities</t>
  </si>
  <si>
    <t>Long-term lease liabilities</t>
  </si>
  <si>
    <t>Long-term debt</t>
  </si>
  <si>
    <t>Other long-term liabilities</t>
  </si>
  <si>
    <t>Total Liabilities</t>
  </si>
  <si>
    <t>Equity</t>
  </si>
  <si>
    <t>Preferred Stock</t>
  </si>
  <si>
    <t>Common Stock</t>
  </si>
  <si>
    <t>Treasury Stock, at cost</t>
  </si>
  <si>
    <t>Additional paid-in capital</t>
  </si>
  <si>
    <t>Accumulated other comprehensive loss</t>
  </si>
  <si>
    <t>Retained earnings</t>
  </si>
  <si>
    <t>Total stockholders' equity</t>
  </si>
  <si>
    <t>Total Liabilities and stockholders' equity</t>
  </si>
  <si>
    <t>Current Ratio</t>
  </si>
  <si>
    <t>Cash Flow</t>
  </si>
  <si>
    <t>CFFO</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</si>
  <si>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</si>
  <si>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</si>
  <si>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</si>
  <si>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</si>
  <si>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</si>
  <si>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</si>
  <si>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</si>
  <si>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</si>
  <si>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</si>
  <si>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</si>
  <si>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</si>
  <si>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</si>
  <si>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</si>
  <si>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</si>
  <si>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</si>
  <si>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</si>
  <si>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</si>
  <si>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</si>
  <si>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</si>
  <si>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</si>
  <si>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1.29</t>
  </si>
  <si>
    <t>1.80</t>
  </si>
  <si>
    <t>2.27</t>
  </si>
  <si>
    <t>2.83</t>
  </si>
  <si>
    <t>3.83</t>
  </si>
  <si>
    <t>5.31</t>
  </si>
  <si>
    <t>6.74</t>
  </si>
  <si>
    <t>8.15</t>
  </si>
  <si>
    <t>9.63</t>
  </si>
  <si>
    <t>11.46</t>
  </si>
  <si>
    <t>14.34</t>
  </si>
  <si>
    <t>18.53</t>
  </si>
  <si>
    <t>23.91</t>
  </si>
  <si>
    <t>28.39</t>
  </si>
  <si>
    <t>38.61</t>
  </si>
  <si>
    <t>46.43</t>
  </si>
  <si>
    <t>47.81</t>
  </si>
  <si>
    <t>Earnings per share</t>
  </si>
  <si>
    <t>0.02</t>
  </si>
  <si>
    <t>0.06</t>
  </si>
  <si>
    <t>0.08</t>
  </si>
  <si>
    <t>0.10</t>
  </si>
  <si>
    <t>0.13</t>
  </si>
  <si>
    <t>0.07</t>
  </si>
  <si>
    <t>(0.00)</t>
  </si>
  <si>
    <t>0.03</t>
  </si>
  <si>
    <t>(0.03)</t>
  </si>
  <si>
    <t>0.25</t>
  </si>
  <si>
    <t>0.32</t>
  </si>
  <si>
    <t>1.03</t>
  </si>
  <si>
    <t>1.17</t>
  </si>
  <si>
    <t>2.13</t>
  </si>
  <si>
    <t>3.30</t>
  </si>
  <si>
    <t>1.14</t>
  </si>
  <si>
    <t>FCF per share</t>
  </si>
  <si>
    <t>0.14</t>
  </si>
  <si>
    <t>0.16</t>
  </si>
  <si>
    <t>0.34</t>
  </si>
  <si>
    <t>0.28</t>
  </si>
  <si>
    <t>0.23</t>
  </si>
  <si>
    <t>0.04</t>
  </si>
  <si>
    <t>0.22</t>
  </si>
  <si>
    <t>0.21</t>
  </si>
  <si>
    <t>0.78</t>
  </si>
  <si>
    <t>1.02</t>
  </si>
  <si>
    <t>0.67</t>
  </si>
  <si>
    <t>1.78</t>
  </si>
  <si>
    <t>2.19</t>
  </si>
  <si>
    <t>2.59</t>
  </si>
  <si>
    <t>(1.46)</t>
  </si>
  <si>
    <t>(2.93)</t>
  </si>
  <si>
    <t>Dividends per share</t>
  </si>
  <si>
    <t>- -</t>
  </si>
  <si>
    <t>CAPEX per share</t>
  </si>
  <si>
    <t>0.11</t>
  </si>
  <si>
    <t>0.20</t>
  </si>
  <si>
    <t>0.42</t>
  </si>
  <si>
    <t>0.38</t>
  </si>
  <si>
    <t>0.53</t>
  </si>
  <si>
    <t>0.49</t>
  </si>
  <si>
    <t>0.71</t>
  </si>
  <si>
    <t>1.25</t>
  </si>
  <si>
    <t>1.38</t>
  </si>
  <si>
    <t>1.71</t>
  </si>
  <si>
    <t>4.01</t>
  </si>
  <si>
    <t>6.03</t>
  </si>
  <si>
    <t>6.43</t>
  </si>
  <si>
    <t>Book Value per sh.</t>
  </si>
  <si>
    <t>0.05</t>
  </si>
  <si>
    <t>0.61</t>
  </si>
  <si>
    <t>0.77</t>
  </si>
  <si>
    <t>0.86</t>
  </si>
  <si>
    <t>0.90</t>
  </si>
  <si>
    <t>1.07</t>
  </si>
  <si>
    <t>1.16</t>
  </si>
  <si>
    <t>1.43</t>
  </si>
  <si>
    <t>2.03</t>
  </si>
  <si>
    <t>2.89</t>
  </si>
  <si>
    <t>4.47</t>
  </si>
  <si>
    <t>6.28</t>
  </si>
  <si>
    <t>9.34</t>
  </si>
  <si>
    <t>13.66</t>
  </si>
  <si>
    <t>12.89</t>
  </si>
  <si>
    <t>Comm.Shares outs.</t>
  </si>
  <si>
    <t>8,320</t>
  </si>
  <si>
    <t>8,260</t>
  </si>
  <si>
    <t>8,460</t>
  </si>
  <si>
    <t>8,660</t>
  </si>
  <si>
    <t>8,940</t>
  </si>
  <si>
    <t>9,060</t>
  </si>
  <si>
    <t>9,140</t>
  </si>
  <si>
    <t>9,240</t>
  </si>
  <si>
    <t>9,340</t>
  </si>
  <si>
    <t>9,480</t>
  </si>
  <si>
    <t>9,600</t>
  </si>
  <si>
    <t>9,740</t>
  </si>
  <si>
    <t>9,880</t>
  </si>
  <si>
    <t>10,000</t>
  </si>
  <si>
    <t>10,120</t>
  </si>
  <si>
    <t>10,164</t>
  </si>
  <si>
    <t>Avg. annual P/E ratio</t>
  </si>
  <si>
    <t>79.3</t>
  </si>
  <si>
    <t>58.7</t>
  </si>
  <si>
    <t>45.8</t>
  </si>
  <si>
    <t>42.0</t>
  </si>
  <si>
    <t>53.5</t>
  </si>
  <si>
    <t>141.1</t>
  </si>
  <si>
    <t>(2,574.0)</t>
  </si>
  <si>
    <t>497.0</t>
  </si>
  <si>
    <t>(633.8)</t>
  </si>
  <si>
    <t>375.2</t>
  </si>
  <si>
    <t>139.2</t>
  </si>
  <si>
    <t>153.6</t>
  </si>
  <si>
    <t>78.7</t>
  </si>
  <si>
    <t>75.9</t>
  </si>
  <si>
    <t>62.7</t>
  </si>
  <si>
    <t>50.6</t>
  </si>
  <si>
    <t>130.4</t>
  </si>
  <si>
    <t>P/E to S&amp;P500</t>
  </si>
  <si>
    <t>4.4</t>
  </si>
  <si>
    <t>3.4</t>
  </si>
  <si>
    <t>2.1</t>
  </si>
  <si>
    <t>0.6</t>
  </si>
  <si>
    <t>2.6</t>
  </si>
  <si>
    <t>8.7</t>
  </si>
  <si>
    <t>(173.1)</t>
  </si>
  <si>
    <t>29.2</t>
  </si>
  <si>
    <t>(34.9)</t>
  </si>
  <si>
    <t>18.7</t>
  </si>
  <si>
    <t>6.3</t>
  </si>
  <si>
    <t>6.5</t>
  </si>
  <si>
    <t>3.2</t>
  </si>
  <si>
    <t>3.1</t>
  </si>
  <si>
    <t>1.7</t>
  </si>
  <si>
    <t>Avg. annual div. yield</t>
  </si>
  <si>
    <t>Revenue (m)</t>
  </si>
  <si>
    <t>10,711</t>
  </si>
  <si>
    <t>14,835</t>
  </si>
  <si>
    <t>19,166</t>
  </si>
  <si>
    <t>24,509</t>
  </si>
  <si>
    <t>34,204</t>
  </si>
  <si>
    <t>48,077</t>
  </si>
  <si>
    <t>61,093</t>
  </si>
  <si>
    <t>74,452</t>
  </si>
  <si>
    <t>88,988</t>
  </si>
  <si>
    <t>107,006</t>
  </si>
  <si>
    <t>135,987</t>
  </si>
  <si>
    <t>177,866</t>
  </si>
  <si>
    <t>232,887</t>
  </si>
  <si>
    <t>280,522</t>
  </si>
  <si>
    <t>386,064</t>
  </si>
  <si>
    <t>469,822</t>
  </si>
  <si>
    <t>485,902</t>
  </si>
  <si>
    <t>Operating margin</t>
  </si>
  <si>
    <t>3.6%</t>
  </si>
  <si>
    <t>4.4%</t>
  </si>
  <si>
    <t>4.6%</t>
  </si>
  <si>
    <t>4.1%</t>
  </si>
  <si>
    <t>1.8%</t>
  </si>
  <si>
    <t>1.1%</t>
  </si>
  <si>
    <t>1.0%</t>
  </si>
  <si>
    <t>0.2%</t>
  </si>
  <si>
    <t>2.1%</t>
  </si>
  <si>
    <t>3.1%</t>
  </si>
  <si>
    <t>2.3%</t>
  </si>
  <si>
    <t>5.3%</t>
  </si>
  <si>
    <t>5.2%</t>
  </si>
  <si>
    <t>5.9%</t>
  </si>
  <si>
    <t>3.2%</t>
  </si>
  <si>
    <t>Depreciation (m)</t>
  </si>
  <si>
    <t>205</t>
  </si>
  <si>
    <t>246</t>
  </si>
  <si>
    <t>287</t>
  </si>
  <si>
    <t>378</t>
  </si>
  <si>
    <t>568</t>
  </si>
  <si>
    <t>1,083</t>
  </si>
  <si>
    <t>2,159</t>
  </si>
  <si>
    <t>3,253</t>
  </si>
  <si>
    <t>4,746</t>
  </si>
  <si>
    <t>6,281</t>
  </si>
  <si>
    <t>8,116</t>
  </si>
  <si>
    <t>11,478</t>
  </si>
  <si>
    <t>15,341</t>
  </si>
  <si>
    <t>21,789</t>
  </si>
  <si>
    <t>25,251</t>
  </si>
  <si>
    <t>34,296</t>
  </si>
  <si>
    <t>37,322</t>
  </si>
  <si>
    <t>Net profit (m)</t>
  </si>
  <si>
    <t>190</t>
  </si>
  <si>
    <t>476</t>
  </si>
  <si>
    <t>645</t>
  </si>
  <si>
    <t>902</t>
  </si>
  <si>
    <t>1,152</t>
  </si>
  <si>
    <t>631</t>
  </si>
  <si>
    <t>(39)</t>
  </si>
  <si>
    <t>274</t>
  </si>
  <si>
    <t>(241)</t>
  </si>
  <si>
    <t>596</t>
  </si>
  <si>
    <t>2,371</t>
  </si>
  <si>
    <t>3,033</t>
  </si>
  <si>
    <t>10,073</t>
  </si>
  <si>
    <t>11,588</t>
  </si>
  <si>
    <t>21,331</t>
  </si>
  <si>
    <t>33,364</t>
  </si>
  <si>
    <t>11,607</t>
  </si>
  <si>
    <t>Income tax rate</t>
  </si>
  <si>
    <t>49.6%</t>
  </si>
  <si>
    <t>27.9%</t>
  </si>
  <si>
    <t>27.4%</t>
  </si>
  <si>
    <t>21.8%</t>
  </si>
  <si>
    <t>23.5%</t>
  </si>
  <si>
    <t>31.2%</t>
  </si>
  <si>
    <t>78.7%</t>
  </si>
  <si>
    <t>31.8%</t>
  </si>
  <si>
    <t>(150.5)%</t>
  </si>
  <si>
    <t>60.6%</t>
  </si>
  <si>
    <t>36.6%</t>
  </si>
  <si>
    <t>20.2%</t>
  </si>
  <si>
    <t>10.6%</t>
  </si>
  <si>
    <t>17.0%</t>
  </si>
  <si>
    <t>11.8%</t>
  </si>
  <si>
    <t>12.6%</t>
  </si>
  <si>
    <t>8.5%</t>
  </si>
  <si>
    <t>Net profit margin</t>
  </si>
  <si>
    <t>3.4%</t>
  </si>
  <si>
    <t>3.7%</t>
  </si>
  <si>
    <t>1.3%</t>
  </si>
  <si>
    <t>(0.1)%</t>
  </si>
  <si>
    <t>0.4%</t>
  </si>
  <si>
    <t>(0.3)%</t>
  </si>
  <si>
    <t>0.6%</t>
  </si>
  <si>
    <t>1.7%</t>
  </si>
  <si>
    <t>4.3%</t>
  </si>
  <si>
    <t>5.5%</t>
  </si>
  <si>
    <t>7.1%</t>
  </si>
  <si>
    <t>Working capital (m)</t>
  </si>
  <si>
    <t>841</t>
  </si>
  <si>
    <t>1,450</t>
  </si>
  <si>
    <t>1,411</t>
  </si>
  <si>
    <t>2,433</t>
  </si>
  <si>
    <t>3,375</t>
  </si>
  <si>
    <t>2,594</t>
  </si>
  <si>
    <t>2,294</t>
  </si>
  <si>
    <t>1,645</t>
  </si>
  <si>
    <t>3,238</t>
  </si>
  <si>
    <t>2,575</t>
  </si>
  <si>
    <t>1,965</t>
  </si>
  <si>
    <t>2,314</t>
  </si>
  <si>
    <t>6,710</t>
  </si>
  <si>
    <t>8,522</t>
  </si>
  <si>
    <t>6,348</t>
  </si>
  <si>
    <t>19,314</t>
  </si>
  <si>
    <t>(6,624)</t>
  </si>
  <si>
    <t>Long-term debt (m)</t>
  </si>
  <si>
    <t>1,247</t>
  </si>
  <si>
    <t>1,282</t>
  </si>
  <si>
    <t>409</t>
  </si>
  <si>
    <t>109</t>
  </si>
  <si>
    <t>184</t>
  </si>
  <si>
    <t>255</t>
  </si>
  <si>
    <t>3,084</t>
  </si>
  <si>
    <t>3,191</t>
  </si>
  <si>
    <t>8,265</t>
  </si>
  <si>
    <t>8,235</t>
  </si>
  <si>
    <t>7,694</t>
  </si>
  <si>
    <t>24,743</t>
  </si>
  <si>
    <t>23,495</t>
  </si>
  <si>
    <t>23,414</t>
  </si>
  <si>
    <t>84,389</t>
  </si>
  <si>
    <t>116,395</t>
  </si>
  <si>
    <t>124,577</t>
  </si>
  <si>
    <t>Equity (m)</t>
  </si>
  <si>
    <t>431</t>
  </si>
  <si>
    <t>1,197</t>
  </si>
  <si>
    <t>2,672</t>
  </si>
  <si>
    <t>5,257</t>
  </si>
  <si>
    <t>6,864</t>
  </si>
  <si>
    <t>7,757</t>
  </si>
  <si>
    <t>8,192</t>
  </si>
  <si>
    <t>9,746</t>
  </si>
  <si>
    <t>10,741</t>
  </si>
  <si>
    <t>13,384</t>
  </si>
  <si>
    <t>19,285</t>
  </si>
  <si>
    <t>27,709</t>
  </si>
  <si>
    <t>43,549</t>
  </si>
  <si>
    <t>62,060</t>
  </si>
  <si>
    <t>93,404</t>
  </si>
  <si>
    <t>138,245</t>
  </si>
  <si>
    <t>131,402</t>
  </si>
  <si>
    <t>ROIC</t>
  </si>
  <si>
    <t>12.5%</t>
  </si>
  <si>
    <t>19.2%</t>
  </si>
  <si>
    <t>19.6%</t>
  </si>
  <si>
    <t>14.4%</t>
  </si>
  <si>
    <t>14.0%</t>
  </si>
  <si>
    <t>6.5%</t>
  </si>
  <si>
    <t>0.8%</t>
  </si>
  <si>
    <t>2.5%</t>
  </si>
  <si>
    <t>6.9%</t>
  </si>
  <si>
    <t>5.1%</t>
  </si>
  <si>
    <t>12.0%</t>
  </si>
  <si>
    <t>9.4%</t>
  </si>
  <si>
    <t>11.7%</t>
  </si>
  <si>
    <t>4.8%</t>
  </si>
  <si>
    <t>Return on capital</t>
  </si>
  <si>
    <t>10.4%</t>
  </si>
  <si>
    <t>11.4%</t>
  </si>
  <si>
    <t>11.6%</t>
  </si>
  <si>
    <t>8.6%</t>
  </si>
  <si>
    <t>8.2%</t>
  </si>
  <si>
    <t>3.9%</t>
  </si>
  <si>
    <t>1.5%</t>
  </si>
  <si>
    <t>1.4%</t>
  </si>
  <si>
    <t>3.5%</t>
  </si>
  <si>
    <t>7.8%</t>
  </si>
  <si>
    <t>8.0%</t>
  </si>
  <si>
    <t>9.5%</t>
  </si>
  <si>
    <t>Return on equity</t>
  </si>
  <si>
    <t>44.1%</t>
  </si>
  <si>
    <t>39.8%</t>
  </si>
  <si>
    <t>24.1%</t>
  </si>
  <si>
    <t>17.2%</t>
  </si>
  <si>
    <t>16.8%</t>
  </si>
  <si>
    <t>8.1%</t>
  </si>
  <si>
    <t>(0.5)%</t>
  </si>
  <si>
    <t>2.8%</t>
  </si>
  <si>
    <t>(2.2)%</t>
  </si>
  <si>
    <t>4.5%</t>
  </si>
  <si>
    <t>12.3%</t>
  </si>
  <si>
    <t>10.9%</t>
  </si>
  <si>
    <t>23.1%</t>
  </si>
  <si>
    <t>18.7%</t>
  </si>
  <si>
    <t>22.8%</t>
  </si>
  <si>
    <t>8.8%</t>
  </si>
  <si>
    <t>Plowback ratio</t>
  </si>
  <si>
    <t>100.0%</t>
  </si>
  <si>
    <t>Div.&amp;Repurch./FCF</t>
  </si>
  <si>
    <t>51.9%</t>
  </si>
  <si>
    <t>21.0%</t>
  </si>
  <si>
    <t>7.3%</t>
  </si>
  <si>
    <t>13.2%</t>
  </si>
  <si>
    <t>(20.1)%</t>
  </si>
  <si>
    <t>Market Price</t>
  </si>
  <si>
    <t>EPS / Rev Per Share</t>
  </si>
  <si>
    <t>Key Table</t>
  </si>
  <si>
    <t>Notes</t>
  </si>
  <si>
    <t xml:space="preserve">Growing </t>
  </si>
  <si>
    <t>1996</t>
  </si>
  <si>
    <t>1997</t>
  </si>
  <si>
    <t>1998</t>
  </si>
  <si>
    <t>1999</t>
  </si>
  <si>
    <t>2000</t>
  </si>
  <si>
    <t>2001</t>
  </si>
  <si>
    <t>2002</t>
  </si>
  <si>
    <t>2003</t>
  </si>
  <si>
    <t>2004</t>
  </si>
  <si>
    <t>2005</t>
  </si>
  <si>
    <t>Revenue</t>
  </si>
  <si>
    <t>148</t>
  </si>
  <si>
    <t>610</t>
  </si>
  <si>
    <t>1,640</t>
  </si>
  <si>
    <t>2,762</t>
  </si>
  <si>
    <t>3,122</t>
  </si>
  <si>
    <t>3,933</t>
  </si>
  <si>
    <t>5,264</t>
  </si>
  <si>
    <t>6,921</t>
  </si>
  <si>
    <t>8,490</t>
  </si>
  <si>
    <t>COGS</t>
  </si>
  <si>
    <t>12</t>
  </si>
  <si>
    <t>114</t>
  </si>
  <si>
    <t>1,349</t>
  </si>
  <si>
    <t>2,106</t>
  </si>
  <si>
    <t>2,324</t>
  </si>
  <si>
    <t>2,940</t>
  </si>
  <si>
    <t>4,007</t>
  </si>
  <si>
    <t>5,319</t>
  </si>
  <si>
    <t>6,451</t>
  </si>
  <si>
    <t>8,255</t>
  </si>
  <si>
    <t>11,482</t>
  </si>
  <si>
    <t>14,896</t>
  </si>
  <si>
    <t>18,978</t>
  </si>
  <si>
    <t>26,561</t>
  </si>
  <si>
    <t>37,288</t>
  </si>
  <si>
    <t>52,390</t>
  </si>
  <si>
    <t>62,766</t>
  </si>
  <si>
    <t>73,518</t>
  </si>
  <si>
    <t>85,061</t>
  </si>
  <si>
    <t>105,884</t>
  </si>
  <si>
    <t>137,183</t>
  </si>
  <si>
    <t>173,183</t>
  </si>
  <si>
    <t>205,768</t>
  </si>
  <si>
    <t>291,824</t>
  </si>
  <si>
    <t>403,507</t>
  </si>
  <si>
    <t>Gross Profit</t>
  </si>
  <si>
    <t>4</t>
  </si>
  <si>
    <t>34</t>
  </si>
  <si>
    <t>134</t>
  </si>
  <si>
    <t>291</t>
  </si>
  <si>
    <t>656</t>
  </si>
  <si>
    <t>799</t>
  </si>
  <si>
    <t>993</t>
  </si>
  <si>
    <t>1,257</t>
  </si>
  <si>
    <t>1,602</t>
  </si>
  <si>
    <t>2,039</t>
  </si>
  <si>
    <t>2,456</t>
  </si>
  <si>
    <t>3,353</t>
  </si>
  <si>
    <t>4,270</t>
  </si>
  <si>
    <t>5,531</t>
  </si>
  <si>
    <t>7,643</t>
  </si>
  <si>
    <t>10,789</t>
  </si>
  <si>
    <t>8,703</t>
  </si>
  <si>
    <t>11,686</t>
  </si>
  <si>
    <t>15,470</t>
  </si>
  <si>
    <t>21,945</t>
  </si>
  <si>
    <t>30,103</t>
  </si>
  <si>
    <t>40,683</t>
  </si>
  <si>
    <t>59,704</t>
  </si>
  <si>
    <t>74,754</t>
  </si>
  <si>
    <t>94,240</t>
  </si>
  <si>
    <t>66,315</t>
  </si>
  <si>
    <t>10</t>
  </si>
  <si>
    <t>63</t>
  </si>
  <si>
    <t>888</t>
  </si>
  <si>
    <t>1,520</t>
  </si>
  <si>
    <t>1,029</t>
  </si>
  <si>
    <t>887</t>
  </si>
  <si>
    <t>986</t>
  </si>
  <si>
    <t>1,162</t>
  </si>
  <si>
    <t>1,607</t>
  </si>
  <si>
    <t>2,057</t>
  </si>
  <si>
    <t>2,689</t>
  </si>
  <si>
    <t>3,452</t>
  </si>
  <si>
    <t>4,300</t>
  </si>
  <si>
    <t>6,131</t>
  </si>
  <si>
    <t>9,773</t>
  </si>
  <si>
    <t>8,027</t>
  </si>
  <si>
    <t>10,941</t>
  </si>
  <si>
    <t>15,292</t>
  </si>
  <si>
    <t>19,712</t>
  </si>
  <si>
    <t>25,917</t>
  </si>
  <si>
    <t>36,577</t>
  </si>
  <si>
    <t>47,283</t>
  </si>
  <si>
    <t>60,213</t>
  </si>
  <si>
    <t>71,341</t>
  </si>
  <si>
    <t>41,436</t>
  </si>
  <si>
    <t>R&amp;D Expenses</t>
  </si>
  <si>
    <t>13</t>
  </si>
  <si>
    <t>47</t>
  </si>
  <si>
    <t>160</t>
  </si>
  <si>
    <t>269</t>
  </si>
  <si>
    <t>241</t>
  </si>
  <si>
    <t>216</t>
  </si>
  <si>
    <t>208</t>
  </si>
  <si>
    <t>251</t>
  </si>
  <si>
    <t>451</t>
  </si>
  <si>
    <t>662</t>
  </si>
  <si>
    <t>818</t>
  </si>
  <si>
    <t>1,033</t>
  </si>
  <si>
    <t>1,240</t>
  </si>
  <si>
    <t>1,734</t>
  </si>
  <si>
    <t>2,909</t>
  </si>
  <si>
    <t>4,564</t>
  </si>
  <si>
    <t>6,565</t>
  </si>
  <si>
    <t>9,275</t>
  </si>
  <si>
    <t>12,540</t>
  </si>
  <si>
    <t>16,085</t>
  </si>
  <si>
    <t>22,620</t>
  </si>
  <si>
    <t>28,837</t>
  </si>
  <si>
    <t>35,931</t>
  </si>
  <si>
    <t>42,740</t>
  </si>
  <si>
    <t>56,052</t>
  </si>
  <si>
    <t>Selling, G&amp;A Exp.</t>
  </si>
  <si>
    <t>9</t>
  </si>
  <si>
    <t>46</t>
  </si>
  <si>
    <t>149</t>
  </si>
  <si>
    <t>514</t>
  </si>
  <si>
    <t>728</t>
  </si>
  <si>
    <t>607</t>
  </si>
  <si>
    <t>666</t>
  </si>
  <si>
    <t>776</t>
  </si>
  <si>
    <t>918</t>
  </si>
  <si>
    <t>1,156</t>
  </si>
  <si>
    <t>1,395</t>
  </si>
  <si>
    <t>1,871</t>
  </si>
  <si>
    <t>2,419</t>
  </si>
  <si>
    <t>3,060</t>
  </si>
  <si>
    <t>4,397</t>
  </si>
  <si>
    <t>3,304</t>
  </si>
  <si>
    <t>4,262</t>
  </si>
  <si>
    <t>5,884</t>
  </si>
  <si>
    <t>7,001</t>
  </si>
  <si>
    <t>9,665</t>
  </si>
  <si>
    <t>13,743</t>
  </si>
  <si>
    <t>18,150</t>
  </si>
  <si>
    <t>24,081</t>
  </si>
  <si>
    <t>28,676</t>
  </si>
  <si>
    <t>41,374</t>
  </si>
  <si>
    <t>General and Admin. Exp.</t>
  </si>
  <si>
    <t>16</t>
  </si>
  <si>
    <t>101</t>
  </si>
  <si>
    <t>94</t>
  </si>
  <si>
    <t>540</t>
  </si>
  <si>
    <t>653</t>
  </si>
  <si>
    <t>1,132</t>
  </si>
  <si>
    <t>1,527</t>
  </si>
  <si>
    <t>1,937</t>
  </si>
  <si>
    <t>2,380</t>
  </si>
  <si>
    <t>3,368</t>
  </si>
  <si>
    <t>5,234</t>
  </si>
  <si>
    <t>896</t>
  </si>
  <si>
    <t>1,129</t>
  </si>
  <si>
    <t>1,552</t>
  </si>
  <si>
    <t>1,747</t>
  </si>
  <si>
    <t>2,432</t>
  </si>
  <si>
    <t>3,674</t>
  </si>
  <si>
    <t>4,336</t>
  </si>
  <si>
    <t>5,203</t>
  </si>
  <si>
    <t>6,668</t>
  </si>
  <si>
    <t>8,823</t>
  </si>
  <si>
    <t>Selling and Marketing Exp.</t>
  </si>
  <si>
    <t>133</t>
  </si>
  <si>
    <t>413</t>
  </si>
  <si>
    <t>594</t>
  </si>
  <si>
    <t>513</t>
  </si>
  <si>
    <t>125</t>
  </si>
  <si>
    <t>123</t>
  </si>
  <si>
    <t>263</t>
  </si>
  <si>
    <t>344</t>
  </si>
  <si>
    <t>482</t>
  </si>
  <si>
    <t>680</t>
  </si>
  <si>
    <t>1,630</t>
  </si>
  <si>
    <t>2,408</t>
  </si>
  <si>
    <t>3,133</t>
  </si>
  <si>
    <t>4,332</t>
  </si>
  <si>
    <t>5,254</t>
  </si>
  <si>
    <t>7,233</t>
  </si>
  <si>
    <t>10,069</t>
  </si>
  <si>
    <t>13,814</t>
  </si>
  <si>
    <t>18,878</t>
  </si>
  <si>
    <t>22,008</t>
  </si>
  <si>
    <t>32,551</t>
  </si>
  <si>
    <t>Other Expenses</t>
  </si>
  <si>
    <t>0</t>
  </si>
  <si>
    <t>5</t>
  </si>
  <si>
    <t>50</t>
  </si>
  <si>
    <t>215</t>
  </si>
  <si>
    <t>522</t>
  </si>
  <si>
    <t>181</t>
  </si>
  <si>
    <t>3</t>
  </si>
  <si>
    <t>(8)</t>
  </si>
  <si>
    <t>159</t>
  </si>
  <si>
    <t>171</t>
  </si>
  <si>
    <t>167</t>
  </si>
  <si>
    <t>214</t>
  </si>
  <si>
    <t>296</t>
  </si>
  <si>
    <t>201</t>
  </si>
  <si>
    <t>(75)</t>
  </si>
  <si>
    <t>(55,990)</t>
  </si>
  <si>
    <t>COGS and Expenses</t>
  </si>
  <si>
    <t>22</t>
  </si>
  <si>
    <t>177</t>
  </si>
  <si>
    <t>722</t>
  </si>
  <si>
    <t>2,238</t>
  </si>
  <si>
    <t>3,626</t>
  </si>
  <si>
    <t>3,827</t>
  </si>
  <si>
    <t>4,993</t>
  </si>
  <si>
    <t>6,481</t>
  </si>
  <si>
    <t>8,058</t>
  </si>
  <si>
    <t>10,312</t>
  </si>
  <si>
    <t>14,171</t>
  </si>
  <si>
    <t>18,348</t>
  </si>
  <si>
    <t>23,278</t>
  </si>
  <si>
    <t>32,692</t>
  </si>
  <si>
    <t>47,061</t>
  </si>
  <si>
    <t>60,417</t>
  </si>
  <si>
    <t>73,707</t>
  </si>
  <si>
    <t>88,810</t>
  </si>
  <si>
    <t>104,773</t>
  </si>
  <si>
    <t>131,801</t>
  </si>
  <si>
    <t>173,760</t>
  </si>
  <si>
    <t>220,466</t>
  </si>
  <si>
    <t>265,981</t>
  </si>
  <si>
    <t>363,165</t>
  </si>
  <si>
    <t>444,943</t>
  </si>
  <si>
    <t>Interest Income</t>
  </si>
  <si>
    <t>448</t>
  </si>
  <si>
    <t>78</t>
  </si>
  <si>
    <t>77</t>
  </si>
  <si>
    <t>71</t>
  </si>
  <si>
    <t>39</t>
  </si>
  <si>
    <t>65</t>
  </si>
  <si>
    <t>92</t>
  </si>
  <si>
    <t>141</t>
  </si>
  <si>
    <t>210</t>
  </si>
  <si>
    <t>459</t>
  </si>
  <si>
    <t>484</t>
  </si>
  <si>
    <t>848</t>
  </si>
  <si>
    <t>1,417</t>
  </si>
  <si>
    <t>1,600</t>
  </si>
  <si>
    <t>1,647</t>
  </si>
  <si>
    <t>1,809</t>
  </si>
  <si>
    <t>Depreciation and Amortization</t>
  </si>
  <si>
    <t>282</t>
  </si>
  <si>
    <t>323</t>
  </si>
  <si>
    <t>130</t>
  </si>
  <si>
    <t>88</t>
  </si>
  <si>
    <t>76</t>
  </si>
  <si>
    <t>121</t>
  </si>
  <si>
    <t>EBITDA</t>
  </si>
  <si>
    <t>(6)</t>
  </si>
  <si>
    <t>(23)</t>
  </si>
  <si>
    <t>(112)</t>
  </si>
  <si>
    <t>(438)</t>
  </si>
  <si>
    <t>(1,088)</t>
  </si>
  <si>
    <t>(437)</t>
  </si>
  <si>
    <t>(61)</t>
  </si>
  <si>
    <t>432</t>
  </si>
  <si>
    <t>575</t>
  </si>
  <si>
    <t>660</t>
  </si>
  <si>
    <t>983</t>
  </si>
  <si>
    <t>1,250</t>
  </si>
  <si>
    <t>1,567</t>
  </si>
  <si>
    <t>2,111</t>
  </si>
  <si>
    <t>2,070</t>
  </si>
  <si>
    <t>2,640</t>
  </si>
  <si>
    <t>3,829</t>
  </si>
  <si>
    <t>4,882</t>
  </si>
  <si>
    <t>8,286</t>
  </si>
  <si>
    <t>12,396</t>
  </si>
  <si>
    <t>16,128</t>
  </si>
  <si>
    <t>28,028</t>
  </si>
  <si>
    <t>37,351</t>
  </si>
  <si>
    <t>51,092</t>
  </si>
  <si>
    <t>74,260</t>
  </si>
  <si>
    <t>(29)</t>
  </si>
  <si>
    <t>(606)</t>
  </si>
  <si>
    <t>(864)</t>
  </si>
  <si>
    <t>(412)</t>
  </si>
  <si>
    <t>64</t>
  </si>
  <si>
    <t>271</t>
  </si>
  <si>
    <t>440</t>
  </si>
  <si>
    <t>389</t>
  </si>
  <si>
    <t>655</t>
  </si>
  <si>
    <t>842</t>
  </si>
  <si>
    <t>1,406</t>
  </si>
  <si>
    <t>862</t>
  </si>
  <si>
    <t>676</t>
  </si>
  <si>
    <t>745</t>
  </si>
  <si>
    <t>178</t>
  </si>
  <si>
    <t>2,233</t>
  </si>
  <si>
    <t>4,186</t>
  </si>
  <si>
    <t>4,106</t>
  </si>
  <si>
    <t>12,421</t>
  </si>
  <si>
    <t>14,541</t>
  </si>
  <si>
    <t>22,899</t>
  </si>
  <si>
    <t>24,879</t>
  </si>
  <si>
    <t>Total Other Income Exp.(Gains)</t>
  </si>
  <si>
    <t>2</t>
  </si>
  <si>
    <t>(50)</t>
  </si>
  <si>
    <t>(83)</t>
  </si>
  <si>
    <t>(658)</t>
  </si>
  <si>
    <t>(216)</t>
  </si>
  <si>
    <t>(136)</t>
  </si>
  <si>
    <t>(127)</t>
  </si>
  <si>
    <t>(85)</t>
  </si>
  <si>
    <t>(4)</t>
  </si>
  <si>
    <t>(12)</t>
  </si>
  <si>
    <t>59</t>
  </si>
  <si>
    <t>32</t>
  </si>
  <si>
    <t>91</t>
  </si>
  <si>
    <t>72</t>
  </si>
  <si>
    <t>(132)</t>
  </si>
  <si>
    <t>(239)</t>
  </si>
  <si>
    <t>(289)</t>
  </si>
  <si>
    <t>(665)</t>
  </si>
  <si>
    <t>(294)</t>
  </si>
  <si>
    <t>(300)</t>
  </si>
  <si>
    <t>(1,160)</t>
  </si>
  <si>
    <t>(565)</t>
  </si>
  <si>
    <t>1,279</t>
  </si>
  <si>
    <t>13,272</t>
  </si>
  <si>
    <t>Income Before Tax</t>
  </si>
  <si>
    <t>356</t>
  </si>
  <si>
    <t>428</t>
  </si>
  <si>
    <t>377</t>
  </si>
  <si>
    <t>901</t>
  </si>
  <si>
    <t>1,161</t>
  </si>
  <si>
    <t>1,497</t>
  </si>
  <si>
    <t>934</t>
  </si>
  <si>
    <t>544</t>
  </si>
  <si>
    <t>506</t>
  </si>
  <si>
    <t>(111)</t>
  </si>
  <si>
    <t>1,568</t>
  </si>
  <si>
    <t>3,892</t>
  </si>
  <si>
    <t>3,806</t>
  </si>
  <si>
    <t>11,261</t>
  </si>
  <si>
    <t>13,976</t>
  </si>
  <si>
    <t>24,178</t>
  </si>
  <si>
    <t>38,151</t>
  </si>
  <si>
    <t>Income Before Tax ratio</t>
  </si>
  <si>
    <t>5.14%</t>
  </si>
  <si>
    <t>5.04%</t>
  </si>
  <si>
    <t>3.52%</t>
  </si>
  <si>
    <t>4.45%</t>
  </si>
  <si>
    <t>4.70%</t>
  </si>
  <si>
    <t>4.74%</t>
  </si>
  <si>
    <t>4.38%</t>
  </si>
  <si>
    <t>1.94%</t>
  </si>
  <si>
    <t>0.89%</t>
  </si>
  <si>
    <t>0.68%</t>
  </si>
  <si>
    <t>(0.12)%</t>
  </si>
  <si>
    <t>1.47%</t>
  </si>
  <si>
    <t>2.86%</t>
  </si>
  <si>
    <t>2.14%</t>
  </si>
  <si>
    <t>4.84%</t>
  </si>
  <si>
    <t>4.98%</t>
  </si>
  <si>
    <t>6.26%</t>
  </si>
  <si>
    <t>8.12%</t>
  </si>
  <si>
    <t>Income Tax Expense (Gain)</t>
  </si>
  <si>
    <t>(233)</t>
  </si>
  <si>
    <t>95</t>
  </si>
  <si>
    <t>187</t>
  </si>
  <si>
    <t>247</t>
  </si>
  <si>
    <t>253</t>
  </si>
  <si>
    <t>352</t>
  </si>
  <si>
    <t>161</t>
  </si>
  <si>
    <t>950</t>
  </si>
  <si>
    <t>1,425</t>
  </si>
  <si>
    <t>769</t>
  </si>
  <si>
    <t>2,374</t>
  </si>
  <si>
    <t>2,863</t>
  </si>
  <si>
    <t>4,791</t>
  </si>
  <si>
    <t>(28)</t>
  </si>
  <si>
    <t>(125)</t>
  </si>
  <si>
    <t>(720)</t>
  </si>
  <si>
    <t>(1,411)</t>
  </si>
  <si>
    <t>(567)</t>
  </si>
  <si>
    <t>(149)</t>
  </si>
  <si>
    <t>35</t>
  </si>
  <si>
    <t>588</t>
  </si>
  <si>
    <t>359</t>
  </si>
  <si>
    <t>EPS</t>
  </si>
  <si>
    <t>(0.01)</t>
  </si>
  <si>
    <t>(0.02)</t>
  </si>
  <si>
    <t>(0.11)</t>
  </si>
  <si>
    <t>(0.20)</t>
  </si>
  <si>
    <t>(0.08)</t>
  </si>
  <si>
    <t>0.00</t>
  </si>
  <si>
    <t>0.24</t>
  </si>
  <si>
    <t>0.31</t>
  </si>
  <si>
    <t>1.01</t>
  </si>
  <si>
    <t>1.15</t>
  </si>
  <si>
    <t>2.09</t>
  </si>
  <si>
    <t>EPS Diluted</t>
  </si>
  <si>
    <t>3.24</t>
  </si>
  <si>
    <t>Weighted Avg. Shares Outs.</t>
  </si>
  <si>
    <t>3,867</t>
  </si>
  <si>
    <t>5,196</t>
  </si>
  <si>
    <t>5,927</t>
  </si>
  <si>
    <t>6,535</t>
  </si>
  <si>
    <t>7,284</t>
  </si>
  <si>
    <t>7,567</t>
  </si>
  <si>
    <t>7,910</t>
  </si>
  <si>
    <t>8,119</t>
  </si>
  <si>
    <t>8,240</t>
  </si>
  <si>
    <t>Weighted Avg. Shares Outs. Dil.</t>
  </si>
  <si>
    <t>5,229</t>
  </si>
  <si>
    <t>7,017</t>
  </si>
  <si>
    <t>8,387</t>
  </si>
  <si>
    <t>8,495</t>
  </si>
  <si>
    <t>8,520</t>
  </si>
  <si>
    <t>8,480</t>
  </si>
  <si>
    <t>8,640</t>
  </si>
  <si>
    <t>8,840</t>
  </si>
  <si>
    <t>9,120</t>
  </si>
  <si>
    <t>9,220</t>
  </si>
  <si>
    <t>9,300</t>
  </si>
  <si>
    <t>9,540</t>
  </si>
  <si>
    <t>9,680</t>
  </si>
  <si>
    <t>9,860</t>
  </si>
  <si>
    <t>10,080</t>
  </si>
  <si>
    <t>10,200</t>
  </si>
  <si>
    <t>10,300</t>
  </si>
  <si>
    <t>Revenue y/y</t>
  </si>
  <si>
    <t>Operating Income y/y</t>
  </si>
  <si>
    <t>Net Income y/y</t>
  </si>
  <si>
    <t>Gross Margin</t>
  </si>
  <si>
    <t>Net Margin</t>
  </si>
  <si>
    <t>Cash and Cash Equivalents</t>
  </si>
  <si>
    <t>6</t>
  </si>
  <si>
    <t>110</t>
  </si>
  <si>
    <t>26</t>
  </si>
  <si>
    <t>117</t>
  </si>
  <si>
    <t>822</t>
  </si>
  <si>
    <t>738</t>
  </si>
  <si>
    <t>1,102</t>
  </si>
  <si>
    <t>1,303</t>
  </si>
  <si>
    <t>1,013</t>
  </si>
  <si>
    <t>1,022</t>
  </si>
  <si>
    <t>2,539</t>
  </si>
  <si>
    <t>2,769</t>
  </si>
  <si>
    <t>3,444</t>
  </si>
  <si>
    <t>3,777</t>
  </si>
  <si>
    <t>5,269</t>
  </si>
  <si>
    <t>8,084</t>
  </si>
  <si>
    <t>8,658</t>
  </si>
  <si>
    <t>14,557</t>
  </si>
  <si>
    <t>15,890</t>
  </si>
  <si>
    <t>19,334</t>
  </si>
  <si>
    <t>20,522</t>
  </si>
  <si>
    <t>31,750</t>
  </si>
  <si>
    <t>36,092</t>
  </si>
  <si>
    <t>42,122</t>
  </si>
  <si>
    <t>36,220</t>
  </si>
  <si>
    <t>Short-Term Investments</t>
  </si>
  <si>
    <t>348</t>
  </si>
  <si>
    <t>589</t>
  </si>
  <si>
    <t>278</t>
  </si>
  <si>
    <t>456</t>
  </si>
  <si>
    <t>563</t>
  </si>
  <si>
    <t>293</t>
  </si>
  <si>
    <t>477</t>
  </si>
  <si>
    <t>987</t>
  </si>
  <si>
    <t>997</t>
  </si>
  <si>
    <t>573</t>
  </si>
  <si>
    <t>958</t>
  </si>
  <si>
    <t>2,922</t>
  </si>
  <si>
    <t>4,985</t>
  </si>
  <si>
    <t>4,307</t>
  </si>
  <si>
    <t>3,364</t>
  </si>
  <si>
    <t>3,789</t>
  </si>
  <si>
    <t>2,859</t>
  </si>
  <si>
    <t>3,918</t>
  </si>
  <si>
    <t>6,647</t>
  </si>
  <si>
    <t>10,464</t>
  </si>
  <si>
    <t>9,500</t>
  </si>
  <si>
    <t>18,929</t>
  </si>
  <si>
    <t>42,274</t>
  </si>
  <si>
    <t>59,829</t>
  </si>
  <si>
    <t>Cash &amp; Short-Term Investments</t>
  </si>
  <si>
    <t>373</t>
  </si>
  <si>
    <t>706</t>
  </si>
  <si>
    <t>1,101</t>
  </si>
  <si>
    <t>1,301</t>
  </si>
  <si>
    <t>1,779</t>
  </si>
  <si>
    <t>2,000</t>
  </si>
  <si>
    <t>2,019</t>
  </si>
  <si>
    <t>3,112</t>
  </si>
  <si>
    <t>3,727</t>
  </si>
  <si>
    <t>6,366</t>
  </si>
  <si>
    <t>8,762</t>
  </si>
  <si>
    <t>9,576</t>
  </si>
  <si>
    <t>11,448</t>
  </si>
  <si>
    <t>12,447</t>
  </si>
  <si>
    <t>17,416</t>
  </si>
  <si>
    <t>19,808</t>
  </si>
  <si>
    <t>25,981</t>
  </si>
  <si>
    <t>30,986</t>
  </si>
  <si>
    <t>41,250</t>
  </si>
  <si>
    <t>55,021</t>
  </si>
  <si>
    <t>84,396</t>
  </si>
  <si>
    <t>96,049</t>
  </si>
  <si>
    <t>Net Receivables</t>
  </si>
  <si>
    <t>112</t>
  </si>
  <si>
    <t>132</t>
  </si>
  <si>
    <t>199</t>
  </si>
  <si>
    <t>399</t>
  </si>
  <si>
    <t>705</t>
  </si>
  <si>
    <t>827</t>
  </si>
  <si>
    <t>988</t>
  </si>
  <si>
    <t>1,587</t>
  </si>
  <si>
    <t>2,571</t>
  </si>
  <si>
    <t>4,767</t>
  </si>
  <si>
    <t>5,612</t>
  </si>
  <si>
    <t>6,423</t>
  </si>
  <si>
    <t>8,339</t>
  </si>
  <si>
    <t>13,164</t>
  </si>
  <si>
    <t>16,677</t>
  </si>
  <si>
    <t>20,816</t>
  </si>
  <si>
    <t>24,542</t>
  </si>
  <si>
    <t>32,891</t>
  </si>
  <si>
    <t>Inventory</t>
  </si>
  <si>
    <t>1</t>
  </si>
  <si>
    <t>30</t>
  </si>
  <si>
    <t>221</t>
  </si>
  <si>
    <t>175</t>
  </si>
  <si>
    <t>144</t>
  </si>
  <si>
    <t>202</t>
  </si>
  <si>
    <t>294</t>
  </si>
  <si>
    <t>480</t>
  </si>
  <si>
    <t>566</t>
  </si>
  <si>
    <t>877</t>
  </si>
  <si>
    <t>1,200</t>
  </si>
  <si>
    <t>1,399</t>
  </si>
  <si>
    <t>2,171</t>
  </si>
  <si>
    <t>3,202</t>
  </si>
  <si>
    <t>4,992</t>
  </si>
  <si>
    <t>6,031</t>
  </si>
  <si>
    <t>7,411</t>
  </si>
  <si>
    <t>8,299</t>
  </si>
  <si>
    <t>10,243</t>
  </si>
  <si>
    <t>11,461</t>
  </si>
  <si>
    <t>16,047</t>
  </si>
  <si>
    <t>17,174</t>
  </si>
  <si>
    <t>20,497</t>
  </si>
  <si>
    <t>23,795</t>
  </si>
  <si>
    <t>32,640</t>
  </si>
  <si>
    <t>Other Current Assets</t>
  </si>
  <si>
    <t>19</t>
  </si>
  <si>
    <t>21</t>
  </si>
  <si>
    <t>85</t>
  </si>
  <si>
    <t>86</t>
  </si>
  <si>
    <t>68</t>
  </si>
  <si>
    <t>81</t>
  </si>
  <si>
    <t>89</t>
  </si>
  <si>
    <t>147</t>
  </si>
  <si>
    <t>204</t>
  </si>
  <si>
    <t>272</t>
  </si>
  <si>
    <t>196</t>
  </si>
  <si>
    <t>351</t>
  </si>
  <si>
    <t>453</t>
  </si>
  <si>
    <t>Total Current Assets</t>
  </si>
  <si>
    <t>7</t>
  </si>
  <si>
    <t>137</t>
  </si>
  <si>
    <t>424</t>
  </si>
  <si>
    <t>1,012</t>
  </si>
  <si>
    <t>1,361</t>
  </si>
  <si>
    <t>1,208</t>
  </si>
  <si>
    <t>1,616</t>
  </si>
  <si>
    <t>1,821</t>
  </si>
  <si>
    <t>2,929</t>
  </si>
  <si>
    <t>3,373</t>
  </si>
  <si>
    <t>5,164</t>
  </si>
  <si>
    <t>6,157</t>
  </si>
  <si>
    <t>9,797</t>
  </si>
  <si>
    <t>13,747</t>
  </si>
  <si>
    <t>17,490</t>
  </si>
  <si>
    <t>21,296</t>
  </si>
  <si>
    <t>24,625</t>
  </si>
  <si>
    <t>31,327</t>
  </si>
  <si>
    <t>36,474</t>
  </si>
  <si>
    <t>45,781</t>
  </si>
  <si>
    <t>60,197</t>
  </si>
  <si>
    <t>75,101</t>
  </si>
  <si>
    <t>96,334</t>
  </si>
  <si>
    <t>132,733</t>
  </si>
  <si>
    <t>161,580</t>
  </si>
  <si>
    <t>318</t>
  </si>
  <si>
    <t>366</t>
  </si>
  <si>
    <t>239</t>
  </si>
  <si>
    <t>224</t>
  </si>
  <si>
    <t>457</t>
  </si>
  <si>
    <t>543</t>
  </si>
  <si>
    <t>854</t>
  </si>
  <si>
    <t>1,290</t>
  </si>
  <si>
    <t>2,414</t>
  </si>
  <si>
    <t>4,417</t>
  </si>
  <si>
    <t>7,060</t>
  </si>
  <si>
    <t>10,949</t>
  </si>
  <si>
    <t>16,967</t>
  </si>
  <si>
    <t>21,838</t>
  </si>
  <si>
    <t>29,114</t>
  </si>
  <si>
    <t>48,866</t>
  </si>
  <si>
    <t>61,797</t>
  </si>
  <si>
    <t>73</t>
  </si>
  <si>
    <t>150,667</t>
  </si>
  <si>
    <t>216,363</t>
  </si>
  <si>
    <t>195</t>
  </si>
  <si>
    <t>222</t>
  </si>
  <si>
    <t>438</t>
  </si>
  <si>
    <t>1,234</t>
  </si>
  <si>
    <t>1,955</t>
  </si>
  <si>
    <t>2,552</t>
  </si>
  <si>
    <t>2,655</t>
  </si>
  <si>
    <t>3,319</t>
  </si>
  <si>
    <t>3,759</t>
  </si>
  <si>
    <t>3,784</t>
  </si>
  <si>
    <t>13,350</t>
  </si>
  <si>
    <t>14,548</t>
  </si>
  <si>
    <t>14,754</t>
  </si>
  <si>
    <t>15,017</t>
  </si>
  <si>
    <t>15,371</t>
  </si>
  <si>
    <t>Intangible Assets</t>
  </si>
  <si>
    <t>186</t>
  </si>
  <si>
    <t>730</t>
  </si>
  <si>
    <t>80</t>
  </si>
  <si>
    <t>74</t>
  </si>
  <si>
    <t>70</t>
  </si>
  <si>
    <t>139</t>
  </si>
  <si>
    <t>567</t>
  </si>
  <si>
    <t>647</t>
  </si>
  <si>
    <t>725</t>
  </si>
  <si>
    <t>764</t>
  </si>
  <si>
    <t>762</t>
  </si>
  <si>
    <t>3,371</t>
  </si>
  <si>
    <t>4,110</t>
  </si>
  <si>
    <t>4,049</t>
  </si>
  <si>
    <t>4,981</t>
  </si>
  <si>
    <t>5,107</t>
  </si>
  <si>
    <t>Goodwill and Intangible Assets</t>
  </si>
  <si>
    <t>248</t>
  </si>
  <si>
    <t>598</t>
  </si>
  <si>
    <t>1,801</t>
  </si>
  <si>
    <t>1,912</t>
  </si>
  <si>
    <t>2,602</t>
  </si>
  <si>
    <t>3,277</t>
  </si>
  <si>
    <t>3,300</t>
  </si>
  <si>
    <t>4,083</t>
  </si>
  <si>
    <t>4,521</t>
  </si>
  <si>
    <t>4,638</t>
  </si>
  <si>
    <t>16,721</t>
  </si>
  <si>
    <t>18,658</t>
  </si>
  <si>
    <t>18,803</t>
  </si>
  <si>
    <t>19,998</t>
  </si>
  <si>
    <t>20,478</t>
  </si>
  <si>
    <t>Investments</t>
  </si>
  <si>
    <t>Tax Assets</t>
  </si>
  <si>
    <t>223</t>
  </si>
  <si>
    <t>260</t>
  </si>
  <si>
    <t>145</t>
  </si>
  <si>
    <t>18</t>
  </si>
  <si>
    <t>28</t>
  </si>
  <si>
    <t>Other Non-Current Assets</t>
  </si>
  <si>
    <t>8</t>
  </si>
  <si>
    <t>412</t>
  </si>
  <si>
    <t>152</t>
  </si>
  <si>
    <t>61</t>
  </si>
  <si>
    <t>42</t>
  </si>
  <si>
    <t>37</t>
  </si>
  <si>
    <t>118</t>
  </si>
  <si>
    <t>270</t>
  </si>
  <si>
    <t>560</t>
  </si>
  <si>
    <t>907</t>
  </si>
  <si>
    <t>702</t>
  </si>
  <si>
    <t>741</t>
  </si>
  <si>
    <t>1,285</t>
  </si>
  <si>
    <t>2,128</t>
  </si>
  <si>
    <t>2,611</t>
  </si>
  <si>
    <t>3,869</t>
  </si>
  <si>
    <t>5,526</t>
  </si>
  <si>
    <t>7,092</t>
  </si>
  <si>
    <t>110,038</t>
  </si>
  <si>
    <t>17,797</t>
  </si>
  <si>
    <t>22,128</t>
  </si>
  <si>
    <t>Total Non-Current Assets</t>
  </si>
  <si>
    <t>1,459</t>
  </si>
  <si>
    <t>774</t>
  </si>
  <si>
    <t>430</t>
  </si>
  <si>
    <t>375</t>
  </si>
  <si>
    <t>341</t>
  </si>
  <si>
    <t>709</t>
  </si>
  <si>
    <t>767</t>
  </si>
  <si>
    <t>990</t>
  </si>
  <si>
    <t>1,321</t>
  </si>
  <si>
    <t>2,157</t>
  </si>
  <si>
    <t>4,016</t>
  </si>
  <si>
    <t>5,050</t>
  </si>
  <si>
    <t>7,788</t>
  </si>
  <si>
    <t>11,259</t>
  </si>
  <si>
    <t>15,534</t>
  </si>
  <si>
    <t>23,178</t>
  </si>
  <si>
    <t>28,970</t>
  </si>
  <si>
    <t>37,621</t>
  </si>
  <si>
    <t>71,113</t>
  </si>
  <si>
    <t>87,547</t>
  </si>
  <si>
    <t>128,914</t>
  </si>
  <si>
    <t>188,462</t>
  </si>
  <si>
    <t>258,969</t>
  </si>
  <si>
    <t>Other Assets</t>
  </si>
  <si>
    <t>648</t>
  </si>
  <si>
    <t>2,472</t>
  </si>
  <si>
    <t>2,135</t>
  </si>
  <si>
    <t>1,638</t>
  </si>
  <si>
    <t>1,990</t>
  </si>
  <si>
    <t>2,162</t>
  </si>
  <si>
    <t>3,249</t>
  </si>
  <si>
    <t>3,696</t>
  </si>
  <si>
    <t>4,363</t>
  </si>
  <si>
    <t>6,485</t>
  </si>
  <si>
    <t>8,314</t>
  </si>
  <si>
    <t>13,813</t>
  </si>
  <si>
    <t>18,797</t>
  </si>
  <si>
    <t>25,278</t>
  </si>
  <si>
    <t>32,555</t>
  </si>
  <si>
    <t>40,159</t>
  </si>
  <si>
    <t>54,505</t>
  </si>
  <si>
    <t>65,444</t>
  </si>
  <si>
    <t>83,402</t>
  </si>
  <si>
    <t>131,310</t>
  </si>
  <si>
    <t>162,648</t>
  </si>
  <si>
    <t>225,248</t>
  </si>
  <si>
    <t>321,195</t>
  </si>
  <si>
    <t>420,549</t>
  </si>
  <si>
    <t>Accounts Payable</t>
  </si>
  <si>
    <t>33</t>
  </si>
  <si>
    <t>113</t>
  </si>
  <si>
    <t>463</t>
  </si>
  <si>
    <t>485</t>
  </si>
  <si>
    <t>445</t>
  </si>
  <si>
    <t>618</t>
  </si>
  <si>
    <t>820</t>
  </si>
  <si>
    <t>1,142</t>
  </si>
  <si>
    <t>1,366</t>
  </si>
  <si>
    <t>1,816</t>
  </si>
  <si>
    <t>2,795</t>
  </si>
  <si>
    <t>3,594</t>
  </si>
  <si>
    <t>5,605</t>
  </si>
  <si>
    <t>8,051</t>
  </si>
  <si>
    <t>11,145</t>
  </si>
  <si>
    <t>13,318</t>
  </si>
  <si>
    <t>15,133</t>
  </si>
  <si>
    <t>16,459</t>
  </si>
  <si>
    <t>20,397</t>
  </si>
  <si>
    <t>25,309</t>
  </si>
  <si>
    <t>34,616</t>
  </si>
  <si>
    <t>38,192</t>
  </si>
  <si>
    <t>47,183</t>
  </si>
  <si>
    <t>72,539</t>
  </si>
  <si>
    <t>78,664</t>
  </si>
  <si>
    <t>Short-Term Debt</t>
  </si>
  <si>
    <t>14</t>
  </si>
  <si>
    <t>17</t>
  </si>
  <si>
    <t>15</t>
  </si>
  <si>
    <t>Tax Payable</t>
  </si>
  <si>
    <t>Deferred Revenue</t>
  </si>
  <si>
    <t>Other Current Liabilities</t>
  </si>
  <si>
    <t>48</t>
  </si>
  <si>
    <t>207</t>
  </si>
  <si>
    <t>473</t>
  </si>
  <si>
    <t>374</t>
  </si>
  <si>
    <t>387</t>
  </si>
  <si>
    <t>391</t>
  </si>
  <si>
    <t>435</t>
  </si>
  <si>
    <t>716</t>
  </si>
  <si>
    <t>919</t>
  </si>
  <si>
    <t>1,093</t>
  </si>
  <si>
    <t>1,759</t>
  </si>
  <si>
    <t>2,321</t>
  </si>
  <si>
    <t>3,751</t>
  </si>
  <si>
    <t>5,684</t>
  </si>
  <si>
    <t>6,688</t>
  </si>
  <si>
    <t>9,807</t>
  </si>
  <si>
    <t>10,384</t>
  </si>
  <si>
    <t>13,739</t>
  </si>
  <si>
    <t>18,170</t>
  </si>
  <si>
    <t>23,663</t>
  </si>
  <si>
    <t>32,439</t>
  </si>
  <si>
    <t>44,138</t>
  </si>
  <si>
    <t>51,775</t>
  </si>
  <si>
    <t>Total Current Liabilities</t>
  </si>
  <si>
    <t>44</t>
  </si>
  <si>
    <t>162</t>
  </si>
  <si>
    <t>739</t>
  </si>
  <si>
    <t>975</t>
  </si>
  <si>
    <t>921</t>
  </si>
  <si>
    <t>1,066</t>
  </si>
  <si>
    <t>1,253</t>
  </si>
  <si>
    <t>1,620</t>
  </si>
  <si>
    <t>1,929</t>
  </si>
  <si>
    <t>2,532</t>
  </si>
  <si>
    <t>3,714</t>
  </si>
  <si>
    <t>7,364</t>
  </si>
  <si>
    <t>10,372</t>
  </si>
  <si>
    <t>19,002</t>
  </si>
  <si>
    <t>22,980</t>
  </si>
  <si>
    <t>28,089</t>
  </si>
  <si>
    <t>33,899</t>
  </si>
  <si>
    <t>43,816</t>
  </si>
  <si>
    <t>57,883</t>
  </si>
  <si>
    <t>68,391</t>
  </si>
  <si>
    <t>87,812</t>
  </si>
  <si>
    <t>126,385</t>
  </si>
  <si>
    <t>142,266</t>
  </si>
  <si>
    <t>Long-Term Debt</t>
  </si>
  <si>
    <t>1,466</t>
  </si>
  <si>
    <t>2,127</t>
  </si>
  <si>
    <t>2,156</t>
  </si>
  <si>
    <t>2,277</t>
  </si>
  <si>
    <t>1,945</t>
  </si>
  <si>
    <t>1,855</t>
  </si>
  <si>
    <t>1,521</t>
  </si>
  <si>
    <t>Deferred Tax Liabilities</t>
  </si>
  <si>
    <t>336</t>
  </si>
  <si>
    <t>1,028</t>
  </si>
  <si>
    <t>1,531</t>
  </si>
  <si>
    <t>2,016</t>
  </si>
  <si>
    <t>1,787</t>
  </si>
  <si>
    <t>1,994</t>
  </si>
  <si>
    <t>2,386</t>
  </si>
  <si>
    <t>Other Non-Current Liabilities</t>
  </si>
  <si>
    <t>153</t>
  </si>
  <si>
    <t>292</t>
  </si>
  <si>
    <t>487</t>
  </si>
  <si>
    <t>1,377</t>
  </si>
  <si>
    <t>2,370</t>
  </si>
  <si>
    <t>1,941</t>
  </si>
  <si>
    <t>3,214</t>
  </si>
  <si>
    <t>5,879</t>
  </si>
  <si>
    <t>10,820</t>
  </si>
  <si>
    <t>18,981</t>
  </si>
  <si>
    <t>24,827</t>
  </si>
  <si>
    <t>51,962</t>
  </si>
  <si>
    <t>17,017</t>
  </si>
  <si>
    <t>23,643</t>
  </si>
  <si>
    <t>Total Non-Current Liabilities</t>
  </si>
  <si>
    <t>1,400</t>
  </si>
  <si>
    <t>1,574</t>
  </si>
  <si>
    <t>1,192</t>
  </si>
  <si>
    <t>1,561</t>
  </si>
  <si>
    <t>2,625</t>
  </si>
  <si>
    <t>5,361</t>
  </si>
  <si>
    <t>7,433</t>
  </si>
  <si>
    <t>15,675</t>
  </si>
  <si>
    <t>18,161</t>
  </si>
  <si>
    <t>20,301</t>
  </si>
  <si>
    <t>45,718</t>
  </si>
  <si>
    <t>50,708</t>
  </si>
  <si>
    <t>75,376</t>
  </si>
  <si>
    <t>101,406</t>
  </si>
  <si>
    <t>140,038</t>
  </si>
  <si>
    <t>Other Liabilities</t>
  </si>
  <si>
    <t>Capital Lease Obligations</t>
  </si>
  <si>
    <t>67,651</t>
  </si>
  <si>
    <t>510</t>
  </si>
  <si>
    <t>2,205</t>
  </si>
  <si>
    <t>3,102</t>
  </si>
  <si>
    <t>3,078</t>
  </si>
  <si>
    <t>3,343</t>
  </si>
  <si>
    <t>3,198</t>
  </si>
  <si>
    <t>3,476</t>
  </si>
  <si>
    <t>3,450</t>
  </si>
  <si>
    <t>3,932</t>
  </si>
  <si>
    <t>5,288</t>
  </si>
  <si>
    <t>5,642</t>
  </si>
  <si>
    <t>8,556</t>
  </si>
  <si>
    <t>11,933</t>
  </si>
  <si>
    <t>17,521</t>
  </si>
  <si>
    <t>24,363</t>
  </si>
  <si>
    <t>30,413</t>
  </si>
  <si>
    <t>43,764</t>
  </si>
  <si>
    <t>52,060</t>
  </si>
  <si>
    <t>64,117</t>
  </si>
  <si>
    <t>103,601</t>
  </si>
  <si>
    <t>119,099</t>
  </si>
  <si>
    <t>163,188</t>
  </si>
  <si>
    <t>227,791</t>
  </si>
  <si>
    <t>282,304</t>
  </si>
  <si>
    <t>Retained Earnings</t>
  </si>
  <si>
    <t>(34)</t>
  </si>
  <si>
    <t>(162)</t>
  </si>
  <si>
    <t>(882)</t>
  </si>
  <si>
    <t>(2,293)</t>
  </si>
  <si>
    <t>(2,861)</t>
  </si>
  <si>
    <t>(3,010)</t>
  </si>
  <si>
    <t>(2,974)</t>
  </si>
  <si>
    <t>(2,386)</t>
  </si>
  <si>
    <t>(2,027)</t>
  </si>
  <si>
    <t>(1,837)</t>
  </si>
  <si>
    <t>(1,375)</t>
  </si>
  <si>
    <t>(730)</t>
  </si>
  <si>
    <t>172</t>
  </si>
  <si>
    <t>1,324</t>
  </si>
  <si>
    <t>1,916</t>
  </si>
  <si>
    <t>2,190</t>
  </si>
  <si>
    <t>1,949</t>
  </si>
  <si>
    <t>2,545</t>
  </si>
  <si>
    <t>4,916</t>
  </si>
  <si>
    <t>8,636</t>
  </si>
  <si>
    <t>19,625</t>
  </si>
  <si>
    <t>31,220</t>
  </si>
  <si>
    <t>52,551</t>
  </si>
  <si>
    <t>85,915</t>
  </si>
  <si>
    <t>Other Compreh. Income(Loss)</t>
  </si>
  <si>
    <t>(0)</t>
  </si>
  <si>
    <t>(14)</t>
  </si>
  <si>
    <t>(49)</t>
  </si>
  <si>
    <t>(115)</t>
  </si>
  <si>
    <t>(166)</t>
  </si>
  <si>
    <t>(1)</t>
  </si>
  <si>
    <t>(123)</t>
  </si>
  <si>
    <t>(56)</t>
  </si>
  <si>
    <t>(190)</t>
  </si>
  <si>
    <t>(316)</t>
  </si>
  <si>
    <t>(185)</t>
  </si>
  <si>
    <t>(511)</t>
  </si>
  <si>
    <t>(723)</t>
  </si>
  <si>
    <t>(985)</t>
  </si>
  <si>
    <t>(484)</t>
  </si>
  <si>
    <t>(1,035)</t>
  </si>
  <si>
    <t>(986)</t>
  </si>
  <si>
    <t>(180)</t>
  </si>
  <si>
    <t>(1,376)</t>
  </si>
  <si>
    <t>Other Total Stockhold. Equity</t>
  </si>
  <si>
    <t>66</t>
  </si>
  <si>
    <t>313</t>
  </si>
  <si>
    <t>1,194</t>
  </si>
  <si>
    <t>1,437</t>
  </si>
  <si>
    <t>1,583</t>
  </si>
  <si>
    <t>1,896</t>
  </si>
  <si>
    <t>2,082</t>
  </si>
  <si>
    <t>2,331</t>
  </si>
  <si>
    <t>2,263</t>
  </si>
  <si>
    <t>2,265</t>
  </si>
  <si>
    <t>2,563</t>
  </si>
  <si>
    <t>3,521</t>
  </si>
  <si>
    <t>5,136</t>
  </si>
  <si>
    <t>5,725</t>
  </si>
  <si>
    <t>6,113</t>
  </si>
  <si>
    <t>6,510</t>
  </si>
  <si>
    <t>7,736</t>
  </si>
  <si>
    <t>9,298</t>
  </si>
  <si>
    <t>11,557</t>
  </si>
  <si>
    <t>15,349</t>
  </si>
  <si>
    <t>19,552</t>
  </si>
  <si>
    <t>24,954</t>
  </si>
  <si>
    <t>31,821</t>
  </si>
  <si>
    <t>41,033</t>
  </si>
  <si>
    <t>53,706</t>
  </si>
  <si>
    <t>Total Stockholders Equity</t>
  </si>
  <si>
    <t>29</t>
  </si>
  <si>
    <t>266</t>
  </si>
  <si>
    <t>(967)</t>
  </si>
  <si>
    <t>(1,440)</t>
  </si>
  <si>
    <t>(1,353)</t>
  </si>
  <si>
    <t>(1,036)</t>
  </si>
  <si>
    <t>(227)</t>
  </si>
  <si>
    <t>Total Liab.&amp;Stockhold. Equity</t>
  </si>
  <si>
    <t>Minority Interest</t>
  </si>
  <si>
    <t>Total Liabilities &amp; Equity</t>
  </si>
  <si>
    <t>Deferred Income Tax</t>
  </si>
  <si>
    <t>(257)</t>
  </si>
  <si>
    <t>(99)</t>
  </si>
  <si>
    <t>(5)</t>
  </si>
  <si>
    <t>136</t>
  </si>
  <si>
    <t>(265)</t>
  </si>
  <si>
    <t>(156)</t>
  </si>
  <si>
    <t>(246)</t>
  </si>
  <si>
    <t>441</t>
  </si>
  <si>
    <t>796</t>
  </si>
  <si>
    <t>(554)</t>
  </si>
  <si>
    <t>(310)</t>
  </si>
  <si>
    <t>Stock Based Compensation</t>
  </si>
  <si>
    <t>185</t>
  </si>
  <si>
    <t>275</t>
  </si>
  <si>
    <t>557</t>
  </si>
  <si>
    <t>833</t>
  </si>
  <si>
    <t>1,134</t>
  </si>
  <si>
    <t>2,119</t>
  </si>
  <si>
    <t>2,975</t>
  </si>
  <si>
    <t>4,215</t>
  </si>
  <si>
    <t>5,418</t>
  </si>
  <si>
    <t>9,208</t>
  </si>
  <si>
    <t>12,757</t>
  </si>
  <si>
    <t>Change in Working Capital</t>
  </si>
  <si>
    <t>230</t>
  </si>
  <si>
    <t>286</t>
  </si>
  <si>
    <t>43</t>
  </si>
  <si>
    <t>57</t>
  </si>
  <si>
    <t>104</t>
  </si>
  <si>
    <t>284</t>
  </si>
  <si>
    <t>832</t>
  </si>
  <si>
    <t>714</t>
  </si>
  <si>
    <t>1,612</t>
  </si>
  <si>
    <t>1,581</t>
  </si>
  <si>
    <t>1,464</t>
  </si>
  <si>
    <t>1,523</t>
  </si>
  <si>
    <t>974</t>
  </si>
  <si>
    <t>2,557</t>
  </si>
  <si>
    <t>3,916</t>
  </si>
  <si>
    <t>(173)</t>
  </si>
  <si>
    <t>(1,043)</t>
  </si>
  <si>
    <t>(2,438)</t>
  </si>
  <si>
    <t>13,481</t>
  </si>
  <si>
    <t>(19,611)</t>
  </si>
  <si>
    <t>Accounts Receivable</t>
  </si>
  <si>
    <t>(103)</t>
  </si>
  <si>
    <t>(255)</t>
  </si>
  <si>
    <t>(218)</t>
  </si>
  <si>
    <t>(481)</t>
  </si>
  <si>
    <t>(295)</t>
  </si>
  <si>
    <t>(866)</t>
  </si>
  <si>
    <t>(861)</t>
  </si>
  <si>
    <t>(846)</t>
  </si>
  <si>
    <t>(1,039)</t>
  </si>
  <si>
    <t>(1,755)</t>
  </si>
  <si>
    <t>(3,367)</t>
  </si>
  <si>
    <t>(4,786)</t>
  </si>
  <si>
    <t>(4,615)</t>
  </si>
  <si>
    <t>(7,681)</t>
  </si>
  <si>
    <t>(8,169)</t>
  </si>
  <si>
    <t>(18,163)</t>
  </si>
  <si>
    <t>(21)</t>
  </si>
  <si>
    <t>(172)</t>
  </si>
  <si>
    <t>31</t>
  </si>
  <si>
    <t>(51)</t>
  </si>
  <si>
    <t>(77)</t>
  </si>
  <si>
    <t>(169)</t>
  </si>
  <si>
    <t>(104)</t>
  </si>
  <si>
    <t>(282)</t>
  </si>
  <si>
    <t>(303)</t>
  </si>
  <si>
    <t>(232)</t>
  </si>
  <si>
    <t>(531)</t>
  </si>
  <si>
    <t>(1,019)</t>
  </si>
  <si>
    <t>(1,777)</t>
  </si>
  <si>
    <t>(999)</t>
  </si>
  <si>
    <t>(1,410)</t>
  </si>
  <si>
    <t>(1,193)</t>
  </si>
  <si>
    <t>(2,187)</t>
  </si>
  <si>
    <t>(1,426)</t>
  </si>
  <si>
    <t>(3,583)</t>
  </si>
  <si>
    <t>(1,314)</t>
  </si>
  <si>
    <t>(3,278)</t>
  </si>
  <si>
    <t>(2,849)</t>
  </si>
  <si>
    <t>(9,487)</t>
  </si>
  <si>
    <t>402</t>
  </si>
  <si>
    <t>928</t>
  </si>
  <si>
    <t>812</t>
  </si>
  <si>
    <t>1,859</t>
  </si>
  <si>
    <t>2,373</t>
  </si>
  <si>
    <t>2,997</t>
  </si>
  <si>
    <t>1,888</t>
  </si>
  <si>
    <t>4,294</t>
  </si>
  <si>
    <t>5,030</t>
  </si>
  <si>
    <t>7,175</t>
  </si>
  <si>
    <t>3,263</t>
  </si>
  <si>
    <t>8,193</t>
  </si>
  <si>
    <t>17,480</t>
  </si>
  <si>
    <t>3,602</t>
  </si>
  <si>
    <t>Other Working Capital</t>
  </si>
  <si>
    <t>273</t>
  </si>
  <si>
    <t>386</t>
  </si>
  <si>
    <t>550</t>
  </si>
  <si>
    <t>105</t>
  </si>
  <si>
    <t>465</t>
  </si>
  <si>
    <t>1,292</t>
  </si>
  <si>
    <t>1,151</t>
  </si>
  <si>
    <t>1,711</t>
  </si>
  <si>
    <t>1,265</t>
  </si>
  <si>
    <t>Other Non-Cash Items</t>
  </si>
  <si>
    <t>672</t>
  </si>
  <si>
    <t>146</t>
  </si>
  <si>
    <t>193</t>
  </si>
  <si>
    <t>55</t>
  </si>
  <si>
    <t>(100)</t>
  </si>
  <si>
    <t>(235)</t>
  </si>
  <si>
    <t>(219)</t>
  </si>
  <si>
    <t>(234)</t>
  </si>
  <si>
    <t>(31)</t>
  </si>
  <si>
    <t>203</t>
  </si>
  <si>
    <t>182</t>
  </si>
  <si>
    <t>(689)</t>
  </si>
  <si>
    <t>(90)</t>
  </si>
  <si>
    <t>493</t>
  </si>
  <si>
    <t>(2,653)</t>
  </si>
  <si>
    <t>(14,169)</t>
  </si>
  <si>
    <t>Cash Provided by Operating Activities</t>
  </si>
  <si>
    <t>(2)</t>
  </si>
  <si>
    <t>(91)</t>
  </si>
  <si>
    <t>(130)</t>
  </si>
  <si>
    <t>(120)</t>
  </si>
  <si>
    <t>174</t>
  </si>
  <si>
    <t>392</t>
  </si>
  <si>
    <t>733</t>
  </si>
  <si>
    <t>1,405</t>
  </si>
  <si>
    <t>1,697</t>
  </si>
  <si>
    <t>3,293</t>
  </si>
  <si>
    <t>3,495</t>
  </si>
  <si>
    <t>3,903</t>
  </si>
  <si>
    <t>4,180</t>
  </si>
  <si>
    <t>5,475</t>
  </si>
  <si>
    <t>6,842</t>
  </si>
  <si>
    <t>11,920</t>
  </si>
  <si>
    <t>16,443</t>
  </si>
  <si>
    <t>18,434</t>
  </si>
  <si>
    <t>30,723</t>
  </si>
  <si>
    <t>38,514</t>
  </si>
  <si>
    <t>66,064</t>
  </si>
  <si>
    <t>46,327</t>
  </si>
  <si>
    <t>CAPEX</t>
  </si>
  <si>
    <t>(7)</t>
  </si>
  <si>
    <t>(287)</t>
  </si>
  <si>
    <t>(135)</t>
  </si>
  <si>
    <t>(46)</t>
  </si>
  <si>
    <t>(89)</t>
  </si>
  <si>
    <t>(204)</t>
  </si>
  <si>
    <t>(224)</t>
  </si>
  <si>
    <t>(333)</t>
  </si>
  <si>
    <t>(373)</t>
  </si>
  <si>
    <t>(979)</t>
  </si>
  <si>
    <t>(1,811)</t>
  </si>
  <si>
    <t>(3,785)</t>
  </si>
  <si>
    <t>(3,444)</t>
  </si>
  <si>
    <t>(4,893)</t>
  </si>
  <si>
    <t>(4,589)</t>
  </si>
  <si>
    <t>(6,737)</t>
  </si>
  <si>
    <t>(11,955)</t>
  </si>
  <si>
    <t>(13,427)</t>
  </si>
  <si>
    <t>(16,861)</t>
  </si>
  <si>
    <t>(40,140)</t>
  </si>
  <si>
    <t>(61,053)</t>
  </si>
  <si>
    <t>Acquisitions Net</t>
  </si>
  <si>
    <t>(19)</t>
  </si>
  <si>
    <t>(370)</t>
  </si>
  <si>
    <t>(71)</t>
  </si>
  <si>
    <t>(24)</t>
  </si>
  <si>
    <t>(32)</t>
  </si>
  <si>
    <t>(494)</t>
  </si>
  <si>
    <t>(40)</t>
  </si>
  <si>
    <t>(352)</t>
  </si>
  <si>
    <t>(705)</t>
  </si>
  <si>
    <t>(745)</t>
  </si>
  <si>
    <t>(312)</t>
  </si>
  <si>
    <t>(795)</t>
  </si>
  <si>
    <t>(116)</t>
  </si>
  <si>
    <t>(13,972)</t>
  </si>
  <si>
    <t>(2,186)</t>
  </si>
  <si>
    <t>(2,461)</t>
  </si>
  <si>
    <t>(2,325)</t>
  </si>
  <si>
    <t>(1,985)</t>
  </si>
  <si>
    <t>Purchases of Investments</t>
  </si>
  <si>
    <t>(547)</t>
  </si>
  <si>
    <t>(4,290)</t>
  </si>
  <si>
    <t>(184)</t>
  </si>
  <si>
    <t>(636)</t>
  </si>
  <si>
    <t>(536)</t>
  </si>
  <si>
    <t>(1,584)</t>
  </si>
  <si>
    <t>(1,386)</t>
  </si>
  <si>
    <t>(1,930)</t>
  </si>
  <si>
    <t>(930)</t>
  </si>
  <si>
    <t>(1,677)</t>
  </si>
  <si>
    <t>(3,890)</t>
  </si>
  <si>
    <t>(6,279)</t>
  </si>
  <si>
    <t>(6,257)</t>
  </si>
  <si>
    <t>(3,302)</t>
  </si>
  <si>
    <t>(2,826)</t>
  </si>
  <si>
    <t>(2,542)</t>
  </si>
  <si>
    <t>(4,091)</t>
  </si>
  <si>
    <t>(7,756)</t>
  </si>
  <si>
    <t>(13,777)</t>
  </si>
  <si>
    <t>(7,100)</t>
  </si>
  <si>
    <t>(31,812)</t>
  </si>
  <si>
    <t>(72,479)</t>
  </si>
  <si>
    <t>(60,157)</t>
  </si>
  <si>
    <t>Sales/Maturities of Investments</t>
  </si>
  <si>
    <t>332</t>
  </si>
  <si>
    <t>4,025</t>
  </si>
  <si>
    <t>546</t>
  </si>
  <si>
    <t>370</t>
  </si>
  <si>
    <t>553</t>
  </si>
  <si>
    <t>813</t>
  </si>
  <si>
    <t>1,427</t>
  </si>
  <si>
    <t>836</t>
  </si>
  <si>
    <t>1,845</t>
  </si>
  <si>
    <t>1,271</t>
  </si>
  <si>
    <t>1,305</t>
  </si>
  <si>
    <t>1,966</t>
  </si>
  <si>
    <t>4,250</t>
  </si>
  <si>
    <t>6,843</t>
  </si>
  <si>
    <t>4,237</t>
  </si>
  <si>
    <t>2,306</t>
  </si>
  <si>
    <t>3,349</t>
  </si>
  <si>
    <t>3,025</t>
  </si>
  <si>
    <t>4,733</t>
  </si>
  <si>
    <t>9,988</t>
  </si>
  <si>
    <t>22,681</t>
  </si>
  <si>
    <t>50,237</t>
  </si>
  <si>
    <t>59,384</t>
  </si>
  <si>
    <t>Other Investing Activities</t>
  </si>
  <si>
    <t>(63)</t>
  </si>
  <si>
    <t>1,897</t>
  </si>
  <si>
    <t>2,104</t>
  </si>
  <si>
    <t>4,172</t>
  </si>
  <si>
    <t>5,096</t>
  </si>
  <si>
    <t>5,657</t>
  </si>
  <si>
    <t>Cash Used for Investing Activities</t>
  </si>
  <si>
    <t>(262)</t>
  </si>
  <si>
    <t>(922)</t>
  </si>
  <si>
    <t>164</t>
  </si>
  <si>
    <t>(253)</t>
  </si>
  <si>
    <t>(122)</t>
  </si>
  <si>
    <t>237</t>
  </si>
  <si>
    <t>(318)</t>
  </si>
  <si>
    <t>(778)</t>
  </si>
  <si>
    <t>(1,199)</t>
  </si>
  <si>
    <t>(2,337)</t>
  </si>
  <si>
    <t>(3,360)</t>
  </si>
  <si>
    <t>(3,595)</t>
  </si>
  <si>
    <t>(4,276)</t>
  </si>
  <si>
    <t>(5,065)</t>
  </si>
  <si>
    <t>(6,450)</t>
  </si>
  <si>
    <t>(9,876)</t>
  </si>
  <si>
    <t>(27,819)</t>
  </si>
  <si>
    <t>(12,369)</t>
  </si>
  <si>
    <t>(24,281)</t>
  </si>
  <si>
    <t>(59,611)</t>
  </si>
  <si>
    <t>(58,154)</t>
  </si>
  <si>
    <t>Debt Repayment</t>
  </si>
  <si>
    <t>(383)</t>
  </si>
  <si>
    <t>(74)</t>
  </si>
  <si>
    <t>(355)</t>
  </si>
  <si>
    <t>(472)</t>
  </si>
  <si>
    <t>(221)</t>
  </si>
  <si>
    <t>(444)</t>
  </si>
  <si>
    <t>(588)</t>
  </si>
  <si>
    <t>(1,011)</t>
  </si>
  <si>
    <t>(1,933)</t>
  </si>
  <si>
    <t>(4,235)</t>
  </si>
  <si>
    <t>(4,361)</t>
  </si>
  <si>
    <t>(6,371)</t>
  </si>
  <si>
    <t>(8,454)</t>
  </si>
  <si>
    <t>(12,339)</t>
  </si>
  <si>
    <t>(18,425)</t>
  </si>
  <si>
    <t>(20,668)</t>
  </si>
  <si>
    <t>Common Stock Issued</t>
  </si>
  <si>
    <t>45</t>
  </si>
  <si>
    <t>116</t>
  </si>
  <si>
    <t>122</t>
  </si>
  <si>
    <t>163</t>
  </si>
  <si>
    <t>60</t>
  </si>
  <si>
    <t>Common Stock Repurchased</t>
  </si>
  <si>
    <t>(252)</t>
  </si>
  <si>
    <t>(248)</t>
  </si>
  <si>
    <t>(277)</t>
  </si>
  <si>
    <t>(960)</t>
  </si>
  <si>
    <t>Dividends Paid</t>
  </si>
  <si>
    <t>Other Financing Activities</t>
  </si>
  <si>
    <t>240</t>
  </si>
  <si>
    <t>1,040</t>
  </si>
  <si>
    <t>(10)</t>
  </si>
  <si>
    <t>(15)</t>
  </si>
  <si>
    <t>(495)</t>
  </si>
  <si>
    <t>(157)</t>
  </si>
  <si>
    <t>(259)</t>
  </si>
  <si>
    <t>235</t>
  </si>
  <si>
    <t>372</t>
  </si>
  <si>
    <t>257</t>
  </si>
  <si>
    <t>192</t>
  </si>
  <si>
    <t>3,807</t>
  </si>
  <si>
    <t>472</t>
  </si>
  <si>
    <t>6,365</t>
  </si>
  <si>
    <t>16,231</t>
  </si>
  <si>
    <t>768</t>
  </si>
  <si>
    <t>2,273</t>
  </si>
  <si>
    <t>17,321</t>
  </si>
  <si>
    <t>26,959</t>
  </si>
  <si>
    <t>Cash Used/Provided by Financing Activities</t>
  </si>
  <si>
    <t>254</t>
  </si>
  <si>
    <t>1,104</t>
  </si>
  <si>
    <t>693</t>
  </si>
  <si>
    <t>107</t>
  </si>
  <si>
    <t>(332)</t>
  </si>
  <si>
    <t>(97)</t>
  </si>
  <si>
    <t>(193)</t>
  </si>
  <si>
    <t>(400)</t>
  </si>
  <si>
    <t>(198)</t>
  </si>
  <si>
    <t>(280)</t>
  </si>
  <si>
    <t>(482)</t>
  </si>
  <si>
    <t>2,259</t>
  </si>
  <si>
    <t>(539)</t>
  </si>
  <si>
    <t>4,432</t>
  </si>
  <si>
    <t>(3,763)</t>
  </si>
  <si>
    <t>(2,911)</t>
  </si>
  <si>
    <t>(7,686)</t>
  </si>
  <si>
    <t>(10,066)</t>
  </si>
  <si>
    <t>(1,104)</t>
  </si>
  <si>
    <t>6,291</t>
  </si>
  <si>
    <t>Effect of Forex Changes on Cash</t>
  </si>
  <si>
    <t>(38)</t>
  </si>
  <si>
    <t>(16)</t>
  </si>
  <si>
    <t>38</t>
  </si>
  <si>
    <t>67</t>
  </si>
  <si>
    <t>49</t>
  </si>
  <si>
    <t>(52)</t>
  </si>
  <si>
    <t>40</t>
  </si>
  <si>
    <t>20</t>
  </si>
  <si>
    <t>(70)</t>
  </si>
  <si>
    <t>(86)</t>
  </si>
  <si>
    <t>(374)</t>
  </si>
  <si>
    <t>(212)</t>
  </si>
  <si>
    <t>713</t>
  </si>
  <si>
    <t>(351)</t>
  </si>
  <si>
    <t>(364)</t>
  </si>
  <si>
    <t>Net Change In Cash</t>
  </si>
  <si>
    <t>24</t>
  </si>
  <si>
    <t>689</t>
  </si>
  <si>
    <t>198</t>
  </si>
  <si>
    <t>364</t>
  </si>
  <si>
    <t>200</t>
  </si>
  <si>
    <t>(290)</t>
  </si>
  <si>
    <t>1,517</t>
  </si>
  <si>
    <t>675</t>
  </si>
  <si>
    <t>333</t>
  </si>
  <si>
    <t>1,492</t>
  </si>
  <si>
    <t>2,815</t>
  </si>
  <si>
    <t>574</t>
  </si>
  <si>
    <t>5,899</t>
  </si>
  <si>
    <t>1,333</t>
  </si>
  <si>
    <t>1,188</t>
  </si>
  <si>
    <t>10,317</t>
  </si>
  <si>
    <t>5,967</t>
  </si>
  <si>
    <t>(5,900)</t>
  </si>
  <si>
    <t>Cash at the End of Period</t>
  </si>
  <si>
    <t>32,173</t>
  </si>
  <si>
    <t>36,410</t>
  </si>
  <si>
    <t>42,377</t>
  </si>
  <si>
    <t>36,477</t>
  </si>
  <si>
    <t>Cash at the Beginning of Period</t>
  </si>
  <si>
    <t>21,856</t>
  </si>
  <si>
    <t>Free Cash Flow</t>
  </si>
  <si>
    <t>(3)</t>
  </si>
  <si>
    <t>(378)</t>
  </si>
  <si>
    <t>(170)</t>
  </si>
  <si>
    <t>135</t>
  </si>
  <si>
    <t>346</t>
  </si>
  <si>
    <t>529</t>
  </si>
  <si>
    <t>486</t>
  </si>
  <si>
    <t>1,181</t>
  </si>
  <si>
    <t>1,364</t>
  </si>
  <si>
    <t>2,920</t>
  </si>
  <si>
    <t>2,516</t>
  </si>
  <si>
    <t>2,092</t>
  </si>
  <si>
    <t>395</t>
  </si>
  <si>
    <t>2,031</t>
  </si>
  <si>
    <t>7,331</t>
  </si>
  <si>
    <t>9,706</t>
  </si>
  <si>
    <t>6,479</t>
  </si>
  <si>
    <t>17,296</t>
  </si>
  <si>
    <t>21,653</t>
  </si>
  <si>
    <t>25,924</t>
  </si>
  <si>
    <t>(14,726)</t>
  </si>
  <si>
    <t>Stock Prices</t>
  </si>
  <si>
    <t xml:space="preserve">High </t>
  </si>
  <si>
    <t>Low</t>
  </si>
  <si>
    <t>Average</t>
  </si>
  <si>
    <t>Shares - Presplit Adjusted</t>
  </si>
  <si>
    <t>Q123</t>
  </si>
  <si>
    <t>Q223</t>
  </si>
  <si>
    <t>Q422</t>
  </si>
  <si>
    <t>Q322</t>
  </si>
  <si>
    <t>Q222</t>
  </si>
  <si>
    <t>Q122</t>
  </si>
  <si>
    <t>Q421</t>
  </si>
  <si>
    <t>Q321</t>
  </si>
  <si>
    <t>Q221</t>
  </si>
  <si>
    <t>Q121</t>
  </si>
  <si>
    <t>Q420</t>
  </si>
  <si>
    <t>Q320</t>
  </si>
  <si>
    <t>Q220</t>
  </si>
  <si>
    <t>Q120</t>
  </si>
  <si>
    <t>Q419</t>
  </si>
  <si>
    <t>Q319</t>
  </si>
  <si>
    <t>Q219</t>
  </si>
  <si>
    <t>Q119</t>
  </si>
  <si>
    <t>Q418</t>
  </si>
  <si>
    <t>Q318</t>
  </si>
  <si>
    <t>Q218</t>
  </si>
  <si>
    <t>Q118</t>
  </si>
  <si>
    <t>Q116</t>
  </si>
  <si>
    <t>Q216</t>
  </si>
  <si>
    <t>Q316</t>
  </si>
  <si>
    <t>Q416</t>
  </si>
  <si>
    <t>SBI</t>
  </si>
  <si>
    <t>SBC</t>
  </si>
  <si>
    <t>SBB</t>
  </si>
  <si>
    <t>Dividends</t>
  </si>
  <si>
    <t>North America %</t>
  </si>
  <si>
    <t>International %</t>
  </si>
  <si>
    <t>AWS %</t>
  </si>
  <si>
    <t>Total %</t>
  </si>
  <si>
    <t xml:space="preserve">Consolidated </t>
  </si>
  <si>
    <t>Shipping Revenue</t>
  </si>
  <si>
    <t>Shipping Costs</t>
  </si>
  <si>
    <t>Net Shipping Costs</t>
  </si>
  <si>
    <t>Outbound Shipping Activity *in millions, USD</t>
  </si>
  <si>
    <t>Income Statement *in millions, USD</t>
  </si>
  <si>
    <t>Facilities *in thousands, Square Feet</t>
  </si>
  <si>
    <t>Office Space</t>
  </si>
  <si>
    <t>Fufullment, data centers, and other</t>
  </si>
  <si>
    <t>Facilities by Segment *in thousands, Square Feet</t>
  </si>
  <si>
    <t>Leased - International</t>
  </si>
  <si>
    <t>Leased - North America</t>
  </si>
  <si>
    <t>Owned - North America</t>
  </si>
  <si>
    <t>Owned - International</t>
  </si>
  <si>
    <t>Total Leased</t>
  </si>
  <si>
    <t>Total Owned</t>
  </si>
  <si>
    <t>Stock Statistics</t>
  </si>
  <si>
    <t>Marketcap</t>
  </si>
  <si>
    <t>P/S</t>
  </si>
  <si>
    <t>P/E</t>
  </si>
  <si>
    <t>P/B</t>
  </si>
  <si>
    <t>P/FCF</t>
  </si>
  <si>
    <t>Growth</t>
  </si>
  <si>
    <t>Revenue %</t>
  </si>
  <si>
    <t>Earnings %</t>
  </si>
  <si>
    <t>FCF %</t>
  </si>
  <si>
    <t>Per Share</t>
  </si>
  <si>
    <t>Rev/Share</t>
  </si>
  <si>
    <t>Cash/Share</t>
  </si>
  <si>
    <t>Debt/Share</t>
  </si>
  <si>
    <t>FCF/Share</t>
  </si>
  <si>
    <t>Q417</t>
  </si>
  <si>
    <t>Q317</t>
  </si>
  <si>
    <t>Q217</t>
  </si>
  <si>
    <t>Q117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</si>
</sst>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6" formatCode="[$$-409]#,##0_);\([$$-409]#,##0\)"/>
    <numFmt numFmtId="168" formatCode="&quot;$&quot;#,##0.00"/>
    <numFmt numFmtId="169" formatCode="&quot;$&quot;#,##0"/>
  </numFmts>
  <fonts count="10"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i/>
      <u/>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4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0" fontId="0" fillId="0" borderId="3" xfId="0" applyBorder="1"/>
    <xf numFmtId="0" fontId="0" fillId="2" borderId="0" xfId="0" applyFill="1"/>
    <xf numFmtId="3" fontId="0" fillId="0" borderId="0" xfId="0" applyNumberFormat="1"/>
    <xf numFmtId="0" fontId="0" fillId="0" borderId="2" xfId="0" applyBorder="1"/>
    <xf numFmtId="0" fontId="0" fillId="0" borderId="6" xfId="0" applyBorder="1"/>
    <xf numFmtId="2" fontId="0" fillId="0" borderId="0" xfId="0" applyNumberFormat="1"/>
    <xf numFmtId="0" fontId="1" fillId="0" borderId="3" xfId="0" applyFont="1" applyBorder="1"/>
    <xf numFmtId="3" fontId="1" fillId="0" borderId="0" xfId="0" applyNumberFormat="1" applyFont="1"/>
    <xf numFmtId="3" fontId="0" fillId="0" borderId="2" xfId="0" applyNumberFormat="1" applyBorder="1"/>
    <xf numFmtId="3" fontId="0" fillId="0" borderId="3" xfId="0" applyNumberFormat="1" applyBorder="1"/>
    <xf numFmtId="3" fontId="0" fillId="0" borderId="6" xfId="0" applyNumberFormat="1" applyBorder="1"/>
    <xf numFmtId="10" fontId="0" fillId="0" borderId="0" xfId="0" applyNumberFormat="1"/>
    <xf numFmtId="10" fontId="0" fillId="0" borderId="3" xfId="0" applyNumberFormat="1" applyBorder="1"/>
    <xf numFmtId="2" fontId="1" fillId="0" borderId="0" xfId="0" applyNumberFormat="1" applyFont="1"/>
    <xf numFmtId="4" fontId="1" fillId="0" borderId="0" xfId="0" applyNumberFormat="1" applyFont="1"/>
    <xf numFmtId="3" fontId="5" fillId="0" borderId="0" xfId="0" applyNumberFormat="1" applyFont="1"/>
    <xf numFmtId="0" fontId="0" fillId="3" borderId="0" xfId="0" applyFill="1"/>
    <xf numFmtId="0" fontId="6" fillId="2" borderId="3" xfId="0" applyFont="1" applyFill="1" applyBorder="1"/>
    <xf numFmtId="3" fontId="0" fillId="0" borderId="7" xfId="0" applyNumberFormat="1" applyBorder="1"/>
    <xf numFmtId="3" fontId="0" fillId="0" borderId="9" xfId="0" applyNumberFormat="1" applyBorder="1"/>
    <xf numFmtId="10" fontId="0" fillId="0" borderId="7" xfId="0" applyNumberFormat="1" applyBorder="1"/>
    <xf numFmtId="3" fontId="1" fillId="0" borderId="7" xfId="0" applyNumberFormat="1" applyFont="1" applyBorder="1"/>
    <xf numFmtId="0" fontId="0" fillId="0" borderId="7" xfId="0" applyBorder="1"/>
    <xf numFmtId="2" fontId="0" fillId="0" borderId="7" xfId="0" applyNumberFormat="1" applyBorder="1"/>
    <xf numFmtId="0" fontId="0" fillId="2" borderId="7" xfId="0" applyFill="1" applyBorder="1"/>
    <xf numFmtId="0" fontId="1" fillId="0" borderId="10" xfId="0" applyFont="1" applyBorder="1"/>
    <xf numFmtId="0" fontId="1" fillId="0" borderId="11" xfId="0" applyFont="1" applyBorder="1"/>
    <xf numFmtId="3" fontId="1" fillId="0" borderId="10" xfId="0" applyNumberFormat="1" applyFont="1" applyBorder="1"/>
    <xf numFmtId="164" fontId="0" fillId="0" borderId="0" xfId="0" applyNumberFormat="1"/>
    <xf numFmtId="0" fontId="7" fillId="4" borderId="0" xfId="0" applyFont="1" applyFill="1"/>
    <xf numFmtId="0" fontId="8" fillId="4" borderId="0" xfId="0" applyFont="1" applyFill="1"/>
    <xf numFmtId="0" fontId="8" fillId="4" borderId="3" xfId="0" applyFont="1" applyFill="1" applyBorder="1"/>
    <xf numFmtId="0" fontId="8" fillId="4" borderId="7" xfId="0" applyFont="1" applyFill="1" applyBorder="1"/>
    <xf numFmtId="3" fontId="8" fillId="4" borderId="0" xfId="0" applyNumberFormat="1" applyFont="1" applyFill="1"/>
    <xf numFmtId="3" fontId="8" fillId="4" borderId="7" xfId="0" applyNumberFormat="1" applyFont="1" applyFill="1" applyBorder="1"/>
    <xf numFmtId="0" fontId="7" fillId="4" borderId="3" xfId="0" applyFont="1" applyFill="1" applyBorder="1"/>
    <xf numFmtId="3" fontId="7" fillId="4" borderId="0" xfId="0" applyNumberFormat="1" applyFont="1" applyFill="1"/>
    <xf numFmtId="3" fontId="7" fillId="4" borderId="7" xfId="0" applyNumberFormat="1" applyFont="1" applyFill="1" applyBorder="1"/>
    <xf numFmtId="0" fontId="5" fillId="0" borderId="3" xfId="0" applyFont="1" applyBorder="1"/>
    <xf numFmtId="14" fontId="5" fillId="0" borderId="0" xfId="0" applyNumberFormat="1" applyFont="1" applyAlignment="1">
      <alignment horizontal="center"/>
    </xf>
    <xf numFmtId="14" fontId="5" fillId="0" borderId="7" xfId="0" applyNumberFormat="1" applyFont="1" applyBorder="1" applyAlignment="1">
      <alignment horizontal="center"/>
    </xf>
    <xf numFmtId="0" fontId="5" fillId="0" borderId="0" xfId="0" applyFont="1" applyAlignment="1">
      <alignment horizontal="center"/>
    </xf>
    <xf numFmtId="0" fontId="5" fillId="0" borderId="0" xfId="0" applyFont="1"/>
    <xf numFmtId="0" fontId="5" fillId="0" borderId="5" xfId="0" applyFont="1" applyBorder="1"/>
    <xf numFmtId="14" fontId="5" fillId="0" borderId="4" xfId="0" applyNumberFormat="1" applyFont="1" applyBorder="1" applyAlignment="1">
      <alignment horizontal="center"/>
    </xf>
    <xf numFmtId="14" fontId="5" fillId="0" borderId="8" xfId="0" applyNumberFormat="1" applyFont="1" applyBorder="1" applyAlignment="1">
      <alignment horizontal="center"/>
    </xf>
    <xf numFmtId="0" fontId="5" fillId="0" borderId="4" xfId="0" applyFont="1" applyBorder="1" applyAlignment="1">
      <alignment horizontal="center"/>
    </xf>
    <xf numFmtId="0" fontId="5" fillId="0" borderId="4" xfId="0" applyFont="1" applyBorder="1"/>
    <xf numFmtId="0" fontId="1" fillId="2" borderId="0" xfId="0" applyFont="1" applyFill="1"/>
    <xf numFmtId="0" fontId="1" fillId="2" borderId="7" xfId="0" applyFont="1" applyFill="1" applyBorder="1"/>
    <xf numFmtId="3" fontId="1" fillId="2" borderId="7" xfId="0" applyNumberFormat="1" applyFont="1" applyFill="1" applyBorder="1"/>
    <xf numFmtId="14" fontId="6" fillId="2" borderId="0" xfId="0" applyNumberFormat="1" applyFont="1" applyFill="1"/>
    <xf numFmtId="0" fontId="6" fillId="2" borderId="0" xfId="0" applyFont="1" applyFill="1"/>
    <xf numFmtId="0" fontId="6" fillId="2" borderId="7" xfId="0" applyFont="1" applyFill="1" applyBorder="1"/>
    <xf numFmtId="2" fontId="0" fillId="0" borderId="3" xfId="0" applyNumberFormat="1" applyBorder="1"/>
    <xf numFmtId="3" fontId="7" fillId="4" borderId="3" xfId="0" applyNumberFormat="1" applyFont="1" applyFill="1" applyBorder="1"/>
    <xf numFmtId="3" fontId="8" fillId="4" borderId="3" xfId="0" applyNumberFormat="1" applyFont="1" applyFill="1" applyBorder="1"/>
    <xf numFmtId="9" fontId="0" fillId="0" borderId="3" xfId="0" applyNumberFormat="1" applyBorder="1"/>
    <xf numFmtId="9" fontId="0" fillId="0" borderId="7" xfId="0" applyNumberFormat="1" applyBorder="1"/>
    <xf numFmtId="37" fontId="0" fillId="0" borderId="0" xfId="0" applyNumberFormat="1"/>
    <xf numFmtId="166" fontId="0" fillId="0" borderId="0" xfId="0" applyNumberFormat="1"/>
    <xf numFmtId="14" fontId="5" fillId="0" borderId="0" xfId="0" applyNumberFormat="1" applyFont="1"/>
    <xf numFmtId="3" fontId="1" fillId="0" borderId="12" xfId="0" applyNumberFormat="1" applyFont="1" applyBorder="1"/>
    <xf numFmtId="0" fontId="5" fillId="0" borderId="0" xfId="0" applyFont="1" applyBorder="1" applyAlignment="1">
      <alignment horizontal="center"/>
    </xf>
    <xf numFmtId="0" fontId="6" fillId="2" borderId="0" xfId="0" applyFont="1" applyFill="1" applyBorder="1"/>
    <xf numFmtId="3" fontId="7" fillId="4" borderId="0" xfId="0" applyNumberFormat="1" applyFont="1" applyFill="1" applyBorder="1"/>
    <xf numFmtId="3" fontId="0" fillId="0" borderId="0" xfId="0" applyNumberFormat="1" applyBorder="1"/>
    <xf numFmtId="3" fontId="1" fillId="0" borderId="0" xfId="0" applyNumberFormat="1" applyFont="1" applyBorder="1"/>
    <xf numFmtId="3" fontId="8" fillId="4" borderId="0" xfId="0" applyNumberFormat="1" applyFont="1" applyFill="1" applyBorder="1"/>
    <xf numFmtId="9" fontId="0" fillId="0" borderId="0" xfId="0" applyNumberFormat="1" applyBorder="1"/>
    <xf numFmtId="10" fontId="0" fillId="0" borderId="0" xfId="0" applyNumberFormat="1" applyBorder="1"/>
    <xf numFmtId="0" fontId="1" fillId="2" borderId="0" xfId="0" applyFont="1" applyFill="1" applyBorder="1"/>
    <xf numFmtId="0" fontId="0" fillId="0" borderId="0" xfId="0" applyBorder="1"/>
    <xf numFmtId="2" fontId="0" fillId="0" borderId="0" xfId="0" applyNumberFormat="1" applyBorder="1"/>
    <xf numFmtId="0" fontId="8" fillId="4" borderId="0" xfId="0" applyFont="1" applyFill="1" applyBorder="1"/>
    <xf numFmtId="0" fontId="0" fillId="2" borderId="0" xfId="0" applyFill="1" applyBorder="1"/>
    <xf numFmtId="0" fontId="5" fillId="0" borderId="0" xfId="0" applyFont="1" applyBorder="1"/>
    <xf numFmtId="14" fontId="5" fillId="0" borderId="0" xfId="0" applyNumberFormat="1" applyFont="1" applyBorder="1" applyAlignment="1">
      <alignment horizontal="center"/>
    </xf>
    <xf numFmtId="0" fontId="2" fillId="2" borderId="0" xfId="0" applyFont="1" applyFill="1" applyBorder="1"/>
    <xf numFmtId="14" fontId="6" fillId="2" borderId="0" xfId="0" applyNumberFormat="1" applyFont="1" applyFill="1" applyBorder="1" applyAlignment="1">
      <alignment horizontal="center"/>
    </xf>
    <xf numFmtId="0" fontId="6" fillId="2" borderId="0" xfId="0" applyFont="1" applyFill="1" applyBorder="1" applyAlignment="1">
      <alignment horizontal="center"/>
    </xf>
    <xf numFmtId="14" fontId="6" fillId="2" borderId="7" xfId="0" applyNumberFormat="1" applyFont="1" applyFill="1" applyBorder="1" applyAlignment="1">
      <alignment horizontal="center"/>
    </xf>
    <xf numFmtId="0" fontId="1" fillId="0" borderId="0" xfId="0" applyFont="1" applyBorder="1"/>
    <xf numFmtId="0" fontId="7" fillId="4" borderId="0" xfId="0" applyFont="1" applyFill="1" applyBorder="1"/>
    <xf numFmtId="14" fontId="6" fillId="2" borderId="7" xfId="0" applyNumberFormat="1" applyFont="1" applyFill="1" applyBorder="1"/>
    <xf numFmtId="3" fontId="0" fillId="0" borderId="0" xfId="0" applyNumberFormat="1" applyFill="1" applyBorder="1"/>
    <xf numFmtId="0" fontId="0" fillId="0" borderId="10" xfId="0" applyBorder="1"/>
    <xf numFmtId="0" fontId="0" fillId="0" borderId="11" xfId="0" applyBorder="1"/>
    <xf numFmtId="3" fontId="0" fillId="0" borderId="12" xfId="0" applyNumberFormat="1" applyBorder="1"/>
    <xf numFmtId="3" fontId="0" fillId="0" borderId="10" xfId="0" applyNumberFormat="1" applyBorder="1"/>
    <xf numFmtId="3" fontId="6" fillId="2" borderId="0" xfId="0" applyNumberFormat="1" applyFont="1" applyFill="1"/>
    <xf numFmtId="3" fontId="6" fillId="2" borderId="7" xfId="0" applyNumberFormat="1" applyFont="1" applyFill="1" applyBorder="1"/>
    <xf numFmtId="3" fontId="0" fillId="0" borderId="2" xfId="0" applyNumberFormat="1" applyFont="1" applyBorder="1"/>
    <xf numFmtId="9" fontId="0" fillId="0" borderId="2" xfId="0" applyNumberFormat="1" applyBorder="1"/>
    <xf numFmtId="9" fontId="0" fillId="0" borderId="6" xfId="0" applyNumberFormat="1" applyBorder="1"/>
    <xf numFmtId="9" fontId="0" fillId="0" borderId="9" xfId="0" applyNumberFormat="1" applyBorder="1"/>
    <xf numFmtId="9" fontId="2" fillId="0" borderId="0" xfId="0" applyNumberFormat="1" applyFont="1" applyBorder="1"/>
    <xf numFmtId="10" fontId="7" fillId="4" borderId="0" xfId="0" applyNumberFormat="1" applyFont="1" applyFill="1"/>
    <xf numFmtId="10" fontId="7" fillId="4" borderId="3" xfId="0" applyNumberFormat="1" applyFont="1" applyFill="1" applyBorder="1"/>
    <xf numFmtId="10" fontId="7" fillId="4" borderId="0" xfId="0" applyNumberFormat="1" applyFont="1" applyFill="1" applyBorder="1"/>
    <xf numFmtId="10" fontId="7" fillId="4" borderId="7" xfId="0" applyNumberFormat="1" applyFont="1" applyFill="1" applyBorder="1"/>
    <xf numFmtId="3" fontId="1" fillId="0" borderId="3" xfId="0" applyNumberFormat="1" applyFont="1" applyBorder="1"/>
    <xf numFmtId="3" fontId="1" fillId="0" borderId="13" xfId="0" applyNumberFormat="1" applyFont="1" applyBorder="1"/>
    <xf numFmtId="1" fontId="5" fillId="0" borderId="0" xfId="0" applyNumberFormat="1" applyFont="1" applyBorder="1" applyAlignment="1">
      <alignment horizontal="center"/>
    </xf>
    <xf numFmtId="1" fontId="1" fillId="0" borderId="0" xfId="0" applyNumberFormat="1" applyFont="1"/>
    <xf numFmtId="3" fontId="5" fillId="0" borderId="3" xfId="0" applyNumberFormat="1" applyFont="1" applyBorder="1"/>
    <xf numFmtId="3" fontId="5" fillId="0" borderId="0" xfId="0" applyNumberFormat="1" applyFont="1" applyBorder="1"/>
    <xf numFmtId="3" fontId="5" fillId="0" borderId="7" xfId="0" applyNumberFormat="1" applyFont="1" applyBorder="1" applyAlignment="1">
      <alignment horizontal="center"/>
    </xf>
    <xf numFmtId="3" fontId="5" fillId="0" borderId="0" xfId="0" applyNumberFormat="1" applyFont="1" applyBorder="1" applyAlignment="1">
      <alignment horizontal="center"/>
    </xf>
    <xf numFmtId="3" fontId="5" fillId="0" borderId="6" xfId="0" applyNumberFormat="1" applyFont="1" applyBorder="1"/>
    <xf numFmtId="3" fontId="5" fillId="0" borderId="2" xfId="0" applyNumberFormat="1" applyFont="1" applyBorder="1"/>
    <xf numFmtId="3" fontId="5" fillId="0" borderId="9" xfId="0" applyNumberFormat="1" applyFont="1" applyBorder="1" applyAlignment="1">
      <alignment horizontal="center"/>
    </xf>
    <xf numFmtId="3" fontId="5" fillId="0" borderId="2" xfId="0" applyNumberFormat="1" applyFont="1" applyBorder="1" applyAlignment="1">
      <alignment horizontal="center"/>
    </xf>
    <xf numFmtId="0" fontId="2" fillId="2" borderId="0" xfId="0" applyFont="1" applyFill="1"/>
    <xf numFmtId="0" fontId="2" fillId="2" borderId="7" xfId="0" applyFont="1" applyFill="1" applyBorder="1"/>
    <xf numFmtId="14" fontId="9" fillId="4" borderId="7" xfId="0" applyNumberFormat="1" applyFont="1" applyFill="1" applyBorder="1"/>
    <xf numFmtId="14" fontId="9" fillId="4" borderId="0" xfId="0" applyNumberFormat="1" applyFont="1" applyFill="1"/>
    <xf numFmtId="0" fontId="9" fillId="4" borderId="0" xfId="0" applyFont="1" applyFill="1"/>
    <xf numFmtId="0" fontId="9" fillId="4" borderId="7" xfId="0" applyFont="1" applyFill="1" applyBorder="1"/>
    <xf numFmtId="0" fontId="9" fillId="4" borderId="0" xfId="0" applyFont="1" applyFill="1" applyBorder="1"/>
    <xf numFmtId="3" fontId="5" fillId="0" borderId="7" xfId="0" applyNumberFormat="1" applyFont="1" applyBorder="1"/>
    <xf numFmtId="3" fontId="5" fillId="0" borderId="9" xfId="0" applyNumberFormat="1" applyFont="1" applyBorder="1"/>
    <xf numFmtId="3" fontId="9" fillId="4" borderId="7" xfId="0" applyNumberFormat="1" applyFont="1" applyFill="1" applyBorder="1"/>
    <xf numFmtId="3" fontId="9" fillId="4" borderId="0" xfId="0" applyNumberFormat="1" applyFont="1" applyFill="1"/>
    <xf numFmtId="3" fontId="9" fillId="4" borderId="0" xfId="0" applyNumberFormat="1" applyFont="1" applyFill="1" applyBorder="1"/>
    <xf numFmtId="168" fontId="5" fillId="0" borderId="0" xfId="0" applyNumberFormat="1" applyFont="1" applyBorder="1"/>
    <xf numFmtId="168" fontId="5" fillId="0" borderId="7" xfId="0" applyNumberFormat="1" applyFont="1" applyBorder="1" applyAlignment="1">
      <alignment horizontal="center"/>
    </xf>
    <xf numFmtId="168" fontId="5" fillId="0" borderId="0" xfId="0" applyNumberFormat="1" applyFont="1" applyBorder="1" applyAlignment="1">
      <alignment horizontal="center"/>
    </xf>
    <xf numFmtId="169" fontId="0" fillId="0" borderId="3" xfId="0" applyNumberFormat="1" applyBorder="1"/>
    <xf numFmtId="169" fontId="0" fillId="0" borderId="0" xfId="0" applyNumberFormat="1" applyBorder="1"/>
    <xf numFmtId="169" fontId="0" fillId="0" borderId="7" xfId="0" applyNumberFormat="1" applyBorder="1"/>
    <xf numFmtId="169" fontId="0" fillId="0" borderId="0" xfId="0" applyNumberFormat="1"/>
    <xf numFmtId="4" fontId="0" fillId="0" borderId="3" xfId="0" applyNumberFormat="1" applyBorder="1"/>
    <xf numFmtId="4" fontId="0" fillId="0" borderId="0" xfId="0" applyNumberFormat="1" applyBorder="1"/>
    <xf numFmtId="4" fontId="0" fillId="0" borderId="7" xfId="0" applyNumberFormat="1" applyBorder="1"/>
    <xf numFmtId="4" fontId="0" fillId="0" borderId="0" xfId="0" applyNumberFormat="1"/>
    <xf numFmtId="10" fontId="1" fillId="0" borderId="3" xfId="0" applyNumberFormat="1" applyFont="1" applyBorder="1"/>
    <xf numFmtId="10" fontId="1" fillId="0" borderId="0" xfId="0" applyNumberFormat="1" applyFont="1" applyBorder="1"/>
    <xf numFmtId="10" fontId="1" fillId="0" borderId="7" xfId="0" applyNumberFormat="1" applyFont="1" applyBorder="1"/>
    <xf numFmtId="10"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AMZN Net Income Breakdown</a:t>
            </a:r>
          </a:p>
        </c:rich>
      </c:tx>
      <c:overlay val="0"/>
      <c:spPr>
        <a:noFill/>
        <a:ln>
          <a:noFill/>
          <a:prstDash val="solid"/>
        </a:ln>
      </c:spPr>
    </c:title>
    <c:autoTitleDeleted val="0"/>
    <c:plotArea>
      <c:layout/>
      <c:lineChart>
        <c:grouping val="standard"/>
        <c:varyColors val="0"/>
        <c:ser>
          <c:idx val="0"/>
          <c:order val="0"/>
          <c:tx>
            <c:v>Revenue</c:v>
          </c:tx>
          <c:spPr>
            <a:ln w="28575" cap="rnd">
              <a:solidFill>
                <a:schemeClr val="accent3"/>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Statement'!$B$41:$AA$41</c:f>
              <c:numCache>
                <c:formatCode>#,##0.00</c:formatCode>
                <c:ptCount val="26"/>
                <c:pt idx="0">
                  <c:v>16</c:v>
                </c:pt>
                <c:pt idx="1">
                  <c:v>148</c:v>
                </c:pt>
                <c:pt idx="2">
                  <c:v>610</c:v>
                </c:pt>
                <c:pt idx="3">
                  <c:v>1640</c:v>
                </c:pt>
                <c:pt idx="4">
                  <c:v>2762</c:v>
                </c:pt>
                <c:pt idx="5">
                  <c:v>3122</c:v>
                </c:pt>
                <c:pt idx="6">
                  <c:v>3933</c:v>
                </c:pt>
                <c:pt idx="7">
                  <c:v>5264</c:v>
                </c:pt>
                <c:pt idx="8">
                  <c:v>6921</c:v>
                </c:pt>
                <c:pt idx="9">
                  <c:v>8490</c:v>
                </c:pt>
                <c:pt idx="10">
                  <c:v>10711</c:v>
                </c:pt>
                <c:pt idx="11">
                  <c:v>14835</c:v>
                </c:pt>
                <c:pt idx="12">
                  <c:v>19166</c:v>
                </c:pt>
                <c:pt idx="13">
                  <c:v>24509</c:v>
                </c:pt>
                <c:pt idx="14">
                  <c:v>34204</c:v>
                </c:pt>
                <c:pt idx="15">
                  <c:v>48077</c:v>
                </c:pt>
                <c:pt idx="16">
                  <c:v>61093</c:v>
                </c:pt>
                <c:pt idx="17">
                  <c:v>74452</c:v>
                </c:pt>
                <c:pt idx="18">
                  <c:v>88988</c:v>
                </c:pt>
                <c:pt idx="19">
                  <c:v>107006</c:v>
                </c:pt>
                <c:pt idx="20">
                  <c:v>135987</c:v>
                </c:pt>
                <c:pt idx="21">
                  <c:v>177866</c:v>
                </c:pt>
                <c:pt idx="22">
                  <c:v>232887</c:v>
                </c:pt>
                <c:pt idx="23">
                  <c:v>280522</c:v>
                </c:pt>
                <c:pt idx="24">
                  <c:v>386064</c:v>
                </c:pt>
                <c:pt idx="25">
                  <c:v>469822</c:v>
                </c:pt>
              </c:numCache>
            </c:numRef>
          </c:val>
          <c:smooth val="0"/>
          <c:extLst>
            <c:ext xmlns:c16="http://schemas.microsoft.com/office/drawing/2014/chart" uri="{C3380CC4-5D6E-409C-BE32-E72D297353CC}">
              <c16:uniqueId val="{00000000-28EC-4FA7-85D3-1E2016548C2D}"/>
            </c:ext>
          </c:extLst>
        </c:ser>
        <c:ser>
          <c:idx val="1"/>
          <c:order val="1"/>
          <c:tx>
            <c:v>Gross Profit</c:v>
          </c:tx>
          <c:spPr>
            <a:ln w="28575" cap="rnd">
              <a:solidFill>
                <a:schemeClr val="accent2"/>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Statement'!$B$42:$AA$42</c:f>
              <c:numCache>
                <c:formatCode>0.00</c:formatCode>
                <c:ptCount val="26"/>
                <c:pt idx="0">
                  <c:v>4</c:v>
                </c:pt>
                <c:pt idx="1">
                  <c:v>34</c:v>
                </c:pt>
                <c:pt idx="2">
                  <c:v>134</c:v>
                </c:pt>
                <c:pt idx="3" formatCode="General">
                  <c:v>291</c:v>
                </c:pt>
                <c:pt idx="4" formatCode="General">
                  <c:v>656</c:v>
                </c:pt>
                <c:pt idx="5">
                  <c:v>799</c:v>
                </c:pt>
                <c:pt idx="6" formatCode="General">
                  <c:v>993</c:v>
                </c:pt>
                <c:pt idx="7" formatCode="#,##0">
                  <c:v>1257</c:v>
                </c:pt>
                <c:pt idx="8" formatCode="#,##0">
                  <c:v>1602</c:v>
                </c:pt>
                <c:pt idx="9" formatCode="#,##0">
                  <c:v>2039</c:v>
                </c:pt>
                <c:pt idx="10" formatCode="#,##0">
                  <c:v>2456</c:v>
                </c:pt>
                <c:pt idx="11" formatCode="#,##0">
                  <c:v>3353</c:v>
                </c:pt>
                <c:pt idx="12" formatCode="#,##0">
                  <c:v>4270</c:v>
                </c:pt>
                <c:pt idx="13" formatCode="#,##0">
                  <c:v>5531</c:v>
                </c:pt>
                <c:pt idx="14" formatCode="#,##0">
                  <c:v>7643</c:v>
                </c:pt>
                <c:pt idx="15" formatCode="#,##0">
                  <c:v>10789</c:v>
                </c:pt>
                <c:pt idx="16" formatCode="#,##0">
                  <c:v>8703</c:v>
                </c:pt>
                <c:pt idx="17" formatCode="#,##0">
                  <c:v>11686</c:v>
                </c:pt>
                <c:pt idx="18" formatCode="#,##0">
                  <c:v>15470</c:v>
                </c:pt>
                <c:pt idx="19" formatCode="#,##0">
                  <c:v>21945</c:v>
                </c:pt>
                <c:pt idx="20" formatCode="#,##0">
                  <c:v>30103</c:v>
                </c:pt>
                <c:pt idx="21" formatCode="#,##0">
                  <c:v>40683</c:v>
                </c:pt>
                <c:pt idx="22" formatCode="#,##0">
                  <c:v>59704</c:v>
                </c:pt>
                <c:pt idx="23" formatCode="#,##0">
                  <c:v>74754</c:v>
                </c:pt>
                <c:pt idx="24" formatCode="#,##0">
                  <c:v>94240</c:v>
                </c:pt>
                <c:pt idx="25" formatCode="#,##0">
                  <c:v>66315</c:v>
                </c:pt>
              </c:numCache>
            </c:numRef>
          </c:val>
          <c:smooth val="0"/>
          <c:extLst>
            <c:ext xmlns:c16="http://schemas.microsoft.com/office/drawing/2014/chart" uri="{C3380CC4-5D6E-409C-BE32-E72D297353CC}">
              <c16:uniqueId val="{00000001-28EC-4FA7-85D3-1E2016548C2D}"/>
            </c:ext>
          </c:extLst>
        </c:ser>
        <c:ser>
          <c:idx val="2"/>
          <c:order val="2"/>
          <c:tx>
            <c:v>Net Income</c:v>
          </c:tx>
          <c:spPr>
            <a:ln w="28575" cap="rnd">
              <a:solidFill>
                <a:schemeClr val="accent1"/>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Statement'!$B$44:$AA$44</c:f>
              <c:numCache>
                <c:formatCode>General</c:formatCode>
                <c:ptCount val="26"/>
                <c:pt idx="0" formatCode="0.00">
                  <c:v>-6</c:v>
                </c:pt>
                <c:pt idx="1">
                  <c:v>-28</c:v>
                </c:pt>
                <c:pt idx="2">
                  <c:v>-125</c:v>
                </c:pt>
                <c:pt idx="3">
                  <c:v>-720</c:v>
                </c:pt>
                <c:pt idx="4" formatCode="#,##0">
                  <c:v>-1411</c:v>
                </c:pt>
                <c:pt idx="5">
                  <c:v>-567</c:v>
                </c:pt>
                <c:pt idx="6">
                  <c:v>-149</c:v>
                </c:pt>
                <c:pt idx="7">
                  <c:v>35</c:v>
                </c:pt>
                <c:pt idx="8">
                  <c:v>588</c:v>
                </c:pt>
                <c:pt idx="9">
                  <c:v>359</c:v>
                </c:pt>
                <c:pt idx="10">
                  <c:v>190</c:v>
                </c:pt>
                <c:pt idx="11">
                  <c:v>476</c:v>
                </c:pt>
                <c:pt idx="12">
                  <c:v>645</c:v>
                </c:pt>
                <c:pt idx="13">
                  <c:v>902</c:v>
                </c:pt>
                <c:pt idx="14" formatCode="#,##0">
                  <c:v>1152</c:v>
                </c:pt>
                <c:pt idx="15">
                  <c:v>631</c:v>
                </c:pt>
                <c:pt idx="16">
                  <c:v>-39</c:v>
                </c:pt>
                <c:pt idx="17">
                  <c:v>274</c:v>
                </c:pt>
                <c:pt idx="18">
                  <c:v>-241</c:v>
                </c:pt>
                <c:pt idx="19">
                  <c:v>596</c:v>
                </c:pt>
                <c:pt idx="20" formatCode="#,##0">
                  <c:v>2371</c:v>
                </c:pt>
                <c:pt idx="21" formatCode="#,##0">
                  <c:v>3033</c:v>
                </c:pt>
                <c:pt idx="22" formatCode="#,##0">
                  <c:v>10073</c:v>
                </c:pt>
                <c:pt idx="23" formatCode="#,##0">
                  <c:v>11588</c:v>
                </c:pt>
                <c:pt idx="24" formatCode="#,##0">
                  <c:v>21331</c:v>
                </c:pt>
                <c:pt idx="25" formatCode="#,##0">
                  <c:v>33364</c:v>
                </c:pt>
              </c:numCache>
            </c:numRef>
          </c:val>
          <c:smooth val="0"/>
          <c:extLst>
            <c:ext xmlns:c16="http://schemas.microsoft.com/office/drawing/2014/chart" uri="{C3380CC4-5D6E-409C-BE32-E72D297353CC}">
              <c16:uniqueId val="{00000002-28EC-4FA7-85D3-1E2016548C2D}"/>
            </c:ext>
          </c:extLst>
        </c:ser>
        <c:dLbls>
          <c:showLegendKey val="0"/>
          <c:showVal val="0"/>
          <c:showCatName val="0"/>
          <c:showSerName val="0"/>
          <c:showPercent val="0"/>
          <c:showBubbleSize val="0"/>
        </c:dLbls>
        <c:smooth val="0"/>
        <c:axId val="1512263647"/>
        <c:axId val="1512270719"/>
      </c:lineChart>
      <c:catAx>
        <c:axId val="1512263647"/>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Years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70719"/>
        <c:crosses val="autoZero"/>
        <c:auto val="1"/>
        <c:lblAlgn val="ctr"/>
        <c:lblOffset val="100"/>
        <c:noMultiLvlLbl val="0"/>
      </c:catAx>
      <c:valAx>
        <c:axId val="15122707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US</a:t>
                </a:r>
                <a:r>
                  <a:rPr lang="en-US" baseline="0"/>
                  <a:t> Dollars</a:t>
                </a:r>
                <a:endParaRPr lang="en-US"/>
              </a:p>
            </c:rich>
          </c:tx>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63647"/>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18675</xdr:colOff>
      <xdr:row>0</xdr:row>
      <xdr:rowOff>178547</xdr:rowOff>
    </xdr:from>
    <xdr:to>
      <xdr:col>38</xdr:col>
      <xdr:colOff>448234</xdr:colOff>
      <xdr:row>28</xdr:row>
      <xdr:rowOff>22411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145.86000000000001</v>
    <v>81.430000000000007</v>
    <v>1.232</v>
    <v>-2.35</v>
    <v>-1.3079999999999999E-3</v>
    <v>-1.6788000000000001E-2</v>
    <v>-0.18</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138.84</v>
    <v>Diversified Retail</v>
    <v>Stock</v>
    <v>45188.999996099221</v>
    <v>0</v>
    <v>135.56</v>
    <v>1420031932500</v>
    <v>AMAZON.COM, INC.</v>
    <v>AMAZON.COM, INC.</v>
    <v>138.69999999999999</v>
    <v>109.4256</v>
    <v>139.97999999999999</v>
    <v>137.63</v>
    <v>137.44999999999999</v>
    <v>10317750000</v>
    <v>AMZN</v>
    <v>AMAZON.COM, INC. (XNAS:AMZN)</v>
    <v>61482470</v>
    <v>47241850</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9" sqref="B9"/>
    </sheetView>
  </sheetViews>
  <sheetFormatPr defaultRowHeight="14.5" x14ac:dyDescent="0.35"/>
  <cols>
    <col min="2" max="2" width="17.26953125" customWidth="1"/>
  </cols>
  <sheetData>
    <row r="1" spans="1:3" x14ac:dyDescent="0.35">
      <c r="A1" t="e" vm="1">
        <v>#VALUE!</v>
      </c>
    </row>
    <row r="2" spans="1:3" x14ac:dyDescent="0.35">
      <c r="A2" s="1" t="s">
        <v>0</v>
      </c>
      <c r="B2" s="33">
        <f t="array" ref="B2">_FV(A1,"Price")</f>
        <v>137.63</v>
      </c>
    </row>
    <row r="3" spans="1:3" x14ac:dyDescent="0.35">
      <c r="A3" s="1" t="s">
        <v>1</v>
      </c>
      <c r="B3" s="7">
        <f t="array" ref="B3">_FV(A1,"Shares outstanding",TRUE)/1000000</f>
        <v>10317.75</v>
      </c>
    </row>
    <row r="4" spans="1:3" x14ac:dyDescent="0.35">
      <c r="A4" s="1" t="s">
        <v>2</v>
      </c>
      <c r="B4" s="64">
        <f>B2*B3</f>
        <v>1420031.9324999999</v>
      </c>
      <c r="C4" t="s">
        <v>43</v>
      </c>
    </row>
    <row r="5" spans="1:3" x14ac:dyDescent="0.35">
      <c r="A5" s="1" t="s">
        <v>3</v>
      </c>
      <c r="B5" s="7">
        <f>Model!BI108+Model!BI109</f>
        <v>70026</v>
      </c>
    </row>
    <row r="6" spans="1:3" x14ac:dyDescent="0.35">
      <c r="A6" s="1" t="s">
        <v>4</v>
      </c>
      <c r="B6" s="7">
        <f>Model!BI126+Model!BI127</f>
        <v>140118</v>
      </c>
    </row>
    <row r="7" spans="1:3" x14ac:dyDescent="0.35">
      <c r="A7" s="1" t="s">
        <v>5</v>
      </c>
      <c r="B7" s="65">
        <f>B4-B5+B6</f>
        <v>1490123.9324999999</v>
      </c>
    </row>
    <row r="8" spans="1:3" x14ac:dyDescent="0.35">
      <c r="A8" s="2" t="s">
        <v>6</v>
      </c>
      <c r="B8" s="33">
        <f>B7/B3</f>
        <v>144.42334157156355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8" sqref="B8"/>
    </sheetView>
  </sheetViews>
  <sheetFormatPr defaultRowHeight="14.5" x14ac:dyDescent="0.35"/>
  <cols>
    <col min="1" max="1" width="14.453125" customWidth="1"/>
  </cols>
  <sheetData>
    <row r="1" spans="1:2" x14ac:dyDescent="0.35">
      <c r="A1" t="s">
        <v>7</v>
      </c>
      <c r="B1" t="s">
        <v>8</v>
      </c>
    </row>
    <row r="2" spans="1:2" x14ac:dyDescent="0.35">
      <c r="A2" t="s">
        <v>9</v>
      </c>
      <c r="B2" t="s">
        <v>10</v>
      </c>
    </row>
    <row r="3" spans="1:2" x14ac:dyDescent="0.35">
      <c r="A3" t="s">
        <v>11</v>
      </c>
      <c r="B3" t="s">
        <v>12</v>
      </c>
    </row>
    <row r="4" spans="1:2" x14ac:dyDescent="0.35">
      <c r="A4" t="s">
        <v>13</v>
      </c>
      <c r="B4" t="s">
        <v>14</v>
      </c>
    </row>
    <row r="5" spans="1:2" x14ac:dyDescent="0.35">
      <c r="A5" t="s">
        <v>15</v>
      </c>
      <c r="B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172"/>
  <sheetViews>
    <sheetView tabSelected="1" zoomScale="70" zoomScaleNormal="70" workbookViewId="0">
      <pane xSplit="2" ySplit="8" topLeftCell="J129" activePane="bottomRight" state="frozen"/>
      <selection pane="topRight" activeCell="C1" sqref="C1"/>
      <selection pane="bottomLeft" activeCell="A4" sqref="A4"/>
      <selection pane="bottomRight" activeCell="AO169" sqref="AO169"/>
    </sheetView>
  </sheetViews>
  <sheetFormatPr defaultRowHeight="14.5" x14ac:dyDescent="0.35"/>
  <cols>
    <col min="2" max="2" width="27.26953125" style="5" customWidth="1"/>
    <col min="3" max="10" width="10.54296875" style="77" customWidth="1"/>
    <col min="11" max="11" width="10.54296875" style="27" customWidth="1"/>
    <col min="12" max="14" width="10.54296875" customWidth="1"/>
    <col min="15" max="15" width="10.54296875" style="27" customWidth="1"/>
    <col min="16" max="18" width="10.54296875" customWidth="1"/>
    <col min="19" max="19" width="10.54296875" style="27" customWidth="1"/>
    <col min="20" max="22" width="10.54296875" customWidth="1"/>
    <col min="23" max="23" width="10.54296875" style="27" customWidth="1"/>
    <col min="24" max="26" width="10.54296875" customWidth="1"/>
    <col min="27" max="27" width="10.54296875" style="27" customWidth="1"/>
    <col min="28" max="30" width="10.54296875" customWidth="1"/>
    <col min="31" max="31" width="10.54296875" style="27" customWidth="1"/>
    <col min="32" max="34" width="10.54296875" customWidth="1"/>
    <col min="35" max="35" width="10.54296875" style="27" customWidth="1"/>
    <col min="36" max="38" width="10.54296875" customWidth="1"/>
    <col min="39" max="39" width="10.54296875" style="27" customWidth="1"/>
    <col min="40" max="50" width="10.54296875" style="77" customWidth="1"/>
    <col min="51" max="54" width="10.54296875" customWidth="1"/>
    <col min="55" max="58" width="10.1796875" customWidth="1"/>
    <col min="59" max="59" width="9.453125" bestFit="1" customWidth="1"/>
    <col min="61" max="61" width="12.26953125" bestFit="1" customWidth="1"/>
  </cols>
  <sheetData>
    <row r="1" spans="2:65" x14ac:dyDescent="0.35">
      <c r="K1" s="27" t="s">
        <v>1879</v>
      </c>
      <c r="L1" t="s">
        <v>1880</v>
      </c>
      <c r="M1" t="s">
        <v>1881</v>
      </c>
      <c r="N1" t="s">
        <v>1882</v>
      </c>
      <c r="O1" s="27" t="s">
        <v>1925</v>
      </c>
      <c r="P1" t="s">
        <v>1924</v>
      </c>
      <c r="Q1" t="s">
        <v>1923</v>
      </c>
      <c r="R1" t="s">
        <v>1922</v>
      </c>
      <c r="S1" s="27" t="s">
        <v>1878</v>
      </c>
      <c r="T1" t="s">
        <v>1877</v>
      </c>
      <c r="U1" t="s">
        <v>1876</v>
      </c>
      <c r="V1" t="s">
        <v>1875</v>
      </c>
      <c r="W1" s="27" t="s">
        <v>1874</v>
      </c>
      <c r="X1" t="s">
        <v>1873</v>
      </c>
      <c r="Y1" t="s">
        <v>1872</v>
      </c>
      <c r="Z1" t="s">
        <v>1871</v>
      </c>
      <c r="AA1" s="27" t="s">
        <v>1870</v>
      </c>
      <c r="AB1" t="s">
        <v>1869</v>
      </c>
      <c r="AC1" t="s">
        <v>1868</v>
      </c>
      <c r="AD1" t="s">
        <v>1867</v>
      </c>
      <c r="AE1" s="27" t="s">
        <v>1866</v>
      </c>
      <c r="AF1" t="s">
        <v>1865</v>
      </c>
      <c r="AG1" t="s">
        <v>1864</v>
      </c>
      <c r="AH1" t="s">
        <v>1863</v>
      </c>
      <c r="AI1" s="27" t="s">
        <v>1862</v>
      </c>
      <c r="AJ1" t="s">
        <v>1861</v>
      </c>
      <c r="AK1" t="s">
        <v>1860</v>
      </c>
      <c r="AL1" t="s">
        <v>1859</v>
      </c>
      <c r="AM1" s="27" t="s">
        <v>1857</v>
      </c>
      <c r="AN1" s="77" t="s">
        <v>1858</v>
      </c>
    </row>
    <row r="2" spans="2:65" s="47" customFormat="1" x14ac:dyDescent="0.35">
      <c r="B2" s="43" t="s">
        <v>17</v>
      </c>
      <c r="C2" s="81"/>
      <c r="D2" s="81"/>
      <c r="E2" s="81"/>
      <c r="F2" s="81"/>
      <c r="G2" s="81"/>
      <c r="H2" s="81"/>
      <c r="I2" s="81"/>
      <c r="J2" s="81"/>
      <c r="K2" s="45">
        <v>42489</v>
      </c>
      <c r="L2" s="44">
        <v>42580</v>
      </c>
      <c r="M2" s="44">
        <v>42671</v>
      </c>
      <c r="N2" s="44">
        <v>42776</v>
      </c>
      <c r="O2" s="45">
        <v>42853</v>
      </c>
      <c r="P2" s="44">
        <v>42944</v>
      </c>
      <c r="Q2" s="44">
        <v>43035</v>
      </c>
      <c r="R2" s="44">
        <v>43133</v>
      </c>
      <c r="S2" s="45">
        <v>43217</v>
      </c>
      <c r="T2" s="44">
        <v>43308</v>
      </c>
      <c r="U2" s="44">
        <v>43399</v>
      </c>
      <c r="V2" s="44">
        <v>43497</v>
      </c>
      <c r="W2" s="45">
        <v>43581</v>
      </c>
      <c r="X2" s="44">
        <v>43672</v>
      </c>
      <c r="Y2" s="44">
        <v>43763</v>
      </c>
      <c r="Z2" s="46" t="s">
        <v>18</v>
      </c>
      <c r="AA2" s="45">
        <v>43952</v>
      </c>
      <c r="AB2" s="44">
        <v>44043</v>
      </c>
      <c r="AC2" s="44">
        <v>44134</v>
      </c>
      <c r="AD2" s="44">
        <v>44230</v>
      </c>
      <c r="AE2" s="45">
        <v>44316</v>
      </c>
      <c r="AF2" s="44">
        <v>44407</v>
      </c>
      <c r="AG2" s="44">
        <v>44498</v>
      </c>
      <c r="AH2" s="44">
        <v>44596</v>
      </c>
      <c r="AI2" s="45">
        <v>44680</v>
      </c>
      <c r="AJ2" s="44">
        <v>44771</v>
      </c>
      <c r="AK2" s="44">
        <v>44862</v>
      </c>
      <c r="AL2" s="44">
        <v>44960</v>
      </c>
      <c r="AM2" s="45">
        <v>45044</v>
      </c>
      <c r="AN2" s="82">
        <v>45142</v>
      </c>
      <c r="AO2" s="68"/>
      <c r="AP2" s="68"/>
      <c r="AQ2" s="68"/>
      <c r="AR2" s="68"/>
      <c r="AS2" s="68"/>
      <c r="AT2" s="68"/>
      <c r="AU2" s="68"/>
      <c r="AV2" s="68"/>
      <c r="AW2" s="68"/>
      <c r="AX2" s="68"/>
      <c r="AY2" s="46"/>
      <c r="AZ2" s="46"/>
      <c r="BA2" s="46"/>
      <c r="BB2" s="44">
        <v>42398</v>
      </c>
      <c r="BC2" s="44">
        <v>42776</v>
      </c>
      <c r="BD2" s="44">
        <v>43133</v>
      </c>
      <c r="BE2" s="44">
        <v>43497</v>
      </c>
      <c r="BF2" s="44">
        <v>43861</v>
      </c>
      <c r="BG2" s="44">
        <v>44227</v>
      </c>
      <c r="BH2" s="44">
        <v>44596</v>
      </c>
      <c r="BI2" s="66">
        <v>44960</v>
      </c>
    </row>
    <row r="3" spans="2:65" s="81" customFormat="1" ht="15" customHeight="1" x14ac:dyDescent="0.35">
      <c r="B3" s="81" t="s">
        <v>19</v>
      </c>
      <c r="K3" s="45">
        <v>42460</v>
      </c>
      <c r="L3" s="82">
        <v>42551</v>
      </c>
      <c r="M3" s="82">
        <v>42643</v>
      </c>
      <c r="N3" s="82">
        <v>42735</v>
      </c>
      <c r="O3" s="45">
        <v>42825</v>
      </c>
      <c r="P3" s="82">
        <v>42916</v>
      </c>
      <c r="Q3" s="82">
        <v>43008</v>
      </c>
      <c r="R3" s="82">
        <v>43100</v>
      </c>
      <c r="S3" s="45">
        <v>43190</v>
      </c>
      <c r="T3" s="82">
        <v>43281</v>
      </c>
      <c r="U3" s="82">
        <v>43373</v>
      </c>
      <c r="V3" s="82">
        <v>43465</v>
      </c>
      <c r="W3" s="45">
        <v>43555</v>
      </c>
      <c r="X3" s="82">
        <v>43646</v>
      </c>
      <c r="Y3" s="82">
        <v>43738</v>
      </c>
      <c r="Z3" s="82">
        <v>43830</v>
      </c>
      <c r="AA3" s="45">
        <v>43921</v>
      </c>
      <c r="AB3" s="82">
        <v>44012</v>
      </c>
      <c r="AC3" s="82">
        <v>44104</v>
      </c>
      <c r="AD3" s="82">
        <v>44196</v>
      </c>
      <c r="AE3" s="45">
        <v>44286</v>
      </c>
      <c r="AF3" s="82">
        <v>44377</v>
      </c>
      <c r="AG3" s="82">
        <v>44469</v>
      </c>
      <c r="AH3" s="82">
        <v>44561</v>
      </c>
      <c r="AI3" s="45">
        <v>44651</v>
      </c>
      <c r="AJ3" s="82">
        <v>44742</v>
      </c>
      <c r="AK3" s="82">
        <v>44834</v>
      </c>
      <c r="AL3" s="82">
        <v>44926</v>
      </c>
      <c r="AM3" s="45">
        <v>45016</v>
      </c>
      <c r="AN3" s="82">
        <v>45107</v>
      </c>
      <c r="AO3" s="82"/>
      <c r="AP3" s="82"/>
      <c r="AQ3" s="82"/>
      <c r="AR3" s="82"/>
      <c r="AS3" s="108"/>
      <c r="AT3" s="108"/>
      <c r="AU3" s="108"/>
      <c r="AV3" s="108"/>
      <c r="AW3" s="108">
        <v>2010</v>
      </c>
      <c r="AX3" s="108">
        <v>2011</v>
      </c>
      <c r="AY3" s="108">
        <v>2012</v>
      </c>
      <c r="AZ3" s="108">
        <v>2013</v>
      </c>
      <c r="BA3" s="108">
        <v>2014</v>
      </c>
      <c r="BB3" s="68">
        <v>2015</v>
      </c>
      <c r="BC3" s="68">
        <v>2016</v>
      </c>
      <c r="BD3" s="68">
        <v>2017</v>
      </c>
      <c r="BE3" s="68">
        <v>2018</v>
      </c>
      <c r="BF3" s="68">
        <v>2019</v>
      </c>
      <c r="BG3" s="68">
        <v>2020</v>
      </c>
      <c r="BH3" s="68">
        <v>2021</v>
      </c>
      <c r="BI3" s="81">
        <v>2022</v>
      </c>
    </row>
    <row r="4" spans="2:65" s="69" customFormat="1" ht="15" customHeight="1" x14ac:dyDescent="0.35">
      <c r="B4" s="69" t="s">
        <v>1852</v>
      </c>
      <c r="K4" s="86"/>
      <c r="L4" s="84"/>
      <c r="M4" s="84"/>
      <c r="N4" s="84"/>
      <c r="O4" s="86"/>
      <c r="P4" s="84"/>
      <c r="Q4" s="84"/>
      <c r="R4" s="84"/>
      <c r="S4" s="86"/>
      <c r="T4" s="84"/>
      <c r="U4" s="84"/>
      <c r="V4" s="84"/>
      <c r="W4" s="86"/>
      <c r="X4" s="84"/>
      <c r="Y4" s="84"/>
      <c r="Z4" s="84"/>
      <c r="AA4" s="86"/>
      <c r="AB4" s="84"/>
      <c r="AC4" s="84"/>
      <c r="AD4" s="84"/>
      <c r="AE4" s="86"/>
      <c r="AF4" s="84"/>
      <c r="AG4" s="84"/>
      <c r="AH4" s="84"/>
      <c r="AI4" s="86"/>
      <c r="AJ4" s="84"/>
      <c r="AK4" s="84"/>
      <c r="AL4" s="84"/>
      <c r="AM4" s="86"/>
      <c r="AN4" s="84"/>
      <c r="AO4" s="84"/>
      <c r="AP4" s="84"/>
      <c r="AQ4" s="84"/>
      <c r="AR4" s="84"/>
      <c r="AS4" s="84"/>
      <c r="AT4" s="84"/>
      <c r="AU4" s="84"/>
      <c r="AV4" s="84"/>
      <c r="AW4" s="84"/>
      <c r="AX4" s="84"/>
      <c r="AY4" s="84"/>
      <c r="AZ4" s="84"/>
      <c r="BA4" s="85"/>
      <c r="BB4" s="85"/>
      <c r="BC4" s="85"/>
      <c r="BD4" s="85"/>
      <c r="BE4" s="85"/>
      <c r="BF4" s="85"/>
      <c r="BG4" s="85"/>
      <c r="BH4" s="85"/>
    </row>
    <row r="5" spans="2:65" s="130" customFormat="1" ht="15" customHeight="1" x14ac:dyDescent="0.35">
      <c r="B5" s="130" t="s">
        <v>1853</v>
      </c>
      <c r="K5" s="131">
        <v>32.89</v>
      </c>
      <c r="L5" s="132">
        <v>36.58</v>
      </c>
      <c r="M5" s="132">
        <v>41.88</v>
      </c>
      <c r="N5" s="132">
        <v>42.36</v>
      </c>
      <c r="O5" s="131">
        <v>43.85</v>
      </c>
      <c r="P5" s="132">
        <v>50.85</v>
      </c>
      <c r="Q5" s="132">
        <v>54.17</v>
      </c>
      <c r="R5" s="132">
        <v>43.85</v>
      </c>
      <c r="S5" s="131">
        <v>80.88</v>
      </c>
      <c r="T5" s="132">
        <v>88.15</v>
      </c>
      <c r="U5" s="132">
        <v>102.53</v>
      </c>
      <c r="V5" s="132">
        <v>101.66</v>
      </c>
      <c r="W5" s="131">
        <v>91.19</v>
      </c>
      <c r="X5" s="132">
        <v>98.22</v>
      </c>
      <c r="Y5" s="132">
        <v>101.79</v>
      </c>
      <c r="Z5" s="132">
        <v>95.07</v>
      </c>
      <c r="AA5" s="131">
        <v>109.3</v>
      </c>
      <c r="AB5" s="132">
        <v>139.80000000000001</v>
      </c>
      <c r="AC5" s="132">
        <v>177.61</v>
      </c>
      <c r="AD5" s="132">
        <v>174.81</v>
      </c>
      <c r="AE5" s="131">
        <v>171.7</v>
      </c>
      <c r="AF5" s="132">
        <v>177.7</v>
      </c>
      <c r="AG5" s="132">
        <v>188.65</v>
      </c>
      <c r="AH5" s="132">
        <v>188.11</v>
      </c>
      <c r="AI5" s="131">
        <v>171.4</v>
      </c>
      <c r="AJ5" s="132">
        <v>168.39</v>
      </c>
      <c r="AK5" s="132">
        <v>146.57</v>
      </c>
      <c r="AL5" s="132">
        <v>123</v>
      </c>
      <c r="AM5" s="131">
        <v>114</v>
      </c>
      <c r="AN5" s="132">
        <v>131.49</v>
      </c>
      <c r="AO5" s="132"/>
      <c r="AP5" s="132"/>
      <c r="AQ5" s="132"/>
      <c r="AR5" s="132"/>
      <c r="AS5" s="132"/>
      <c r="AT5" s="132"/>
      <c r="AU5" s="132"/>
      <c r="AV5" s="132"/>
      <c r="AW5" s="132">
        <v>9.2799999999999994</v>
      </c>
      <c r="AX5" s="132">
        <v>12.34</v>
      </c>
      <c r="AY5" s="132">
        <v>13.21</v>
      </c>
      <c r="AZ5" s="132">
        <v>20.28</v>
      </c>
      <c r="BA5" s="132">
        <v>20.399999999999999</v>
      </c>
      <c r="BB5" s="132">
        <v>34.82</v>
      </c>
      <c r="BC5" s="132">
        <v>42.36</v>
      </c>
      <c r="BD5" s="132">
        <v>60.67</v>
      </c>
      <c r="BE5" s="132">
        <v>102.53</v>
      </c>
      <c r="BF5" s="132">
        <v>101.79</v>
      </c>
      <c r="BG5" s="132">
        <v>177.61</v>
      </c>
      <c r="BH5" s="132">
        <v>188.65</v>
      </c>
      <c r="BI5" s="130">
        <v>171.4</v>
      </c>
    </row>
    <row r="6" spans="2:65" s="130" customFormat="1" ht="15" customHeight="1" x14ac:dyDescent="0.35">
      <c r="B6" s="130" t="s">
        <v>1854</v>
      </c>
      <c r="K6" s="131">
        <v>23.7</v>
      </c>
      <c r="L6" s="132">
        <v>29.26</v>
      </c>
      <c r="M6" s="132">
        <v>35.83</v>
      </c>
      <c r="N6" s="132">
        <v>35.51</v>
      </c>
      <c r="O6" s="131">
        <v>37.380000000000003</v>
      </c>
      <c r="P6" s="132">
        <v>44.22</v>
      </c>
      <c r="Q6" s="132">
        <v>46.59</v>
      </c>
      <c r="R6" s="132">
        <v>37.380000000000003</v>
      </c>
      <c r="S6" s="131">
        <v>58.53</v>
      </c>
      <c r="T6" s="132">
        <v>67.64</v>
      </c>
      <c r="U6" s="132">
        <v>83.9</v>
      </c>
      <c r="V6" s="132">
        <v>65.349999999999994</v>
      </c>
      <c r="W6" s="131">
        <v>73.05</v>
      </c>
      <c r="X6" s="132">
        <v>83.6</v>
      </c>
      <c r="Y6" s="132">
        <v>85.69</v>
      </c>
      <c r="Z6" s="132">
        <v>84.25</v>
      </c>
      <c r="AA6" s="131">
        <v>81.3</v>
      </c>
      <c r="AB6" s="132">
        <v>94.46</v>
      </c>
      <c r="AC6" s="132">
        <v>137.69999999999999</v>
      </c>
      <c r="AD6" s="132">
        <v>147.51</v>
      </c>
      <c r="AE6" s="131">
        <v>144.05000000000001</v>
      </c>
      <c r="AF6" s="132">
        <v>155.78</v>
      </c>
      <c r="AG6" s="132">
        <v>158.79</v>
      </c>
      <c r="AH6" s="132">
        <v>158.81</v>
      </c>
      <c r="AI6" s="131">
        <v>133.57</v>
      </c>
      <c r="AJ6" s="132">
        <v>101.26</v>
      </c>
      <c r="AK6" s="132">
        <v>105.85</v>
      </c>
      <c r="AL6" s="132">
        <v>81.69</v>
      </c>
      <c r="AM6" s="131">
        <v>81.430000000000007</v>
      </c>
      <c r="AN6" s="132">
        <v>97.71</v>
      </c>
      <c r="AO6" s="132"/>
      <c r="AP6" s="132"/>
      <c r="AQ6" s="132"/>
      <c r="AR6" s="132"/>
      <c r="AS6" s="132"/>
      <c r="AT6" s="132"/>
      <c r="AU6" s="132"/>
      <c r="AV6" s="132"/>
      <c r="AW6" s="132">
        <v>5.29</v>
      </c>
      <c r="AX6" s="132">
        <v>8.0299999999999994</v>
      </c>
      <c r="AY6" s="132">
        <v>8.6</v>
      </c>
      <c r="AZ6" s="132">
        <v>12.29</v>
      </c>
      <c r="BA6" s="132">
        <v>14.2</v>
      </c>
      <c r="BB6" s="132">
        <v>14.26</v>
      </c>
      <c r="BC6" s="132">
        <v>23.7</v>
      </c>
      <c r="BD6" s="132">
        <v>37.380000000000003</v>
      </c>
      <c r="BE6" s="132">
        <v>58.53</v>
      </c>
      <c r="BF6" s="132">
        <v>73.05</v>
      </c>
      <c r="BG6" s="132">
        <v>81.3</v>
      </c>
      <c r="BH6" s="132">
        <v>144.05000000000001</v>
      </c>
      <c r="BI6" s="130">
        <v>81.69</v>
      </c>
    </row>
    <row r="7" spans="2:65" s="130" customFormat="1" ht="15" customHeight="1" x14ac:dyDescent="0.35">
      <c r="B7" s="130" t="s">
        <v>1855</v>
      </c>
      <c r="K7" s="131">
        <v>28.36</v>
      </c>
      <c r="L7" s="132">
        <v>33.79</v>
      </c>
      <c r="M7" s="132">
        <v>38.22</v>
      </c>
      <c r="N7" s="132">
        <v>39.18</v>
      </c>
      <c r="O7" s="131">
        <v>41.63</v>
      </c>
      <c r="P7" s="132">
        <v>47.7</v>
      </c>
      <c r="Q7" s="132">
        <v>49.12</v>
      </c>
      <c r="R7" s="132">
        <v>41.63</v>
      </c>
      <c r="S7" s="131">
        <v>71.510000000000005</v>
      </c>
      <c r="T7" s="132">
        <v>79.37</v>
      </c>
      <c r="U7" s="132">
        <v>94.03</v>
      </c>
      <c r="V7" s="132">
        <v>83.27</v>
      </c>
      <c r="W7" s="131">
        <v>83.22</v>
      </c>
      <c r="X7" s="132">
        <v>93.15</v>
      </c>
      <c r="Y7" s="132">
        <v>92.82</v>
      </c>
      <c r="Z7" s="132">
        <v>88.45</v>
      </c>
      <c r="AA7" s="131">
        <v>96.78</v>
      </c>
      <c r="AB7" s="132">
        <v>120.5</v>
      </c>
      <c r="AC7" s="132">
        <v>157.66</v>
      </c>
      <c r="AD7" s="132">
        <v>159.53</v>
      </c>
      <c r="AE7" s="131">
        <v>158.58000000000001</v>
      </c>
      <c r="AF7" s="132">
        <v>166.11</v>
      </c>
      <c r="AG7" s="132">
        <v>172.62</v>
      </c>
      <c r="AH7" s="132">
        <v>171.22</v>
      </c>
      <c r="AI7" s="131">
        <v>154.38</v>
      </c>
      <c r="AJ7" s="132">
        <v>125.44</v>
      </c>
      <c r="AK7" s="132">
        <v>126.61</v>
      </c>
      <c r="AL7" s="132">
        <v>98.78</v>
      </c>
      <c r="AM7" s="131">
        <v>96.51</v>
      </c>
      <c r="AN7" s="132">
        <v>113.93</v>
      </c>
      <c r="AO7" s="132"/>
      <c r="AP7" s="132"/>
      <c r="AQ7" s="132"/>
      <c r="AR7" s="132"/>
      <c r="AS7" s="132"/>
      <c r="AT7" s="132"/>
      <c r="AU7" s="132"/>
      <c r="AV7" s="132"/>
      <c r="AW7" s="132">
        <v>6.95</v>
      </c>
      <c r="AX7" s="132">
        <v>9.83</v>
      </c>
      <c r="AY7" s="132">
        <v>11.01</v>
      </c>
      <c r="AZ7" s="132">
        <v>14.88</v>
      </c>
      <c r="BA7" s="132">
        <v>16.63</v>
      </c>
      <c r="BB7" s="132">
        <v>23.87</v>
      </c>
      <c r="BC7" s="132">
        <v>34.979999999999997</v>
      </c>
      <c r="BD7" s="132">
        <v>48.41</v>
      </c>
      <c r="BE7" s="132">
        <v>82.11</v>
      </c>
      <c r="BF7" s="132">
        <v>89.45</v>
      </c>
      <c r="BG7" s="132">
        <v>133.93</v>
      </c>
      <c r="BH7" s="132">
        <v>167.2</v>
      </c>
      <c r="BI7" s="130">
        <v>126.1</v>
      </c>
    </row>
    <row r="8" spans="2:65" s="52" customFormat="1" ht="15" customHeight="1" thickBot="1" x14ac:dyDescent="0.4">
      <c r="B8" s="48"/>
      <c r="K8" s="50"/>
      <c r="L8" s="49"/>
      <c r="M8" s="49"/>
      <c r="N8" s="49"/>
      <c r="O8" s="50"/>
      <c r="P8" s="49"/>
      <c r="Q8" s="49"/>
      <c r="R8" s="49"/>
      <c r="S8" s="50"/>
      <c r="T8" s="49"/>
      <c r="U8" s="49"/>
      <c r="V8" s="49"/>
      <c r="W8" s="50"/>
      <c r="X8" s="49"/>
      <c r="Y8" s="49"/>
      <c r="Z8" s="49"/>
      <c r="AA8" s="50"/>
      <c r="AB8" s="49"/>
      <c r="AC8" s="49"/>
      <c r="AD8" s="49"/>
      <c r="AE8" s="50"/>
      <c r="AF8" s="49"/>
      <c r="AG8" s="49"/>
      <c r="AH8" s="49"/>
      <c r="AI8" s="50"/>
      <c r="AJ8" s="49"/>
      <c r="AK8" s="49"/>
      <c r="AL8" s="49"/>
      <c r="AM8" s="50"/>
      <c r="AN8" s="49"/>
      <c r="AO8" s="49"/>
      <c r="AP8" s="49"/>
      <c r="AQ8" s="49"/>
      <c r="AR8" s="49"/>
      <c r="AS8" s="49"/>
      <c r="AT8" s="49"/>
      <c r="AU8" s="49"/>
      <c r="AV8" s="49"/>
      <c r="AW8" s="49"/>
      <c r="AX8" s="49"/>
      <c r="AY8" s="49"/>
      <c r="AZ8" s="49"/>
      <c r="BA8" s="51"/>
      <c r="BB8" s="51"/>
      <c r="BC8" s="51"/>
      <c r="BD8" s="51"/>
      <c r="BE8" s="51"/>
      <c r="BF8" s="51"/>
      <c r="BG8" s="51"/>
      <c r="BH8" s="51"/>
    </row>
    <row r="9" spans="2:65" s="81" customFormat="1" ht="15" customHeight="1" x14ac:dyDescent="0.35">
      <c r="B9" s="43"/>
      <c r="K9" s="45"/>
      <c r="L9" s="82"/>
      <c r="M9" s="82"/>
      <c r="N9" s="82"/>
      <c r="O9" s="45"/>
      <c r="P9" s="82"/>
      <c r="Q9" s="82"/>
      <c r="R9" s="82"/>
      <c r="S9" s="45"/>
      <c r="T9" s="82"/>
      <c r="U9" s="82"/>
      <c r="V9" s="82"/>
      <c r="W9" s="45"/>
      <c r="X9" s="82"/>
      <c r="Y9" s="82"/>
      <c r="Z9" s="82"/>
      <c r="AA9" s="45"/>
      <c r="AB9" s="82"/>
      <c r="AC9" s="82"/>
      <c r="AD9" s="82"/>
      <c r="AE9" s="45"/>
      <c r="AF9" s="82"/>
      <c r="AG9" s="82"/>
      <c r="AH9" s="82"/>
      <c r="AI9" s="45"/>
      <c r="AJ9" s="82"/>
      <c r="AK9" s="82"/>
      <c r="AL9" s="82"/>
      <c r="AM9" s="45"/>
      <c r="AN9" s="82"/>
      <c r="AO9" s="82"/>
      <c r="AP9" s="82"/>
      <c r="AQ9" s="82"/>
      <c r="AR9" s="82"/>
      <c r="AS9" s="82"/>
      <c r="AT9" s="82"/>
      <c r="AU9" s="82"/>
      <c r="AV9" s="82"/>
      <c r="AW9" s="82"/>
      <c r="AX9" s="82"/>
      <c r="AY9" s="82"/>
      <c r="AZ9" s="82"/>
      <c r="BA9" s="68"/>
      <c r="BB9" s="68"/>
      <c r="BC9" s="68"/>
      <c r="BD9" s="68"/>
      <c r="BE9" s="68"/>
      <c r="BF9" s="68"/>
      <c r="BG9" s="68"/>
      <c r="BH9" s="68"/>
    </row>
    <row r="10" spans="2:65" s="69" customFormat="1" ht="15" customHeight="1" x14ac:dyDescent="0.35">
      <c r="B10" s="22" t="s">
        <v>1895</v>
      </c>
      <c r="K10" s="86"/>
      <c r="L10" s="84"/>
      <c r="M10" s="84"/>
      <c r="N10" s="84"/>
      <c r="O10" s="86"/>
      <c r="P10" s="84"/>
      <c r="Q10" s="84"/>
      <c r="R10" s="84"/>
      <c r="S10" s="86"/>
      <c r="T10" s="84"/>
      <c r="U10" s="84"/>
      <c r="V10" s="84"/>
      <c r="W10" s="86"/>
      <c r="X10" s="84"/>
      <c r="Y10" s="84"/>
      <c r="Z10" s="84"/>
      <c r="AA10" s="86"/>
      <c r="AB10" s="84"/>
      <c r="AC10" s="84"/>
      <c r="AD10" s="84"/>
      <c r="AE10" s="86"/>
      <c r="AF10" s="84"/>
      <c r="AG10" s="84"/>
      <c r="AH10" s="84"/>
      <c r="AI10" s="86"/>
      <c r="AJ10" s="84"/>
      <c r="AK10" s="84"/>
      <c r="AL10" s="84"/>
      <c r="AM10" s="86"/>
      <c r="AN10" s="84"/>
      <c r="AO10" s="84"/>
      <c r="AP10" s="84"/>
      <c r="AQ10" s="84"/>
      <c r="AR10" s="84"/>
      <c r="AS10" s="84"/>
      <c r="AT10" s="84"/>
      <c r="AU10" s="84"/>
      <c r="AV10" s="84"/>
      <c r="AW10" s="84"/>
      <c r="AX10" s="84"/>
      <c r="AY10" s="84"/>
      <c r="AZ10" s="84"/>
      <c r="BA10" s="85"/>
      <c r="BB10" s="85"/>
      <c r="BC10" s="85"/>
      <c r="BD10" s="85"/>
      <c r="BE10" s="85"/>
      <c r="BF10" s="85"/>
      <c r="BG10" s="85"/>
      <c r="BH10" s="85"/>
    </row>
    <row r="11" spans="2:65" s="111" customFormat="1" ht="15" customHeight="1" x14ac:dyDescent="0.35">
      <c r="B11" s="110" t="s">
        <v>1892</v>
      </c>
      <c r="K11" s="112"/>
      <c r="L11" s="113"/>
      <c r="M11" s="113"/>
      <c r="N11" s="113"/>
      <c r="O11" s="112"/>
      <c r="P11" s="113"/>
      <c r="Q11" s="113"/>
      <c r="R11" s="113"/>
      <c r="S11" s="112"/>
      <c r="T11" s="113"/>
      <c r="U11" s="113"/>
      <c r="V11" s="113"/>
      <c r="W11" s="112"/>
      <c r="X11" s="113"/>
      <c r="Y11" s="113"/>
      <c r="Z11" s="113"/>
      <c r="AA11" s="112"/>
      <c r="AB11" s="113"/>
      <c r="AC11" s="113"/>
      <c r="AD11" s="113"/>
      <c r="AE11" s="112"/>
      <c r="AF11" s="113"/>
      <c r="AG11" s="113"/>
      <c r="AH11" s="113"/>
      <c r="AI11" s="112"/>
      <c r="AJ11" s="113"/>
      <c r="AK11" s="113"/>
      <c r="AL11" s="113"/>
      <c r="AM11" s="112"/>
      <c r="AN11" s="113"/>
      <c r="AO11" s="113"/>
      <c r="AP11" s="113"/>
      <c r="AQ11" s="113"/>
      <c r="AR11" s="113"/>
      <c r="AS11" s="113"/>
      <c r="AT11" s="113"/>
      <c r="AU11" s="113"/>
      <c r="AV11" s="113"/>
      <c r="AW11" s="113"/>
      <c r="AX11" s="113"/>
      <c r="AY11" s="113"/>
      <c r="AZ11" s="113"/>
      <c r="BA11" s="113">
        <v>4486</v>
      </c>
      <c r="BB11" s="113">
        <v>6520</v>
      </c>
      <c r="BC11" s="113">
        <v>8976</v>
      </c>
      <c r="BD11" s="113"/>
      <c r="BE11" s="113"/>
      <c r="BF11" s="113"/>
      <c r="BG11" s="113"/>
      <c r="BH11" s="113"/>
    </row>
    <row r="12" spans="2:65" s="115" customFormat="1" ht="15" customHeight="1" x14ac:dyDescent="0.35">
      <c r="B12" s="114" t="s">
        <v>1893</v>
      </c>
      <c r="K12" s="116"/>
      <c r="L12" s="117"/>
      <c r="M12" s="117"/>
      <c r="N12" s="117"/>
      <c r="O12" s="116"/>
      <c r="P12" s="117"/>
      <c r="Q12" s="117"/>
      <c r="R12" s="117"/>
      <c r="S12" s="116"/>
      <c r="T12" s="117"/>
      <c r="U12" s="117"/>
      <c r="V12" s="117"/>
      <c r="W12" s="116"/>
      <c r="X12" s="117"/>
      <c r="Y12" s="117"/>
      <c r="Z12" s="117"/>
      <c r="AA12" s="116"/>
      <c r="AB12" s="117"/>
      <c r="AC12" s="117"/>
      <c r="AD12" s="117"/>
      <c r="AE12" s="116"/>
      <c r="AF12" s="117"/>
      <c r="AG12" s="117"/>
      <c r="AH12" s="117"/>
      <c r="AI12" s="116"/>
      <c r="AJ12" s="117"/>
      <c r="AK12" s="117"/>
      <c r="AL12" s="117"/>
      <c r="AM12" s="116"/>
      <c r="AN12" s="117"/>
      <c r="AO12" s="117"/>
      <c r="AP12" s="117"/>
      <c r="AQ12" s="117"/>
      <c r="AR12" s="117"/>
      <c r="AS12" s="117"/>
      <c r="AT12" s="117"/>
      <c r="AU12" s="117"/>
      <c r="AV12" s="117"/>
      <c r="AW12" s="117"/>
      <c r="AX12" s="117"/>
      <c r="AY12" s="117"/>
      <c r="AZ12" s="117"/>
      <c r="BA12" s="117">
        <v>-8709</v>
      </c>
      <c r="BB12" s="117">
        <v>-11539</v>
      </c>
      <c r="BC12" s="117">
        <v>-16167</v>
      </c>
      <c r="BD12" s="117">
        <v>11500</v>
      </c>
      <c r="BE12" s="117"/>
      <c r="BF12" s="117"/>
      <c r="BG12" s="117"/>
      <c r="BH12" s="117"/>
    </row>
    <row r="13" spans="2:65" s="111" customFormat="1" ht="15" customHeight="1" x14ac:dyDescent="0.35">
      <c r="B13" s="110" t="s">
        <v>1894</v>
      </c>
      <c r="K13" s="112"/>
      <c r="L13" s="113"/>
      <c r="M13" s="113"/>
      <c r="N13" s="113"/>
      <c r="O13" s="112"/>
      <c r="P13" s="113"/>
      <c r="Q13" s="113"/>
      <c r="R13" s="113"/>
      <c r="S13" s="112"/>
      <c r="T13" s="113"/>
      <c r="U13" s="113"/>
      <c r="V13" s="113"/>
      <c r="W13" s="112"/>
      <c r="X13" s="113"/>
      <c r="Y13" s="113"/>
      <c r="Z13" s="113"/>
      <c r="AA13" s="112"/>
      <c r="AB13" s="113"/>
      <c r="AC13" s="113"/>
      <c r="AD13" s="113"/>
      <c r="AE13" s="112"/>
      <c r="AF13" s="113"/>
      <c r="AG13" s="113"/>
      <c r="AH13" s="113"/>
      <c r="AI13" s="112"/>
      <c r="AJ13" s="113"/>
      <c r="AK13" s="113"/>
      <c r="AL13" s="113"/>
      <c r="AM13" s="112"/>
      <c r="AN13" s="113"/>
      <c r="AO13" s="113"/>
      <c r="AP13" s="113"/>
      <c r="AQ13" s="113"/>
      <c r="AR13" s="113"/>
      <c r="AS13" s="113"/>
      <c r="AT13" s="113"/>
      <c r="AU13" s="113">
        <f>SUM(AU11:AU12)</f>
        <v>0</v>
      </c>
      <c r="AV13" s="113">
        <f>SUM(AV11:AV12)</f>
        <v>0</v>
      </c>
      <c r="AW13" s="113">
        <f>SUM(AW11:AW12)</f>
        <v>0</v>
      </c>
      <c r="AX13" s="113">
        <f>SUM(AX11:AX12)</f>
        <v>0</v>
      </c>
      <c r="AY13" s="113">
        <f t="shared" ref="AY13:BM13" si="0">SUM(AY11:AY12)</f>
        <v>0</v>
      </c>
      <c r="AZ13" s="113">
        <f t="shared" si="0"/>
        <v>0</v>
      </c>
      <c r="BA13" s="113">
        <f t="shared" si="0"/>
        <v>-4223</v>
      </c>
      <c r="BB13" s="113">
        <f t="shared" si="0"/>
        <v>-5019</v>
      </c>
      <c r="BC13" s="113">
        <f t="shared" si="0"/>
        <v>-7191</v>
      </c>
      <c r="BD13" s="113">
        <f t="shared" si="0"/>
        <v>11500</v>
      </c>
      <c r="BE13" s="113">
        <f t="shared" si="0"/>
        <v>0</v>
      </c>
      <c r="BF13" s="113">
        <f t="shared" si="0"/>
        <v>0</v>
      </c>
      <c r="BG13" s="113">
        <f t="shared" si="0"/>
        <v>0</v>
      </c>
      <c r="BH13" s="113">
        <f t="shared" si="0"/>
        <v>0</v>
      </c>
      <c r="BI13" s="113">
        <f t="shared" si="0"/>
        <v>0</v>
      </c>
      <c r="BJ13" s="113">
        <f t="shared" si="0"/>
        <v>0</v>
      </c>
      <c r="BK13" s="113">
        <f t="shared" si="0"/>
        <v>0</v>
      </c>
      <c r="BL13" s="113">
        <f t="shared" si="0"/>
        <v>0</v>
      </c>
      <c r="BM13" s="113">
        <f t="shared" si="0"/>
        <v>0</v>
      </c>
    </row>
    <row r="14" spans="2:65" s="53" customFormat="1" x14ac:dyDescent="0.35">
      <c r="B14" s="22" t="s">
        <v>20</v>
      </c>
      <c r="C14" s="69"/>
      <c r="D14" s="69"/>
      <c r="E14" s="69"/>
      <c r="F14" s="69"/>
      <c r="G14" s="69"/>
      <c r="H14" s="69"/>
      <c r="I14" s="69"/>
      <c r="J14" s="69"/>
      <c r="K14" s="89"/>
      <c r="L14" s="56"/>
      <c r="M14" s="57"/>
      <c r="N14" s="57"/>
      <c r="O14" s="55"/>
      <c r="P14" s="57"/>
      <c r="Q14" s="57"/>
      <c r="R14" s="57"/>
      <c r="S14" s="58"/>
      <c r="T14" s="57"/>
      <c r="U14" s="57"/>
      <c r="V14" s="57"/>
      <c r="W14" s="58"/>
      <c r="X14" s="57"/>
      <c r="Y14" s="57"/>
      <c r="Z14" s="57"/>
      <c r="AA14" s="58"/>
      <c r="AB14" s="57"/>
      <c r="AC14" s="57"/>
      <c r="AD14" s="57"/>
      <c r="AE14" s="58"/>
      <c r="AF14" s="57"/>
      <c r="AG14" s="57"/>
      <c r="AH14" s="57"/>
      <c r="AI14" s="58"/>
      <c r="AJ14" s="57"/>
      <c r="AK14" s="57"/>
      <c r="AL14" s="57"/>
      <c r="AM14" s="58"/>
      <c r="AN14" s="69"/>
      <c r="AO14" s="69"/>
      <c r="AP14" s="69"/>
      <c r="AQ14" s="69"/>
      <c r="AR14" s="69"/>
      <c r="AS14" s="69"/>
      <c r="AT14" s="69"/>
      <c r="AU14" s="69"/>
      <c r="AV14" s="69"/>
      <c r="AW14" s="69"/>
      <c r="AX14" s="69"/>
      <c r="AY14" s="57"/>
      <c r="AZ14" s="57"/>
      <c r="BA14" s="57"/>
      <c r="BB14" s="57"/>
      <c r="BC14" s="57"/>
      <c r="BD14" s="57"/>
      <c r="BE14" s="57"/>
      <c r="BF14" s="57"/>
      <c r="BG14" s="57"/>
      <c r="BH14" s="57"/>
    </row>
    <row r="15" spans="2:65" s="41" customFormat="1" x14ac:dyDescent="0.35">
      <c r="B15" s="60" t="s">
        <v>21</v>
      </c>
      <c r="C15" s="70"/>
      <c r="D15" s="70"/>
      <c r="E15" s="70"/>
      <c r="F15" s="70"/>
      <c r="G15" s="70"/>
      <c r="H15" s="70"/>
      <c r="I15" s="70"/>
      <c r="J15" s="70"/>
      <c r="K15" s="42"/>
      <c r="O15" s="42"/>
      <c r="S15" s="42"/>
      <c r="W15" s="42"/>
      <c r="AA15" s="42"/>
      <c r="AE15" s="42"/>
      <c r="AI15" s="42"/>
      <c r="AM15" s="42"/>
      <c r="AN15" s="70"/>
      <c r="AO15" s="70"/>
      <c r="AP15" s="70"/>
      <c r="AQ15" s="70"/>
      <c r="AR15" s="70"/>
      <c r="AS15" s="70"/>
      <c r="AT15" s="70"/>
      <c r="AU15" s="70"/>
      <c r="AV15" s="70"/>
      <c r="AW15" s="70"/>
      <c r="AX15" s="70"/>
    </row>
    <row r="16" spans="2:65" s="7" customFormat="1" x14ac:dyDescent="0.35">
      <c r="B16" s="7" t="s">
        <v>22</v>
      </c>
      <c r="K16" s="23">
        <v>16996</v>
      </c>
      <c r="L16" s="7">
        <v>17674</v>
      </c>
      <c r="M16" s="7">
        <v>18874</v>
      </c>
      <c r="N16" s="7">
        <f>79785-K16-L16-M16</f>
        <v>26241</v>
      </c>
      <c r="O16" s="23">
        <v>20992</v>
      </c>
      <c r="P16" s="7">
        <v>22370</v>
      </c>
      <c r="Q16" s="7">
        <v>25446</v>
      </c>
      <c r="R16" s="7">
        <f>106110-O16-P16-Q16</f>
        <v>37302</v>
      </c>
      <c r="S16" s="23">
        <v>30725</v>
      </c>
      <c r="T16" s="7">
        <v>32169</v>
      </c>
      <c r="U16" s="7">
        <v>34348</v>
      </c>
      <c r="V16" s="7">
        <f>141366-S16-T16-U16</f>
        <v>44124</v>
      </c>
      <c r="W16" s="23">
        <v>35812</v>
      </c>
      <c r="X16" s="7">
        <v>38653</v>
      </c>
      <c r="Y16" s="7">
        <v>42638</v>
      </c>
      <c r="Z16" s="7">
        <f>170773-W16-X16-Y16</f>
        <v>53670</v>
      </c>
      <c r="AA16" s="23">
        <v>46127</v>
      </c>
      <c r="AB16" s="7">
        <v>55436</v>
      </c>
      <c r="AC16" s="7">
        <v>59373</v>
      </c>
      <c r="AD16" s="7">
        <f>236282-AA16-AB16-AC16</f>
        <v>75346</v>
      </c>
      <c r="AE16" s="23">
        <v>64366</v>
      </c>
      <c r="AF16" s="7">
        <v>67550</v>
      </c>
      <c r="AG16" s="7">
        <v>65557</v>
      </c>
      <c r="AH16" s="7">
        <f>279833-AE16-AF16-AG16</f>
        <v>82360</v>
      </c>
      <c r="AI16" s="23">
        <v>69244</v>
      </c>
      <c r="AJ16" s="7">
        <v>74430</v>
      </c>
      <c r="AK16" s="7">
        <v>78843</v>
      </c>
      <c r="AL16" s="7">
        <f>BI16-AK16-AJ16-AI16</f>
        <v>93363</v>
      </c>
      <c r="AM16" s="23">
        <v>76881</v>
      </c>
      <c r="AN16" s="71">
        <v>82546</v>
      </c>
      <c r="AO16" s="71"/>
      <c r="AP16" s="71"/>
      <c r="AQ16" s="71"/>
      <c r="AR16" s="71"/>
      <c r="AS16" s="71"/>
      <c r="AT16" s="71"/>
      <c r="AU16" s="71"/>
      <c r="AV16" s="71"/>
      <c r="AW16" s="71"/>
      <c r="AX16" s="71"/>
      <c r="BA16" s="7">
        <v>50834</v>
      </c>
      <c r="BB16" s="7">
        <v>63708</v>
      </c>
      <c r="BC16" s="7">
        <v>79785</v>
      </c>
      <c r="BD16" s="7">
        <v>106110</v>
      </c>
      <c r="BE16" s="7">
        <v>141366</v>
      </c>
      <c r="BF16" s="7">
        <v>170773</v>
      </c>
      <c r="BG16" s="7">
        <v>236282</v>
      </c>
      <c r="BH16" s="7">
        <v>279833</v>
      </c>
      <c r="BI16" s="7">
        <v>315880</v>
      </c>
    </row>
    <row r="17" spans="2:61" s="13" customFormat="1" x14ac:dyDescent="0.35">
      <c r="B17" s="13" t="s">
        <v>23</v>
      </c>
      <c r="K17" s="24">
        <v>16408</v>
      </c>
      <c r="L17" s="13">
        <v>16972</v>
      </c>
      <c r="M17" s="13">
        <v>18619</v>
      </c>
      <c r="N17" s="13">
        <f>N16-N18</f>
        <v>25425</v>
      </c>
      <c r="O17" s="24">
        <v>20396</v>
      </c>
      <c r="P17" s="13">
        <v>21934</v>
      </c>
      <c r="Q17" s="13">
        <v>25334</v>
      </c>
      <c r="R17" s="13">
        <f>R16-R18</f>
        <v>35609</v>
      </c>
      <c r="S17" s="24">
        <v>29576</v>
      </c>
      <c r="T17" s="13">
        <v>30334</v>
      </c>
      <c r="U17" s="13">
        <v>32316</v>
      </c>
      <c r="V17" s="13">
        <f>141366-U17-T17-S17</f>
        <v>49140</v>
      </c>
      <c r="W17" s="24">
        <v>33525</v>
      </c>
      <c r="X17" s="13">
        <v>37089</v>
      </c>
      <c r="Y17" s="13">
        <v>41356</v>
      </c>
      <c r="Z17" s="13">
        <f>Z16-Z18</f>
        <v>51770</v>
      </c>
      <c r="AA17" s="24">
        <v>44815</v>
      </c>
      <c r="AB17" s="13">
        <v>53295</v>
      </c>
      <c r="AC17" s="13">
        <v>57121</v>
      </c>
      <c r="AD17" s="13">
        <f>AD16-AD18</f>
        <v>72400</v>
      </c>
      <c r="AE17" s="24">
        <v>60916</v>
      </c>
      <c r="AF17" s="13">
        <v>64403</v>
      </c>
      <c r="AG17" s="13">
        <v>64677</v>
      </c>
      <c r="AH17" s="13">
        <f>AH16-AH18</f>
        <v>81186</v>
      </c>
      <c r="AI17" s="24">
        <v>70812</v>
      </c>
      <c r="AJ17" s="13">
        <v>75057</v>
      </c>
      <c r="AK17" s="13">
        <v>79255</v>
      </c>
      <c r="AL17" s="13">
        <f>BI17-AK17-AJ17-AI17</f>
        <v>93603</v>
      </c>
      <c r="AM17" s="24">
        <v>75983</v>
      </c>
      <c r="AN17" s="13">
        <v>79335</v>
      </c>
      <c r="AU17" s="13">
        <f>AU16-AU18</f>
        <v>0</v>
      </c>
      <c r="AV17" s="13">
        <f>AV16-AV18</f>
        <v>0</v>
      </c>
      <c r="AW17" s="13">
        <f>AW16-AW18</f>
        <v>0</v>
      </c>
      <c r="AX17" s="13">
        <f>AX16-AX18</f>
        <v>0</v>
      </c>
      <c r="AY17" s="13">
        <f>AY16-AY18</f>
        <v>0</v>
      </c>
      <c r="AZ17" s="13">
        <f>AZ16-AZ18</f>
        <v>0</v>
      </c>
      <c r="BA17" s="13">
        <f>BA16-BA18</f>
        <v>50474</v>
      </c>
      <c r="BB17" s="13">
        <f>BB16-BB18</f>
        <v>62283</v>
      </c>
      <c r="BC17" s="13">
        <f>BC16-BC18</f>
        <v>77424</v>
      </c>
      <c r="BD17" s="13">
        <f>BD16-BD18</f>
        <v>103273</v>
      </c>
      <c r="BE17" s="13">
        <v>134099</v>
      </c>
      <c r="BF17" s="13">
        <v>163740</v>
      </c>
      <c r="BG17" s="13">
        <v>227631</v>
      </c>
      <c r="BH17" s="13">
        <v>272562</v>
      </c>
      <c r="BI17" s="13">
        <v>318727</v>
      </c>
    </row>
    <row r="18" spans="2:61" s="12" customFormat="1" x14ac:dyDescent="0.35">
      <c r="B18" s="12" t="s">
        <v>24</v>
      </c>
      <c r="K18" s="26">
        <f>K16-K17</f>
        <v>588</v>
      </c>
      <c r="L18" s="12">
        <f>L16-L17</f>
        <v>702</v>
      </c>
      <c r="M18" s="12">
        <f>M16-M17</f>
        <v>255</v>
      </c>
      <c r="N18" s="12">
        <f>2361-M18-L18-K18</f>
        <v>816</v>
      </c>
      <c r="O18" s="26">
        <f>O16-O17</f>
        <v>596</v>
      </c>
      <c r="P18" s="12">
        <f>P16-P17</f>
        <v>436</v>
      </c>
      <c r="Q18" s="12">
        <f>Q16-Q17</f>
        <v>112</v>
      </c>
      <c r="R18" s="12">
        <f>2837-Q18-P18-O18</f>
        <v>1693</v>
      </c>
      <c r="S18" s="26">
        <f>S16-S17</f>
        <v>1149</v>
      </c>
      <c r="T18" s="12">
        <f>T16-T17</f>
        <v>1835</v>
      </c>
      <c r="U18" s="12">
        <f>U16-U17</f>
        <v>2032</v>
      </c>
      <c r="V18" s="12">
        <f>7267-U18-T18-S18</f>
        <v>2251</v>
      </c>
      <c r="W18" s="26">
        <f>W16-W17</f>
        <v>2287</v>
      </c>
      <c r="X18" s="12">
        <f>X16-X17</f>
        <v>1564</v>
      </c>
      <c r="Y18" s="12">
        <f>Y16-Y17</f>
        <v>1282</v>
      </c>
      <c r="Z18" s="12">
        <f>7033-Y18-X18-W18</f>
        <v>1900</v>
      </c>
      <c r="AA18" s="26">
        <f>AA16-AA17</f>
        <v>1312</v>
      </c>
      <c r="AB18" s="12">
        <f>AB16-AB17</f>
        <v>2141</v>
      </c>
      <c r="AC18" s="12">
        <f>AC16-AC17</f>
        <v>2252</v>
      </c>
      <c r="AD18" s="12">
        <f>8651-AC18-AB18-AA18</f>
        <v>2946</v>
      </c>
      <c r="AE18" s="26">
        <f>AE16-AE17</f>
        <v>3450</v>
      </c>
      <c r="AF18" s="12">
        <f>AF16-AF17</f>
        <v>3147</v>
      </c>
      <c r="AG18" s="12">
        <f>AG16-AG17</f>
        <v>880</v>
      </c>
      <c r="AH18" s="12">
        <f>8651-AG18-AF18-AE18</f>
        <v>1174</v>
      </c>
      <c r="AI18" s="26">
        <f>AI16-AI17</f>
        <v>-1568</v>
      </c>
      <c r="AJ18" s="12">
        <f>AJ16-AJ17</f>
        <v>-627</v>
      </c>
      <c r="AK18" s="12">
        <f>AK16-AK17</f>
        <v>-412</v>
      </c>
      <c r="AL18" s="12">
        <f>AL16-AL17</f>
        <v>-240</v>
      </c>
      <c r="AM18" s="26">
        <f>AM16-AM17</f>
        <v>898</v>
      </c>
      <c r="AN18" s="12">
        <f>AN16-AN17</f>
        <v>3211</v>
      </c>
      <c r="AO18" s="72"/>
      <c r="AP18" s="72"/>
      <c r="AQ18" s="72"/>
      <c r="AR18" s="72"/>
      <c r="AS18" s="72"/>
      <c r="AT18" s="72"/>
      <c r="AU18" s="72"/>
      <c r="AV18" s="72"/>
      <c r="AW18" s="72"/>
      <c r="AX18" s="72"/>
      <c r="BA18" s="12">
        <v>360</v>
      </c>
      <c r="BB18" s="12">
        <v>1425</v>
      </c>
      <c r="BC18" s="12">
        <v>2361</v>
      </c>
      <c r="BD18" s="12">
        <v>2837</v>
      </c>
      <c r="BE18" s="12">
        <f t="shared" ref="BE18:BH18" si="1">BE16-BE17</f>
        <v>7267</v>
      </c>
      <c r="BF18" s="12">
        <f t="shared" si="1"/>
        <v>7033</v>
      </c>
      <c r="BG18" s="12">
        <f t="shared" si="1"/>
        <v>8651</v>
      </c>
      <c r="BH18" s="12">
        <f t="shared" si="1"/>
        <v>7271</v>
      </c>
      <c r="BI18" s="12">
        <v>-2847</v>
      </c>
    </row>
    <row r="19" spans="2:61" s="7" customFormat="1" x14ac:dyDescent="0.35">
      <c r="B19" s="7" t="s">
        <v>25</v>
      </c>
      <c r="K19" s="25">
        <f t="shared" ref="K19:AN19" si="2">K18/K16</f>
        <v>3.459637561779242E-2</v>
      </c>
      <c r="L19" s="16">
        <f t="shared" si="2"/>
        <v>3.9719361774357816E-2</v>
      </c>
      <c r="M19" s="16">
        <f t="shared" si="2"/>
        <v>1.3510649570838191E-2</v>
      </c>
      <c r="N19" s="16">
        <f t="shared" si="2"/>
        <v>3.1096375900308677E-2</v>
      </c>
      <c r="O19" s="25">
        <f t="shared" si="2"/>
        <v>2.8391768292682928E-2</v>
      </c>
      <c r="P19" s="16">
        <f t="shared" si="2"/>
        <v>1.9490388913723736E-2</v>
      </c>
      <c r="Q19" s="16">
        <f t="shared" si="2"/>
        <v>4.4014776389216378E-3</v>
      </c>
      <c r="R19" s="16">
        <f t="shared" si="2"/>
        <v>4.5386306364270011E-2</v>
      </c>
      <c r="S19" s="25">
        <f t="shared" si="2"/>
        <v>3.7396257119609436E-2</v>
      </c>
      <c r="T19" s="16">
        <f t="shared" si="2"/>
        <v>5.7042494326836397E-2</v>
      </c>
      <c r="U19" s="16">
        <f t="shared" si="2"/>
        <v>5.9159194130662632E-2</v>
      </c>
      <c r="V19" s="16">
        <f t="shared" si="2"/>
        <v>5.1015320460520354E-2</v>
      </c>
      <c r="W19" s="25">
        <f t="shared" si="2"/>
        <v>6.3861275550094937E-2</v>
      </c>
      <c r="X19" s="16">
        <f t="shared" si="2"/>
        <v>4.0462577290249137E-2</v>
      </c>
      <c r="Y19" s="16">
        <f t="shared" si="2"/>
        <v>3.0067076316900417E-2</v>
      </c>
      <c r="Z19" s="16">
        <f t="shared" si="2"/>
        <v>3.5401527855412708E-2</v>
      </c>
      <c r="AA19" s="25">
        <f t="shared" si="2"/>
        <v>2.8443211134476554E-2</v>
      </c>
      <c r="AB19" s="16">
        <f t="shared" si="2"/>
        <v>3.8621112634389207E-2</v>
      </c>
      <c r="AC19" s="16">
        <f t="shared" si="2"/>
        <v>3.7929698684587274E-2</v>
      </c>
      <c r="AD19" s="16">
        <f t="shared" si="2"/>
        <v>3.9099620417805854E-2</v>
      </c>
      <c r="AE19" s="25">
        <f t="shared" si="2"/>
        <v>5.3599726563713763E-2</v>
      </c>
      <c r="AF19" s="16">
        <f t="shared" si="2"/>
        <v>4.6587712805329383E-2</v>
      </c>
      <c r="AG19" s="16">
        <f t="shared" si="2"/>
        <v>1.3423433043000747E-2</v>
      </c>
      <c r="AH19" s="16">
        <f t="shared" si="2"/>
        <v>1.4254492472073822E-2</v>
      </c>
      <c r="AI19" s="25">
        <f t="shared" si="2"/>
        <v>-2.2644561261625555E-2</v>
      </c>
      <c r="AJ19" s="16">
        <f t="shared" si="2"/>
        <v>-8.4240225715437322E-3</v>
      </c>
      <c r="AK19" s="16">
        <f t="shared" si="2"/>
        <v>-5.2255748766536023E-3</v>
      </c>
      <c r="AL19" s="16">
        <f t="shared" si="2"/>
        <v>-2.5706114842068057E-3</v>
      </c>
      <c r="AM19" s="25">
        <f t="shared" si="2"/>
        <v>1.1680389172877564E-2</v>
      </c>
      <c r="AN19" s="16">
        <f t="shared" si="2"/>
        <v>3.8899522690378698E-2</v>
      </c>
      <c r="AO19" s="71"/>
      <c r="AP19" s="71"/>
      <c r="AQ19" s="71"/>
      <c r="AR19" s="71"/>
      <c r="AS19" s="71"/>
      <c r="AT19" s="71"/>
      <c r="AU19" s="16" t="e">
        <f t="shared" ref="AU19:AX19" si="3">AU18/AU16</f>
        <v>#DIV/0!</v>
      </c>
      <c r="AV19" s="16" t="e">
        <f t="shared" si="3"/>
        <v>#DIV/0!</v>
      </c>
      <c r="AW19" s="16" t="e">
        <f t="shared" si="3"/>
        <v>#DIV/0!</v>
      </c>
      <c r="AX19" s="16" t="e">
        <f t="shared" si="3"/>
        <v>#DIV/0!</v>
      </c>
      <c r="AY19" s="16" t="e">
        <f t="shared" ref="AY19" si="4">AY18/AY16</f>
        <v>#DIV/0!</v>
      </c>
      <c r="AZ19" s="16" t="e">
        <f t="shared" ref="AZ19" si="5">AZ18/AZ16</f>
        <v>#DIV/0!</v>
      </c>
      <c r="BA19" s="16">
        <f t="shared" ref="BA19:BI19" si="6">BA18/BA16</f>
        <v>7.0818743360742814E-3</v>
      </c>
      <c r="BB19" s="16">
        <f t="shared" si="6"/>
        <v>2.2367677528724806E-2</v>
      </c>
      <c r="BC19" s="16">
        <f t="shared" si="6"/>
        <v>2.9592028576800149E-2</v>
      </c>
      <c r="BD19" s="16">
        <f t="shared" si="6"/>
        <v>2.6736405616812741E-2</v>
      </c>
      <c r="BE19" s="16">
        <f t="shared" si="6"/>
        <v>5.1405571353790869E-2</v>
      </c>
      <c r="BF19" s="16">
        <f t="shared" si="6"/>
        <v>4.1183325232911523E-2</v>
      </c>
      <c r="BG19" s="16">
        <f t="shared" si="6"/>
        <v>3.6613030192735797E-2</v>
      </c>
      <c r="BH19" s="16">
        <f t="shared" si="6"/>
        <v>2.5983354357777676E-2</v>
      </c>
      <c r="BI19" s="16">
        <f t="shared" si="6"/>
        <v>-9.0129162973280989E-3</v>
      </c>
    </row>
    <row r="20" spans="2:61" s="38" customFormat="1" x14ac:dyDescent="0.35">
      <c r="B20" s="61" t="s">
        <v>26</v>
      </c>
      <c r="C20" s="73"/>
      <c r="D20" s="73"/>
      <c r="E20" s="73"/>
      <c r="F20" s="73"/>
      <c r="G20" s="73"/>
      <c r="H20" s="73"/>
      <c r="I20" s="73"/>
      <c r="J20" s="73"/>
      <c r="K20" s="39"/>
      <c r="O20" s="39"/>
      <c r="S20" s="39"/>
      <c r="W20" s="39"/>
      <c r="X20" s="38">
        <f>SUM(W23:Z23)</f>
        <v>-1693</v>
      </c>
      <c r="AA20" s="39"/>
      <c r="AE20" s="39"/>
      <c r="AI20" s="39"/>
      <c r="AM20" s="39"/>
      <c r="AN20" s="73"/>
      <c r="AO20" s="73"/>
      <c r="AP20" s="73"/>
      <c r="AQ20" s="73"/>
      <c r="AR20" s="73"/>
      <c r="AS20" s="73"/>
      <c r="AT20" s="73"/>
      <c r="AU20" s="73"/>
      <c r="AV20" s="73"/>
      <c r="AW20" s="73"/>
      <c r="AX20" s="73"/>
    </row>
    <row r="21" spans="2:61" s="7" customFormat="1" x14ac:dyDescent="0.35">
      <c r="B21" s="7" t="s">
        <v>22</v>
      </c>
      <c r="K21" s="23">
        <v>9566</v>
      </c>
      <c r="L21" s="7">
        <v>9844</v>
      </c>
      <c r="M21" s="7">
        <v>10609</v>
      </c>
      <c r="N21" s="7">
        <f>43983-K21-L21-M21</f>
        <v>13964</v>
      </c>
      <c r="O21" s="23">
        <v>11061</v>
      </c>
      <c r="P21" s="7">
        <v>11485</v>
      </c>
      <c r="Q21" s="7">
        <v>13714</v>
      </c>
      <c r="R21" s="7">
        <f>54297-O21-P21-Q21</f>
        <v>18037</v>
      </c>
      <c r="S21" s="23">
        <v>14875</v>
      </c>
      <c r="T21" s="7">
        <v>14612</v>
      </c>
      <c r="U21" s="7">
        <v>15549</v>
      </c>
      <c r="V21" s="7">
        <f>65866-S21-T21-U21</f>
        <v>20830</v>
      </c>
      <c r="W21" s="23">
        <v>16192</v>
      </c>
      <c r="X21" s="7">
        <v>16370</v>
      </c>
      <c r="Y21" s="7">
        <v>18348</v>
      </c>
      <c r="Z21" s="7">
        <f>74723-W21-X21-Y21</f>
        <v>23813</v>
      </c>
      <c r="AA21" s="23">
        <v>19106</v>
      </c>
      <c r="AB21" s="7">
        <v>22668</v>
      </c>
      <c r="AC21" s="7">
        <v>25171</v>
      </c>
      <c r="AD21" s="7">
        <f>104412-AA21-AB21-AC21</f>
        <v>37467</v>
      </c>
      <c r="AE21" s="23">
        <v>30649</v>
      </c>
      <c r="AF21" s="7">
        <v>30721</v>
      </c>
      <c r="AG21" s="7">
        <v>29145</v>
      </c>
      <c r="AH21" s="7">
        <f>127787-AE21-AF21-AG21</f>
        <v>37272</v>
      </c>
      <c r="AI21" s="23">
        <v>28759</v>
      </c>
      <c r="AJ21" s="7">
        <v>27065</v>
      </c>
      <c r="AK21" s="7">
        <v>27720</v>
      </c>
      <c r="AL21" s="7">
        <f>BI21-AK21-AJ21-AI21</f>
        <v>34463</v>
      </c>
      <c r="AM21" s="23">
        <v>29123</v>
      </c>
      <c r="AN21" s="71">
        <v>29697</v>
      </c>
      <c r="AO21" s="71"/>
      <c r="AP21" s="71"/>
      <c r="AQ21" s="71"/>
      <c r="AR21" s="71"/>
      <c r="AS21" s="71"/>
      <c r="AT21" s="71"/>
      <c r="AU21" s="71"/>
      <c r="AV21" s="71"/>
      <c r="AW21" s="71"/>
      <c r="AX21" s="71"/>
      <c r="BA21" s="7">
        <v>33510</v>
      </c>
      <c r="BB21" s="7">
        <v>35418</v>
      </c>
      <c r="BC21" s="7">
        <v>43983</v>
      </c>
      <c r="BD21" s="7">
        <v>54297</v>
      </c>
      <c r="BE21" s="7">
        <v>65866</v>
      </c>
      <c r="BF21" s="7">
        <v>74723</v>
      </c>
      <c r="BG21" s="7">
        <v>104412</v>
      </c>
      <c r="BH21" s="7">
        <v>127787</v>
      </c>
      <c r="BI21" s="7">
        <v>118007</v>
      </c>
    </row>
    <row r="22" spans="2:61" s="13" customFormat="1" x14ac:dyDescent="0.35">
      <c r="B22" s="13" t="s">
        <v>23</v>
      </c>
      <c r="K22" s="24">
        <v>9687</v>
      </c>
      <c r="L22" s="13">
        <v>9979</v>
      </c>
      <c r="M22" s="13">
        <v>11150</v>
      </c>
      <c r="N22" s="13">
        <f>N21-N23</f>
        <v>14450</v>
      </c>
      <c r="O22" s="24">
        <v>11542</v>
      </c>
      <c r="P22" s="13">
        <v>12209</v>
      </c>
      <c r="Q22" s="13">
        <v>14650</v>
      </c>
      <c r="R22" s="13">
        <f>R21-R23</f>
        <v>18958</v>
      </c>
      <c r="S22" s="24">
        <v>15497</v>
      </c>
      <c r="T22" s="13">
        <v>15106</v>
      </c>
      <c r="U22" s="13">
        <v>15934</v>
      </c>
      <c r="V22" s="13">
        <f>65866-U22-T22-S22</f>
        <v>19329</v>
      </c>
      <c r="W22" s="24">
        <v>16282</v>
      </c>
      <c r="X22" s="13">
        <v>16971</v>
      </c>
      <c r="Y22" s="13">
        <v>18734</v>
      </c>
      <c r="Z22" s="13">
        <f>Z21-Z23</f>
        <v>24429</v>
      </c>
      <c r="AA22" s="24">
        <v>19504</v>
      </c>
      <c r="AB22" s="13">
        <v>22323</v>
      </c>
      <c r="AC22" s="13">
        <v>24764</v>
      </c>
      <c r="AD22" s="13">
        <f>AD21-AD23</f>
        <v>37104</v>
      </c>
      <c r="AE22" s="24">
        <v>29397</v>
      </c>
      <c r="AF22" s="13">
        <v>30359</v>
      </c>
      <c r="AG22" s="13">
        <v>30056</v>
      </c>
      <c r="AH22" s="13">
        <f>AH21-AH23</f>
        <v>38899</v>
      </c>
      <c r="AI22" s="24">
        <v>30040</v>
      </c>
      <c r="AJ22" s="13">
        <v>28836</v>
      </c>
      <c r="AK22" s="13">
        <v>30186</v>
      </c>
      <c r="AL22" s="13">
        <f>BI22-AK22-AJ22-AI22</f>
        <v>36691</v>
      </c>
      <c r="AM22" s="24">
        <v>30370</v>
      </c>
      <c r="AN22" s="13">
        <v>30592</v>
      </c>
      <c r="AU22" s="13">
        <f>AU21-AU23</f>
        <v>0</v>
      </c>
      <c r="AV22" s="13">
        <f>AV21-AV23</f>
        <v>0</v>
      </c>
      <c r="AW22" s="13">
        <f>AW21-AW23</f>
        <v>0</v>
      </c>
      <c r="AX22" s="13">
        <f>AX21-AX23</f>
        <v>0</v>
      </c>
      <c r="AY22" s="13">
        <f>AY21-AY23</f>
        <v>0</v>
      </c>
      <c r="AZ22" s="13">
        <f>AZ21-AZ23</f>
        <v>0</v>
      </c>
      <c r="BA22" s="13">
        <f>BA21-BA23</f>
        <v>34150</v>
      </c>
      <c r="BB22" s="13">
        <f>BB21-BB23</f>
        <v>36117</v>
      </c>
      <c r="BC22" s="13">
        <f>BC21-BC23</f>
        <v>45266</v>
      </c>
      <c r="BD22" s="13">
        <f>BD21-BD23</f>
        <v>57359</v>
      </c>
      <c r="BE22" s="13">
        <v>68008</v>
      </c>
      <c r="BF22" s="13">
        <v>76416</v>
      </c>
      <c r="BG22" s="13">
        <v>103695</v>
      </c>
      <c r="BH22" s="13">
        <v>128711</v>
      </c>
      <c r="BI22" s="13">
        <v>125753</v>
      </c>
    </row>
    <row r="23" spans="2:61" s="12" customFormat="1" x14ac:dyDescent="0.35">
      <c r="B23" s="12" t="s">
        <v>24</v>
      </c>
      <c r="K23" s="26">
        <f>K21-K22</f>
        <v>-121</v>
      </c>
      <c r="L23" s="12">
        <f>L21-L22</f>
        <v>-135</v>
      </c>
      <c r="M23" s="12">
        <f>M21-M22</f>
        <v>-541</v>
      </c>
      <c r="N23" s="12">
        <f>-1283-M23-L23-K23</f>
        <v>-486</v>
      </c>
      <c r="O23" s="26">
        <f>O21-O22</f>
        <v>-481</v>
      </c>
      <c r="P23" s="12">
        <f>P21-P22</f>
        <v>-724</v>
      </c>
      <c r="Q23" s="12">
        <f>Q21-Q22</f>
        <v>-936</v>
      </c>
      <c r="R23" s="12">
        <f>-3062-Q23-P23-O23</f>
        <v>-921</v>
      </c>
      <c r="S23" s="26">
        <f>S21-S22</f>
        <v>-622</v>
      </c>
      <c r="T23" s="12">
        <f>T21-T22</f>
        <v>-494</v>
      </c>
      <c r="U23" s="12">
        <f>U21-U22</f>
        <v>-385</v>
      </c>
      <c r="V23" s="12">
        <f>-2142-U23-T23-S23</f>
        <v>-641</v>
      </c>
      <c r="W23" s="26">
        <f>W21-W22</f>
        <v>-90</v>
      </c>
      <c r="X23" s="12">
        <f>X21-X22</f>
        <v>-601</v>
      </c>
      <c r="Y23" s="12">
        <f>Y21-Y22</f>
        <v>-386</v>
      </c>
      <c r="Z23" s="12">
        <f>-1693-Y23-X23-W23</f>
        <v>-616</v>
      </c>
      <c r="AA23" s="26">
        <f>AA21-AA22</f>
        <v>-398</v>
      </c>
      <c r="AB23" s="12">
        <f>AB21-AB22</f>
        <v>345</v>
      </c>
      <c r="AC23" s="12">
        <f>AC21-AC22</f>
        <v>407</v>
      </c>
      <c r="AD23" s="12">
        <f>717-AC23-AB23-AA23</f>
        <v>363</v>
      </c>
      <c r="AE23" s="26">
        <f>AE21-AE22</f>
        <v>1252</v>
      </c>
      <c r="AF23" s="12">
        <f>AF21-AF22</f>
        <v>362</v>
      </c>
      <c r="AG23" s="12">
        <f>AG21-AG22</f>
        <v>-911</v>
      </c>
      <c r="AH23" s="12">
        <f>-924-AG23-AF23-AE23</f>
        <v>-1627</v>
      </c>
      <c r="AI23" s="26">
        <f>AI21-AI22</f>
        <v>-1281</v>
      </c>
      <c r="AJ23" s="12">
        <f>AJ21-AJ22</f>
        <v>-1771</v>
      </c>
      <c r="AK23" s="12">
        <f>AK21-AK22</f>
        <v>-2466</v>
      </c>
      <c r="AL23" s="12">
        <f>AL21-AL22</f>
        <v>-2228</v>
      </c>
      <c r="AM23" s="26">
        <f>AM21-AM22</f>
        <v>-1247</v>
      </c>
      <c r="AN23" s="12">
        <f>AN21-AN22</f>
        <v>-895</v>
      </c>
      <c r="AO23" s="72"/>
      <c r="AP23" s="72"/>
      <c r="AQ23" s="72"/>
      <c r="AR23" s="72"/>
      <c r="AS23" s="72"/>
      <c r="AT23" s="72"/>
      <c r="AU23" s="72"/>
      <c r="AV23" s="72"/>
      <c r="AW23" s="72"/>
      <c r="AX23" s="72"/>
      <c r="BA23" s="12">
        <v>-640</v>
      </c>
      <c r="BB23" s="12">
        <v>-699</v>
      </c>
      <c r="BC23" s="12">
        <v>-1283</v>
      </c>
      <c r="BD23" s="12">
        <v>-3062</v>
      </c>
      <c r="BE23" s="12">
        <f t="shared" ref="BE23:BH23" si="7">BE21-BE22</f>
        <v>-2142</v>
      </c>
      <c r="BF23" s="12">
        <f t="shared" si="7"/>
        <v>-1693</v>
      </c>
      <c r="BG23" s="12">
        <f t="shared" si="7"/>
        <v>717</v>
      </c>
      <c r="BH23" s="12">
        <f t="shared" si="7"/>
        <v>-924</v>
      </c>
      <c r="BI23" s="12">
        <v>-7746</v>
      </c>
    </row>
    <row r="24" spans="2:61" s="7" customFormat="1" x14ac:dyDescent="0.35">
      <c r="B24" s="7" t="s">
        <v>25</v>
      </c>
      <c r="K24" s="25">
        <f t="shared" ref="K24:AN24" si="8">K23/K21</f>
        <v>-1.264896508467489E-2</v>
      </c>
      <c r="L24" s="16">
        <f t="shared" si="8"/>
        <v>-1.3713937423811459E-2</v>
      </c>
      <c r="M24" s="16">
        <f t="shared" si="8"/>
        <v>-5.0994438684136112E-2</v>
      </c>
      <c r="N24" s="16">
        <f t="shared" si="8"/>
        <v>-3.4803781151532515E-2</v>
      </c>
      <c r="O24" s="25">
        <f t="shared" si="8"/>
        <v>-4.3486122412078471E-2</v>
      </c>
      <c r="P24" s="16">
        <f t="shared" si="8"/>
        <v>-6.3038746190683503E-2</v>
      </c>
      <c r="Q24" s="16">
        <f t="shared" si="8"/>
        <v>-6.8251421904623008E-2</v>
      </c>
      <c r="R24" s="16">
        <f t="shared" si="8"/>
        <v>-5.1061706492210458E-2</v>
      </c>
      <c r="S24" s="25">
        <f t="shared" si="8"/>
        <v>-4.1815126050420169E-2</v>
      </c>
      <c r="T24" s="16">
        <f t="shared" si="8"/>
        <v>-3.3807829181494664E-2</v>
      </c>
      <c r="U24" s="16">
        <f t="shared" si="8"/>
        <v>-2.47604347546466E-2</v>
      </c>
      <c r="V24" s="16">
        <f t="shared" si="8"/>
        <v>-3.0772923667786847E-2</v>
      </c>
      <c r="W24" s="25">
        <f t="shared" si="8"/>
        <v>-5.558300395256917E-3</v>
      </c>
      <c r="X24" s="16">
        <f t="shared" si="8"/>
        <v>-3.6713500305436776E-2</v>
      </c>
      <c r="Y24" s="16">
        <f t="shared" si="8"/>
        <v>-2.10377152823196E-2</v>
      </c>
      <c r="Z24" s="16">
        <f t="shared" si="8"/>
        <v>-2.5868223239407045E-2</v>
      </c>
      <c r="AA24" s="25">
        <f t="shared" si="8"/>
        <v>-2.0831152517533758E-2</v>
      </c>
      <c r="AB24" s="16">
        <f t="shared" si="8"/>
        <v>1.5219692959237693E-2</v>
      </c>
      <c r="AC24" s="16">
        <f t="shared" si="8"/>
        <v>1.6169401295141234E-2</v>
      </c>
      <c r="AD24" s="16">
        <f t="shared" si="8"/>
        <v>9.6885259027944589E-3</v>
      </c>
      <c r="AE24" s="25">
        <f t="shared" si="8"/>
        <v>4.084961988971908E-2</v>
      </c>
      <c r="AF24" s="16">
        <f t="shared" si="8"/>
        <v>1.178347059015006E-2</v>
      </c>
      <c r="AG24" s="16">
        <f t="shared" si="8"/>
        <v>-3.1257505575570423E-2</v>
      </c>
      <c r="AH24" s="16">
        <f t="shared" si="8"/>
        <v>-4.3652071259927025E-2</v>
      </c>
      <c r="AI24" s="25">
        <f t="shared" si="8"/>
        <v>-4.4542577975590247E-2</v>
      </c>
      <c r="AJ24" s="16">
        <f t="shared" si="8"/>
        <v>-6.5435063735451687E-2</v>
      </c>
      <c r="AK24" s="16">
        <f t="shared" si="8"/>
        <v>-8.8961038961038963E-2</v>
      </c>
      <c r="AL24" s="16">
        <f t="shared" si="8"/>
        <v>-6.4649043902155937E-2</v>
      </c>
      <c r="AM24" s="25">
        <f t="shared" si="8"/>
        <v>-4.2818390962469526E-2</v>
      </c>
      <c r="AN24" s="16">
        <f t="shared" si="8"/>
        <v>-3.0137724349260868E-2</v>
      </c>
      <c r="AO24" s="71"/>
      <c r="AP24" s="71"/>
      <c r="AQ24" s="71"/>
      <c r="AR24" s="71"/>
      <c r="AS24" s="71"/>
      <c r="AT24" s="71"/>
      <c r="AU24" s="16" t="e">
        <f t="shared" ref="AU24:AX24" si="9">AU23/AU21</f>
        <v>#DIV/0!</v>
      </c>
      <c r="AV24" s="16" t="e">
        <f t="shared" si="9"/>
        <v>#DIV/0!</v>
      </c>
      <c r="AW24" s="16" t="e">
        <f t="shared" si="9"/>
        <v>#DIV/0!</v>
      </c>
      <c r="AX24" s="16" t="e">
        <f t="shared" si="9"/>
        <v>#DIV/0!</v>
      </c>
      <c r="AY24" s="16" t="e">
        <f t="shared" ref="AY24" si="10">AY23/AY21</f>
        <v>#DIV/0!</v>
      </c>
      <c r="AZ24" s="16" t="e">
        <f t="shared" ref="AZ24" si="11">AZ23/AZ21</f>
        <v>#DIV/0!</v>
      </c>
      <c r="BA24" s="16">
        <f t="shared" ref="BA24:BI24" si="12">BA23/BA21</f>
        <v>-1.9098776484631454E-2</v>
      </c>
      <c r="BB24" s="16">
        <f t="shared" si="12"/>
        <v>-1.9735727596137558E-2</v>
      </c>
      <c r="BC24" s="16">
        <f t="shared" si="12"/>
        <v>-2.9170361275947524E-2</v>
      </c>
      <c r="BD24" s="16">
        <f t="shared" si="12"/>
        <v>-5.6393539237895279E-2</v>
      </c>
      <c r="BE24" s="16">
        <f t="shared" si="12"/>
        <v>-3.2520572070567515E-2</v>
      </c>
      <c r="BF24" s="16">
        <f t="shared" si="12"/>
        <v>-2.2657013235549965E-2</v>
      </c>
      <c r="BG24" s="16">
        <f t="shared" si="12"/>
        <v>6.8670267785312031E-3</v>
      </c>
      <c r="BH24" s="16">
        <f t="shared" si="12"/>
        <v>-7.2307824739605746E-3</v>
      </c>
      <c r="BI24" s="16">
        <f t="shared" si="12"/>
        <v>-6.5640173887989692E-2</v>
      </c>
    </row>
    <row r="25" spans="2:61" s="38" customFormat="1" x14ac:dyDescent="0.35">
      <c r="B25" s="38" t="s">
        <v>27</v>
      </c>
      <c r="K25" s="39"/>
      <c r="O25" s="39"/>
      <c r="S25" s="39"/>
      <c r="W25" s="39"/>
      <c r="AA25" s="39"/>
      <c r="AE25" s="39"/>
      <c r="AI25" s="39"/>
      <c r="AM25" s="39"/>
      <c r="AN25" s="73"/>
      <c r="AO25" s="73"/>
      <c r="AP25" s="73"/>
      <c r="AQ25" s="73"/>
      <c r="AR25" s="73"/>
      <c r="AS25" s="73"/>
      <c r="AT25" s="73"/>
      <c r="AU25" s="73"/>
      <c r="AV25" s="73"/>
      <c r="AW25" s="73"/>
      <c r="AX25" s="73"/>
    </row>
    <row r="26" spans="2:61" s="7" customFormat="1" x14ac:dyDescent="0.35">
      <c r="B26" s="7" t="s">
        <v>22</v>
      </c>
      <c r="K26" s="23">
        <v>2566</v>
      </c>
      <c r="L26" s="7">
        <v>2886</v>
      </c>
      <c r="M26" s="7">
        <v>3231</v>
      </c>
      <c r="N26" s="7">
        <f>12219-K26-L26-M26</f>
        <v>3536</v>
      </c>
      <c r="O26" s="23">
        <v>3661</v>
      </c>
      <c r="P26" s="7">
        <v>4100</v>
      </c>
      <c r="Q26" s="7">
        <v>4584</v>
      </c>
      <c r="R26" s="7">
        <f>17459-O26-P26-Q26</f>
        <v>5114</v>
      </c>
      <c r="S26" s="23">
        <v>5442</v>
      </c>
      <c r="T26" s="7">
        <v>6105</v>
      </c>
      <c r="U26" s="7">
        <v>6679</v>
      </c>
      <c r="V26" s="7">
        <f>25655-S26-T26-U26</f>
        <v>7429</v>
      </c>
      <c r="W26" s="23">
        <v>7696</v>
      </c>
      <c r="X26" s="7">
        <v>8381</v>
      </c>
      <c r="Y26" s="7">
        <v>8995</v>
      </c>
      <c r="Z26" s="7">
        <f>35026-W26-X26-Y26</f>
        <v>9954</v>
      </c>
      <c r="AA26" s="23">
        <v>10219</v>
      </c>
      <c r="AB26" s="7">
        <v>10808</v>
      </c>
      <c r="AC26" s="7">
        <v>11601</v>
      </c>
      <c r="AD26" s="7">
        <f>45370-AA26-AB26-AC26</f>
        <v>12742</v>
      </c>
      <c r="AE26" s="23">
        <v>13503</v>
      </c>
      <c r="AF26" s="7">
        <v>14809</v>
      </c>
      <c r="AG26" s="7">
        <v>16110</v>
      </c>
      <c r="AH26" s="7">
        <f>62202-AE26-AF26-AG26</f>
        <v>17780</v>
      </c>
      <c r="AI26" s="23">
        <v>18441</v>
      </c>
      <c r="AJ26" s="7">
        <v>19739</v>
      </c>
      <c r="AK26" s="7">
        <v>20538</v>
      </c>
      <c r="AL26" s="7">
        <f>BI26-AK26-AJ26-AI26</f>
        <v>21378</v>
      </c>
      <c r="AM26" s="23">
        <v>21354</v>
      </c>
      <c r="AN26" s="71">
        <v>22140</v>
      </c>
      <c r="AO26" s="71"/>
      <c r="AP26" s="71"/>
      <c r="AQ26" s="71"/>
      <c r="AR26" s="71"/>
      <c r="AS26" s="71"/>
      <c r="AT26" s="71"/>
      <c r="AU26" s="71"/>
      <c r="AV26" s="71"/>
      <c r="AW26" s="71"/>
      <c r="AX26" s="71"/>
      <c r="BA26" s="7">
        <v>4644</v>
      </c>
      <c r="BB26" s="7">
        <v>7880</v>
      </c>
      <c r="BC26" s="7">
        <v>12219</v>
      </c>
      <c r="BD26" s="7">
        <v>17459</v>
      </c>
      <c r="BE26" s="7">
        <v>25655</v>
      </c>
      <c r="BF26" s="7">
        <v>35026</v>
      </c>
      <c r="BG26" s="7">
        <v>45370</v>
      </c>
      <c r="BH26" s="7">
        <v>62202</v>
      </c>
      <c r="BI26" s="7">
        <v>80096</v>
      </c>
    </row>
    <row r="27" spans="2:61" s="13" customFormat="1" x14ac:dyDescent="0.35">
      <c r="B27" s="13" t="s">
        <v>23</v>
      </c>
      <c r="K27" s="24">
        <v>1962</v>
      </c>
      <c r="L27" s="13">
        <v>2168</v>
      </c>
      <c r="M27" s="13">
        <v>2370</v>
      </c>
      <c r="N27" s="13">
        <f>N26-N28</f>
        <v>2611</v>
      </c>
      <c r="O27" s="24">
        <v>2771</v>
      </c>
      <c r="P27" s="13">
        <v>3184</v>
      </c>
      <c r="Q27" s="13">
        <v>3413</v>
      </c>
      <c r="R27" s="13">
        <f>R26-R28</f>
        <v>3760</v>
      </c>
      <c r="S27" s="24">
        <v>4042</v>
      </c>
      <c r="T27" s="13">
        <v>4463</v>
      </c>
      <c r="U27" s="13">
        <v>4602</v>
      </c>
      <c r="V27" s="13">
        <f>V26-V28</f>
        <v>5252</v>
      </c>
      <c r="W27" s="24">
        <v>5473</v>
      </c>
      <c r="X27" s="13">
        <v>6260</v>
      </c>
      <c r="Y27" s="13">
        <v>6734</v>
      </c>
      <c r="Z27" s="13">
        <f>Z26-Z28</f>
        <v>7358</v>
      </c>
      <c r="AA27" s="24">
        <v>7144</v>
      </c>
      <c r="AB27" s="13">
        <v>7451</v>
      </c>
      <c r="AC27" s="13">
        <v>8066</v>
      </c>
      <c r="AD27" s="13">
        <f>AD26-AD28</f>
        <v>9178</v>
      </c>
      <c r="AE27" s="24">
        <v>9340</v>
      </c>
      <c r="AF27" s="13">
        <v>10616</v>
      </c>
      <c r="AG27" s="13">
        <v>11227</v>
      </c>
      <c r="AH27" s="13">
        <f>AH26-AH28</f>
        <v>12487</v>
      </c>
      <c r="AI27" s="24">
        <v>11923</v>
      </c>
      <c r="AJ27" s="13">
        <v>14024</v>
      </c>
      <c r="AK27" s="13">
        <v>15135</v>
      </c>
      <c r="AL27" s="13">
        <f>BI27-AK27-AJ27-AI27</f>
        <v>16173</v>
      </c>
      <c r="AM27" s="24">
        <v>16231</v>
      </c>
      <c r="AN27" s="13">
        <v>16775</v>
      </c>
      <c r="AU27" s="13">
        <f>AU26-AU28</f>
        <v>0</v>
      </c>
      <c r="AV27" s="13">
        <f>AV26-AV28</f>
        <v>0</v>
      </c>
      <c r="AW27" s="13">
        <f>AW26-AW28</f>
        <v>0</v>
      </c>
      <c r="AX27" s="13">
        <f>AX26-AX28</f>
        <v>0</v>
      </c>
      <c r="AY27" s="13">
        <f t="shared" ref="AY27:AZ27" si="13">AY26-AY28</f>
        <v>0</v>
      </c>
      <c r="AZ27" s="13">
        <f t="shared" si="13"/>
        <v>0</v>
      </c>
      <c r="BA27" s="13">
        <f>BA26-BA28</f>
        <v>4639.42</v>
      </c>
      <c r="BB27" s="13">
        <f>BB26-BB28</f>
        <v>6373</v>
      </c>
      <c r="BC27" s="13">
        <f>BC26-BC28</f>
        <v>9111</v>
      </c>
      <c r="BD27" s="13">
        <f>BD26-BD28</f>
        <v>13128</v>
      </c>
      <c r="BE27" s="13">
        <v>18359</v>
      </c>
      <c r="BF27" s="13">
        <v>25825</v>
      </c>
      <c r="BG27" s="13">
        <v>31839</v>
      </c>
      <c r="BH27" s="13">
        <v>43670</v>
      </c>
      <c r="BI27" s="13">
        <v>57255</v>
      </c>
    </row>
    <row r="28" spans="2:61" s="12" customFormat="1" x14ac:dyDescent="0.35">
      <c r="B28" s="12" t="s">
        <v>24</v>
      </c>
      <c r="K28" s="26">
        <f>K26-K27</f>
        <v>604</v>
      </c>
      <c r="L28" s="12">
        <f>L26-L27</f>
        <v>718</v>
      </c>
      <c r="M28" s="12">
        <f>M26-M27</f>
        <v>861</v>
      </c>
      <c r="N28" s="12">
        <f>3108-M28-L28-K28</f>
        <v>925</v>
      </c>
      <c r="O28" s="26">
        <f>O26-O27</f>
        <v>890</v>
      </c>
      <c r="P28" s="12">
        <f>P26-P27</f>
        <v>916</v>
      </c>
      <c r="Q28" s="12">
        <f>Q26-Q27</f>
        <v>1171</v>
      </c>
      <c r="R28" s="12">
        <f>4331-Q28-P28-O28</f>
        <v>1354</v>
      </c>
      <c r="S28" s="26">
        <f>S26-S27</f>
        <v>1400</v>
      </c>
      <c r="T28" s="12">
        <f>T26-T27</f>
        <v>1642</v>
      </c>
      <c r="U28" s="12">
        <f>U26-U27</f>
        <v>2077</v>
      </c>
      <c r="V28" s="12">
        <f>7296-U28-T28-S28</f>
        <v>2177</v>
      </c>
      <c r="W28" s="26">
        <f>W26-W27</f>
        <v>2223</v>
      </c>
      <c r="X28" s="12">
        <f>X26-X27</f>
        <v>2121</v>
      </c>
      <c r="Y28" s="12">
        <f>Y26-Y27</f>
        <v>2261</v>
      </c>
      <c r="Z28" s="12">
        <f>9201-Y28-X28-W28</f>
        <v>2596</v>
      </c>
      <c r="AA28" s="26">
        <f>AA26-AA27</f>
        <v>3075</v>
      </c>
      <c r="AB28" s="12">
        <f>AB26-AB27</f>
        <v>3357</v>
      </c>
      <c r="AC28" s="12">
        <f>AC26-AC27</f>
        <v>3535</v>
      </c>
      <c r="AD28" s="12">
        <f>13531-AC28-AB28-AA28</f>
        <v>3564</v>
      </c>
      <c r="AE28" s="26">
        <f>AE26-AE27</f>
        <v>4163</v>
      </c>
      <c r="AF28" s="12">
        <f>AF26-AF27</f>
        <v>4193</v>
      </c>
      <c r="AG28" s="12">
        <f>AG26-AG27</f>
        <v>4883</v>
      </c>
      <c r="AH28" s="12">
        <f>18532-AG28-AF28-AE28</f>
        <v>5293</v>
      </c>
      <c r="AI28" s="26">
        <f>AI26-AI27</f>
        <v>6518</v>
      </c>
      <c r="AJ28" s="12">
        <f>AJ26-AJ27</f>
        <v>5715</v>
      </c>
      <c r="AK28" s="12">
        <f>AK26-AK27</f>
        <v>5403</v>
      </c>
      <c r="AL28" s="12">
        <f>AL26-AL27</f>
        <v>5205</v>
      </c>
      <c r="AM28" s="26">
        <f>AM26-AM27</f>
        <v>5123</v>
      </c>
      <c r="AN28" s="12">
        <f>AN26-AN27</f>
        <v>5365</v>
      </c>
      <c r="AO28" s="72"/>
      <c r="AP28" s="72"/>
      <c r="AQ28" s="72"/>
      <c r="AR28" s="72"/>
      <c r="AS28" s="72"/>
      <c r="AT28" s="72"/>
      <c r="AU28" s="109"/>
      <c r="AV28" s="109"/>
      <c r="AW28" s="109"/>
      <c r="AX28" s="109"/>
      <c r="BA28" s="109">
        <v>4.58</v>
      </c>
      <c r="BB28" s="12">
        <v>1507</v>
      </c>
      <c r="BC28" s="12">
        <v>3108</v>
      </c>
      <c r="BD28" s="12">
        <v>4331</v>
      </c>
      <c r="BE28" s="12">
        <f t="shared" ref="BE28:BH28" si="14">BE26-BE27</f>
        <v>7296</v>
      </c>
      <c r="BF28" s="12">
        <f t="shared" si="14"/>
        <v>9201</v>
      </c>
      <c r="BG28" s="12">
        <f t="shared" si="14"/>
        <v>13531</v>
      </c>
      <c r="BH28" s="12">
        <f t="shared" si="14"/>
        <v>18532</v>
      </c>
      <c r="BI28" s="12">
        <v>12248</v>
      </c>
    </row>
    <row r="29" spans="2:61" s="7" customFormat="1" x14ac:dyDescent="0.35">
      <c r="B29" s="7" t="s">
        <v>25</v>
      </c>
      <c r="K29" s="25">
        <f t="shared" ref="K29:AN29" si="15">K28/K26</f>
        <v>0.23538581449727203</v>
      </c>
      <c r="L29" s="16">
        <f t="shared" si="15"/>
        <v>0.24878724878724878</v>
      </c>
      <c r="M29" s="16">
        <f t="shared" si="15"/>
        <v>0.26648096564531104</v>
      </c>
      <c r="N29" s="16">
        <f t="shared" si="15"/>
        <v>0.2615950226244344</v>
      </c>
      <c r="O29" s="25">
        <f t="shared" si="15"/>
        <v>0.24310297732859876</v>
      </c>
      <c r="P29" s="16">
        <f t="shared" si="15"/>
        <v>0.22341463414634147</v>
      </c>
      <c r="Q29" s="16">
        <f t="shared" si="15"/>
        <v>0.25545375218150085</v>
      </c>
      <c r="R29" s="16">
        <f t="shared" si="15"/>
        <v>0.26476339460305043</v>
      </c>
      <c r="S29" s="25">
        <f t="shared" si="15"/>
        <v>0.25725836089672915</v>
      </c>
      <c r="T29" s="16">
        <f t="shared" si="15"/>
        <v>0.26895986895986895</v>
      </c>
      <c r="U29" s="16">
        <f t="shared" si="15"/>
        <v>0.31097469681089984</v>
      </c>
      <c r="V29" s="16">
        <f t="shared" si="15"/>
        <v>0.29304078610849377</v>
      </c>
      <c r="W29" s="25">
        <f t="shared" si="15"/>
        <v>0.28885135135135137</v>
      </c>
      <c r="X29" s="16">
        <f t="shared" si="15"/>
        <v>0.25307242572485383</v>
      </c>
      <c r="Y29" s="16">
        <f t="shared" si="15"/>
        <v>0.25136186770428015</v>
      </c>
      <c r="Z29" s="16">
        <f t="shared" si="15"/>
        <v>0.26079967852119751</v>
      </c>
      <c r="AA29" s="25">
        <f t="shared" si="15"/>
        <v>0.30091006947842253</v>
      </c>
      <c r="AB29" s="16">
        <f t="shared" si="15"/>
        <v>0.31060325684678014</v>
      </c>
      <c r="AC29" s="16">
        <f t="shared" si="15"/>
        <v>0.30471511076631325</v>
      </c>
      <c r="AD29" s="16">
        <f t="shared" si="15"/>
        <v>0.27970491288651705</v>
      </c>
      <c r="AE29" s="25">
        <f t="shared" si="15"/>
        <v>0.30830185884618233</v>
      </c>
      <c r="AF29" s="16">
        <f t="shared" si="15"/>
        <v>0.28313863191302585</v>
      </c>
      <c r="AG29" s="16">
        <f t="shared" si="15"/>
        <v>0.3031036623215394</v>
      </c>
      <c r="AH29" s="16">
        <f t="shared" si="15"/>
        <v>0.29769403824521934</v>
      </c>
      <c r="AI29" s="25">
        <f t="shared" si="15"/>
        <v>0.35345154818068436</v>
      </c>
      <c r="AJ29" s="16">
        <f t="shared" si="15"/>
        <v>0.28952834490095747</v>
      </c>
      <c r="AK29" s="16">
        <f t="shared" si="15"/>
        <v>0.26307332749050538</v>
      </c>
      <c r="AL29" s="16">
        <f t="shared" si="15"/>
        <v>0.24347460005613247</v>
      </c>
      <c r="AM29" s="25">
        <f t="shared" si="15"/>
        <v>0.23990821391776718</v>
      </c>
      <c r="AN29" s="16">
        <f t="shared" si="15"/>
        <v>0.2423215898825655</v>
      </c>
      <c r="AO29" s="71"/>
      <c r="AP29" s="71"/>
      <c r="AQ29" s="71"/>
      <c r="AR29" s="71"/>
      <c r="AS29" s="71"/>
      <c r="AT29" s="71"/>
      <c r="AU29" s="16" t="e">
        <f t="shared" ref="AU29:AX29" si="16">AU28/AU26</f>
        <v>#DIV/0!</v>
      </c>
      <c r="AV29" s="16" t="e">
        <f t="shared" si="16"/>
        <v>#DIV/0!</v>
      </c>
      <c r="AW29" s="16" t="e">
        <f t="shared" si="16"/>
        <v>#DIV/0!</v>
      </c>
      <c r="AX29" s="16" t="e">
        <f t="shared" si="16"/>
        <v>#DIV/0!</v>
      </c>
      <c r="AY29" s="16" t="e">
        <f t="shared" ref="AY29" si="17">AY28/AY26</f>
        <v>#DIV/0!</v>
      </c>
      <c r="AZ29" s="16" t="e">
        <f t="shared" ref="AZ29" si="18">AZ28/AZ26</f>
        <v>#DIV/0!</v>
      </c>
      <c r="BA29" s="16">
        <f t="shared" ref="BA29:BI29" si="19">BA28/BA26</f>
        <v>9.8621877691645139E-4</v>
      </c>
      <c r="BB29" s="16">
        <f t="shared" si="19"/>
        <v>0.19124365482233502</v>
      </c>
      <c r="BC29" s="16">
        <f t="shared" si="19"/>
        <v>0.25435796710041736</v>
      </c>
      <c r="BD29" s="16">
        <f t="shared" si="19"/>
        <v>0.24806689959333295</v>
      </c>
      <c r="BE29" s="16">
        <f t="shared" si="19"/>
        <v>0.28438900799064509</v>
      </c>
      <c r="BF29" s="16">
        <f t="shared" si="19"/>
        <v>0.26269057271740992</v>
      </c>
      <c r="BG29" s="16">
        <f t="shared" si="19"/>
        <v>0.29823672029975756</v>
      </c>
      <c r="BH29" s="16">
        <f t="shared" si="19"/>
        <v>0.29793254236198191</v>
      </c>
      <c r="BI29" s="16">
        <f t="shared" si="19"/>
        <v>0.15291650019976027</v>
      </c>
    </row>
    <row r="30" spans="2:61" s="34" customFormat="1" x14ac:dyDescent="0.35">
      <c r="B30" s="40" t="s">
        <v>29</v>
      </c>
      <c r="C30" s="88"/>
      <c r="D30" s="88"/>
      <c r="E30" s="88"/>
      <c r="F30" s="88"/>
      <c r="G30" s="88"/>
      <c r="H30" s="88"/>
      <c r="I30" s="88"/>
      <c r="J30" s="88"/>
      <c r="K30" s="42"/>
      <c r="L30" s="41"/>
      <c r="M30" s="41"/>
      <c r="N30" s="41"/>
      <c r="O30" s="42"/>
      <c r="P30" s="41"/>
      <c r="Q30" s="41"/>
      <c r="R30" s="41"/>
      <c r="S30" s="42"/>
      <c r="T30" s="41"/>
      <c r="U30" s="41"/>
      <c r="V30" s="41"/>
      <c r="W30" s="42"/>
      <c r="X30" s="41"/>
      <c r="Y30" s="41"/>
      <c r="Z30" s="41"/>
      <c r="AA30" s="42"/>
      <c r="AB30" s="41"/>
      <c r="AC30" s="41"/>
      <c r="AD30" s="41"/>
      <c r="AE30" s="42"/>
      <c r="AF30" s="41"/>
      <c r="AG30" s="41"/>
      <c r="AH30" s="41"/>
      <c r="AI30" s="42"/>
      <c r="AJ30" s="41"/>
      <c r="AK30" s="41"/>
      <c r="AL30" s="41"/>
      <c r="AM30" s="42"/>
      <c r="AN30" s="70"/>
      <c r="AO30" s="70"/>
      <c r="AP30" s="70"/>
      <c r="AQ30" s="70"/>
      <c r="AR30" s="70"/>
      <c r="AS30" s="70"/>
      <c r="AT30" s="70"/>
      <c r="AU30" s="70"/>
      <c r="AV30" s="70"/>
      <c r="AW30" s="70"/>
      <c r="AX30" s="70"/>
      <c r="AY30" s="41"/>
      <c r="AZ30" s="41"/>
      <c r="BA30" s="41"/>
      <c r="BB30" s="41"/>
      <c r="BC30" s="41"/>
      <c r="BD30" s="41"/>
      <c r="BE30" s="41"/>
      <c r="BF30" s="41"/>
      <c r="BG30" s="41"/>
      <c r="BH30" s="41"/>
    </row>
    <row r="31" spans="2:61" x14ac:dyDescent="0.35">
      <c r="B31" s="5" t="s">
        <v>30</v>
      </c>
      <c r="K31" s="23">
        <v>19916</v>
      </c>
      <c r="L31" s="7">
        <v>20378</v>
      </c>
      <c r="M31" s="7">
        <v>21590</v>
      </c>
      <c r="N31" s="7"/>
      <c r="O31" s="23">
        <v>22826</v>
      </c>
      <c r="P31" s="7">
        <v>23754</v>
      </c>
      <c r="Q31" s="7">
        <v>26392</v>
      </c>
      <c r="R31" s="7"/>
      <c r="S31" s="23">
        <v>26939</v>
      </c>
      <c r="T31" s="7">
        <v>27165</v>
      </c>
      <c r="U31" s="7">
        <v>29061</v>
      </c>
      <c r="V31" s="7"/>
      <c r="W31" s="23">
        <v>29498</v>
      </c>
      <c r="X31" s="7">
        <v>31053</v>
      </c>
      <c r="Y31" s="7">
        <v>35039</v>
      </c>
      <c r="Z31" s="7"/>
      <c r="AA31" s="23">
        <v>36652</v>
      </c>
      <c r="AB31" s="7">
        <v>45896</v>
      </c>
      <c r="AC31" s="7">
        <v>48350</v>
      </c>
      <c r="AD31" s="7"/>
      <c r="AE31" s="23">
        <v>52901</v>
      </c>
      <c r="AF31" s="7">
        <v>53157</v>
      </c>
      <c r="AG31" s="7">
        <v>49942</v>
      </c>
      <c r="AH31" s="7"/>
      <c r="AI31" s="23">
        <v>51129</v>
      </c>
      <c r="AJ31" s="7">
        <v>50855</v>
      </c>
      <c r="AK31" s="7">
        <v>53489</v>
      </c>
      <c r="AL31" s="7">
        <f>BI31-AK31-AJ31-AI31</f>
        <v>64531</v>
      </c>
      <c r="AM31" s="23">
        <v>51096</v>
      </c>
      <c r="AN31" s="71">
        <v>52966</v>
      </c>
      <c r="AO31" s="71"/>
      <c r="AP31" s="71"/>
      <c r="AQ31" s="71"/>
      <c r="AR31" s="71"/>
      <c r="AS31" s="71"/>
      <c r="AT31" s="71"/>
      <c r="AU31" s="71"/>
      <c r="AV31" s="71"/>
      <c r="AW31" s="71"/>
      <c r="AX31" s="71"/>
      <c r="AY31" s="7"/>
      <c r="AZ31" s="7"/>
      <c r="BA31" s="7" t="s">
        <v>32</v>
      </c>
      <c r="BB31" s="7">
        <v>76863</v>
      </c>
      <c r="BC31" s="7">
        <v>91431</v>
      </c>
      <c r="BD31" s="7">
        <v>108354</v>
      </c>
      <c r="BE31" s="7">
        <v>122987</v>
      </c>
      <c r="BF31" s="7">
        <v>141247</v>
      </c>
      <c r="BG31" s="7">
        <v>197346</v>
      </c>
      <c r="BH31" s="7">
        <v>222075</v>
      </c>
      <c r="BI31">
        <v>220004</v>
      </c>
    </row>
    <row r="32" spans="2:61" x14ac:dyDescent="0.35">
      <c r="B32" s="5" t="s">
        <v>31</v>
      </c>
      <c r="K32" s="23">
        <v>0</v>
      </c>
      <c r="L32" s="7">
        <v>0</v>
      </c>
      <c r="M32" s="7">
        <v>0</v>
      </c>
      <c r="N32" s="7"/>
      <c r="O32" s="23">
        <v>0</v>
      </c>
      <c r="P32" s="7">
        <v>0</v>
      </c>
      <c r="Q32" s="7">
        <v>1276</v>
      </c>
      <c r="R32" s="7"/>
      <c r="S32" s="23">
        <v>4263</v>
      </c>
      <c r="T32" s="7">
        <v>4312</v>
      </c>
      <c r="U32" s="7">
        <v>4248</v>
      </c>
      <c r="V32" s="7"/>
      <c r="W32" s="23">
        <v>4307</v>
      </c>
      <c r="X32" s="7">
        <v>4330</v>
      </c>
      <c r="Y32" s="7">
        <v>4192</v>
      </c>
      <c r="Z32" s="7"/>
      <c r="AA32" s="23">
        <v>4640</v>
      </c>
      <c r="AB32" s="7">
        <v>3774</v>
      </c>
      <c r="AC32" s="7">
        <v>3788</v>
      </c>
      <c r="AD32" s="7"/>
      <c r="AE32" s="23">
        <v>3920</v>
      </c>
      <c r="AF32" s="7">
        <v>4198</v>
      </c>
      <c r="AG32" s="7">
        <v>4269</v>
      </c>
      <c r="AH32" s="7"/>
      <c r="AI32" s="23">
        <v>4591</v>
      </c>
      <c r="AJ32" s="7">
        <v>4721</v>
      </c>
      <c r="AK32" s="7">
        <v>4694</v>
      </c>
      <c r="AL32" s="7">
        <f>BI32-AK32-AJ32-AI32</f>
        <v>4957</v>
      </c>
      <c r="AM32" s="23">
        <v>4895</v>
      </c>
      <c r="AN32" s="71">
        <v>5024</v>
      </c>
      <c r="AO32" s="71"/>
      <c r="AP32" s="71"/>
      <c r="AQ32" s="71"/>
      <c r="AR32" s="71"/>
      <c r="AS32" s="71"/>
      <c r="AT32" s="71"/>
      <c r="AU32" s="71"/>
      <c r="AV32" s="71"/>
      <c r="AW32" s="71"/>
      <c r="AX32" s="71"/>
      <c r="AY32" s="7"/>
      <c r="AZ32" s="7"/>
      <c r="BA32" s="7" t="s">
        <v>32</v>
      </c>
      <c r="BB32" s="7" t="s">
        <v>32</v>
      </c>
      <c r="BC32" s="7" t="s">
        <v>32</v>
      </c>
      <c r="BD32" s="7">
        <v>5798</v>
      </c>
      <c r="BE32" s="7">
        <v>17224</v>
      </c>
      <c r="BF32" s="7">
        <v>17192</v>
      </c>
      <c r="BG32" s="7">
        <v>16227</v>
      </c>
      <c r="BH32" s="7">
        <v>17075</v>
      </c>
      <c r="BI32">
        <v>18963</v>
      </c>
    </row>
    <row r="33" spans="2:61" x14ac:dyDescent="0.35">
      <c r="B33" s="5" t="s">
        <v>33</v>
      </c>
      <c r="K33" s="23">
        <v>4801</v>
      </c>
      <c r="L33" s="7">
        <v>5083</v>
      </c>
      <c r="M33" s="7">
        <v>5652</v>
      </c>
      <c r="N33" s="7"/>
      <c r="O33" s="23">
        <v>6438</v>
      </c>
      <c r="P33" s="7">
        <v>6991</v>
      </c>
      <c r="Q33" s="7">
        <v>7928</v>
      </c>
      <c r="R33" s="7"/>
      <c r="S33" s="23">
        <v>9265</v>
      </c>
      <c r="T33" s="7">
        <v>9702</v>
      </c>
      <c r="U33" s="7">
        <v>10395</v>
      </c>
      <c r="V33" s="7"/>
      <c r="W33" s="23">
        <v>11141</v>
      </c>
      <c r="X33" s="7">
        <v>11962</v>
      </c>
      <c r="Y33" s="7">
        <v>13212</v>
      </c>
      <c r="Z33" s="7"/>
      <c r="AA33" s="23">
        <v>14479</v>
      </c>
      <c r="AB33" s="7">
        <v>18195</v>
      </c>
      <c r="AC33" s="7">
        <v>20436</v>
      </c>
      <c r="AD33" s="7"/>
      <c r="AE33" s="23">
        <v>23709</v>
      </c>
      <c r="AF33" s="7">
        <v>25085</v>
      </c>
      <c r="AG33" s="7">
        <v>24252</v>
      </c>
      <c r="AH33" s="7"/>
      <c r="AI33" s="23">
        <v>25335</v>
      </c>
      <c r="AJ33" s="7">
        <v>27376</v>
      </c>
      <c r="AK33" s="7">
        <v>28666</v>
      </c>
      <c r="AL33" s="7">
        <f>BI33-AK33-AJ33-AI33</f>
        <v>36339</v>
      </c>
      <c r="AM33" s="23">
        <v>29820</v>
      </c>
      <c r="AN33" s="71">
        <v>32332</v>
      </c>
      <c r="AO33" s="71"/>
      <c r="AP33" s="71"/>
      <c r="AQ33" s="71"/>
      <c r="AR33" s="71"/>
      <c r="AS33" s="71"/>
      <c r="AT33" s="71"/>
      <c r="AU33" s="71"/>
      <c r="AV33" s="71"/>
      <c r="AW33" s="71"/>
      <c r="AX33" s="71"/>
      <c r="AY33" s="7"/>
      <c r="AZ33" s="7"/>
      <c r="BA33" s="7" t="s">
        <v>32</v>
      </c>
      <c r="BB33" s="7">
        <v>16086</v>
      </c>
      <c r="BC33" s="7">
        <v>22993</v>
      </c>
      <c r="BD33" s="7">
        <v>31881</v>
      </c>
      <c r="BE33" s="7">
        <v>42745</v>
      </c>
      <c r="BF33" s="7">
        <v>53762</v>
      </c>
      <c r="BG33" s="7">
        <v>80461</v>
      </c>
      <c r="BH33" s="7">
        <v>103366</v>
      </c>
      <c r="BI33">
        <v>117716</v>
      </c>
    </row>
    <row r="34" spans="2:61" x14ac:dyDescent="0.35">
      <c r="B34" s="5" t="s">
        <v>34</v>
      </c>
      <c r="K34" s="23">
        <v>1300</v>
      </c>
      <c r="L34" s="7">
        <v>1431</v>
      </c>
      <c r="M34" s="7">
        <v>1532</v>
      </c>
      <c r="N34" s="7"/>
      <c r="O34" s="23">
        <v>1939</v>
      </c>
      <c r="P34" s="7">
        <v>2165</v>
      </c>
      <c r="Q34" s="7">
        <v>2441</v>
      </c>
      <c r="R34" s="7"/>
      <c r="S34" s="23">
        <v>3102</v>
      </c>
      <c r="T34" s="7">
        <v>3408</v>
      </c>
      <c r="U34" s="7">
        <v>3698</v>
      </c>
      <c r="V34" s="7"/>
      <c r="W34" s="23">
        <v>4342</v>
      </c>
      <c r="X34" s="7">
        <v>4676</v>
      </c>
      <c r="Y34" s="7">
        <v>4957</v>
      </c>
      <c r="Z34" s="7"/>
      <c r="AA34" s="23">
        <v>5556</v>
      </c>
      <c r="AB34" s="7">
        <v>6018</v>
      </c>
      <c r="AC34" s="7">
        <v>6572</v>
      </c>
      <c r="AD34" s="7"/>
      <c r="AE34" s="23">
        <v>7580</v>
      </c>
      <c r="AF34" s="7">
        <v>7917</v>
      </c>
      <c r="AG34" s="7">
        <v>8148</v>
      </c>
      <c r="AH34" s="7"/>
      <c r="AI34" s="23">
        <v>8410</v>
      </c>
      <c r="AJ34" s="7">
        <v>8716</v>
      </c>
      <c r="AK34" s="7">
        <v>8903</v>
      </c>
      <c r="AL34" s="7">
        <f>BI34-AK34-AJ34-AI34</f>
        <v>9189</v>
      </c>
      <c r="AM34" s="23">
        <v>9657</v>
      </c>
      <c r="AN34" s="71">
        <v>9894</v>
      </c>
      <c r="AO34" s="71"/>
      <c r="AP34" s="71"/>
      <c r="AQ34" s="71"/>
      <c r="AR34" s="71"/>
      <c r="AS34" s="71"/>
      <c r="AT34" s="71"/>
      <c r="AU34" s="71"/>
      <c r="AV34" s="71"/>
      <c r="AW34" s="71"/>
      <c r="AX34" s="71"/>
      <c r="AY34" s="7"/>
      <c r="AZ34" s="7"/>
      <c r="BA34" s="7" t="s">
        <v>32</v>
      </c>
      <c r="BB34" s="7">
        <v>4467</v>
      </c>
      <c r="BC34" s="7">
        <v>6394</v>
      </c>
      <c r="BD34" s="7">
        <v>9721</v>
      </c>
      <c r="BE34" s="7">
        <v>14168</v>
      </c>
      <c r="BF34" s="7">
        <v>19210</v>
      </c>
      <c r="BG34" s="7">
        <v>25207</v>
      </c>
      <c r="BH34" s="7">
        <v>31768</v>
      </c>
      <c r="BI34">
        <v>35218</v>
      </c>
    </row>
    <row r="35" spans="2:61" x14ac:dyDescent="0.35">
      <c r="B35" s="5" t="s">
        <v>35</v>
      </c>
      <c r="K35" s="23">
        <v>0</v>
      </c>
      <c r="L35" s="7">
        <v>0</v>
      </c>
      <c r="M35" s="7">
        <v>0</v>
      </c>
      <c r="N35" s="7"/>
      <c r="O35" s="23">
        <v>0</v>
      </c>
      <c r="P35" s="7">
        <v>0</v>
      </c>
      <c r="Q35" s="7">
        <v>0</v>
      </c>
      <c r="R35" s="7"/>
      <c r="S35" s="23">
        <v>0</v>
      </c>
      <c r="T35" s="7">
        <v>0</v>
      </c>
      <c r="U35" s="7">
        <v>0</v>
      </c>
      <c r="V35" s="7"/>
      <c r="W35" s="23">
        <v>0</v>
      </c>
      <c r="X35" s="7">
        <v>0</v>
      </c>
      <c r="Y35" s="7">
        <v>0</v>
      </c>
      <c r="Z35" s="7"/>
      <c r="AA35" s="23">
        <v>0</v>
      </c>
      <c r="AB35" s="7">
        <v>0</v>
      </c>
      <c r="AC35" s="7">
        <v>0</v>
      </c>
      <c r="AD35" s="7"/>
      <c r="AE35" s="23">
        <v>0</v>
      </c>
      <c r="AF35" s="7">
        <v>0</v>
      </c>
      <c r="AG35" s="7">
        <v>0</v>
      </c>
      <c r="AH35" s="7"/>
      <c r="AI35" s="23">
        <v>7877</v>
      </c>
      <c r="AJ35" s="7">
        <v>8757</v>
      </c>
      <c r="AK35" s="7">
        <v>9548</v>
      </c>
      <c r="AL35" s="7">
        <f>BI35-AK35-AJ35-AI35</f>
        <v>11557</v>
      </c>
      <c r="AM35" s="23">
        <v>9509</v>
      </c>
      <c r="AN35" s="71">
        <v>10683</v>
      </c>
      <c r="AO35" s="71"/>
      <c r="AP35" s="71"/>
      <c r="AQ35" s="71"/>
      <c r="AR35" s="71"/>
      <c r="AS35" s="71"/>
      <c r="AT35" s="71"/>
      <c r="AU35" s="71"/>
      <c r="AV35" s="71"/>
      <c r="AW35" s="71"/>
      <c r="AX35" s="71"/>
      <c r="AY35" s="7"/>
      <c r="AZ35" s="7"/>
      <c r="BA35" s="7" t="s">
        <v>32</v>
      </c>
      <c r="BB35" s="7" t="s">
        <v>32</v>
      </c>
      <c r="BC35" s="7" t="s">
        <v>32</v>
      </c>
      <c r="BD35" s="7" t="s">
        <v>32</v>
      </c>
      <c r="BE35" s="7" t="s">
        <v>32</v>
      </c>
      <c r="BF35" s="7" t="s">
        <v>32</v>
      </c>
      <c r="BG35" s="7">
        <v>19773</v>
      </c>
      <c r="BH35" s="7">
        <v>31160</v>
      </c>
      <c r="BI35">
        <v>37739</v>
      </c>
    </row>
    <row r="36" spans="2:61" x14ac:dyDescent="0.35">
      <c r="B36" s="5" t="s">
        <v>27</v>
      </c>
      <c r="K36" s="23">
        <v>2566</v>
      </c>
      <c r="L36" s="7">
        <v>2886</v>
      </c>
      <c r="M36" s="7">
        <v>3231</v>
      </c>
      <c r="N36" s="7"/>
      <c r="O36" s="23">
        <v>3661</v>
      </c>
      <c r="P36" s="7">
        <v>4100</v>
      </c>
      <c r="Q36" s="7">
        <v>4584</v>
      </c>
      <c r="R36" s="7"/>
      <c r="S36" s="23">
        <v>5442</v>
      </c>
      <c r="T36" s="7">
        <v>6105</v>
      </c>
      <c r="U36" s="7">
        <v>6679</v>
      </c>
      <c r="V36" s="7"/>
      <c r="W36" s="23">
        <v>7696</v>
      </c>
      <c r="X36" s="7">
        <v>8381</v>
      </c>
      <c r="Y36" s="7">
        <v>8995</v>
      </c>
      <c r="Z36" s="7"/>
      <c r="AA36" s="23">
        <v>10219</v>
      </c>
      <c r="AB36" s="7">
        <v>10808</v>
      </c>
      <c r="AC36" s="7">
        <v>11601</v>
      </c>
      <c r="AD36" s="7"/>
      <c r="AE36" s="23">
        <v>13503</v>
      </c>
      <c r="AF36" s="7">
        <v>14809</v>
      </c>
      <c r="AG36" s="7">
        <v>16110</v>
      </c>
      <c r="AH36" s="7"/>
      <c r="AI36" s="23">
        <v>18441</v>
      </c>
      <c r="AJ36" s="7">
        <v>19739</v>
      </c>
      <c r="AK36" s="7">
        <v>20538</v>
      </c>
      <c r="AL36" s="7">
        <f>BI36-AK36-AJ36-AI36</f>
        <v>21378</v>
      </c>
      <c r="AM36" s="23">
        <v>21354</v>
      </c>
      <c r="AN36" s="71">
        <v>22140</v>
      </c>
      <c r="AO36" s="71"/>
      <c r="AP36" s="71"/>
      <c r="AQ36" s="71"/>
      <c r="AR36" s="71"/>
      <c r="AS36" s="71"/>
      <c r="AT36" s="71"/>
      <c r="AU36" s="71"/>
      <c r="AV36" s="71"/>
      <c r="AW36" s="71"/>
      <c r="AX36" s="71"/>
      <c r="AY36" s="7"/>
      <c r="AZ36" s="7"/>
      <c r="BA36" s="7" t="s">
        <v>32</v>
      </c>
      <c r="BB36" s="7">
        <v>7880</v>
      </c>
      <c r="BC36" s="7">
        <v>12219</v>
      </c>
      <c r="BD36" s="7">
        <v>17459</v>
      </c>
      <c r="BE36" s="7">
        <v>25655</v>
      </c>
      <c r="BF36" s="7">
        <v>35026</v>
      </c>
      <c r="BG36" s="7">
        <v>45370</v>
      </c>
      <c r="BH36" s="7">
        <v>62202</v>
      </c>
      <c r="BI36">
        <v>80096</v>
      </c>
    </row>
    <row r="37" spans="2:61" s="8" customFormat="1" x14ac:dyDescent="0.35">
      <c r="B37" s="9" t="s">
        <v>36</v>
      </c>
      <c r="K37" s="24">
        <v>545</v>
      </c>
      <c r="L37" s="13">
        <v>626</v>
      </c>
      <c r="M37" s="13">
        <v>709</v>
      </c>
      <c r="N37" s="13"/>
      <c r="O37" s="24">
        <v>850</v>
      </c>
      <c r="P37" s="13">
        <v>945</v>
      </c>
      <c r="Q37" s="13">
        <v>1123</v>
      </c>
      <c r="R37" s="13"/>
      <c r="S37" s="24">
        <v>2031</v>
      </c>
      <c r="T37" s="13">
        <v>2194</v>
      </c>
      <c r="U37" s="13">
        <v>2495</v>
      </c>
      <c r="V37" s="13"/>
      <c r="W37" s="24">
        <v>2716</v>
      </c>
      <c r="X37" s="13">
        <v>3002</v>
      </c>
      <c r="Y37" s="13">
        <v>3586</v>
      </c>
      <c r="Z37" s="13"/>
      <c r="AA37" s="24">
        <v>3906</v>
      </c>
      <c r="AB37" s="13">
        <v>4221</v>
      </c>
      <c r="AC37" s="13">
        <v>5398</v>
      </c>
      <c r="AD37" s="13"/>
      <c r="AE37" s="24">
        <v>6905</v>
      </c>
      <c r="AF37" s="13">
        <v>7914</v>
      </c>
      <c r="AG37" s="13">
        <v>8091</v>
      </c>
      <c r="AH37" s="13"/>
      <c r="AI37" s="24">
        <v>661</v>
      </c>
      <c r="AJ37" s="13">
        <v>1070</v>
      </c>
      <c r="AK37" s="13">
        <v>1263</v>
      </c>
      <c r="AL37" s="97">
        <f>BI37-AK37-AJ37-AI37</f>
        <v>1253</v>
      </c>
      <c r="AM37" s="24">
        <v>1027</v>
      </c>
      <c r="AN37" s="13">
        <v>1344</v>
      </c>
      <c r="AO37" s="13"/>
      <c r="AP37" s="13"/>
      <c r="AQ37" s="13"/>
      <c r="AR37" s="13"/>
      <c r="AS37" s="13"/>
      <c r="AT37" s="13"/>
      <c r="AU37" s="13"/>
      <c r="AV37" s="13"/>
      <c r="AW37" s="13"/>
      <c r="AX37" s="13"/>
      <c r="AY37" s="13"/>
      <c r="AZ37" s="13"/>
      <c r="BA37" s="13" t="s">
        <v>32</v>
      </c>
      <c r="BB37" s="13">
        <v>1710</v>
      </c>
      <c r="BC37" s="13">
        <v>2950</v>
      </c>
      <c r="BD37" s="13">
        <v>4653</v>
      </c>
      <c r="BE37" s="13">
        <v>10108</v>
      </c>
      <c r="BF37" s="13">
        <v>14085</v>
      </c>
      <c r="BG37" s="13">
        <v>1680</v>
      </c>
      <c r="BH37" s="13">
        <v>2176</v>
      </c>
      <c r="BI37" s="8">
        <v>4247</v>
      </c>
    </row>
    <row r="38" spans="2:61" s="3" customFormat="1" x14ac:dyDescent="0.35">
      <c r="B38" s="11" t="s">
        <v>37</v>
      </c>
      <c r="C38" s="87"/>
      <c r="D38" s="87"/>
      <c r="E38" s="87"/>
      <c r="F38" s="87"/>
      <c r="G38" s="87"/>
      <c r="H38" s="87"/>
      <c r="I38" s="87"/>
      <c r="J38" s="87"/>
      <c r="K38" s="107">
        <f t="shared" ref="K38:AK38" si="20">SUM(K31:K37)</f>
        <v>29128</v>
      </c>
      <c r="L38" s="12">
        <f t="shared" si="20"/>
        <v>30404</v>
      </c>
      <c r="M38" s="12">
        <f t="shared" si="20"/>
        <v>32714</v>
      </c>
      <c r="N38" s="12"/>
      <c r="O38" s="26">
        <f t="shared" si="20"/>
        <v>35714</v>
      </c>
      <c r="P38" s="12">
        <f t="shared" si="20"/>
        <v>37955</v>
      </c>
      <c r="Q38" s="12">
        <f t="shared" si="20"/>
        <v>43744</v>
      </c>
      <c r="R38" s="12">
        <f t="shared" si="20"/>
        <v>0</v>
      </c>
      <c r="S38" s="26">
        <f t="shared" si="20"/>
        <v>51042</v>
      </c>
      <c r="T38" s="12">
        <f t="shared" si="20"/>
        <v>52886</v>
      </c>
      <c r="U38" s="12">
        <f t="shared" si="20"/>
        <v>56576</v>
      </c>
      <c r="V38" s="12">
        <f t="shared" si="20"/>
        <v>0</v>
      </c>
      <c r="W38" s="26">
        <f t="shared" si="20"/>
        <v>59700</v>
      </c>
      <c r="X38" s="12">
        <f t="shared" si="20"/>
        <v>63404</v>
      </c>
      <c r="Y38" s="12">
        <f t="shared" si="20"/>
        <v>69981</v>
      </c>
      <c r="Z38" s="12">
        <f t="shared" si="20"/>
        <v>0</v>
      </c>
      <c r="AA38" s="26">
        <f t="shared" si="20"/>
        <v>75452</v>
      </c>
      <c r="AB38" s="12">
        <f t="shared" si="20"/>
        <v>88912</v>
      </c>
      <c r="AC38" s="12">
        <f t="shared" si="20"/>
        <v>96145</v>
      </c>
      <c r="AD38" s="12">
        <f t="shared" si="20"/>
        <v>0</v>
      </c>
      <c r="AE38" s="26">
        <f t="shared" si="20"/>
        <v>108518</v>
      </c>
      <c r="AF38" s="12">
        <f t="shared" si="20"/>
        <v>113080</v>
      </c>
      <c r="AG38" s="12">
        <f t="shared" si="20"/>
        <v>110812</v>
      </c>
      <c r="AH38" s="12">
        <f t="shared" si="20"/>
        <v>0</v>
      </c>
      <c r="AI38" s="26">
        <f t="shared" si="20"/>
        <v>116444</v>
      </c>
      <c r="AJ38" s="12">
        <f t="shared" si="20"/>
        <v>121234</v>
      </c>
      <c r="AK38" s="12">
        <f t="shared" si="20"/>
        <v>127101</v>
      </c>
      <c r="AL38" s="12">
        <f t="shared" ref="AL38" si="21">SUM(AL31:AL37)</f>
        <v>149204</v>
      </c>
      <c r="AM38" s="26">
        <f t="shared" ref="AM38" si="22">SUM(AM31:AM37)</f>
        <v>127358</v>
      </c>
      <c r="AN38" s="12">
        <f t="shared" ref="AN38" si="23">SUM(AN31:AN37)</f>
        <v>134383</v>
      </c>
      <c r="AO38" s="12">
        <f t="shared" ref="AO38" si="24">SUM(AO31:AO37)</f>
        <v>0</v>
      </c>
      <c r="AP38" s="12">
        <f t="shared" ref="AP38" si="25">SUM(AP31:AP37)</f>
        <v>0</v>
      </c>
      <c r="AQ38" s="12">
        <f t="shared" ref="AQ38" si="26">SUM(AQ31:AQ37)</f>
        <v>0</v>
      </c>
      <c r="AR38" s="72"/>
      <c r="AS38" s="72"/>
      <c r="AT38" s="72"/>
      <c r="AU38" s="12">
        <f t="shared" ref="AU38:AX38" si="27">SUM(AU31:AU37)</f>
        <v>0</v>
      </c>
      <c r="AV38" s="12">
        <f t="shared" si="27"/>
        <v>0</v>
      </c>
      <c r="AW38" s="12">
        <f t="shared" si="27"/>
        <v>0</v>
      </c>
      <c r="AX38" s="12">
        <f t="shared" si="27"/>
        <v>0</v>
      </c>
      <c r="AY38" s="12">
        <f t="shared" ref="AY38" si="28">SUM(AY31:AY37)</f>
        <v>0</v>
      </c>
      <c r="AZ38" s="12">
        <f t="shared" ref="AZ38" si="29">SUM(AZ31:AZ37)</f>
        <v>0</v>
      </c>
      <c r="BA38" s="12">
        <f t="shared" ref="BA38:BI38" si="30">SUM(BA31:BA37)</f>
        <v>0</v>
      </c>
      <c r="BB38" s="12">
        <f t="shared" si="30"/>
        <v>107006</v>
      </c>
      <c r="BC38" s="12">
        <f t="shared" si="30"/>
        <v>135987</v>
      </c>
      <c r="BD38" s="12">
        <f t="shared" si="30"/>
        <v>177866</v>
      </c>
      <c r="BE38" s="12">
        <f t="shared" si="30"/>
        <v>232887</v>
      </c>
      <c r="BF38" s="12">
        <f t="shared" si="30"/>
        <v>280522</v>
      </c>
      <c r="BG38" s="12">
        <f t="shared" si="30"/>
        <v>386064</v>
      </c>
      <c r="BH38" s="12">
        <f t="shared" si="30"/>
        <v>469822</v>
      </c>
      <c r="BI38" s="12">
        <f t="shared" si="30"/>
        <v>513983</v>
      </c>
    </row>
    <row r="39" spans="2:61" s="34" customFormat="1" x14ac:dyDescent="0.35">
      <c r="B39" s="40" t="s">
        <v>22</v>
      </c>
      <c r="C39" s="88"/>
      <c r="D39" s="88"/>
      <c r="E39" s="88"/>
      <c r="F39" s="88"/>
      <c r="G39" s="88"/>
      <c r="H39" s="88"/>
      <c r="I39" s="88"/>
      <c r="J39" s="88"/>
      <c r="K39" s="42"/>
      <c r="L39" s="41"/>
      <c r="M39" s="41"/>
      <c r="N39" s="41"/>
      <c r="O39" s="42"/>
      <c r="P39" s="41"/>
      <c r="Q39" s="41"/>
      <c r="R39" s="41"/>
      <c r="S39" s="42"/>
      <c r="T39" s="41"/>
      <c r="U39" s="41"/>
      <c r="V39" s="41"/>
      <c r="W39" s="42"/>
      <c r="X39" s="41"/>
      <c r="Y39" s="41"/>
      <c r="Z39" s="41"/>
      <c r="AA39" s="42"/>
      <c r="AB39" s="41"/>
      <c r="AC39" s="41"/>
      <c r="AD39" s="41"/>
      <c r="AE39" s="42"/>
      <c r="AF39" s="41"/>
      <c r="AG39" s="41"/>
      <c r="AH39" s="41"/>
      <c r="AI39" s="42"/>
      <c r="AJ39" s="41"/>
      <c r="AK39" s="41"/>
      <c r="AL39" s="41"/>
      <c r="AM39" s="42"/>
      <c r="AN39" s="70"/>
      <c r="AO39" s="70"/>
      <c r="AP39" s="70"/>
      <c r="AQ39" s="70"/>
      <c r="AR39" s="70"/>
      <c r="AS39" s="70"/>
      <c r="AT39" s="70"/>
      <c r="AU39" s="70"/>
      <c r="AV39" s="70"/>
      <c r="AW39" s="70"/>
      <c r="AX39" s="70"/>
      <c r="AY39" s="41"/>
      <c r="AZ39" s="41"/>
      <c r="BA39" s="41"/>
      <c r="BB39" s="41"/>
      <c r="BC39" s="41"/>
      <c r="BD39" s="41"/>
      <c r="BE39" s="41"/>
      <c r="BF39" s="41"/>
      <c r="BG39" s="41"/>
      <c r="BH39" s="41"/>
    </row>
    <row r="40" spans="2:61" x14ac:dyDescent="0.35">
      <c r="B40" s="5" t="s">
        <v>21</v>
      </c>
      <c r="K40" s="23">
        <f>K16</f>
        <v>16996</v>
      </c>
      <c r="L40" s="71">
        <f>L16</f>
        <v>17674</v>
      </c>
      <c r="M40" s="71">
        <f>M16</f>
        <v>18874</v>
      </c>
      <c r="N40" s="71">
        <f>N16</f>
        <v>26241</v>
      </c>
      <c r="O40" s="23">
        <f>O16</f>
        <v>20992</v>
      </c>
      <c r="P40" s="71">
        <f>P16</f>
        <v>22370</v>
      </c>
      <c r="Q40" s="71">
        <f>Q16</f>
        <v>25446</v>
      </c>
      <c r="R40" s="71">
        <f>R16</f>
        <v>37302</v>
      </c>
      <c r="S40" s="23">
        <f>S16</f>
        <v>30725</v>
      </c>
      <c r="T40" s="71">
        <f>T16</f>
        <v>32169</v>
      </c>
      <c r="U40" s="71">
        <f>U16</f>
        <v>34348</v>
      </c>
      <c r="V40" s="71">
        <f>V16</f>
        <v>44124</v>
      </c>
      <c r="W40" s="23">
        <f>W16</f>
        <v>35812</v>
      </c>
      <c r="X40" s="71">
        <f>X16</f>
        <v>38653</v>
      </c>
      <c r="Y40" s="71">
        <f>Y16</f>
        <v>42638</v>
      </c>
      <c r="Z40" s="71">
        <f>Z16</f>
        <v>53670</v>
      </c>
      <c r="AA40" s="23">
        <f>AA16</f>
        <v>46127</v>
      </c>
      <c r="AB40" s="71">
        <f>AB16</f>
        <v>55436</v>
      </c>
      <c r="AC40" s="71">
        <f>AC16</f>
        <v>59373</v>
      </c>
      <c r="AD40" s="71">
        <f>AD16</f>
        <v>75346</v>
      </c>
      <c r="AE40" s="23">
        <f>AE16</f>
        <v>64366</v>
      </c>
      <c r="AF40" s="71">
        <f>AF16</f>
        <v>67550</v>
      </c>
      <c r="AG40" s="71">
        <f>AG16</f>
        <v>65557</v>
      </c>
      <c r="AH40" s="71">
        <f>AH16</f>
        <v>82360</v>
      </c>
      <c r="AI40" s="23">
        <f>AI16</f>
        <v>69244</v>
      </c>
      <c r="AJ40" s="71">
        <f>AJ16</f>
        <v>74430</v>
      </c>
      <c r="AK40" s="71">
        <f>AK16</f>
        <v>78843</v>
      </c>
      <c r="AL40" s="71">
        <f>AL16</f>
        <v>93363</v>
      </c>
      <c r="AM40" s="23">
        <f>AM16</f>
        <v>76881</v>
      </c>
      <c r="AN40" s="71">
        <f>AN16</f>
        <v>82546</v>
      </c>
      <c r="AO40" s="71">
        <f>AO16</f>
        <v>0</v>
      </c>
      <c r="AP40" s="71">
        <f>AP16</f>
        <v>0</v>
      </c>
      <c r="AQ40" s="71">
        <f>AQ16</f>
        <v>0</v>
      </c>
      <c r="AR40" s="71"/>
      <c r="AS40" s="71"/>
      <c r="AT40" s="71"/>
      <c r="AU40" s="7">
        <f>AU16</f>
        <v>0</v>
      </c>
      <c r="AV40" s="7">
        <f t="shared" ref="AV40:BA40" si="31">AV16</f>
        <v>0</v>
      </c>
      <c r="AW40" s="7">
        <f t="shared" si="31"/>
        <v>0</v>
      </c>
      <c r="AX40" s="7">
        <f t="shared" si="31"/>
        <v>0</v>
      </c>
      <c r="AY40" s="7">
        <f t="shared" si="31"/>
        <v>0</v>
      </c>
      <c r="AZ40" s="7">
        <f t="shared" si="31"/>
        <v>0</v>
      </c>
      <c r="BA40" s="7">
        <f t="shared" si="31"/>
        <v>50834</v>
      </c>
      <c r="BB40" s="7">
        <f>BB16</f>
        <v>63708</v>
      </c>
      <c r="BC40" s="7">
        <f>BC16</f>
        <v>79785</v>
      </c>
      <c r="BD40" s="7">
        <f>BD16</f>
        <v>106110</v>
      </c>
      <c r="BE40" s="7">
        <f>BE16</f>
        <v>141366</v>
      </c>
      <c r="BF40" s="7">
        <f>BF16</f>
        <v>170773</v>
      </c>
      <c r="BG40" s="7">
        <f>BG16</f>
        <v>236282</v>
      </c>
      <c r="BH40" s="7">
        <f>BH16</f>
        <v>279833</v>
      </c>
      <c r="BI40" s="7">
        <f>BI16</f>
        <v>315880</v>
      </c>
    </row>
    <row r="41" spans="2:61" x14ac:dyDescent="0.35">
      <c r="B41" s="5" t="s">
        <v>26</v>
      </c>
      <c r="K41" s="23">
        <f>K21</f>
        <v>9566</v>
      </c>
      <c r="L41" s="71">
        <f>L21</f>
        <v>9844</v>
      </c>
      <c r="M41" s="71">
        <f>M21</f>
        <v>10609</v>
      </c>
      <c r="N41" s="71">
        <f>N21</f>
        <v>13964</v>
      </c>
      <c r="O41" s="23">
        <f>O21</f>
        <v>11061</v>
      </c>
      <c r="P41" s="71">
        <f>P21</f>
        <v>11485</v>
      </c>
      <c r="Q41" s="71">
        <f>Q21</f>
        <v>13714</v>
      </c>
      <c r="R41" s="71">
        <f>R21</f>
        <v>18037</v>
      </c>
      <c r="S41" s="23">
        <f>S21</f>
        <v>14875</v>
      </c>
      <c r="T41" s="71">
        <f>T21</f>
        <v>14612</v>
      </c>
      <c r="U41" s="71">
        <f>U21</f>
        <v>15549</v>
      </c>
      <c r="V41" s="71">
        <f>V21</f>
        <v>20830</v>
      </c>
      <c r="W41" s="23">
        <f>W21</f>
        <v>16192</v>
      </c>
      <c r="X41" s="71">
        <f>X21</f>
        <v>16370</v>
      </c>
      <c r="Y41" s="71">
        <f>Y21</f>
        <v>18348</v>
      </c>
      <c r="Z41" s="71">
        <f>Z21</f>
        <v>23813</v>
      </c>
      <c r="AA41" s="23">
        <f>AA21</f>
        <v>19106</v>
      </c>
      <c r="AB41" s="71">
        <f>AB21</f>
        <v>22668</v>
      </c>
      <c r="AC41" s="71">
        <f>AC21</f>
        <v>25171</v>
      </c>
      <c r="AD41" s="71">
        <f>AD21</f>
        <v>37467</v>
      </c>
      <c r="AE41" s="23">
        <f>AE21</f>
        <v>30649</v>
      </c>
      <c r="AF41" s="71">
        <f>AF21</f>
        <v>30721</v>
      </c>
      <c r="AG41" s="71">
        <f>AG21</f>
        <v>29145</v>
      </c>
      <c r="AH41" s="71">
        <f>AH21</f>
        <v>37272</v>
      </c>
      <c r="AI41" s="23">
        <f>AI21</f>
        <v>28759</v>
      </c>
      <c r="AJ41" s="71">
        <f>AJ21</f>
        <v>27065</v>
      </c>
      <c r="AK41" s="71">
        <f>AK21</f>
        <v>27720</v>
      </c>
      <c r="AL41" s="71">
        <f>AL21</f>
        <v>34463</v>
      </c>
      <c r="AM41" s="23">
        <f>AM21</f>
        <v>29123</v>
      </c>
      <c r="AN41" s="71">
        <f>AN21</f>
        <v>29697</v>
      </c>
      <c r="AO41" s="71">
        <f>AO21</f>
        <v>0</v>
      </c>
      <c r="AP41" s="71">
        <f>AP21</f>
        <v>0</v>
      </c>
      <c r="AQ41" s="71">
        <f>AQ21</f>
        <v>0</v>
      </c>
      <c r="AR41" s="71"/>
      <c r="AS41" s="71"/>
      <c r="AT41" s="71"/>
      <c r="AU41" s="7">
        <f>AU21</f>
        <v>0</v>
      </c>
      <c r="AV41" s="7">
        <f t="shared" ref="AV41:BA41" si="32">AV21</f>
        <v>0</v>
      </c>
      <c r="AW41" s="7">
        <f t="shared" si="32"/>
        <v>0</v>
      </c>
      <c r="AX41" s="7">
        <f t="shared" si="32"/>
        <v>0</v>
      </c>
      <c r="AY41" s="7">
        <f t="shared" si="32"/>
        <v>0</v>
      </c>
      <c r="AZ41" s="7">
        <f t="shared" si="32"/>
        <v>0</v>
      </c>
      <c r="BA41" s="7">
        <f t="shared" si="32"/>
        <v>33510</v>
      </c>
      <c r="BB41" s="7">
        <f>BB21</f>
        <v>35418</v>
      </c>
      <c r="BC41" s="7">
        <f>BC21</f>
        <v>43983</v>
      </c>
      <c r="BD41" s="7">
        <f>BD21</f>
        <v>54297</v>
      </c>
      <c r="BE41" s="7">
        <f>BE21</f>
        <v>65866</v>
      </c>
      <c r="BF41" s="7">
        <f>BF21</f>
        <v>74723</v>
      </c>
      <c r="BG41" s="7">
        <f>BG21</f>
        <v>104412</v>
      </c>
      <c r="BH41" s="7">
        <f>BH21</f>
        <v>127787</v>
      </c>
      <c r="BI41" s="7">
        <f>BI21</f>
        <v>118007</v>
      </c>
    </row>
    <row r="42" spans="2:61" s="8" customFormat="1" x14ac:dyDescent="0.35">
      <c r="B42" s="9" t="s">
        <v>27</v>
      </c>
      <c r="K42" s="24">
        <f>K26</f>
        <v>2566</v>
      </c>
      <c r="L42" s="13">
        <f>L26</f>
        <v>2886</v>
      </c>
      <c r="M42" s="13">
        <f>M26</f>
        <v>3231</v>
      </c>
      <c r="N42" s="13">
        <f>N26</f>
        <v>3536</v>
      </c>
      <c r="O42" s="24">
        <f>O26</f>
        <v>3661</v>
      </c>
      <c r="P42" s="13">
        <f>P26</f>
        <v>4100</v>
      </c>
      <c r="Q42" s="13">
        <f>Q26</f>
        <v>4584</v>
      </c>
      <c r="R42" s="13">
        <f>R26</f>
        <v>5114</v>
      </c>
      <c r="S42" s="24">
        <f>S26</f>
        <v>5442</v>
      </c>
      <c r="T42" s="13">
        <f>T26</f>
        <v>6105</v>
      </c>
      <c r="U42" s="13">
        <f>U26</f>
        <v>6679</v>
      </c>
      <c r="V42" s="13">
        <f>V26</f>
        <v>7429</v>
      </c>
      <c r="W42" s="24">
        <f>W26</f>
        <v>7696</v>
      </c>
      <c r="X42" s="13">
        <f>X26</f>
        <v>8381</v>
      </c>
      <c r="Y42" s="13">
        <f>Y26</f>
        <v>8995</v>
      </c>
      <c r="Z42" s="13">
        <f>Z26</f>
        <v>9954</v>
      </c>
      <c r="AA42" s="24">
        <f>AA26</f>
        <v>10219</v>
      </c>
      <c r="AB42" s="13">
        <f>AB26</f>
        <v>10808</v>
      </c>
      <c r="AC42" s="13">
        <f>AC26</f>
        <v>11601</v>
      </c>
      <c r="AD42" s="13">
        <f>AD26</f>
        <v>12742</v>
      </c>
      <c r="AE42" s="24">
        <f>AE26</f>
        <v>13503</v>
      </c>
      <c r="AF42" s="13">
        <f>AF26</f>
        <v>14809</v>
      </c>
      <c r="AG42" s="13">
        <f>AG26</f>
        <v>16110</v>
      </c>
      <c r="AH42" s="13">
        <f>AH26</f>
        <v>17780</v>
      </c>
      <c r="AI42" s="24">
        <f>AI26</f>
        <v>18441</v>
      </c>
      <c r="AJ42" s="13">
        <f>AJ26</f>
        <v>19739</v>
      </c>
      <c r="AK42" s="13">
        <f>AK26</f>
        <v>20538</v>
      </c>
      <c r="AL42" s="13">
        <f>AL26</f>
        <v>21378</v>
      </c>
      <c r="AM42" s="24">
        <f>AM26</f>
        <v>21354</v>
      </c>
      <c r="AN42" s="13">
        <f>AN26</f>
        <v>22140</v>
      </c>
      <c r="AO42" s="13">
        <f>AO26</f>
        <v>0</v>
      </c>
      <c r="AP42" s="13">
        <f>AP26</f>
        <v>0</v>
      </c>
      <c r="AQ42" s="13">
        <f>AQ26</f>
        <v>0</v>
      </c>
      <c r="AR42" s="13"/>
      <c r="AS42" s="13"/>
      <c r="AT42" s="13"/>
      <c r="AU42" s="13">
        <f>AU26</f>
        <v>0</v>
      </c>
      <c r="AV42" s="13">
        <f t="shared" ref="AV42:BA42" si="33">AV26</f>
        <v>0</v>
      </c>
      <c r="AW42" s="13">
        <f t="shared" si="33"/>
        <v>0</v>
      </c>
      <c r="AX42" s="13">
        <f t="shared" si="33"/>
        <v>0</v>
      </c>
      <c r="AY42" s="13">
        <f t="shared" si="33"/>
        <v>0</v>
      </c>
      <c r="AZ42" s="13">
        <f t="shared" si="33"/>
        <v>0</v>
      </c>
      <c r="BA42" s="13">
        <f t="shared" si="33"/>
        <v>4644</v>
      </c>
      <c r="BB42" s="13">
        <f>BB26</f>
        <v>7880</v>
      </c>
      <c r="BC42" s="13">
        <f>BC26</f>
        <v>12219</v>
      </c>
      <c r="BD42" s="13">
        <f>BD26</f>
        <v>17459</v>
      </c>
      <c r="BE42" s="13">
        <f>BE26</f>
        <v>25655</v>
      </c>
      <c r="BF42" s="13">
        <f>BF26</f>
        <v>35026</v>
      </c>
      <c r="BG42" s="13">
        <f>BG26</f>
        <v>45370</v>
      </c>
      <c r="BH42" s="13">
        <f>BH26</f>
        <v>62202</v>
      </c>
      <c r="BI42" s="13">
        <f>BI26</f>
        <v>80096</v>
      </c>
    </row>
    <row r="43" spans="2:61" s="3" customFormat="1" x14ac:dyDescent="0.35">
      <c r="B43" s="11" t="s">
        <v>37</v>
      </c>
      <c r="C43" s="87"/>
      <c r="D43" s="87"/>
      <c r="E43" s="87"/>
      <c r="F43" s="87"/>
      <c r="G43" s="87"/>
      <c r="H43" s="87"/>
      <c r="I43" s="87"/>
      <c r="J43" s="87"/>
      <c r="K43" s="26">
        <f>SUM(K40:K42)</f>
        <v>29128</v>
      </c>
      <c r="L43" s="72">
        <f>SUM(L40:L42)</f>
        <v>30404</v>
      </c>
      <c r="M43" s="72">
        <f t="shared" ref="M43:AQ43" si="34">SUM(M40:M42)</f>
        <v>32714</v>
      </c>
      <c r="N43" s="72">
        <f t="shared" si="34"/>
        <v>43741</v>
      </c>
      <c r="O43" s="26">
        <f t="shared" si="34"/>
        <v>35714</v>
      </c>
      <c r="P43" s="72">
        <f t="shared" si="34"/>
        <v>37955</v>
      </c>
      <c r="Q43" s="72">
        <f t="shared" si="34"/>
        <v>43744</v>
      </c>
      <c r="R43" s="72">
        <f t="shared" si="34"/>
        <v>60453</v>
      </c>
      <c r="S43" s="26">
        <f t="shared" si="34"/>
        <v>51042</v>
      </c>
      <c r="T43" s="72">
        <f t="shared" si="34"/>
        <v>52886</v>
      </c>
      <c r="U43" s="72">
        <f t="shared" si="34"/>
        <v>56576</v>
      </c>
      <c r="V43" s="72">
        <f t="shared" si="34"/>
        <v>72383</v>
      </c>
      <c r="W43" s="26">
        <f t="shared" si="34"/>
        <v>59700</v>
      </c>
      <c r="X43" s="72">
        <f t="shared" si="34"/>
        <v>63404</v>
      </c>
      <c r="Y43" s="72">
        <f t="shared" si="34"/>
        <v>69981</v>
      </c>
      <c r="Z43" s="72">
        <f t="shared" si="34"/>
        <v>87437</v>
      </c>
      <c r="AA43" s="26">
        <f t="shared" si="34"/>
        <v>75452</v>
      </c>
      <c r="AB43" s="72">
        <f t="shared" si="34"/>
        <v>88912</v>
      </c>
      <c r="AC43" s="72">
        <f t="shared" si="34"/>
        <v>96145</v>
      </c>
      <c r="AD43" s="72">
        <f t="shared" si="34"/>
        <v>125555</v>
      </c>
      <c r="AE43" s="26">
        <f t="shared" si="34"/>
        <v>108518</v>
      </c>
      <c r="AF43" s="72">
        <f t="shared" si="34"/>
        <v>113080</v>
      </c>
      <c r="AG43" s="72">
        <f t="shared" si="34"/>
        <v>110812</v>
      </c>
      <c r="AH43" s="72">
        <f t="shared" si="34"/>
        <v>137412</v>
      </c>
      <c r="AI43" s="26">
        <f t="shared" si="34"/>
        <v>116444</v>
      </c>
      <c r="AJ43" s="72">
        <f t="shared" si="34"/>
        <v>121234</v>
      </c>
      <c r="AK43" s="72">
        <f t="shared" si="34"/>
        <v>127101</v>
      </c>
      <c r="AL43" s="72">
        <f t="shared" si="34"/>
        <v>149204</v>
      </c>
      <c r="AM43" s="26">
        <f t="shared" si="34"/>
        <v>127358</v>
      </c>
      <c r="AN43" s="72">
        <f t="shared" si="34"/>
        <v>134383</v>
      </c>
      <c r="AO43" s="72">
        <f t="shared" si="34"/>
        <v>0</v>
      </c>
      <c r="AP43" s="72">
        <f t="shared" si="34"/>
        <v>0</v>
      </c>
      <c r="AQ43" s="72">
        <f t="shared" si="34"/>
        <v>0</v>
      </c>
      <c r="AR43" s="72"/>
      <c r="AS43" s="72"/>
      <c r="AT43" s="72"/>
      <c r="AU43" s="12">
        <f>SUM(AU40:AU42)</f>
        <v>0</v>
      </c>
      <c r="AV43" s="12">
        <f t="shared" ref="AV43:BI43" si="35">SUM(AV40:AV42)</f>
        <v>0</v>
      </c>
      <c r="AW43" s="12">
        <f t="shared" si="35"/>
        <v>0</v>
      </c>
      <c r="AX43" s="12">
        <f t="shared" si="35"/>
        <v>0</v>
      </c>
      <c r="AY43" s="12">
        <f t="shared" si="35"/>
        <v>0</v>
      </c>
      <c r="AZ43" s="12">
        <f t="shared" si="35"/>
        <v>0</v>
      </c>
      <c r="BA43" s="12">
        <f t="shared" si="35"/>
        <v>88988</v>
      </c>
      <c r="BB43" s="12">
        <f t="shared" si="35"/>
        <v>107006</v>
      </c>
      <c r="BC43" s="12">
        <f t="shared" si="35"/>
        <v>135987</v>
      </c>
      <c r="BD43" s="12">
        <f t="shared" si="35"/>
        <v>177866</v>
      </c>
      <c r="BE43" s="12">
        <f t="shared" si="35"/>
        <v>232887</v>
      </c>
      <c r="BF43" s="12">
        <f t="shared" si="35"/>
        <v>280522</v>
      </c>
      <c r="BG43" s="12">
        <f t="shared" si="35"/>
        <v>386064</v>
      </c>
      <c r="BH43" s="12">
        <f t="shared" si="35"/>
        <v>469822</v>
      </c>
      <c r="BI43" s="12">
        <f t="shared" si="35"/>
        <v>513983</v>
      </c>
    </row>
    <row r="44" spans="2:61" s="4" customFormat="1" x14ac:dyDescent="0.35">
      <c r="B44" s="62" t="s">
        <v>1887</v>
      </c>
      <c r="C44" s="74"/>
      <c r="D44" s="74"/>
      <c r="E44" s="74"/>
      <c r="F44" s="74"/>
      <c r="G44" s="74"/>
      <c r="H44" s="74"/>
      <c r="I44" s="74"/>
      <c r="J44" s="74"/>
      <c r="K44" s="63">
        <f>K40/K43</f>
        <v>0.58349354572919532</v>
      </c>
      <c r="L44" s="4">
        <f>L40/L43</f>
        <v>0.58130509143533748</v>
      </c>
      <c r="M44" s="4">
        <f t="shared" ref="M44:AQ44" si="36">M40/M43</f>
        <v>0.57693953658983921</v>
      </c>
      <c r="N44" s="4">
        <f t="shared" si="36"/>
        <v>0.59991769735488443</v>
      </c>
      <c r="O44" s="63">
        <f t="shared" si="36"/>
        <v>0.58778070224561796</v>
      </c>
      <c r="P44" s="4">
        <f t="shared" si="36"/>
        <v>0.58938216308786717</v>
      </c>
      <c r="Q44" s="4">
        <f t="shared" si="36"/>
        <v>0.5817026335040234</v>
      </c>
      <c r="R44" s="4">
        <f t="shared" si="36"/>
        <v>0.61704133789886362</v>
      </c>
      <c r="S44" s="63">
        <f t="shared" si="36"/>
        <v>0.60195525253712634</v>
      </c>
      <c r="T44" s="4">
        <f t="shared" si="36"/>
        <v>0.60827061982377184</v>
      </c>
      <c r="U44" s="4">
        <f t="shared" si="36"/>
        <v>0.60711255656108598</v>
      </c>
      <c r="V44" s="4">
        <f t="shared" si="36"/>
        <v>0.60959064973819821</v>
      </c>
      <c r="W44" s="63">
        <f t="shared" si="36"/>
        <v>0.59986599664991624</v>
      </c>
      <c r="X44" s="4">
        <f t="shared" si="36"/>
        <v>0.60963030723613654</v>
      </c>
      <c r="Y44" s="4">
        <f t="shared" si="36"/>
        <v>0.6092796616224404</v>
      </c>
      <c r="Z44" s="4">
        <f t="shared" si="36"/>
        <v>0.61381337420085313</v>
      </c>
      <c r="AA44" s="63">
        <f t="shared" si="36"/>
        <v>0.61134231034299957</v>
      </c>
      <c r="AB44" s="4">
        <f t="shared" si="36"/>
        <v>0.62349289184811951</v>
      </c>
      <c r="AC44" s="4">
        <f t="shared" si="36"/>
        <v>0.61753601331322483</v>
      </c>
      <c r="AD44" s="4">
        <f t="shared" si="36"/>
        <v>0.60010354028115165</v>
      </c>
      <c r="AE44" s="63">
        <f t="shared" si="36"/>
        <v>0.59313662249580712</v>
      </c>
      <c r="AF44" s="4">
        <f t="shared" si="36"/>
        <v>0.59736469755925004</v>
      </c>
      <c r="AG44" s="4">
        <f t="shared" si="36"/>
        <v>0.5916056022813414</v>
      </c>
      <c r="AH44" s="4">
        <f t="shared" si="36"/>
        <v>0.59936541204552729</v>
      </c>
      <c r="AI44" s="63">
        <f t="shared" si="36"/>
        <v>0.59465494143107411</v>
      </c>
      <c r="AJ44" s="4">
        <f t="shared" si="36"/>
        <v>0.61393668442846061</v>
      </c>
      <c r="AK44" s="4">
        <f t="shared" si="36"/>
        <v>0.62031770009677345</v>
      </c>
      <c r="AL44" s="4">
        <f t="shared" si="36"/>
        <v>0.62574059676684268</v>
      </c>
      <c r="AM44" s="63">
        <f t="shared" si="36"/>
        <v>0.60366054743321973</v>
      </c>
      <c r="AN44" s="4">
        <f t="shared" si="36"/>
        <v>0.61425924410081634</v>
      </c>
      <c r="AO44" s="4" t="e">
        <f t="shared" si="36"/>
        <v>#DIV/0!</v>
      </c>
      <c r="AP44" s="4" t="e">
        <f t="shared" si="36"/>
        <v>#DIV/0!</v>
      </c>
      <c r="AQ44" s="4" t="e">
        <f t="shared" si="36"/>
        <v>#DIV/0!</v>
      </c>
      <c r="AR44" s="74"/>
      <c r="AS44" s="74"/>
      <c r="AT44" s="74"/>
      <c r="AU44" s="4" t="e">
        <f>AU40/AU43</f>
        <v>#DIV/0!</v>
      </c>
      <c r="AV44" s="4" t="e">
        <f>AV40/AV43</f>
        <v>#DIV/0!</v>
      </c>
      <c r="AW44" s="4" t="e">
        <f>AW40/AW43</f>
        <v>#DIV/0!</v>
      </c>
      <c r="AX44" s="4" t="e">
        <f>AX40/AX43</f>
        <v>#DIV/0!</v>
      </c>
      <c r="AY44" s="4" t="e">
        <f t="shared" ref="AY44:BA44" si="37">AY40/AY43</f>
        <v>#DIV/0!</v>
      </c>
      <c r="AZ44" s="4" t="e">
        <f t="shared" si="37"/>
        <v>#DIV/0!</v>
      </c>
      <c r="BA44" s="4">
        <f t="shared" si="37"/>
        <v>0.57124556119926284</v>
      </c>
      <c r="BB44" s="4">
        <f>BB40/BB43</f>
        <v>0.59536848401024245</v>
      </c>
      <c r="BC44" s="4">
        <f t="shared" ref="BC44:BD44" si="38">BC40/BC43</f>
        <v>0.58671049438549272</v>
      </c>
      <c r="BD44" s="4">
        <f t="shared" si="38"/>
        <v>0.59657270079722935</v>
      </c>
      <c r="BE44" s="4">
        <f>BE40/BE43</f>
        <v>0.6070154194952917</v>
      </c>
      <c r="BF44" s="4">
        <f>BF40/BF43</f>
        <v>0.60876865272598946</v>
      </c>
      <c r="BG44" s="4">
        <f>BG40/BG43</f>
        <v>0.61202805752414102</v>
      </c>
      <c r="BH44" s="4">
        <f>BH40/BH43</f>
        <v>0.59561493501794294</v>
      </c>
      <c r="BI44" s="4">
        <f>BI40/BI43</f>
        <v>0.61457285552245888</v>
      </c>
    </row>
    <row r="45" spans="2:61" s="4" customFormat="1" x14ac:dyDescent="0.35">
      <c r="B45" s="62" t="s">
        <v>1888</v>
      </c>
      <c r="C45" s="74"/>
      <c r="D45" s="74"/>
      <c r="E45" s="74"/>
      <c r="F45" s="74"/>
      <c r="G45" s="74"/>
      <c r="H45" s="74"/>
      <c r="I45" s="74"/>
      <c r="J45" s="74"/>
      <c r="K45" s="63">
        <f>K41/K43</f>
        <v>0.32841252403185939</v>
      </c>
      <c r="L45" s="4">
        <f>L41/L43</f>
        <v>0.32377318773845548</v>
      </c>
      <c r="M45" s="4">
        <f t="shared" ref="M45:AQ45" si="39">M41/M43</f>
        <v>0.32429540869352569</v>
      </c>
      <c r="N45" s="4">
        <f t="shared" si="39"/>
        <v>0.31924281566493679</v>
      </c>
      <c r="O45" s="63">
        <f t="shared" si="39"/>
        <v>0.30971047768382148</v>
      </c>
      <c r="P45" s="4">
        <f t="shared" si="39"/>
        <v>0.30259517850085627</v>
      </c>
      <c r="Q45" s="4">
        <f t="shared" si="39"/>
        <v>0.31350585223116312</v>
      </c>
      <c r="R45" s="4">
        <f t="shared" si="39"/>
        <v>0.29836401832828807</v>
      </c>
      <c r="S45" s="63">
        <f t="shared" si="39"/>
        <v>0.29142666823400337</v>
      </c>
      <c r="T45" s="4">
        <f t="shared" si="39"/>
        <v>0.27629240252618842</v>
      </c>
      <c r="U45" s="4">
        <f t="shared" si="39"/>
        <v>0.27483385180995473</v>
      </c>
      <c r="V45" s="4">
        <f t="shared" si="39"/>
        <v>0.2877747537405192</v>
      </c>
      <c r="W45" s="63">
        <f t="shared" si="39"/>
        <v>0.27122278056951421</v>
      </c>
      <c r="X45" s="4">
        <f t="shared" si="39"/>
        <v>0.25818560343196012</v>
      </c>
      <c r="Y45" s="4">
        <f t="shared" si="39"/>
        <v>0.26218545033651991</v>
      </c>
      <c r="Z45" s="4">
        <f t="shared" si="39"/>
        <v>0.27234465958347154</v>
      </c>
      <c r="AA45" s="63">
        <f t="shared" si="39"/>
        <v>0.25322059057413987</v>
      </c>
      <c r="AB45" s="4">
        <f t="shared" si="39"/>
        <v>0.25494871333453301</v>
      </c>
      <c r="AC45" s="4">
        <f t="shared" si="39"/>
        <v>0.26180248582869625</v>
      </c>
      <c r="AD45" s="4">
        <f t="shared" si="39"/>
        <v>0.2984110549161722</v>
      </c>
      <c r="AE45" s="63">
        <f t="shared" si="39"/>
        <v>0.28243240752686188</v>
      </c>
      <c r="AF45" s="4">
        <f t="shared" si="39"/>
        <v>0.27167492041032898</v>
      </c>
      <c r="AG45" s="4">
        <f t="shared" si="39"/>
        <v>0.26301303107966645</v>
      </c>
      <c r="AH45" s="4">
        <f t="shared" si="39"/>
        <v>0.27124268622827702</v>
      </c>
      <c r="AI45" s="63">
        <f t="shared" si="39"/>
        <v>0.24697708769880802</v>
      </c>
      <c r="AJ45" s="4">
        <f t="shared" si="39"/>
        <v>0.223245954105284</v>
      </c>
      <c r="AK45" s="4">
        <f t="shared" si="39"/>
        <v>0.21809427148488211</v>
      </c>
      <c r="AL45" s="4">
        <f t="shared" si="39"/>
        <v>0.23097906222353287</v>
      </c>
      <c r="AM45" s="63">
        <f t="shared" si="39"/>
        <v>0.22867036228583992</v>
      </c>
      <c r="AN45" s="4">
        <f t="shared" si="39"/>
        <v>0.22098777375114412</v>
      </c>
      <c r="AO45" s="4" t="e">
        <f t="shared" si="39"/>
        <v>#DIV/0!</v>
      </c>
      <c r="AP45" s="4" t="e">
        <f t="shared" si="39"/>
        <v>#DIV/0!</v>
      </c>
      <c r="AQ45" s="4" t="e">
        <f t="shared" si="39"/>
        <v>#DIV/0!</v>
      </c>
      <c r="AR45" s="74"/>
      <c r="AS45" s="74"/>
      <c r="AT45" s="74"/>
      <c r="AU45" s="4" t="e">
        <f>AU41/AU43</f>
        <v>#DIV/0!</v>
      </c>
      <c r="AV45" s="4" t="e">
        <f>AV41/AV43</f>
        <v>#DIV/0!</v>
      </c>
      <c r="AW45" s="4" t="e">
        <f>AW41/AW43</f>
        <v>#DIV/0!</v>
      </c>
      <c r="AX45" s="4" t="e">
        <f>AX41/AX43</f>
        <v>#DIV/0!</v>
      </c>
      <c r="AY45" s="4" t="e">
        <f t="shared" ref="AY45:BA45" si="40">AY41/AY43</f>
        <v>#DIV/0!</v>
      </c>
      <c r="AZ45" s="4" t="e">
        <f t="shared" si="40"/>
        <v>#DIV/0!</v>
      </c>
      <c r="BA45" s="4">
        <f t="shared" si="40"/>
        <v>0.37656762709578817</v>
      </c>
      <c r="BB45" s="4">
        <f>BB41/BB43</f>
        <v>0.33099078556342637</v>
      </c>
      <c r="BC45" s="4">
        <f t="shared" ref="BC45:BD45" si="41">BC41/BC43</f>
        <v>0.32343532837697719</v>
      </c>
      <c r="BD45" s="4">
        <f t="shared" si="41"/>
        <v>0.30526913519166116</v>
      </c>
      <c r="BE45" s="4">
        <f>BE41/BE43</f>
        <v>0.28282385878129734</v>
      </c>
      <c r="BF45" s="4">
        <f>BF41/BF43</f>
        <v>0.26637126499882363</v>
      </c>
      <c r="BG45" s="4">
        <f>BG41/BG43</f>
        <v>0.27045256744995649</v>
      </c>
      <c r="BH45" s="4">
        <f>BH41/BH43</f>
        <v>0.27199024311334929</v>
      </c>
      <c r="BI45" s="4">
        <f>BI41/BI43</f>
        <v>0.22959319666214642</v>
      </c>
    </row>
    <row r="46" spans="2:61" s="98" customFormat="1" x14ac:dyDescent="0.35">
      <c r="B46" s="99" t="s">
        <v>1889</v>
      </c>
      <c r="K46" s="100">
        <f>K42/K43</f>
        <v>8.809393023894535E-2</v>
      </c>
      <c r="L46" s="98">
        <f>L42/L43</f>
        <v>9.4921720826207076E-2</v>
      </c>
      <c r="M46" s="98">
        <f t="shared" ref="M46:AQ46" si="42">M42/M43</f>
        <v>9.8765054716635076E-2</v>
      </c>
      <c r="N46" s="98">
        <f t="shared" si="42"/>
        <v>8.0839486980178774E-2</v>
      </c>
      <c r="O46" s="100">
        <f t="shared" si="42"/>
        <v>0.10250882007056056</v>
      </c>
      <c r="P46" s="98">
        <f t="shared" si="42"/>
        <v>0.10802265841127651</v>
      </c>
      <c r="Q46" s="98">
        <f t="shared" si="42"/>
        <v>0.10479151426481347</v>
      </c>
      <c r="R46" s="98">
        <f t="shared" si="42"/>
        <v>8.4594643772848324E-2</v>
      </c>
      <c r="S46" s="100">
        <f t="shared" si="42"/>
        <v>0.10661807922887034</v>
      </c>
      <c r="T46" s="98">
        <f t="shared" si="42"/>
        <v>0.11543697765003971</v>
      </c>
      <c r="U46" s="98">
        <f t="shared" si="42"/>
        <v>0.11805359162895927</v>
      </c>
      <c r="V46" s="98">
        <f t="shared" si="42"/>
        <v>0.10263459652128262</v>
      </c>
      <c r="W46" s="100">
        <f t="shared" si="42"/>
        <v>0.12891122278056952</v>
      </c>
      <c r="X46" s="98">
        <f t="shared" si="42"/>
        <v>0.13218408933190334</v>
      </c>
      <c r="Y46" s="98">
        <f t="shared" si="42"/>
        <v>0.12853488804103971</v>
      </c>
      <c r="Z46" s="98">
        <f t="shared" si="42"/>
        <v>0.11384196621567529</v>
      </c>
      <c r="AA46" s="100">
        <f t="shared" si="42"/>
        <v>0.13543709908286064</v>
      </c>
      <c r="AB46" s="98">
        <f t="shared" si="42"/>
        <v>0.1215583948173475</v>
      </c>
      <c r="AC46" s="98">
        <f t="shared" si="42"/>
        <v>0.12066150085807895</v>
      </c>
      <c r="AD46" s="98">
        <f t="shared" si="42"/>
        <v>0.10148540480267612</v>
      </c>
      <c r="AE46" s="100">
        <f t="shared" si="42"/>
        <v>0.12443096997733095</v>
      </c>
      <c r="AF46" s="98">
        <f t="shared" si="42"/>
        <v>0.13096038203042093</v>
      </c>
      <c r="AG46" s="98">
        <f t="shared" si="42"/>
        <v>0.14538136663899218</v>
      </c>
      <c r="AH46" s="98">
        <f t="shared" si="42"/>
        <v>0.12939190172619566</v>
      </c>
      <c r="AI46" s="100">
        <f t="shared" si="42"/>
        <v>0.15836797087011784</v>
      </c>
      <c r="AJ46" s="98">
        <f t="shared" si="42"/>
        <v>0.16281736146625533</v>
      </c>
      <c r="AK46" s="98">
        <f t="shared" si="42"/>
        <v>0.16158802841834446</v>
      </c>
      <c r="AL46" s="98">
        <f t="shared" si="42"/>
        <v>0.14328034100962442</v>
      </c>
      <c r="AM46" s="100">
        <f t="shared" si="42"/>
        <v>0.16766909028094035</v>
      </c>
      <c r="AN46" s="98">
        <f t="shared" si="42"/>
        <v>0.16475298214803955</v>
      </c>
      <c r="AO46" s="98" t="e">
        <f t="shared" si="42"/>
        <v>#DIV/0!</v>
      </c>
      <c r="AP46" s="98" t="e">
        <f t="shared" si="42"/>
        <v>#DIV/0!</v>
      </c>
      <c r="AQ46" s="98" t="e">
        <f t="shared" si="42"/>
        <v>#DIV/0!</v>
      </c>
      <c r="AU46" s="98" t="e">
        <f>AU42/AU43</f>
        <v>#DIV/0!</v>
      </c>
      <c r="AV46" s="98" t="e">
        <f>AV42/AV43</f>
        <v>#DIV/0!</v>
      </c>
      <c r="AW46" s="98" t="e">
        <f>AW42/AW43</f>
        <v>#DIV/0!</v>
      </c>
      <c r="AX46" s="98" t="e">
        <f>AX42/AX43</f>
        <v>#DIV/0!</v>
      </c>
      <c r="AY46" s="98" t="e">
        <f t="shared" ref="AY46:BA46" si="43">AY42/AY43</f>
        <v>#DIV/0!</v>
      </c>
      <c r="AZ46" s="98" t="e">
        <f t="shared" si="43"/>
        <v>#DIV/0!</v>
      </c>
      <c r="BA46" s="98">
        <f t="shared" si="43"/>
        <v>5.2186811704948981E-2</v>
      </c>
      <c r="BB46" s="98">
        <f>BB42/BB43</f>
        <v>7.3640730426331236E-2</v>
      </c>
      <c r="BC46" s="98">
        <f t="shared" ref="BC46:BD46" si="44">BC42/BC43</f>
        <v>8.9854177237530058E-2</v>
      </c>
      <c r="BD46" s="98">
        <f t="shared" si="44"/>
        <v>9.8158164011109481E-2</v>
      </c>
      <c r="BE46" s="98">
        <f>BE42/BE43</f>
        <v>0.11016072172341093</v>
      </c>
      <c r="BF46" s="98">
        <f>BF42/BF43</f>
        <v>0.12486008227518697</v>
      </c>
      <c r="BG46" s="98">
        <f>BG42/BG43</f>
        <v>0.11751937502590244</v>
      </c>
      <c r="BH46" s="98">
        <f>BH42/BH43</f>
        <v>0.13239482186870771</v>
      </c>
      <c r="BI46" s="98">
        <f>BI42/BI43</f>
        <v>0.15583394781539467</v>
      </c>
    </row>
    <row r="47" spans="2:61" s="4" customFormat="1" x14ac:dyDescent="0.35">
      <c r="B47" s="62" t="s">
        <v>1890</v>
      </c>
      <c r="C47" s="74"/>
      <c r="D47" s="74"/>
      <c r="E47" s="74"/>
      <c r="F47" s="74"/>
      <c r="G47" s="74"/>
      <c r="H47" s="74"/>
      <c r="I47" s="74"/>
      <c r="J47" s="74"/>
      <c r="K47" s="63">
        <f>SUM(K44:K46)</f>
        <v>1</v>
      </c>
      <c r="L47" s="74">
        <f t="shared" ref="L47:AQ47" si="45">SUM(L44:L46)</f>
        <v>1</v>
      </c>
      <c r="M47" s="74">
        <f t="shared" si="45"/>
        <v>1</v>
      </c>
      <c r="N47" s="74">
        <f t="shared" si="45"/>
        <v>1</v>
      </c>
      <c r="O47" s="63">
        <f t="shared" si="45"/>
        <v>1</v>
      </c>
      <c r="P47" s="74">
        <f t="shared" si="45"/>
        <v>1</v>
      </c>
      <c r="Q47" s="74">
        <f t="shared" si="45"/>
        <v>1</v>
      </c>
      <c r="R47" s="74">
        <f t="shared" si="45"/>
        <v>1</v>
      </c>
      <c r="S47" s="63">
        <f t="shared" si="45"/>
        <v>1</v>
      </c>
      <c r="T47" s="74">
        <f t="shared" si="45"/>
        <v>1</v>
      </c>
      <c r="U47" s="74">
        <f t="shared" si="45"/>
        <v>0.99999999999999989</v>
      </c>
      <c r="V47" s="74">
        <f t="shared" si="45"/>
        <v>1</v>
      </c>
      <c r="W47" s="63">
        <f t="shared" si="45"/>
        <v>1</v>
      </c>
      <c r="X47" s="74">
        <f t="shared" si="45"/>
        <v>1</v>
      </c>
      <c r="Y47" s="74">
        <f t="shared" si="45"/>
        <v>1</v>
      </c>
      <c r="Z47" s="74">
        <f t="shared" si="45"/>
        <v>1</v>
      </c>
      <c r="AA47" s="63">
        <f t="shared" si="45"/>
        <v>1</v>
      </c>
      <c r="AB47" s="74">
        <f t="shared" si="45"/>
        <v>1</v>
      </c>
      <c r="AC47" s="74">
        <f t="shared" si="45"/>
        <v>1</v>
      </c>
      <c r="AD47" s="74">
        <f t="shared" si="45"/>
        <v>1</v>
      </c>
      <c r="AE47" s="63">
        <f t="shared" si="45"/>
        <v>1</v>
      </c>
      <c r="AF47" s="74">
        <f t="shared" si="45"/>
        <v>0.99999999999999989</v>
      </c>
      <c r="AG47" s="74">
        <f t="shared" si="45"/>
        <v>1</v>
      </c>
      <c r="AH47" s="74">
        <f t="shared" si="45"/>
        <v>0.99999999999999989</v>
      </c>
      <c r="AI47" s="63">
        <f t="shared" si="45"/>
        <v>1</v>
      </c>
      <c r="AJ47" s="74">
        <f t="shared" si="45"/>
        <v>1</v>
      </c>
      <c r="AK47" s="74">
        <f t="shared" si="45"/>
        <v>1</v>
      </c>
      <c r="AL47" s="74">
        <f t="shared" si="45"/>
        <v>1</v>
      </c>
      <c r="AM47" s="63">
        <f t="shared" si="45"/>
        <v>1</v>
      </c>
      <c r="AN47" s="74">
        <f t="shared" si="45"/>
        <v>1</v>
      </c>
      <c r="AO47" s="74" t="e">
        <f t="shared" si="45"/>
        <v>#DIV/0!</v>
      </c>
      <c r="AP47" s="74" t="e">
        <f t="shared" si="45"/>
        <v>#DIV/0!</v>
      </c>
      <c r="AQ47" s="74" t="e">
        <f t="shared" si="45"/>
        <v>#DIV/0!</v>
      </c>
      <c r="AR47" s="101"/>
      <c r="AS47" s="101"/>
      <c r="AT47" s="101"/>
      <c r="AU47" s="74" t="e">
        <f t="shared" ref="AU47:AX47" si="46">SUM(AU44:AU46)</f>
        <v>#DIV/0!</v>
      </c>
      <c r="AV47" s="74" t="e">
        <f t="shared" si="46"/>
        <v>#DIV/0!</v>
      </c>
      <c r="AW47" s="74" t="e">
        <f t="shared" si="46"/>
        <v>#DIV/0!</v>
      </c>
      <c r="AX47" s="74" t="e">
        <f t="shared" si="46"/>
        <v>#DIV/0!</v>
      </c>
      <c r="AY47" s="74" t="e">
        <f t="shared" ref="AY47" si="47">SUM(AY44:AY46)</f>
        <v>#DIV/0!</v>
      </c>
      <c r="AZ47" s="74" t="e">
        <f t="shared" ref="AZ47" si="48">SUM(AZ44:AZ46)</f>
        <v>#DIV/0!</v>
      </c>
      <c r="BA47" s="74">
        <f t="shared" ref="BA47" si="49">SUM(BA44:BA46)</f>
        <v>1</v>
      </c>
      <c r="BB47" s="74">
        <f t="shared" ref="BB47" si="50">SUM(BB44:BB46)</f>
        <v>1</v>
      </c>
      <c r="BC47" s="74">
        <f t="shared" ref="BC47" si="51">SUM(BC44:BC46)</f>
        <v>1</v>
      </c>
      <c r="BD47" s="74">
        <f t="shared" ref="BD47" si="52">SUM(BD44:BD46)</f>
        <v>0.99999999999999989</v>
      </c>
      <c r="BE47" s="74">
        <f t="shared" ref="BE47" si="53">SUM(BE44:BE46)</f>
        <v>1</v>
      </c>
      <c r="BF47" s="74">
        <f t="shared" ref="BF47" si="54">SUM(BF44:BF46)</f>
        <v>1</v>
      </c>
      <c r="BG47" s="74">
        <f t="shared" ref="BG47" si="55">SUM(BG44:BG46)</f>
        <v>1</v>
      </c>
      <c r="BH47" s="74">
        <f t="shared" ref="BH47" si="56">SUM(BH44:BH46)</f>
        <v>1</v>
      </c>
      <c r="BI47" s="74">
        <f t="shared" ref="BI47" si="57">SUM(BI44:BI46)</f>
        <v>1</v>
      </c>
    </row>
    <row r="48" spans="2:61" s="102" customFormat="1" x14ac:dyDescent="0.35">
      <c r="B48" s="103" t="s">
        <v>1891</v>
      </c>
      <c r="C48" s="104"/>
      <c r="D48" s="104"/>
      <c r="E48" s="104"/>
      <c r="F48" s="104"/>
      <c r="G48" s="104"/>
      <c r="H48" s="104"/>
      <c r="I48" s="104"/>
      <c r="J48" s="104"/>
      <c r="K48" s="105"/>
      <c r="O48" s="105"/>
      <c r="S48" s="105"/>
      <c r="W48" s="105"/>
      <c r="AA48" s="105"/>
      <c r="AE48" s="105"/>
      <c r="AI48" s="105"/>
      <c r="AM48" s="105"/>
      <c r="AN48" s="104"/>
      <c r="AO48" s="104"/>
      <c r="AP48" s="104"/>
      <c r="AQ48" s="104"/>
      <c r="AR48" s="104"/>
      <c r="AS48" s="104"/>
      <c r="AT48" s="104"/>
      <c r="AU48" s="104"/>
      <c r="AV48" s="104"/>
      <c r="AW48" s="104"/>
      <c r="AX48" s="104"/>
    </row>
    <row r="49" spans="2:61" s="12" customFormat="1" x14ac:dyDescent="0.35">
      <c r="B49" s="106" t="s">
        <v>39</v>
      </c>
      <c r="C49" s="72"/>
      <c r="D49" s="72"/>
      <c r="E49" s="72"/>
      <c r="F49" s="72"/>
      <c r="G49" s="72"/>
      <c r="H49" s="72"/>
      <c r="I49" s="72"/>
      <c r="J49" s="72"/>
      <c r="K49" s="26">
        <f>K16+K21+K26</f>
        <v>29128</v>
      </c>
      <c r="L49" s="72">
        <f>L16+L21+L26</f>
        <v>30404</v>
      </c>
      <c r="M49" s="72">
        <f>M16+M21+M26</f>
        <v>32714</v>
      </c>
      <c r="N49" s="72">
        <f>N16+N21+N26</f>
        <v>43741</v>
      </c>
      <c r="O49" s="26">
        <f>O16+O21+O26</f>
        <v>35714</v>
      </c>
      <c r="P49" s="72">
        <f>P16+P21+P26</f>
        <v>37955</v>
      </c>
      <c r="Q49" s="72">
        <f>Q16+Q21+Q26</f>
        <v>43744</v>
      </c>
      <c r="R49" s="72">
        <f>R16+R21+R26</f>
        <v>60453</v>
      </c>
      <c r="S49" s="26">
        <f>S16+S21+S26</f>
        <v>51042</v>
      </c>
      <c r="T49" s="72">
        <f>T16+T21+T26</f>
        <v>52886</v>
      </c>
      <c r="U49" s="72">
        <f>U16+U21+U26</f>
        <v>56576</v>
      </c>
      <c r="V49" s="72">
        <f>V16+V21+V26</f>
        <v>72383</v>
      </c>
      <c r="W49" s="26">
        <f>W16+W21+W26</f>
        <v>59700</v>
      </c>
      <c r="X49" s="72">
        <f>X16+X21+X26</f>
        <v>63404</v>
      </c>
      <c r="Y49" s="72">
        <f>Y16+Y21+Y26</f>
        <v>69981</v>
      </c>
      <c r="Z49" s="72">
        <f>Z16+Z21+Z26</f>
        <v>87437</v>
      </c>
      <c r="AA49" s="26">
        <f>AA16+AA21+AA26</f>
        <v>75452</v>
      </c>
      <c r="AB49" s="72">
        <f>AB16+AB21+AB26</f>
        <v>88912</v>
      </c>
      <c r="AC49" s="72">
        <f>AC16+AC21+AC26</f>
        <v>96145</v>
      </c>
      <c r="AD49" s="72">
        <f>AD16+AD21+AD26</f>
        <v>125555</v>
      </c>
      <c r="AE49" s="26">
        <f>AE16+AE21+AE26</f>
        <v>108518</v>
      </c>
      <c r="AF49" s="72">
        <f>AF16+AF21+AF26</f>
        <v>113080</v>
      </c>
      <c r="AG49" s="72">
        <f>AG16+AG21+AG26</f>
        <v>110812</v>
      </c>
      <c r="AH49" s="72">
        <f>AH16+AH21+AH26</f>
        <v>137412</v>
      </c>
      <c r="AI49" s="26">
        <f>AI16+AI21+AI26</f>
        <v>116444</v>
      </c>
      <c r="AJ49" s="72">
        <f>AJ16+AJ21+AJ26</f>
        <v>121234</v>
      </c>
      <c r="AK49" s="72">
        <f>AK16+AK21+AK26</f>
        <v>127101</v>
      </c>
      <c r="AL49" s="72">
        <f>AL16+AL21+AL26</f>
        <v>149204</v>
      </c>
      <c r="AM49" s="26">
        <f>AM16+AM21+AM26</f>
        <v>127358</v>
      </c>
      <c r="AN49" s="72">
        <f>AN16+AN21+AN26</f>
        <v>134383</v>
      </c>
      <c r="AO49" s="72">
        <f>AO16+AO21+AO26</f>
        <v>0</v>
      </c>
      <c r="AP49" s="72">
        <f>AP16+AP21+AP26</f>
        <v>0</v>
      </c>
      <c r="AQ49" s="72">
        <f>AQ16+AQ21+AQ26</f>
        <v>0</v>
      </c>
      <c r="AR49" s="72"/>
      <c r="AS49" s="72"/>
      <c r="AT49" s="72"/>
      <c r="AU49" s="72">
        <f>AU16+AU21+AU26</f>
        <v>0</v>
      </c>
      <c r="AV49" s="72">
        <f t="shared" ref="AV49:BI49" si="58">AV16+AV21+AV26</f>
        <v>0</v>
      </c>
      <c r="AW49" s="72">
        <f t="shared" si="58"/>
        <v>0</v>
      </c>
      <c r="AX49" s="72">
        <f t="shared" si="58"/>
        <v>0</v>
      </c>
      <c r="AY49" s="72">
        <f t="shared" si="58"/>
        <v>0</v>
      </c>
      <c r="AZ49" s="72">
        <f t="shared" si="58"/>
        <v>0</v>
      </c>
      <c r="BA49" s="72">
        <f t="shared" si="58"/>
        <v>88988</v>
      </c>
      <c r="BB49" s="72">
        <f t="shared" si="58"/>
        <v>107006</v>
      </c>
      <c r="BC49" s="72">
        <f t="shared" si="58"/>
        <v>135987</v>
      </c>
      <c r="BD49" s="72">
        <f t="shared" si="58"/>
        <v>177866</v>
      </c>
      <c r="BE49" s="72">
        <f t="shared" si="58"/>
        <v>232887</v>
      </c>
      <c r="BF49" s="72">
        <f t="shared" si="58"/>
        <v>280522</v>
      </c>
      <c r="BG49" s="72">
        <f t="shared" si="58"/>
        <v>386064</v>
      </c>
      <c r="BH49" s="72">
        <f t="shared" si="58"/>
        <v>469822</v>
      </c>
      <c r="BI49" s="72">
        <f t="shared" si="58"/>
        <v>513983</v>
      </c>
    </row>
    <row r="50" spans="2:61" s="13" customFormat="1" x14ac:dyDescent="0.35">
      <c r="B50" s="15" t="s">
        <v>40</v>
      </c>
      <c r="K50" s="24">
        <f>K17+K22+K27</f>
        <v>28057</v>
      </c>
      <c r="L50" s="13">
        <f>L17+L22+L27</f>
        <v>29119</v>
      </c>
      <c r="M50" s="13">
        <f>M17+M22+M27</f>
        <v>32139</v>
      </c>
      <c r="N50" s="13">
        <f>N17+N22+N27</f>
        <v>42486</v>
      </c>
      <c r="O50" s="24">
        <f>O17+O22+O27</f>
        <v>34709</v>
      </c>
      <c r="P50" s="13">
        <f>P17+P22+P27</f>
        <v>37327</v>
      </c>
      <c r="Q50" s="13">
        <f>Q17+Q22+Q27</f>
        <v>43397</v>
      </c>
      <c r="R50" s="13">
        <f>R17+R22+R27</f>
        <v>58327</v>
      </c>
      <c r="S50" s="24">
        <f>S17+S22+S27</f>
        <v>49115</v>
      </c>
      <c r="T50" s="13">
        <f>T17+T22+T27</f>
        <v>49903</v>
      </c>
      <c r="U50" s="13">
        <f>U17+U22+U27</f>
        <v>52852</v>
      </c>
      <c r="V50" s="13">
        <f>V17+V22+V27</f>
        <v>73721</v>
      </c>
      <c r="W50" s="24">
        <f>W17+W22+W27</f>
        <v>55280</v>
      </c>
      <c r="X50" s="13">
        <f>X17+X22+X27</f>
        <v>60320</v>
      </c>
      <c r="Y50" s="13">
        <f>Y17+Y22+Y27</f>
        <v>66824</v>
      </c>
      <c r="Z50" s="13">
        <f>Z17+Z22+Z27</f>
        <v>83557</v>
      </c>
      <c r="AA50" s="24">
        <f>AA17+AA22+AA27</f>
        <v>71463</v>
      </c>
      <c r="AB50" s="13">
        <f>AB17+AB22+AB27</f>
        <v>83069</v>
      </c>
      <c r="AC50" s="13">
        <f>AC17+AC22+AC27</f>
        <v>89951</v>
      </c>
      <c r="AD50" s="13">
        <f>AD17+AD22+AD27</f>
        <v>118682</v>
      </c>
      <c r="AE50" s="24">
        <f>AE17+AE22+AE27</f>
        <v>99653</v>
      </c>
      <c r="AF50" s="13">
        <f>AF17+AF22+AF27</f>
        <v>105378</v>
      </c>
      <c r="AG50" s="13">
        <f>AG17+AG22+AG27</f>
        <v>105960</v>
      </c>
      <c r="AH50" s="13">
        <f>AH17+AH22+AH27</f>
        <v>132572</v>
      </c>
      <c r="AI50" s="24">
        <f>AI17+AI22+AI27</f>
        <v>112775</v>
      </c>
      <c r="AJ50" s="13">
        <f>AJ17+AJ22+AJ27</f>
        <v>117917</v>
      </c>
      <c r="AK50" s="13">
        <f>AK17+AK22+AK27</f>
        <v>124576</v>
      </c>
      <c r="AL50" s="13">
        <f>AL17+AL22+AL27</f>
        <v>146467</v>
      </c>
      <c r="AM50" s="24">
        <f>AM17+AM22+AM27</f>
        <v>122584</v>
      </c>
      <c r="AN50" s="13">
        <f>AN17+AN22+AN27</f>
        <v>126702</v>
      </c>
      <c r="AO50" s="13">
        <f>AO17+AO22+AO27</f>
        <v>0</v>
      </c>
      <c r="AP50" s="13">
        <f>AP17+AP22+AP27</f>
        <v>0</v>
      </c>
      <c r="AQ50" s="13">
        <f>AQ17+AQ22+AQ27</f>
        <v>0</v>
      </c>
      <c r="AU50" s="13">
        <f>AU17+AU22+AU27</f>
        <v>0</v>
      </c>
      <c r="AV50" s="13">
        <f t="shared" ref="AV50:BI50" si="59">AV17+AV22+AV27</f>
        <v>0</v>
      </c>
      <c r="AW50" s="13">
        <f t="shared" si="59"/>
        <v>0</v>
      </c>
      <c r="AX50" s="13">
        <f t="shared" si="59"/>
        <v>0</v>
      </c>
      <c r="AY50" s="13">
        <f t="shared" si="59"/>
        <v>0</v>
      </c>
      <c r="AZ50" s="13">
        <f t="shared" si="59"/>
        <v>0</v>
      </c>
      <c r="BA50" s="13">
        <f t="shared" si="59"/>
        <v>89263.42</v>
      </c>
      <c r="BB50" s="13">
        <f t="shared" si="59"/>
        <v>104773</v>
      </c>
      <c r="BC50" s="13">
        <f t="shared" si="59"/>
        <v>131801</v>
      </c>
      <c r="BD50" s="13">
        <f t="shared" si="59"/>
        <v>173760</v>
      </c>
      <c r="BE50" s="13">
        <f t="shared" si="59"/>
        <v>220466</v>
      </c>
      <c r="BF50" s="13">
        <f t="shared" si="59"/>
        <v>265981</v>
      </c>
      <c r="BG50" s="13">
        <f t="shared" si="59"/>
        <v>363165</v>
      </c>
      <c r="BH50" s="13">
        <f t="shared" si="59"/>
        <v>444943</v>
      </c>
      <c r="BI50" s="13">
        <f t="shared" si="59"/>
        <v>501735</v>
      </c>
    </row>
    <row r="51" spans="2:61" s="3" customFormat="1" x14ac:dyDescent="0.35">
      <c r="B51" s="11" t="s">
        <v>41</v>
      </c>
      <c r="C51" s="87"/>
      <c r="D51" s="87"/>
      <c r="E51" s="87"/>
      <c r="F51" s="87"/>
      <c r="G51" s="87"/>
      <c r="H51" s="87"/>
      <c r="I51" s="87"/>
      <c r="J51" s="87"/>
      <c r="K51" s="26">
        <f t="shared" ref="K51:AN51" si="60">K49-K50</f>
        <v>1071</v>
      </c>
      <c r="L51" s="12">
        <f t="shared" si="60"/>
        <v>1285</v>
      </c>
      <c r="M51" s="12">
        <f t="shared" si="60"/>
        <v>575</v>
      </c>
      <c r="N51" s="12">
        <f t="shared" si="60"/>
        <v>1255</v>
      </c>
      <c r="O51" s="26">
        <f t="shared" si="60"/>
        <v>1005</v>
      </c>
      <c r="P51" s="12">
        <f t="shared" si="60"/>
        <v>628</v>
      </c>
      <c r="Q51" s="12">
        <f t="shared" si="60"/>
        <v>347</v>
      </c>
      <c r="R51" s="12">
        <f t="shared" si="60"/>
        <v>2126</v>
      </c>
      <c r="S51" s="26">
        <f t="shared" si="60"/>
        <v>1927</v>
      </c>
      <c r="T51" s="12">
        <f t="shared" si="60"/>
        <v>2983</v>
      </c>
      <c r="U51" s="12">
        <f t="shared" si="60"/>
        <v>3724</v>
      </c>
      <c r="V51" s="12">
        <f t="shared" si="60"/>
        <v>-1338</v>
      </c>
      <c r="W51" s="26">
        <f t="shared" si="60"/>
        <v>4420</v>
      </c>
      <c r="X51" s="12">
        <f t="shared" si="60"/>
        <v>3084</v>
      </c>
      <c r="Y51" s="12">
        <f t="shared" si="60"/>
        <v>3157</v>
      </c>
      <c r="Z51" s="12">
        <f t="shared" si="60"/>
        <v>3880</v>
      </c>
      <c r="AA51" s="26">
        <f t="shared" si="60"/>
        <v>3989</v>
      </c>
      <c r="AB51" s="12">
        <f t="shared" si="60"/>
        <v>5843</v>
      </c>
      <c r="AC51" s="12">
        <f t="shared" si="60"/>
        <v>6194</v>
      </c>
      <c r="AD51" s="12">
        <f t="shared" si="60"/>
        <v>6873</v>
      </c>
      <c r="AE51" s="26">
        <f t="shared" si="60"/>
        <v>8865</v>
      </c>
      <c r="AF51" s="12">
        <f t="shared" si="60"/>
        <v>7702</v>
      </c>
      <c r="AG51" s="12">
        <f t="shared" si="60"/>
        <v>4852</v>
      </c>
      <c r="AH51" s="12">
        <f t="shared" si="60"/>
        <v>4840</v>
      </c>
      <c r="AI51" s="26">
        <f t="shared" si="60"/>
        <v>3669</v>
      </c>
      <c r="AJ51" s="12">
        <f t="shared" si="60"/>
        <v>3317</v>
      </c>
      <c r="AK51" s="12">
        <f t="shared" si="60"/>
        <v>2525</v>
      </c>
      <c r="AL51" s="12">
        <f t="shared" si="60"/>
        <v>2737</v>
      </c>
      <c r="AM51" s="26">
        <f t="shared" si="60"/>
        <v>4774</v>
      </c>
      <c r="AN51" s="12">
        <f t="shared" si="60"/>
        <v>7681</v>
      </c>
      <c r="AO51" s="12">
        <f t="shared" ref="AO51" si="61">AO49-AO50</f>
        <v>0</v>
      </c>
      <c r="AP51" s="12">
        <f t="shared" ref="AP51" si="62">AP49-AP50</f>
        <v>0</v>
      </c>
      <c r="AQ51" s="12">
        <f t="shared" ref="AQ51" si="63">AQ49-AQ50</f>
        <v>0</v>
      </c>
      <c r="AR51" s="72"/>
      <c r="AS51" s="72"/>
      <c r="AT51" s="72"/>
      <c r="AU51" s="12">
        <f t="shared" ref="AU51" si="64">AU49-AU50</f>
        <v>0</v>
      </c>
      <c r="AV51" s="12">
        <f t="shared" ref="AV51" si="65">AV49-AV50</f>
        <v>0</v>
      </c>
      <c r="AW51" s="12">
        <f t="shared" ref="AW51" si="66">AW49-AW50</f>
        <v>0</v>
      </c>
      <c r="AX51" s="12">
        <f t="shared" ref="AX51" si="67">AX49-AX50</f>
        <v>0</v>
      </c>
      <c r="AY51" s="12">
        <f t="shared" ref="AY51" si="68">AY49-AY50</f>
        <v>0</v>
      </c>
      <c r="AZ51" s="12">
        <f t="shared" ref="AZ51" si="69">AZ49-AZ50</f>
        <v>0</v>
      </c>
      <c r="BA51" s="12">
        <f t="shared" ref="BA51" si="70">BA49-BA50</f>
        <v>-275.41999999999825</v>
      </c>
      <c r="BB51" s="12">
        <f t="shared" ref="BB51" si="71">BB49-BB50</f>
        <v>2233</v>
      </c>
      <c r="BC51" s="12">
        <f t="shared" ref="BC51" si="72">BC49-BC50</f>
        <v>4186</v>
      </c>
      <c r="BD51" s="12">
        <f t="shared" ref="BD51" si="73">BD49-BD50</f>
        <v>4106</v>
      </c>
      <c r="BE51" s="12">
        <f t="shared" ref="BE51" si="74">BE49-BE50</f>
        <v>12421</v>
      </c>
      <c r="BF51" s="12">
        <f t="shared" ref="BF51" si="75">BF49-BF50</f>
        <v>14541</v>
      </c>
      <c r="BG51" s="12">
        <f t="shared" ref="BG51" si="76">BG49-BG50</f>
        <v>22899</v>
      </c>
      <c r="BH51" s="12">
        <f t="shared" ref="BH51" si="77">BH49-BH50</f>
        <v>24879</v>
      </c>
      <c r="BI51" s="12">
        <f t="shared" ref="BI51" si="78">BI49-BI50</f>
        <v>12248</v>
      </c>
    </row>
    <row r="52" spans="2:61" s="16" customFormat="1" x14ac:dyDescent="0.35">
      <c r="B52" s="17" t="s">
        <v>42</v>
      </c>
      <c r="C52" s="75"/>
      <c r="D52" s="75"/>
      <c r="E52" s="75"/>
      <c r="F52" s="75"/>
      <c r="G52" s="75"/>
      <c r="H52" s="75"/>
      <c r="I52" s="75"/>
      <c r="J52" s="75"/>
      <c r="K52" s="25">
        <f t="shared" ref="K52:AN52" si="79">K51/K49</f>
        <v>3.6768744850315845E-2</v>
      </c>
      <c r="L52" s="16">
        <f t="shared" si="79"/>
        <v>4.2264175766346536E-2</v>
      </c>
      <c r="M52" s="16">
        <f t="shared" si="79"/>
        <v>1.7576572721159138E-2</v>
      </c>
      <c r="N52" s="16">
        <f t="shared" si="79"/>
        <v>2.8691616561121146E-2</v>
      </c>
      <c r="O52" s="25">
        <f t="shared" si="79"/>
        <v>2.8140225121800973E-2</v>
      </c>
      <c r="P52" s="16">
        <f t="shared" si="79"/>
        <v>1.6545909629824794E-2</v>
      </c>
      <c r="Q52" s="16">
        <f t="shared" si="79"/>
        <v>7.932516459400147E-3</v>
      </c>
      <c r="R52" s="16">
        <f t="shared" si="79"/>
        <v>3.5167816320116452E-2</v>
      </c>
      <c r="S52" s="25">
        <f t="shared" si="79"/>
        <v>3.7753222836095765E-2</v>
      </c>
      <c r="T52" s="16">
        <f t="shared" si="79"/>
        <v>5.6404341413606625E-2</v>
      </c>
      <c r="U52" s="16">
        <f t="shared" si="79"/>
        <v>6.5822963800904979E-2</v>
      </c>
      <c r="V52" s="16">
        <f t="shared" si="79"/>
        <v>-1.8485003384772668E-2</v>
      </c>
      <c r="W52" s="25">
        <f t="shared" si="79"/>
        <v>7.4036850921273031E-2</v>
      </c>
      <c r="X52" s="16">
        <f t="shared" si="79"/>
        <v>4.8640464324017411E-2</v>
      </c>
      <c r="Y52" s="16">
        <f t="shared" si="79"/>
        <v>4.5112244752147014E-2</v>
      </c>
      <c r="Z52" s="16">
        <f t="shared" si="79"/>
        <v>4.4374807003899952E-2</v>
      </c>
      <c r="AA52" s="25">
        <f t="shared" si="79"/>
        <v>5.2868048560674334E-2</v>
      </c>
      <c r="AB52" s="16">
        <f t="shared" si="79"/>
        <v>6.5716663667446468E-2</v>
      </c>
      <c r="AC52" s="16">
        <f t="shared" si="79"/>
        <v>6.4423526964480726E-2</v>
      </c>
      <c r="AD52" s="16">
        <f t="shared" si="79"/>
        <v>5.4740950181195493E-2</v>
      </c>
      <c r="AE52" s="25">
        <f t="shared" si="79"/>
        <v>8.1691516614755155E-2</v>
      </c>
      <c r="AF52" s="16">
        <f t="shared" si="79"/>
        <v>6.8111071807569867E-2</v>
      </c>
      <c r="AG52" s="16">
        <f t="shared" si="79"/>
        <v>4.3785871566256365E-2</v>
      </c>
      <c r="AH52" s="16">
        <f t="shared" si="79"/>
        <v>3.5222542427153378E-2</v>
      </c>
      <c r="AI52" s="25">
        <f t="shared" si="79"/>
        <v>3.1508708048504003E-2</v>
      </c>
      <c r="AJ52" s="16">
        <f t="shared" si="79"/>
        <v>2.7360311463780786E-2</v>
      </c>
      <c r="AK52" s="16">
        <f t="shared" si="79"/>
        <v>1.986609074672898E-2</v>
      </c>
      <c r="AL52" s="16">
        <f t="shared" si="79"/>
        <v>1.8344012224873328E-2</v>
      </c>
      <c r="AM52" s="25">
        <f t="shared" si="79"/>
        <v>3.7484885126964934E-2</v>
      </c>
      <c r="AN52" s="16">
        <f t="shared" si="79"/>
        <v>5.7157527365812637E-2</v>
      </c>
      <c r="AO52" s="16" t="e">
        <f t="shared" ref="AO52" si="80">AO51/AO49</f>
        <v>#DIV/0!</v>
      </c>
      <c r="AP52" s="16" t="e">
        <f t="shared" ref="AP52" si="81">AP51/AP49</f>
        <v>#DIV/0!</v>
      </c>
      <c r="AQ52" s="16" t="e">
        <f t="shared" ref="AQ52" si="82">AQ51/AQ49</f>
        <v>#DIV/0!</v>
      </c>
      <c r="AR52" s="75"/>
      <c r="AS52" s="75"/>
      <c r="AT52" s="75"/>
      <c r="AU52" s="16" t="e">
        <f t="shared" ref="AU52" si="83">AU51/AU49</f>
        <v>#DIV/0!</v>
      </c>
      <c r="AV52" s="16" t="e">
        <f t="shared" ref="AV52" si="84">AV51/AV49</f>
        <v>#DIV/0!</v>
      </c>
      <c r="AW52" s="16" t="e">
        <f t="shared" ref="AW52" si="85">AW51/AW49</f>
        <v>#DIV/0!</v>
      </c>
      <c r="AX52" s="16" t="e">
        <f t="shared" ref="AX52" si="86">AX51/AX49</f>
        <v>#DIV/0!</v>
      </c>
      <c r="AY52" s="16" t="e">
        <f t="shared" ref="AY52" si="87">AY51/AY49</f>
        <v>#DIV/0!</v>
      </c>
      <c r="AZ52" s="16" t="e">
        <f t="shared" ref="AZ52" si="88">AZ51/AZ49</f>
        <v>#DIV/0!</v>
      </c>
      <c r="BA52" s="16">
        <f t="shared" ref="BA52" si="89">BA51/BA49</f>
        <v>-3.0950240481862528E-3</v>
      </c>
      <c r="BB52" s="16">
        <f t="shared" ref="BB52" si="90">BB51/BB49</f>
        <v>2.0867988710913405E-2</v>
      </c>
      <c r="BC52" s="16">
        <f t="shared" ref="BC52" si="91">BC51/BC49</f>
        <v>3.0782354195621642E-2</v>
      </c>
      <c r="BD52" s="16">
        <f t="shared" ref="BD52" si="92">BD51/BD49</f>
        <v>2.3084794170892695E-2</v>
      </c>
      <c r="BE52" s="16">
        <f t="shared" ref="BE52" si="93">BE51/BE49</f>
        <v>5.3334879147397665E-2</v>
      </c>
      <c r="BF52" s="16">
        <f t="shared" ref="BF52" si="94">BF51/BF49</f>
        <v>5.1835506662579051E-2</v>
      </c>
      <c r="BG52" s="16">
        <f t="shared" ref="BG52" si="95">BG51/BG49</f>
        <v>5.9313999751336569E-2</v>
      </c>
      <c r="BH52" s="16">
        <f t="shared" ref="BH52" si="96">BH51/BH49</f>
        <v>5.2954097509269465E-2</v>
      </c>
      <c r="BI52" s="16">
        <f t="shared" ref="BI52" si="97">BI51/BI49</f>
        <v>2.3829581912242232E-2</v>
      </c>
    </row>
    <row r="53" spans="2:61" s="57" customFormat="1" x14ac:dyDescent="0.35">
      <c r="B53" s="22" t="s">
        <v>1897</v>
      </c>
      <c r="C53" s="69"/>
      <c r="D53" s="69"/>
      <c r="E53" s="69"/>
      <c r="F53" s="69"/>
      <c r="G53" s="69"/>
      <c r="H53" s="69"/>
      <c r="I53" s="69"/>
      <c r="J53" s="69"/>
      <c r="K53" s="89"/>
      <c r="L53" s="56"/>
      <c r="O53" s="58"/>
      <c r="S53" s="58"/>
      <c r="W53" s="96"/>
      <c r="X53" s="95"/>
      <c r="Y53" s="95"/>
      <c r="AA53" s="58"/>
      <c r="AE53" s="58"/>
      <c r="AI53" s="58"/>
      <c r="AM53" s="58"/>
      <c r="AN53" s="69"/>
      <c r="AO53" s="69"/>
      <c r="AP53" s="69"/>
      <c r="AQ53" s="69"/>
      <c r="AR53" s="69"/>
      <c r="AS53" s="69"/>
      <c r="AT53" s="69"/>
      <c r="AU53" s="69"/>
      <c r="AV53" s="69"/>
      <c r="AW53" s="69"/>
      <c r="AX53" s="69"/>
    </row>
    <row r="54" spans="2:61" s="34" customFormat="1" x14ac:dyDescent="0.35">
      <c r="B54" s="40" t="s">
        <v>1902</v>
      </c>
      <c r="C54" s="88"/>
      <c r="D54" s="88"/>
      <c r="E54" s="88"/>
      <c r="F54" s="88"/>
      <c r="G54" s="88"/>
      <c r="H54" s="88"/>
      <c r="I54" s="88"/>
      <c r="J54" s="88"/>
      <c r="K54" s="120"/>
      <c r="L54" s="121"/>
      <c r="M54" s="122"/>
      <c r="N54" s="122"/>
      <c r="O54" s="123"/>
      <c r="P54" s="122"/>
      <c r="Q54" s="122"/>
      <c r="R54" s="122"/>
      <c r="S54" s="123"/>
      <c r="T54" s="122"/>
      <c r="U54" s="122"/>
      <c r="V54" s="122"/>
      <c r="W54" s="42"/>
      <c r="X54" s="41"/>
      <c r="Y54" s="41"/>
      <c r="Z54" s="122"/>
      <c r="AA54" s="123"/>
      <c r="AB54" s="122"/>
      <c r="AC54" s="122"/>
      <c r="AD54" s="122"/>
      <c r="AE54" s="123"/>
      <c r="AF54" s="122"/>
      <c r="AG54" s="122"/>
      <c r="AH54" s="122"/>
      <c r="AI54" s="123"/>
      <c r="AJ54" s="122"/>
      <c r="AK54" s="122"/>
      <c r="AL54" s="122"/>
      <c r="AM54" s="123"/>
      <c r="AN54" s="124"/>
      <c r="AO54" s="124"/>
      <c r="AP54" s="124"/>
      <c r="AQ54" s="124"/>
      <c r="AR54" s="124"/>
      <c r="AS54" s="124"/>
      <c r="AT54" s="124"/>
      <c r="AU54" s="124"/>
      <c r="AV54" s="124"/>
      <c r="AW54" s="124"/>
      <c r="AX54" s="124"/>
      <c r="AY54" s="122"/>
      <c r="AZ54" s="122"/>
      <c r="BA54" s="122"/>
      <c r="BB54" s="122"/>
      <c r="BC54" s="122"/>
      <c r="BD54" s="122"/>
      <c r="BE54" s="122"/>
      <c r="BF54" s="122"/>
      <c r="BG54" s="122"/>
      <c r="BH54" s="122"/>
    </row>
    <row r="55" spans="2:61" s="20" customFormat="1" x14ac:dyDescent="0.35">
      <c r="B55" s="110" t="s">
        <v>1898</v>
      </c>
      <c r="C55" s="111"/>
      <c r="D55" s="111"/>
      <c r="E55" s="111"/>
      <c r="F55" s="111"/>
      <c r="G55" s="111"/>
      <c r="H55" s="111"/>
      <c r="I55" s="111"/>
      <c r="J55" s="111"/>
      <c r="K55" s="125"/>
      <c r="O55" s="125"/>
      <c r="S55" s="125"/>
      <c r="W55" s="125"/>
      <c r="AA55" s="125"/>
      <c r="AE55" s="125"/>
      <c r="AI55" s="125"/>
      <c r="AM55" s="125"/>
      <c r="AN55" s="111"/>
      <c r="AO55" s="111"/>
      <c r="AP55" s="111"/>
      <c r="AQ55" s="111"/>
      <c r="AR55" s="111"/>
      <c r="AS55" s="111"/>
      <c r="AT55" s="111"/>
      <c r="AU55" s="111"/>
      <c r="AV55" s="111"/>
      <c r="AW55" s="111"/>
      <c r="AX55" s="111"/>
      <c r="BD55" s="20">
        <v>12712</v>
      </c>
    </row>
    <row r="56" spans="2:61" s="20" customFormat="1" x14ac:dyDescent="0.35">
      <c r="B56" s="110" t="s">
        <v>31</v>
      </c>
      <c r="C56" s="111"/>
      <c r="D56" s="111"/>
      <c r="E56" s="111"/>
      <c r="F56" s="111"/>
      <c r="G56" s="111"/>
      <c r="H56" s="111"/>
      <c r="I56" s="111"/>
      <c r="J56" s="111"/>
      <c r="K56" s="125"/>
      <c r="O56" s="125"/>
      <c r="S56" s="125"/>
      <c r="W56" s="125"/>
      <c r="AA56" s="125"/>
      <c r="AE56" s="125"/>
      <c r="AI56" s="125"/>
      <c r="AM56" s="125"/>
      <c r="AN56" s="111"/>
      <c r="AO56" s="111"/>
      <c r="AP56" s="111"/>
      <c r="AQ56" s="111"/>
      <c r="AR56" s="111"/>
      <c r="AS56" s="111"/>
      <c r="AT56" s="111"/>
      <c r="AU56" s="111"/>
      <c r="AV56" s="111"/>
      <c r="AW56" s="111"/>
      <c r="AX56" s="111"/>
      <c r="BD56" s="20">
        <v>20349</v>
      </c>
    </row>
    <row r="57" spans="2:61" s="20" customFormat="1" x14ac:dyDescent="0.35">
      <c r="B57" s="110" t="s">
        <v>1899</v>
      </c>
      <c r="C57" s="111"/>
      <c r="D57" s="111"/>
      <c r="E57" s="111"/>
      <c r="F57" s="111"/>
      <c r="G57" s="111"/>
      <c r="H57" s="111"/>
      <c r="I57" s="111"/>
      <c r="J57" s="111"/>
      <c r="K57" s="125"/>
      <c r="O57" s="125"/>
      <c r="S57" s="125"/>
      <c r="W57" s="125"/>
      <c r="AA57" s="125"/>
      <c r="AE57" s="125"/>
      <c r="AI57" s="125"/>
      <c r="AM57" s="125"/>
      <c r="AN57" s="111"/>
      <c r="AO57" s="111"/>
      <c r="AP57" s="111"/>
      <c r="AQ57" s="111"/>
      <c r="AR57" s="111"/>
      <c r="AS57" s="111"/>
      <c r="AT57" s="111"/>
      <c r="AU57" s="111"/>
      <c r="AV57" s="111"/>
      <c r="AW57" s="111"/>
      <c r="AX57" s="111"/>
      <c r="BD57" s="20">
        <v>131419</v>
      </c>
    </row>
    <row r="58" spans="2:61" s="41" customFormat="1" x14ac:dyDescent="0.35">
      <c r="B58" s="60" t="s">
        <v>1901</v>
      </c>
      <c r="C58" s="70"/>
      <c r="D58" s="70"/>
      <c r="E58" s="70"/>
      <c r="F58" s="70"/>
      <c r="G58" s="70"/>
      <c r="H58" s="70"/>
      <c r="I58" s="70"/>
      <c r="J58" s="70"/>
      <c r="K58" s="127"/>
      <c r="L58" s="128"/>
      <c r="M58" s="128"/>
      <c r="N58" s="128"/>
      <c r="O58" s="127"/>
      <c r="P58" s="128"/>
      <c r="Q58" s="128"/>
      <c r="R58" s="128"/>
      <c r="S58" s="127"/>
      <c r="T58" s="128"/>
      <c r="U58" s="128"/>
      <c r="V58" s="128"/>
      <c r="W58" s="42"/>
      <c r="Z58" s="128"/>
      <c r="AA58" s="127"/>
      <c r="AB58" s="128"/>
      <c r="AC58" s="128"/>
      <c r="AD58" s="128"/>
      <c r="AE58" s="127"/>
      <c r="AF58" s="128"/>
      <c r="AG58" s="128"/>
      <c r="AH58" s="128"/>
      <c r="AI58" s="127"/>
      <c r="AJ58" s="128"/>
      <c r="AK58" s="128"/>
      <c r="AL58" s="128"/>
      <c r="AM58" s="127"/>
      <c r="AN58" s="129"/>
      <c r="AO58" s="129"/>
      <c r="AP58" s="129"/>
      <c r="AQ58" s="129"/>
      <c r="AR58" s="129"/>
      <c r="AS58" s="129"/>
      <c r="AT58" s="129"/>
      <c r="AU58" s="129"/>
      <c r="AV58" s="129"/>
      <c r="AW58" s="129"/>
      <c r="AX58" s="129"/>
      <c r="AY58" s="128"/>
      <c r="AZ58" s="128"/>
      <c r="BA58" s="128"/>
      <c r="BB58" s="128"/>
      <c r="BC58" s="128"/>
      <c r="BD58" s="128"/>
      <c r="BE58" s="128"/>
      <c r="BF58" s="128"/>
      <c r="BG58" s="128"/>
      <c r="BH58" s="128"/>
    </row>
    <row r="59" spans="2:61" s="20" customFormat="1" x14ac:dyDescent="0.35">
      <c r="B59" s="110" t="s">
        <v>1898</v>
      </c>
      <c r="C59" s="111"/>
      <c r="D59" s="111"/>
      <c r="E59" s="111"/>
      <c r="F59" s="111"/>
      <c r="G59" s="111"/>
      <c r="H59" s="111"/>
      <c r="I59" s="111"/>
      <c r="J59" s="111"/>
      <c r="K59" s="125"/>
      <c r="O59" s="125"/>
      <c r="S59" s="125"/>
      <c r="W59" s="125"/>
      <c r="AA59" s="125"/>
      <c r="AE59" s="125"/>
      <c r="AI59" s="125"/>
      <c r="AM59" s="125"/>
      <c r="AN59" s="111"/>
      <c r="AO59" s="111"/>
      <c r="AP59" s="111"/>
      <c r="AQ59" s="111"/>
      <c r="AR59" s="111"/>
      <c r="AS59" s="111"/>
      <c r="AT59" s="111"/>
      <c r="AU59" s="111"/>
      <c r="AV59" s="111"/>
      <c r="AW59" s="111"/>
      <c r="AX59" s="111"/>
      <c r="BD59" s="20">
        <v>7466</v>
      </c>
    </row>
    <row r="60" spans="2:61" s="20" customFormat="1" x14ac:dyDescent="0.35">
      <c r="B60" s="110" t="s">
        <v>31</v>
      </c>
      <c r="C60" s="111"/>
      <c r="D60" s="111"/>
      <c r="E60" s="111"/>
      <c r="F60" s="111"/>
      <c r="G60" s="111"/>
      <c r="H60" s="111"/>
      <c r="I60" s="111"/>
      <c r="J60" s="111"/>
      <c r="K60" s="125"/>
      <c r="O60" s="125"/>
      <c r="S60" s="125"/>
      <c r="W60" s="125"/>
      <c r="AA60" s="125"/>
      <c r="AE60" s="125"/>
      <c r="AI60" s="125"/>
      <c r="AM60" s="125"/>
      <c r="AN60" s="111"/>
      <c r="AO60" s="111"/>
      <c r="AP60" s="111"/>
      <c r="AQ60" s="111"/>
      <c r="AR60" s="111"/>
      <c r="AS60" s="111"/>
      <c r="AT60" s="111"/>
      <c r="AU60" s="111"/>
      <c r="AV60" s="111"/>
      <c r="AW60" s="111"/>
      <c r="AX60" s="111"/>
      <c r="BD60" s="20">
        <v>202</v>
      </c>
    </row>
    <row r="61" spans="2:61" s="115" customFormat="1" x14ac:dyDescent="0.35">
      <c r="B61" s="114" t="s">
        <v>1899</v>
      </c>
      <c r="K61" s="126"/>
      <c r="O61" s="126"/>
      <c r="S61" s="126"/>
      <c r="W61" s="126"/>
      <c r="AA61" s="126"/>
      <c r="AE61" s="126"/>
      <c r="AI61" s="126"/>
      <c r="AM61" s="126"/>
      <c r="BD61" s="115">
        <v>67832</v>
      </c>
    </row>
    <row r="62" spans="2:61" s="111" customFormat="1" x14ac:dyDescent="0.35">
      <c r="B62" s="110" t="s">
        <v>1905</v>
      </c>
      <c r="K62" s="125"/>
      <c r="O62" s="125"/>
      <c r="S62" s="125"/>
      <c r="W62" s="125"/>
      <c r="AA62" s="125"/>
      <c r="AE62" s="125"/>
      <c r="AI62" s="125"/>
      <c r="AM62" s="125"/>
      <c r="BD62" s="111">
        <f>SUM(BD59:BD61)+SUM(BD55:BD57)</f>
        <v>239980</v>
      </c>
    </row>
    <row r="63" spans="2:61" s="38" customFormat="1" x14ac:dyDescent="0.35">
      <c r="B63" s="61" t="s">
        <v>1903</v>
      </c>
      <c r="C63" s="73"/>
      <c r="D63" s="73"/>
      <c r="E63" s="73"/>
      <c r="F63" s="73"/>
      <c r="G63" s="73"/>
      <c r="H63" s="73"/>
      <c r="I63" s="73"/>
      <c r="J63" s="73"/>
      <c r="K63" s="39"/>
      <c r="O63" s="39"/>
      <c r="S63" s="39"/>
      <c r="W63" s="39"/>
      <c r="AA63" s="39"/>
      <c r="AE63" s="39"/>
      <c r="AI63" s="39"/>
      <c r="AM63" s="39"/>
      <c r="AN63" s="73"/>
      <c r="AO63" s="73"/>
      <c r="AP63" s="73"/>
      <c r="AQ63" s="73"/>
      <c r="AR63" s="73"/>
      <c r="AS63" s="73"/>
      <c r="AT63" s="73"/>
      <c r="AU63" s="73"/>
      <c r="AV63" s="73"/>
      <c r="AW63" s="73"/>
      <c r="AX63" s="73"/>
    </row>
    <row r="64" spans="2:61" s="20" customFormat="1" x14ac:dyDescent="0.35">
      <c r="B64" s="110" t="s">
        <v>1898</v>
      </c>
      <c r="C64" s="111"/>
      <c r="D64" s="111"/>
      <c r="E64" s="111"/>
      <c r="F64" s="111"/>
      <c r="G64" s="111"/>
      <c r="H64" s="111"/>
      <c r="I64" s="111"/>
      <c r="J64" s="111"/>
      <c r="K64" s="125"/>
      <c r="O64" s="125"/>
      <c r="S64" s="125"/>
      <c r="W64" s="125"/>
      <c r="AA64" s="125"/>
      <c r="AE64" s="125"/>
      <c r="AI64" s="125"/>
      <c r="AM64" s="125"/>
      <c r="AN64" s="111"/>
      <c r="AO64" s="111"/>
      <c r="AP64" s="111"/>
      <c r="AQ64" s="111"/>
      <c r="AR64" s="111"/>
      <c r="AS64" s="111"/>
      <c r="AT64" s="111"/>
      <c r="AU64" s="111"/>
      <c r="AV64" s="111"/>
      <c r="AW64" s="111"/>
      <c r="AX64" s="111"/>
      <c r="BD64" s="20">
        <v>3674</v>
      </c>
    </row>
    <row r="65" spans="1:61" s="20" customFormat="1" x14ac:dyDescent="0.35">
      <c r="B65" s="110" t="s">
        <v>31</v>
      </c>
      <c r="C65" s="111"/>
      <c r="D65" s="111"/>
      <c r="E65" s="111"/>
      <c r="F65" s="111"/>
      <c r="G65" s="111"/>
      <c r="H65" s="111"/>
      <c r="I65" s="111"/>
      <c r="J65" s="111"/>
      <c r="K65" s="125"/>
      <c r="O65" s="125"/>
      <c r="S65" s="125"/>
      <c r="W65" s="125"/>
      <c r="AA65" s="125"/>
      <c r="AE65" s="125"/>
      <c r="AI65" s="125"/>
      <c r="AM65" s="125"/>
      <c r="AN65" s="111"/>
      <c r="AO65" s="111"/>
      <c r="AP65" s="111"/>
      <c r="AQ65" s="111"/>
      <c r="AR65" s="111"/>
      <c r="AS65" s="111"/>
      <c r="AT65" s="111"/>
      <c r="AU65" s="111"/>
      <c r="AV65" s="111"/>
      <c r="AW65" s="111"/>
      <c r="AX65" s="111"/>
      <c r="BD65" s="20">
        <v>735</v>
      </c>
    </row>
    <row r="66" spans="1:61" s="20" customFormat="1" x14ac:dyDescent="0.35">
      <c r="B66" s="110" t="s">
        <v>1899</v>
      </c>
      <c r="C66" s="111"/>
      <c r="D66" s="111"/>
      <c r="E66" s="111"/>
      <c r="F66" s="111"/>
      <c r="G66" s="111"/>
      <c r="H66" s="111"/>
      <c r="I66" s="111"/>
      <c r="J66" s="111"/>
      <c r="K66" s="125"/>
      <c r="O66" s="125"/>
      <c r="S66" s="125"/>
      <c r="W66" s="125"/>
      <c r="AA66" s="125"/>
      <c r="AE66" s="125"/>
      <c r="AI66" s="125"/>
      <c r="AM66" s="125"/>
      <c r="AN66" s="111"/>
      <c r="AO66" s="111"/>
      <c r="AP66" s="111"/>
      <c r="AQ66" s="111"/>
      <c r="AR66" s="111"/>
      <c r="AS66" s="111"/>
      <c r="AT66" s="111"/>
      <c r="AU66" s="111"/>
      <c r="AV66" s="111"/>
      <c r="AW66" s="111"/>
      <c r="AX66" s="111"/>
      <c r="BD66" s="20">
        <v>4406</v>
      </c>
    </row>
    <row r="67" spans="1:61" s="38" customFormat="1" x14ac:dyDescent="0.35">
      <c r="B67" s="61" t="s">
        <v>1904</v>
      </c>
      <c r="C67" s="73"/>
      <c r="D67" s="73"/>
      <c r="E67" s="73"/>
      <c r="F67" s="73"/>
      <c r="G67" s="73"/>
      <c r="H67" s="73"/>
      <c r="I67" s="73"/>
      <c r="J67" s="73"/>
      <c r="K67" s="39"/>
      <c r="O67" s="39"/>
      <c r="S67" s="39"/>
      <c r="W67" s="39"/>
      <c r="AA67" s="39"/>
      <c r="AE67" s="39"/>
      <c r="AI67" s="39"/>
      <c r="AM67" s="39"/>
      <c r="AN67" s="73"/>
      <c r="AO67" s="73"/>
      <c r="AP67" s="73"/>
      <c r="AQ67" s="73"/>
      <c r="AR67" s="73"/>
      <c r="AS67" s="73"/>
      <c r="AT67" s="73"/>
      <c r="AU67" s="73"/>
      <c r="AV67" s="73"/>
      <c r="AW67" s="73"/>
      <c r="AX67" s="73"/>
    </row>
    <row r="68" spans="1:61" s="20" customFormat="1" x14ac:dyDescent="0.35">
      <c r="B68" s="110" t="s">
        <v>1898</v>
      </c>
      <c r="C68" s="111"/>
      <c r="D68" s="111"/>
      <c r="E68" s="111"/>
      <c r="F68" s="111"/>
      <c r="G68" s="111"/>
      <c r="H68" s="111"/>
      <c r="I68" s="111"/>
      <c r="J68" s="111"/>
      <c r="K68" s="125"/>
      <c r="O68" s="125"/>
      <c r="S68" s="125"/>
      <c r="W68" s="125"/>
      <c r="AA68" s="125"/>
      <c r="AE68" s="125"/>
      <c r="AI68" s="125"/>
      <c r="AM68" s="125"/>
      <c r="AN68" s="111"/>
      <c r="AO68" s="111"/>
      <c r="AP68" s="111"/>
      <c r="AQ68" s="111"/>
      <c r="AR68" s="111"/>
      <c r="AS68" s="111"/>
      <c r="AT68" s="111"/>
      <c r="AU68" s="111"/>
      <c r="AV68" s="111"/>
      <c r="AW68" s="111"/>
      <c r="AX68" s="111"/>
      <c r="BD68" s="20">
        <v>0</v>
      </c>
    </row>
    <row r="69" spans="1:61" s="20" customFormat="1" x14ac:dyDescent="0.35">
      <c r="B69" s="110" t="s">
        <v>31</v>
      </c>
      <c r="C69" s="111"/>
      <c r="D69" s="111"/>
      <c r="E69" s="111"/>
      <c r="F69" s="111"/>
      <c r="G69" s="111"/>
      <c r="H69" s="111"/>
      <c r="I69" s="111"/>
      <c r="J69" s="111"/>
      <c r="K69" s="125"/>
      <c r="O69" s="125"/>
      <c r="S69" s="125"/>
      <c r="W69" s="125"/>
      <c r="AA69" s="125"/>
      <c r="AE69" s="125"/>
      <c r="AI69" s="125"/>
      <c r="AM69" s="125"/>
      <c r="AN69" s="111"/>
      <c r="AO69" s="111"/>
      <c r="AP69" s="111"/>
      <c r="AQ69" s="111"/>
      <c r="AR69" s="111"/>
      <c r="AS69" s="111"/>
      <c r="AT69" s="111"/>
      <c r="AU69" s="111"/>
      <c r="AV69" s="111"/>
      <c r="AW69" s="111"/>
      <c r="AX69" s="111"/>
      <c r="BD69" s="20">
        <v>0</v>
      </c>
    </row>
    <row r="70" spans="1:61" s="115" customFormat="1" x14ac:dyDescent="0.35">
      <c r="B70" s="114" t="s">
        <v>1899</v>
      </c>
      <c r="K70" s="126"/>
      <c r="O70" s="126"/>
      <c r="S70" s="126"/>
      <c r="W70" s="126"/>
      <c r="AA70" s="126"/>
      <c r="AE70" s="126"/>
      <c r="AI70" s="126"/>
      <c r="AM70" s="126"/>
      <c r="BD70" s="115">
        <v>5190</v>
      </c>
    </row>
    <row r="71" spans="1:61" s="20" customFormat="1" x14ac:dyDescent="0.35">
      <c r="B71" s="110" t="s">
        <v>1906</v>
      </c>
      <c r="C71" s="111"/>
      <c r="D71" s="111"/>
      <c r="E71" s="111"/>
      <c r="F71" s="111"/>
      <c r="G71" s="111"/>
      <c r="H71" s="111"/>
      <c r="I71" s="111"/>
      <c r="J71" s="111"/>
      <c r="K71" s="125"/>
      <c r="O71" s="125"/>
      <c r="S71" s="125"/>
      <c r="W71" s="125"/>
      <c r="AA71" s="125"/>
      <c r="AE71" s="125"/>
      <c r="AI71" s="125"/>
      <c r="AM71" s="125"/>
      <c r="AN71" s="111"/>
      <c r="AO71" s="111"/>
      <c r="AP71" s="111"/>
      <c r="AQ71" s="111"/>
      <c r="AR71" s="111"/>
      <c r="AS71" s="111"/>
      <c r="AT71" s="111"/>
      <c r="AU71" s="111"/>
      <c r="AV71" s="111"/>
      <c r="AW71" s="111"/>
      <c r="AX71" s="111"/>
      <c r="BD71" s="20">
        <f>SUM(BD68:BD70)+SUM(BD64:BD66)</f>
        <v>14005</v>
      </c>
    </row>
    <row r="72" spans="1:61" s="38" customFormat="1" x14ac:dyDescent="0.35">
      <c r="B72" s="61" t="s">
        <v>1900</v>
      </c>
      <c r="C72" s="73"/>
      <c r="D72" s="73"/>
      <c r="E72" s="73"/>
      <c r="F72" s="73"/>
      <c r="G72" s="73"/>
      <c r="H72" s="73"/>
      <c r="I72" s="73"/>
      <c r="J72" s="73"/>
      <c r="K72" s="39"/>
      <c r="O72" s="39"/>
      <c r="S72" s="39"/>
      <c r="W72" s="39"/>
      <c r="AA72" s="39"/>
      <c r="AE72" s="39"/>
      <c r="AI72" s="39"/>
      <c r="AM72" s="39"/>
      <c r="AN72" s="73"/>
      <c r="AO72" s="73"/>
      <c r="AP72" s="73"/>
      <c r="AQ72" s="73"/>
      <c r="AR72" s="73"/>
      <c r="AS72" s="73"/>
      <c r="AT72" s="73"/>
      <c r="AU72" s="73"/>
      <c r="AV72" s="73"/>
      <c r="AW72" s="73"/>
      <c r="AX72" s="73"/>
    </row>
    <row r="73" spans="1:61" s="20" customFormat="1" x14ac:dyDescent="0.35">
      <c r="B73" s="110" t="s">
        <v>21</v>
      </c>
      <c r="C73" s="111"/>
      <c r="D73" s="111"/>
      <c r="E73" s="111"/>
      <c r="F73" s="111"/>
      <c r="G73" s="111"/>
      <c r="H73" s="111"/>
      <c r="I73" s="111"/>
      <c r="J73" s="111"/>
      <c r="K73" s="125"/>
      <c r="O73" s="125"/>
      <c r="S73" s="125"/>
      <c r="W73" s="125"/>
      <c r="AA73" s="125"/>
      <c r="AE73" s="125"/>
      <c r="AI73" s="125"/>
      <c r="AM73" s="125"/>
      <c r="AN73" s="111"/>
      <c r="AO73" s="111"/>
      <c r="AP73" s="111"/>
      <c r="AQ73" s="111"/>
      <c r="AR73" s="111"/>
      <c r="AS73" s="111"/>
      <c r="AT73" s="111"/>
      <c r="AU73" s="111"/>
      <c r="AV73" s="111"/>
      <c r="AW73" s="111"/>
      <c r="AX73" s="111"/>
    </row>
    <row r="74" spans="1:61" s="20" customFormat="1" x14ac:dyDescent="0.35">
      <c r="B74" s="110" t="s">
        <v>38</v>
      </c>
      <c r="C74" s="111"/>
      <c r="D74" s="111"/>
      <c r="E74" s="111"/>
      <c r="F74" s="111"/>
      <c r="G74" s="111"/>
      <c r="H74" s="111"/>
      <c r="I74" s="111"/>
      <c r="J74" s="111"/>
      <c r="K74" s="125"/>
      <c r="O74" s="125"/>
      <c r="S74" s="125"/>
      <c r="W74" s="125"/>
      <c r="AA74" s="125"/>
      <c r="AE74" s="125"/>
      <c r="AI74" s="125"/>
      <c r="AM74" s="125"/>
      <c r="AN74" s="111"/>
      <c r="AO74" s="111"/>
      <c r="AP74" s="111"/>
      <c r="AQ74" s="111"/>
      <c r="AR74" s="111"/>
      <c r="AS74" s="111"/>
      <c r="AT74" s="111"/>
      <c r="AU74" s="111"/>
      <c r="AV74" s="111"/>
      <c r="AW74" s="111"/>
      <c r="AX74" s="111"/>
    </row>
    <row r="75" spans="1:61" s="115" customFormat="1" x14ac:dyDescent="0.35">
      <c r="B75" s="114" t="s">
        <v>27</v>
      </c>
      <c r="K75" s="126"/>
      <c r="O75" s="126"/>
      <c r="S75" s="126"/>
      <c r="W75" s="126"/>
      <c r="AA75" s="126"/>
      <c r="AE75" s="126"/>
      <c r="AI75" s="126"/>
      <c r="AM75" s="126"/>
    </row>
    <row r="76" spans="1:61" s="20" customFormat="1" x14ac:dyDescent="0.35">
      <c r="B76" s="110" t="s">
        <v>28</v>
      </c>
      <c r="C76" s="111"/>
      <c r="D76" s="111"/>
      <c r="E76" s="111"/>
      <c r="F76" s="111"/>
      <c r="G76" s="111"/>
      <c r="H76" s="111"/>
      <c r="I76" s="111"/>
      <c r="J76" s="111"/>
      <c r="K76" s="125"/>
      <c r="O76" s="125"/>
      <c r="S76" s="125"/>
      <c r="W76" s="125"/>
      <c r="AA76" s="125"/>
      <c r="AE76" s="125"/>
      <c r="AI76" s="125"/>
      <c r="AM76" s="125"/>
      <c r="AN76" s="111"/>
      <c r="AO76" s="111"/>
      <c r="AP76" s="111"/>
      <c r="AQ76" s="111"/>
      <c r="AR76" s="111"/>
      <c r="AS76" s="111"/>
      <c r="AT76" s="111"/>
      <c r="AU76" s="111"/>
      <c r="AV76" s="111"/>
      <c r="AW76" s="111"/>
      <c r="AX76" s="111"/>
    </row>
    <row r="77" spans="1:61" s="53" customFormat="1" x14ac:dyDescent="0.35">
      <c r="A77" s="53" t="s">
        <v>43</v>
      </c>
      <c r="B77" s="22" t="s">
        <v>1896</v>
      </c>
      <c r="C77" s="69"/>
      <c r="D77" s="69"/>
      <c r="E77" s="69"/>
      <c r="F77" s="69"/>
      <c r="G77" s="69"/>
      <c r="H77" s="69"/>
      <c r="I77" s="69"/>
      <c r="J77" s="69"/>
      <c r="K77" s="54"/>
      <c r="O77" s="55"/>
      <c r="S77" s="54"/>
      <c r="W77" s="54"/>
      <c r="AA77" s="54"/>
      <c r="AE77" s="54"/>
      <c r="AI77" s="54"/>
      <c r="AM77" s="54"/>
      <c r="AN77" s="76"/>
      <c r="AO77" s="76"/>
      <c r="AP77" s="76"/>
      <c r="AQ77" s="76"/>
      <c r="AR77" s="76"/>
      <c r="AS77" s="76"/>
      <c r="AT77" s="76"/>
      <c r="AU77" s="76"/>
      <c r="AV77" s="76"/>
      <c r="AW77" s="76"/>
      <c r="AX77" s="76"/>
    </row>
    <row r="78" spans="1:61" s="7" customFormat="1" x14ac:dyDescent="0.35">
      <c r="B78" s="5" t="s">
        <v>44</v>
      </c>
      <c r="C78" s="77"/>
      <c r="D78" s="77"/>
      <c r="E78" s="77"/>
      <c r="F78" s="77"/>
      <c r="G78" s="77"/>
      <c r="H78" s="77"/>
      <c r="I78" s="77"/>
      <c r="J78" s="77"/>
      <c r="K78" s="23">
        <v>20581</v>
      </c>
      <c r="L78" s="7">
        <v>21116</v>
      </c>
      <c r="M78" s="7">
        <v>22339</v>
      </c>
      <c r="N78" s="7">
        <f>94665-K78-L78-M78</f>
        <v>30629</v>
      </c>
      <c r="O78" s="23">
        <v>23734</v>
      </c>
      <c r="P78" s="7">
        <v>24745</v>
      </c>
      <c r="Q78" s="7">
        <v>28768</v>
      </c>
      <c r="R78" s="7">
        <f>118573-O78-P78-Q78</f>
        <v>41326</v>
      </c>
      <c r="S78" s="23">
        <v>31605</v>
      </c>
      <c r="T78" s="7">
        <v>31864</v>
      </c>
      <c r="U78" s="7">
        <v>33746</v>
      </c>
      <c r="V78" s="7">
        <f>141915-S78-T78-U78</f>
        <v>44700</v>
      </c>
      <c r="W78" s="23">
        <v>34283</v>
      </c>
      <c r="X78" s="7">
        <v>35856</v>
      </c>
      <c r="Y78" s="7">
        <v>39726</v>
      </c>
      <c r="Z78" s="7">
        <f>160408-W78-X78-Y78</f>
        <v>50543</v>
      </c>
      <c r="AA78" s="23">
        <v>41841</v>
      </c>
      <c r="AB78" s="7">
        <v>50244</v>
      </c>
      <c r="AC78" s="7">
        <v>52774</v>
      </c>
      <c r="AD78" s="7">
        <f>215915-AA78-AB78-AC78</f>
        <v>71056</v>
      </c>
      <c r="AE78" s="23">
        <v>57491</v>
      </c>
      <c r="AF78" s="7">
        <v>58004</v>
      </c>
      <c r="AG78" s="7">
        <v>54876</v>
      </c>
      <c r="AH78" s="7">
        <f>241787-AE78-AF78-AG78</f>
        <v>71416</v>
      </c>
      <c r="AI78" s="23">
        <v>56455</v>
      </c>
      <c r="AJ78" s="7">
        <v>56575</v>
      </c>
      <c r="AK78" s="7">
        <v>59340</v>
      </c>
      <c r="AL78" s="7">
        <f>BI78-AK78-AJ78-AI78</f>
        <v>70531</v>
      </c>
      <c r="AM78" s="23">
        <v>56981</v>
      </c>
      <c r="AN78" s="71">
        <v>59032</v>
      </c>
      <c r="AO78" s="71"/>
      <c r="AP78" s="71"/>
      <c r="AQ78" s="71"/>
      <c r="AR78" s="71"/>
      <c r="AS78" s="71"/>
      <c r="AT78" s="71"/>
      <c r="BC78" s="7">
        <v>94665</v>
      </c>
      <c r="BD78" s="7">
        <v>118573</v>
      </c>
      <c r="BE78" s="7">
        <v>141915</v>
      </c>
      <c r="BF78" s="7">
        <v>160408</v>
      </c>
      <c r="BG78" s="7">
        <v>215915</v>
      </c>
      <c r="BH78" s="7">
        <v>241787</v>
      </c>
      <c r="BI78" s="7">
        <v>242901</v>
      </c>
    </row>
    <row r="79" spans="1:61" s="13" customFormat="1" x14ac:dyDescent="0.35">
      <c r="A79" s="8"/>
      <c r="B79" s="9" t="s">
        <v>45</v>
      </c>
      <c r="C79" s="8"/>
      <c r="D79" s="8"/>
      <c r="E79" s="8"/>
      <c r="F79" s="8"/>
      <c r="G79" s="8"/>
      <c r="H79" s="8"/>
      <c r="I79" s="8"/>
      <c r="J79" s="8"/>
      <c r="K79" s="24">
        <v>8547</v>
      </c>
      <c r="L79" s="13">
        <v>9288</v>
      </c>
      <c r="M79" s="13">
        <v>10375</v>
      </c>
      <c r="N79" s="13">
        <f>41322-SUM(K79:M79)</f>
        <v>13112</v>
      </c>
      <c r="O79" s="24">
        <v>11980</v>
      </c>
      <c r="P79" s="13">
        <v>13210</v>
      </c>
      <c r="Q79" s="13">
        <v>14976</v>
      </c>
      <c r="R79" s="13">
        <f>59293-SUM(O79:Q79)</f>
        <v>19127</v>
      </c>
      <c r="S79" s="24">
        <v>19437</v>
      </c>
      <c r="T79" s="13">
        <v>21022</v>
      </c>
      <c r="U79" s="13">
        <v>22830</v>
      </c>
      <c r="V79" s="13">
        <f>90972-SUM(S79:U79)</f>
        <v>27683</v>
      </c>
      <c r="W79" s="24">
        <v>25417</v>
      </c>
      <c r="X79" s="13">
        <v>27548</v>
      </c>
      <c r="Y79" s="13">
        <v>30255</v>
      </c>
      <c r="Z79" s="13">
        <f>120114-SUM(W79:Y79)</f>
        <v>36894</v>
      </c>
      <c r="AA79" s="24">
        <v>33611</v>
      </c>
      <c r="AB79" s="13">
        <v>38668</v>
      </c>
      <c r="AC79" s="13">
        <v>43371</v>
      </c>
      <c r="AD79" s="13">
        <f>170149-SUM(AA79:AC79)</f>
        <v>54499</v>
      </c>
      <c r="AE79" s="24">
        <v>51027</v>
      </c>
      <c r="AF79" s="13">
        <v>55076</v>
      </c>
      <c r="AG79" s="13">
        <v>55936</v>
      </c>
      <c r="AH79" s="13">
        <f>228035-SUM(AE79:AG79)</f>
        <v>65996</v>
      </c>
      <c r="AI79" s="24">
        <v>59989</v>
      </c>
      <c r="AJ79" s="13">
        <v>64659</v>
      </c>
      <c r="AK79" s="13">
        <v>67761</v>
      </c>
      <c r="AL79" s="13">
        <f>BI79-AK79-AJ79-AI79</f>
        <v>78673</v>
      </c>
      <c r="AM79" s="24">
        <v>70377</v>
      </c>
      <c r="AN79" s="13">
        <v>75351</v>
      </c>
      <c r="BC79" s="13">
        <v>41322</v>
      </c>
      <c r="BD79" s="13">
        <v>59293</v>
      </c>
      <c r="BE79" s="13">
        <v>90972</v>
      </c>
      <c r="BF79" s="13">
        <v>120114</v>
      </c>
      <c r="BG79" s="13">
        <v>170149</v>
      </c>
      <c r="BH79" s="13">
        <v>228035</v>
      </c>
      <c r="BI79" s="13">
        <v>271082</v>
      </c>
    </row>
    <row r="80" spans="1:61" s="12" customFormat="1" x14ac:dyDescent="0.35">
      <c r="A80" s="3"/>
      <c r="B80" s="11" t="s">
        <v>46</v>
      </c>
      <c r="C80" s="87"/>
      <c r="D80" s="87"/>
      <c r="E80" s="87"/>
      <c r="F80" s="87"/>
      <c r="G80" s="87"/>
      <c r="H80" s="87"/>
      <c r="I80" s="87"/>
      <c r="J80" s="87"/>
      <c r="K80" s="26">
        <f t="shared" ref="K80:AN80" si="98">K78+K79</f>
        <v>29128</v>
      </c>
      <c r="L80" s="12">
        <f t="shared" si="98"/>
        <v>30404</v>
      </c>
      <c r="M80" s="12">
        <f t="shared" si="98"/>
        <v>32714</v>
      </c>
      <c r="N80" s="12">
        <f t="shared" si="98"/>
        <v>43741</v>
      </c>
      <c r="O80" s="26">
        <f t="shared" si="98"/>
        <v>35714</v>
      </c>
      <c r="P80" s="12">
        <f t="shared" si="98"/>
        <v>37955</v>
      </c>
      <c r="Q80" s="12">
        <f t="shared" si="98"/>
        <v>43744</v>
      </c>
      <c r="R80" s="12">
        <f t="shared" si="98"/>
        <v>60453</v>
      </c>
      <c r="S80" s="26">
        <f t="shared" si="98"/>
        <v>51042</v>
      </c>
      <c r="T80" s="12">
        <f t="shared" si="98"/>
        <v>52886</v>
      </c>
      <c r="U80" s="12">
        <f t="shared" si="98"/>
        <v>56576</v>
      </c>
      <c r="V80" s="12">
        <f t="shared" si="98"/>
        <v>72383</v>
      </c>
      <c r="W80" s="26">
        <f t="shared" si="98"/>
        <v>59700</v>
      </c>
      <c r="X80" s="12">
        <f t="shared" si="98"/>
        <v>63404</v>
      </c>
      <c r="Y80" s="12">
        <f t="shared" si="98"/>
        <v>69981</v>
      </c>
      <c r="Z80" s="12">
        <f t="shared" si="98"/>
        <v>87437</v>
      </c>
      <c r="AA80" s="26">
        <f t="shared" si="98"/>
        <v>75452</v>
      </c>
      <c r="AB80" s="12">
        <f t="shared" si="98"/>
        <v>88912</v>
      </c>
      <c r="AC80" s="12">
        <f t="shared" si="98"/>
        <v>96145</v>
      </c>
      <c r="AD80" s="12">
        <f t="shared" si="98"/>
        <v>125555</v>
      </c>
      <c r="AE80" s="26">
        <f t="shared" si="98"/>
        <v>108518</v>
      </c>
      <c r="AF80" s="12">
        <f t="shared" si="98"/>
        <v>113080</v>
      </c>
      <c r="AG80" s="12">
        <f t="shared" si="98"/>
        <v>110812</v>
      </c>
      <c r="AH80" s="12">
        <f t="shared" si="98"/>
        <v>137412</v>
      </c>
      <c r="AI80" s="26">
        <f t="shared" si="98"/>
        <v>116444</v>
      </c>
      <c r="AJ80" s="12">
        <f t="shared" si="98"/>
        <v>121234</v>
      </c>
      <c r="AK80" s="12">
        <f t="shared" si="98"/>
        <v>127101</v>
      </c>
      <c r="AL80" s="12">
        <f t="shared" si="98"/>
        <v>149204</v>
      </c>
      <c r="AM80" s="26">
        <f t="shared" si="98"/>
        <v>127358</v>
      </c>
      <c r="AN80" s="12">
        <f t="shared" si="98"/>
        <v>134383</v>
      </c>
      <c r="AO80" s="72"/>
      <c r="AP80" s="72"/>
      <c r="AQ80" s="72"/>
      <c r="AR80" s="72"/>
      <c r="AS80" s="72"/>
      <c r="AT80" s="72"/>
      <c r="AU80" s="12">
        <f t="shared" ref="AU80:AX80" si="99">AU78+AU79</f>
        <v>0</v>
      </c>
      <c r="AV80" s="12">
        <f t="shared" si="99"/>
        <v>0</v>
      </c>
      <c r="AW80" s="12">
        <f t="shared" si="99"/>
        <v>0</v>
      </c>
      <c r="AX80" s="12">
        <f t="shared" si="99"/>
        <v>0</v>
      </c>
      <c r="AY80" s="12">
        <f t="shared" ref="AY80" si="100">AY78+AY79</f>
        <v>0</v>
      </c>
      <c r="AZ80" s="12">
        <f t="shared" ref="AZ80" si="101">AZ78+AZ79</f>
        <v>0</v>
      </c>
      <c r="BA80" s="12">
        <f t="shared" ref="BA80:BI80" si="102">BA78+BA79</f>
        <v>0</v>
      </c>
      <c r="BB80" s="12">
        <f t="shared" si="102"/>
        <v>0</v>
      </c>
      <c r="BC80" s="12">
        <f t="shared" si="102"/>
        <v>135987</v>
      </c>
      <c r="BD80" s="12">
        <f t="shared" si="102"/>
        <v>177866</v>
      </c>
      <c r="BE80" s="12">
        <f t="shared" si="102"/>
        <v>232887</v>
      </c>
      <c r="BF80" s="12">
        <f t="shared" si="102"/>
        <v>280522</v>
      </c>
      <c r="BG80" s="12">
        <f t="shared" si="102"/>
        <v>386064</v>
      </c>
      <c r="BH80" s="12">
        <f t="shared" si="102"/>
        <v>469822</v>
      </c>
      <c r="BI80" s="12">
        <f t="shared" si="102"/>
        <v>513983</v>
      </c>
    </row>
    <row r="81" spans="1:61" s="41" customFormat="1" x14ac:dyDescent="0.35">
      <c r="A81" s="34"/>
      <c r="B81" s="40" t="s">
        <v>23</v>
      </c>
      <c r="C81" s="88"/>
      <c r="D81" s="88"/>
      <c r="E81" s="88"/>
      <c r="F81" s="88"/>
      <c r="G81" s="88"/>
      <c r="H81" s="88"/>
      <c r="I81" s="88"/>
      <c r="J81" s="88"/>
      <c r="K81" s="42"/>
      <c r="O81" s="42"/>
      <c r="S81" s="42"/>
      <c r="W81" s="42"/>
      <c r="AA81" s="42"/>
      <c r="AE81" s="42"/>
      <c r="AI81" s="42"/>
      <c r="AM81" s="42"/>
      <c r="AN81" s="70"/>
      <c r="AO81" s="70"/>
      <c r="AP81" s="70"/>
      <c r="AQ81" s="70"/>
      <c r="AR81" s="70"/>
      <c r="AS81" s="70"/>
      <c r="AT81" s="70"/>
    </row>
    <row r="82" spans="1:61" s="7" customFormat="1" x14ac:dyDescent="0.35">
      <c r="B82" s="5" t="s">
        <v>47</v>
      </c>
      <c r="C82" s="77"/>
      <c r="D82" s="77"/>
      <c r="E82" s="77"/>
      <c r="F82" s="77"/>
      <c r="G82" s="77"/>
      <c r="H82" s="77"/>
      <c r="I82" s="77"/>
      <c r="J82" s="77"/>
      <c r="K82" s="23">
        <v>18866</v>
      </c>
      <c r="L82" s="7">
        <v>19180</v>
      </c>
      <c r="M82" s="7">
        <v>21260</v>
      </c>
      <c r="N82" s="7">
        <f>88265-K82-L82-M82</f>
        <v>28959</v>
      </c>
      <c r="O82" s="23">
        <v>22440</v>
      </c>
      <c r="P82" s="7">
        <v>23451</v>
      </c>
      <c r="Q82" s="7">
        <v>27549</v>
      </c>
      <c r="R82" s="7">
        <f>111934-O82-P82-Q82</f>
        <v>38494</v>
      </c>
      <c r="S82" s="23">
        <v>30735</v>
      </c>
      <c r="T82" s="7">
        <v>30632</v>
      </c>
      <c r="U82" s="7">
        <v>33003</v>
      </c>
      <c r="V82" s="7">
        <f>139156-S82-T82-U82</f>
        <v>44786</v>
      </c>
      <c r="W82" s="23">
        <v>33920</v>
      </c>
      <c r="X82" s="7">
        <v>36337</v>
      </c>
      <c r="Y82" s="7">
        <v>41302</v>
      </c>
      <c r="Z82" s="7">
        <f>165536-W82-X82-Y82</f>
        <v>53977</v>
      </c>
      <c r="AA82" s="23">
        <v>44257</v>
      </c>
      <c r="AB82" s="7">
        <v>52660</v>
      </c>
      <c r="AC82" s="7">
        <v>57106</v>
      </c>
      <c r="AD82" s="7">
        <f>233307-AA82-AB82-AC82</f>
        <v>79284</v>
      </c>
      <c r="AE82" s="23">
        <v>62403</v>
      </c>
      <c r="AF82" s="7">
        <v>64176</v>
      </c>
      <c r="AG82" s="7">
        <v>62930</v>
      </c>
      <c r="AH82" s="7">
        <f>272344-AE82-AF82-AG82</f>
        <v>82835</v>
      </c>
      <c r="AI82" s="23">
        <v>66499</v>
      </c>
      <c r="AJ82" s="7">
        <v>66424</v>
      </c>
      <c r="AK82" s="7">
        <v>70268</v>
      </c>
      <c r="AL82" s="7">
        <f>BI82-AK82-AJ82-AI82</f>
        <v>85640</v>
      </c>
      <c r="AM82" s="23">
        <v>67791</v>
      </c>
      <c r="AN82" s="71">
        <v>69373</v>
      </c>
      <c r="AO82" s="71"/>
      <c r="AP82" s="71"/>
      <c r="AQ82" s="71"/>
      <c r="AR82" s="71"/>
      <c r="AS82" s="71"/>
      <c r="AT82" s="71"/>
      <c r="BC82" s="7">
        <v>88265</v>
      </c>
      <c r="BD82" s="7">
        <v>111934</v>
      </c>
      <c r="BE82" s="7">
        <v>139156</v>
      </c>
      <c r="BF82" s="7">
        <v>165536</v>
      </c>
      <c r="BG82" s="7">
        <v>233307</v>
      </c>
      <c r="BH82" s="7">
        <v>272344</v>
      </c>
      <c r="BI82" s="7">
        <v>288831</v>
      </c>
    </row>
    <row r="83" spans="1:61" s="7" customFormat="1" x14ac:dyDescent="0.35">
      <c r="B83" s="5" t="s">
        <v>48</v>
      </c>
      <c r="C83" s="77"/>
      <c r="D83" s="77"/>
      <c r="E83" s="77"/>
      <c r="F83" s="77"/>
      <c r="G83" s="77"/>
      <c r="H83" s="77"/>
      <c r="I83" s="77"/>
      <c r="J83" s="77"/>
      <c r="K83" s="23">
        <v>3687</v>
      </c>
      <c r="L83" s="7">
        <v>3878</v>
      </c>
      <c r="M83" s="7">
        <v>4335</v>
      </c>
      <c r="N83" s="7">
        <f>17619-K83-L83-M83</f>
        <v>5719</v>
      </c>
      <c r="O83" s="23">
        <v>4697</v>
      </c>
      <c r="P83" s="7">
        <v>5158</v>
      </c>
      <c r="Q83" s="7">
        <v>6420</v>
      </c>
      <c r="R83" s="7">
        <f>25249-O83-P83-Q83</f>
        <v>8974</v>
      </c>
      <c r="S83" s="23">
        <v>7792</v>
      </c>
      <c r="T83" s="7">
        <v>7932</v>
      </c>
      <c r="U83" s="7">
        <v>8275</v>
      </c>
      <c r="V83" s="7">
        <f>34027-S83-T83-U83</f>
        <v>10028</v>
      </c>
      <c r="W83" s="23">
        <v>8601</v>
      </c>
      <c r="X83" s="7">
        <v>9271</v>
      </c>
      <c r="Y83" s="7">
        <v>10167</v>
      </c>
      <c r="Z83" s="7">
        <f>40232-W83-X83-Y83</f>
        <v>12193</v>
      </c>
      <c r="AA83" s="23">
        <v>11531</v>
      </c>
      <c r="AB83" s="7">
        <v>13806</v>
      </c>
      <c r="AC83" s="7">
        <v>14705</v>
      </c>
      <c r="AD83" s="7">
        <f>58517-AA83-AB83-AC83</f>
        <v>18475</v>
      </c>
      <c r="AE83" s="23">
        <v>16530</v>
      </c>
      <c r="AF83" s="7">
        <v>17638</v>
      </c>
      <c r="AG83" s="7">
        <v>18498</v>
      </c>
      <c r="AH83" s="7">
        <f>75111-AE83-AF83-AG83</f>
        <v>22445</v>
      </c>
      <c r="AI83" s="23">
        <v>20271</v>
      </c>
      <c r="AJ83" s="7">
        <v>20342</v>
      </c>
      <c r="AK83" s="7">
        <v>20583</v>
      </c>
      <c r="AL83" s="7">
        <f>BI83-AK83-AJ83-AI83</f>
        <v>23103</v>
      </c>
      <c r="AM83" s="23">
        <v>20905</v>
      </c>
      <c r="AN83" s="71">
        <v>21305</v>
      </c>
      <c r="AO83" s="71"/>
      <c r="AP83" s="71"/>
      <c r="AQ83" s="71"/>
      <c r="AR83" s="71"/>
      <c r="AS83" s="71"/>
      <c r="AT83" s="71"/>
      <c r="BC83" s="7">
        <v>17619</v>
      </c>
      <c r="BD83" s="7">
        <v>25249</v>
      </c>
      <c r="BE83" s="7">
        <v>34027</v>
      </c>
      <c r="BF83" s="7">
        <v>40232</v>
      </c>
      <c r="BG83" s="7">
        <v>58517</v>
      </c>
      <c r="BH83" s="7">
        <v>75111</v>
      </c>
      <c r="BI83" s="7">
        <v>84299</v>
      </c>
    </row>
    <row r="84" spans="1:61" s="7" customFormat="1" x14ac:dyDescent="0.35">
      <c r="B84" t="s">
        <v>49</v>
      </c>
      <c r="C84"/>
      <c r="D84"/>
      <c r="E84"/>
      <c r="F84"/>
      <c r="G84"/>
      <c r="H84"/>
      <c r="I84"/>
      <c r="J84"/>
      <c r="K84" s="23">
        <v>1436</v>
      </c>
      <c r="L84" s="7">
        <v>1546</v>
      </c>
      <c r="M84" s="7">
        <v>1738</v>
      </c>
      <c r="N84" s="7">
        <f>7233-K84-L84-M84</f>
        <v>2513</v>
      </c>
      <c r="O84" s="23">
        <v>1920</v>
      </c>
      <c r="P84" s="7">
        <v>2229</v>
      </c>
      <c r="Q84" s="7">
        <v>2479</v>
      </c>
      <c r="R84" s="7">
        <f>10069-O84-P84-Q84</f>
        <v>3441</v>
      </c>
      <c r="S84" s="23">
        <v>2699</v>
      </c>
      <c r="T84" s="7">
        <v>2901</v>
      </c>
      <c r="U84" s="7">
        <v>3303</v>
      </c>
      <c r="V84" s="7">
        <f>13814-S84-T84-U84</f>
        <v>4911</v>
      </c>
      <c r="W84" s="23">
        <v>3664</v>
      </c>
      <c r="X84" s="7">
        <v>4291</v>
      </c>
      <c r="Y84" s="7">
        <v>4752</v>
      </c>
      <c r="Z84" s="7">
        <f>18878-W84-X84-Y84</f>
        <v>6171</v>
      </c>
      <c r="AA84" s="23">
        <v>4828</v>
      </c>
      <c r="AB84" s="7">
        <v>4345</v>
      </c>
      <c r="AC84" s="7">
        <v>5434</v>
      </c>
      <c r="AD84" s="7">
        <f>22008-AA84-AB84-AC84</f>
        <v>7401</v>
      </c>
      <c r="AE84" s="23">
        <v>6207</v>
      </c>
      <c r="AF84" s="7">
        <v>7524</v>
      </c>
      <c r="AG84" s="7">
        <v>8010</v>
      </c>
      <c r="AH84" s="7">
        <f>32551-AE84-AF84-AG84</f>
        <v>10810</v>
      </c>
      <c r="AI84" s="23">
        <v>8320</v>
      </c>
      <c r="AJ84" s="7">
        <v>10086</v>
      </c>
      <c r="AK84" s="7">
        <v>19485</v>
      </c>
      <c r="AL84" s="7">
        <f>BI84-AK84-AJ84-AI84</f>
        <v>4347</v>
      </c>
      <c r="AM84" s="23">
        <v>20450</v>
      </c>
      <c r="AN84" s="71">
        <v>21931</v>
      </c>
      <c r="AO84" s="71"/>
      <c r="AP84" s="71"/>
      <c r="AQ84" s="71"/>
      <c r="AR84" s="71"/>
      <c r="AS84" s="71"/>
      <c r="AT84" s="71"/>
      <c r="BC84" s="7">
        <v>7233</v>
      </c>
      <c r="BD84" s="7">
        <v>10069</v>
      </c>
      <c r="BE84" s="7">
        <v>13814</v>
      </c>
      <c r="BF84" s="7">
        <v>35931</v>
      </c>
      <c r="BG84" s="7">
        <v>22008</v>
      </c>
      <c r="BH84" s="7">
        <v>32551</v>
      </c>
      <c r="BI84" s="7">
        <v>42238</v>
      </c>
    </row>
    <row r="85" spans="1:61" s="7" customFormat="1" x14ac:dyDescent="0.35">
      <c r="B85" s="5" t="s">
        <v>50</v>
      </c>
      <c r="C85" s="77"/>
      <c r="D85" s="77"/>
      <c r="E85" s="77"/>
      <c r="F85" s="77"/>
      <c r="G85" s="77"/>
      <c r="H85" s="77"/>
      <c r="I85" s="77"/>
      <c r="J85" s="77"/>
      <c r="K85" s="23">
        <v>3526</v>
      </c>
      <c r="L85" s="7">
        <v>3880</v>
      </c>
      <c r="M85" s="7">
        <v>4135</v>
      </c>
      <c r="N85" s="7">
        <f>16085-K85-L85-M85</f>
        <v>4544</v>
      </c>
      <c r="O85" s="23">
        <v>4813</v>
      </c>
      <c r="P85" s="7">
        <v>5549</v>
      </c>
      <c r="Q85" s="7">
        <v>5944</v>
      </c>
      <c r="R85" s="7">
        <f>22620-O85-P85-Q85</f>
        <v>6314</v>
      </c>
      <c r="S85" s="23">
        <v>6759</v>
      </c>
      <c r="T85" s="7">
        <v>7247</v>
      </c>
      <c r="U85" s="7">
        <v>7162</v>
      </c>
      <c r="V85" s="7">
        <f>28837-S85-T85-U85</f>
        <v>7669</v>
      </c>
      <c r="W85" s="23">
        <v>7927</v>
      </c>
      <c r="X85" s="7">
        <v>9065</v>
      </c>
      <c r="Y85" s="7">
        <v>9200</v>
      </c>
      <c r="Z85" s="7">
        <f>35931-W85-X85-Y85</f>
        <v>9739</v>
      </c>
      <c r="AA85" s="23">
        <v>9325</v>
      </c>
      <c r="AB85" s="7">
        <v>10388</v>
      </c>
      <c r="AC85" s="7">
        <v>10976</v>
      </c>
      <c r="AD85" s="7">
        <f>42740-AA85-AB85-AC85</f>
        <v>12051</v>
      </c>
      <c r="AE85" s="23">
        <v>12488</v>
      </c>
      <c r="AF85" s="7">
        <v>13871</v>
      </c>
      <c r="AG85" s="7">
        <v>14380</v>
      </c>
      <c r="AH85" s="7">
        <f>54052-AE85-AF85-AG85</f>
        <v>13313</v>
      </c>
      <c r="AI85" s="23">
        <v>14842</v>
      </c>
      <c r="AJ85" s="7">
        <v>18072</v>
      </c>
      <c r="AK85" s="7">
        <v>11014</v>
      </c>
      <c r="AL85" s="7">
        <f>BI85-AK85-AJ85-AI85</f>
        <v>29285</v>
      </c>
      <c r="AM85" s="23">
        <v>10172</v>
      </c>
      <c r="AN85" s="71">
        <v>10745</v>
      </c>
      <c r="AO85" s="71"/>
      <c r="AP85" s="71"/>
      <c r="AQ85" s="71"/>
      <c r="AR85" s="71"/>
      <c r="AS85" s="71"/>
      <c r="AT85" s="71"/>
      <c r="BC85" s="7">
        <v>16085</v>
      </c>
      <c r="BD85" s="7">
        <v>22620</v>
      </c>
      <c r="BE85" s="7">
        <v>28837</v>
      </c>
      <c r="BF85" s="7">
        <v>18878</v>
      </c>
      <c r="BG85" s="7">
        <v>42740</v>
      </c>
      <c r="BH85" s="7">
        <v>56052</v>
      </c>
      <c r="BI85" s="7">
        <v>73213</v>
      </c>
    </row>
    <row r="86" spans="1:61" s="7" customFormat="1" x14ac:dyDescent="0.35">
      <c r="B86" s="5" t="s">
        <v>51</v>
      </c>
      <c r="C86" s="77"/>
      <c r="D86" s="77"/>
      <c r="E86" s="77"/>
      <c r="F86" s="77"/>
      <c r="G86" s="77"/>
      <c r="H86" s="77"/>
      <c r="I86" s="77"/>
      <c r="J86" s="77"/>
      <c r="K86" s="23">
        <v>497</v>
      </c>
      <c r="L86" s="7">
        <v>580</v>
      </c>
      <c r="M86" s="7">
        <v>639</v>
      </c>
      <c r="N86" s="7">
        <f>2432-K86-L86-M86</f>
        <v>716</v>
      </c>
      <c r="O86" s="23">
        <v>795</v>
      </c>
      <c r="P86" s="7">
        <v>874</v>
      </c>
      <c r="Q86" s="7">
        <v>960</v>
      </c>
      <c r="R86" s="7">
        <f>3674-O86-P86-Q86</f>
        <v>1045</v>
      </c>
      <c r="S86" s="23">
        <v>1067</v>
      </c>
      <c r="T86" s="7">
        <v>1111</v>
      </c>
      <c r="U86" s="7">
        <v>1041</v>
      </c>
      <c r="V86" s="7">
        <f>4336-S86-T86-U86</f>
        <v>1117</v>
      </c>
      <c r="W86" s="23">
        <v>1173</v>
      </c>
      <c r="X86" s="7">
        <v>1270</v>
      </c>
      <c r="Y86" s="7">
        <v>1348</v>
      </c>
      <c r="Z86" s="7">
        <f>5203-W86-X86-Y86</f>
        <v>1412</v>
      </c>
      <c r="AA86" s="23">
        <v>1452</v>
      </c>
      <c r="AB86" s="7">
        <v>1580</v>
      </c>
      <c r="AC86" s="7">
        <v>1668</v>
      </c>
      <c r="AD86" s="7">
        <f>6668-AA86-AB86-AC86</f>
        <v>1968</v>
      </c>
      <c r="AE86" s="23">
        <v>1987</v>
      </c>
      <c r="AF86" s="7">
        <v>2158</v>
      </c>
      <c r="AG86" s="7">
        <v>2153</v>
      </c>
      <c r="AH86" s="7">
        <f>8823-AE86-AF86-AG86</f>
        <v>2525</v>
      </c>
      <c r="AI86" s="23">
        <v>2594</v>
      </c>
      <c r="AJ86" s="7">
        <v>2903</v>
      </c>
      <c r="AK86" s="7">
        <v>3061</v>
      </c>
      <c r="AL86" s="7">
        <f>BI86-AK86-AJ86-AI86</f>
        <v>3333</v>
      </c>
      <c r="AM86" s="23">
        <v>3043</v>
      </c>
      <c r="AN86" s="71">
        <v>3202</v>
      </c>
      <c r="AO86" s="71"/>
      <c r="AP86" s="71"/>
      <c r="AQ86" s="71"/>
      <c r="AR86" s="71"/>
      <c r="AS86" s="71"/>
      <c r="AT86" s="71"/>
      <c r="BC86" s="7">
        <v>2432</v>
      </c>
      <c r="BD86" s="7">
        <v>3674</v>
      </c>
      <c r="BE86" s="7">
        <v>4336</v>
      </c>
      <c r="BF86" s="7">
        <v>5203</v>
      </c>
      <c r="BG86" s="7">
        <v>6668</v>
      </c>
      <c r="BH86" s="7">
        <v>8823</v>
      </c>
      <c r="BI86" s="7">
        <v>11891</v>
      </c>
    </row>
    <row r="87" spans="1:61" s="13" customFormat="1" x14ac:dyDescent="0.35">
      <c r="A87" s="8"/>
      <c r="B87" s="9" t="s">
        <v>52</v>
      </c>
      <c r="C87" s="8"/>
      <c r="D87" s="8"/>
      <c r="E87" s="8"/>
      <c r="F87" s="8"/>
      <c r="G87" s="8"/>
      <c r="H87" s="8"/>
      <c r="I87" s="8"/>
      <c r="J87" s="8"/>
      <c r="K87" s="24">
        <v>45</v>
      </c>
      <c r="L87" s="13">
        <v>55</v>
      </c>
      <c r="M87" s="13">
        <v>32</v>
      </c>
      <c r="N87" s="13">
        <f>167-K87-L87-M87</f>
        <v>35</v>
      </c>
      <c r="O87" s="24">
        <v>44</v>
      </c>
      <c r="P87" s="13">
        <v>66</v>
      </c>
      <c r="Q87" s="13">
        <v>45</v>
      </c>
      <c r="R87" s="13">
        <f>214-O87-P87-Q87</f>
        <v>59</v>
      </c>
      <c r="S87" s="24">
        <v>63</v>
      </c>
      <c r="T87" s="13">
        <v>80</v>
      </c>
      <c r="U87" s="13">
        <v>68</v>
      </c>
      <c r="V87" s="13">
        <f>296-S87-T87-U87</f>
        <v>85</v>
      </c>
      <c r="W87" s="24">
        <v>-5</v>
      </c>
      <c r="X87" s="13">
        <v>86</v>
      </c>
      <c r="Y87" s="13">
        <v>55</v>
      </c>
      <c r="Z87" s="13">
        <f>201-W87-X87-Y87</f>
        <v>65</v>
      </c>
      <c r="AA87" s="24">
        <v>70</v>
      </c>
      <c r="AB87" s="13">
        <v>290</v>
      </c>
      <c r="AC87" s="13">
        <v>62</v>
      </c>
      <c r="AD87" s="13">
        <f>-75-AA87-AB87-AC87</f>
        <v>-497</v>
      </c>
      <c r="AE87" s="24">
        <v>38</v>
      </c>
      <c r="AF87" s="13">
        <v>11</v>
      </c>
      <c r="AG87" s="13">
        <v>-11</v>
      </c>
      <c r="AH87" s="13">
        <f>62-AE87-AF87-AG87</f>
        <v>24</v>
      </c>
      <c r="AI87" s="24">
        <v>249</v>
      </c>
      <c r="AJ87" s="13">
        <v>90</v>
      </c>
      <c r="AK87" s="13">
        <v>165</v>
      </c>
      <c r="AL87" s="7">
        <f>BI87-AK87-AJ87-AI87</f>
        <v>759</v>
      </c>
      <c r="AM87" s="24">
        <v>223</v>
      </c>
      <c r="AN87" s="13">
        <v>146</v>
      </c>
      <c r="BC87" s="13">
        <v>167</v>
      </c>
      <c r="BD87" s="13">
        <v>214</v>
      </c>
      <c r="BE87" s="13">
        <v>296</v>
      </c>
      <c r="BF87" s="13">
        <v>201</v>
      </c>
      <c r="BG87" s="13">
        <v>-75</v>
      </c>
      <c r="BH87" s="13">
        <v>62</v>
      </c>
      <c r="BI87" s="13">
        <v>1263</v>
      </c>
    </row>
    <row r="88" spans="1:61" s="32" customFormat="1" x14ac:dyDescent="0.35">
      <c r="A88" s="30"/>
      <c r="B88" s="31" t="s">
        <v>53</v>
      </c>
      <c r="C88" s="30"/>
      <c r="D88" s="30"/>
      <c r="E88" s="30"/>
      <c r="F88" s="30"/>
      <c r="G88" s="30"/>
      <c r="H88" s="30"/>
      <c r="I88" s="30"/>
      <c r="J88" s="30"/>
      <c r="K88" s="67">
        <f t="shared" ref="K88:AM88" si="103">SUM(K82:K87)</f>
        <v>28057</v>
      </c>
      <c r="L88" s="32">
        <f t="shared" si="103"/>
        <v>29119</v>
      </c>
      <c r="M88" s="32">
        <f t="shared" si="103"/>
        <v>32139</v>
      </c>
      <c r="N88" s="32">
        <f t="shared" si="103"/>
        <v>42486</v>
      </c>
      <c r="O88" s="67">
        <f t="shared" si="103"/>
        <v>34709</v>
      </c>
      <c r="P88" s="32">
        <f t="shared" si="103"/>
        <v>37327</v>
      </c>
      <c r="Q88" s="32">
        <f t="shared" si="103"/>
        <v>43397</v>
      </c>
      <c r="R88" s="32">
        <f t="shared" si="103"/>
        <v>58327</v>
      </c>
      <c r="S88" s="67">
        <f t="shared" si="103"/>
        <v>49115</v>
      </c>
      <c r="T88" s="32">
        <f t="shared" si="103"/>
        <v>49903</v>
      </c>
      <c r="U88" s="32">
        <f t="shared" si="103"/>
        <v>52852</v>
      </c>
      <c r="V88" s="32">
        <f t="shared" si="103"/>
        <v>68596</v>
      </c>
      <c r="W88" s="67">
        <f t="shared" si="103"/>
        <v>55280</v>
      </c>
      <c r="X88" s="32">
        <f t="shared" si="103"/>
        <v>60320</v>
      </c>
      <c r="Y88" s="32">
        <f t="shared" si="103"/>
        <v>66824</v>
      </c>
      <c r="Z88" s="32">
        <f t="shared" si="103"/>
        <v>83557</v>
      </c>
      <c r="AA88" s="67">
        <f t="shared" si="103"/>
        <v>71463</v>
      </c>
      <c r="AB88" s="32">
        <f t="shared" si="103"/>
        <v>83069</v>
      </c>
      <c r="AC88" s="32">
        <f t="shared" si="103"/>
        <v>89951</v>
      </c>
      <c r="AD88" s="32">
        <f t="shared" si="103"/>
        <v>118682</v>
      </c>
      <c r="AE88" s="67">
        <f t="shared" si="103"/>
        <v>99653</v>
      </c>
      <c r="AF88" s="32">
        <f t="shared" si="103"/>
        <v>105378</v>
      </c>
      <c r="AG88" s="32">
        <f t="shared" si="103"/>
        <v>105960</v>
      </c>
      <c r="AH88" s="32">
        <f t="shared" si="103"/>
        <v>131952</v>
      </c>
      <c r="AI88" s="67">
        <f t="shared" si="103"/>
        <v>112775</v>
      </c>
      <c r="AJ88" s="32">
        <f t="shared" si="103"/>
        <v>117917</v>
      </c>
      <c r="AK88" s="32">
        <f t="shared" si="103"/>
        <v>124576</v>
      </c>
      <c r="AL88" s="32">
        <f t="shared" si="103"/>
        <v>146467</v>
      </c>
      <c r="AM88" s="67">
        <f t="shared" si="103"/>
        <v>122584</v>
      </c>
      <c r="AN88" s="32">
        <f>SUM(AN82:AN87)</f>
        <v>126702</v>
      </c>
      <c r="AU88" s="32">
        <f t="shared" ref="AU88:AX88" si="104">SUM(AU82:AU87)</f>
        <v>0</v>
      </c>
      <c r="AV88" s="32">
        <f t="shared" si="104"/>
        <v>0</v>
      </c>
      <c r="AW88" s="32">
        <f t="shared" si="104"/>
        <v>0</v>
      </c>
      <c r="AX88" s="32">
        <f t="shared" si="104"/>
        <v>0</v>
      </c>
      <c r="AY88" s="32">
        <f t="shared" ref="AY88" si="105">SUM(AY82:AY87)</f>
        <v>0</v>
      </c>
      <c r="AZ88" s="32">
        <f t="shared" ref="AZ88" si="106">SUM(AZ82:AZ87)</f>
        <v>0</v>
      </c>
      <c r="BA88" s="32">
        <f t="shared" ref="BA88:BI88" si="107">SUM(BA82:BA87)</f>
        <v>0</v>
      </c>
      <c r="BB88" s="32">
        <f t="shared" si="107"/>
        <v>0</v>
      </c>
      <c r="BC88" s="32">
        <f t="shared" si="107"/>
        <v>131801</v>
      </c>
      <c r="BD88" s="32">
        <f t="shared" si="107"/>
        <v>173760</v>
      </c>
      <c r="BE88" s="32">
        <f t="shared" si="107"/>
        <v>220466</v>
      </c>
      <c r="BF88" s="32">
        <f t="shared" si="107"/>
        <v>265981</v>
      </c>
      <c r="BG88" s="32">
        <f t="shared" si="107"/>
        <v>363165</v>
      </c>
      <c r="BH88" s="32">
        <f t="shared" si="107"/>
        <v>444943</v>
      </c>
      <c r="BI88" s="32">
        <f t="shared" si="107"/>
        <v>501735</v>
      </c>
    </row>
    <row r="89" spans="1:61" s="12" customFormat="1" x14ac:dyDescent="0.35">
      <c r="A89" s="3"/>
      <c r="B89" s="11" t="s">
        <v>24</v>
      </c>
      <c r="C89" s="87"/>
      <c r="D89" s="87"/>
      <c r="E89" s="87"/>
      <c r="F89" s="87"/>
      <c r="G89" s="87"/>
      <c r="H89" s="87"/>
      <c r="I89" s="87"/>
      <c r="J89" s="87"/>
      <c r="K89" s="26">
        <f t="shared" ref="K89:AM89" si="108">K80-K88</f>
        <v>1071</v>
      </c>
      <c r="L89" s="12">
        <f t="shared" si="108"/>
        <v>1285</v>
      </c>
      <c r="M89" s="12">
        <f t="shared" si="108"/>
        <v>575</v>
      </c>
      <c r="N89" s="12">
        <f t="shared" si="108"/>
        <v>1255</v>
      </c>
      <c r="O89" s="26">
        <f t="shared" si="108"/>
        <v>1005</v>
      </c>
      <c r="P89" s="12">
        <f t="shared" si="108"/>
        <v>628</v>
      </c>
      <c r="Q89" s="12">
        <f t="shared" si="108"/>
        <v>347</v>
      </c>
      <c r="R89" s="12">
        <f t="shared" si="108"/>
        <v>2126</v>
      </c>
      <c r="S89" s="26">
        <f t="shared" si="108"/>
        <v>1927</v>
      </c>
      <c r="T89" s="12">
        <f t="shared" si="108"/>
        <v>2983</v>
      </c>
      <c r="U89" s="12">
        <f t="shared" si="108"/>
        <v>3724</v>
      </c>
      <c r="V89" s="12">
        <f t="shared" si="108"/>
        <v>3787</v>
      </c>
      <c r="W89" s="26">
        <f t="shared" si="108"/>
        <v>4420</v>
      </c>
      <c r="X89" s="12">
        <f t="shared" si="108"/>
        <v>3084</v>
      </c>
      <c r="Y89" s="12">
        <f t="shared" si="108"/>
        <v>3157</v>
      </c>
      <c r="Z89" s="12">
        <f t="shared" si="108"/>
        <v>3880</v>
      </c>
      <c r="AA89" s="26">
        <f t="shared" si="108"/>
        <v>3989</v>
      </c>
      <c r="AB89" s="12">
        <f t="shared" si="108"/>
        <v>5843</v>
      </c>
      <c r="AC89" s="12">
        <f t="shared" si="108"/>
        <v>6194</v>
      </c>
      <c r="AD89" s="12">
        <f t="shared" si="108"/>
        <v>6873</v>
      </c>
      <c r="AE89" s="26">
        <f t="shared" si="108"/>
        <v>8865</v>
      </c>
      <c r="AF89" s="12">
        <f t="shared" si="108"/>
        <v>7702</v>
      </c>
      <c r="AG89" s="12">
        <f t="shared" si="108"/>
        <v>4852</v>
      </c>
      <c r="AH89" s="12">
        <f t="shared" si="108"/>
        <v>5460</v>
      </c>
      <c r="AI89" s="26">
        <f t="shared" si="108"/>
        <v>3669</v>
      </c>
      <c r="AJ89" s="12">
        <f t="shared" si="108"/>
        <v>3317</v>
      </c>
      <c r="AK89" s="12">
        <f t="shared" si="108"/>
        <v>2525</v>
      </c>
      <c r="AL89" s="12">
        <f t="shared" si="108"/>
        <v>2737</v>
      </c>
      <c r="AM89" s="26">
        <f t="shared" si="108"/>
        <v>4774</v>
      </c>
      <c r="AN89" s="12">
        <f>AN80-AN88</f>
        <v>7681</v>
      </c>
      <c r="AO89" s="72"/>
      <c r="AP89" s="72"/>
      <c r="AQ89" s="72"/>
      <c r="AR89" s="72"/>
      <c r="AS89" s="72"/>
      <c r="AT89" s="72"/>
      <c r="AU89" s="12">
        <f t="shared" ref="AU89:AX89" si="109">AU80-AU88</f>
        <v>0</v>
      </c>
      <c r="AV89" s="12">
        <f t="shared" si="109"/>
        <v>0</v>
      </c>
      <c r="AW89" s="12">
        <f t="shared" si="109"/>
        <v>0</v>
      </c>
      <c r="AX89" s="12">
        <f t="shared" si="109"/>
        <v>0</v>
      </c>
      <c r="AY89" s="12">
        <f t="shared" ref="AY89" si="110">AY80-AY88</f>
        <v>0</v>
      </c>
      <c r="AZ89" s="12">
        <f t="shared" ref="AZ89" si="111">AZ80-AZ88</f>
        <v>0</v>
      </c>
      <c r="BA89" s="12">
        <f t="shared" ref="BA89:BI89" si="112">BA80-BA88</f>
        <v>0</v>
      </c>
      <c r="BB89" s="12">
        <f t="shared" si="112"/>
        <v>0</v>
      </c>
      <c r="BC89" s="12">
        <f t="shared" si="112"/>
        <v>4186</v>
      </c>
      <c r="BD89" s="12">
        <f t="shared" si="112"/>
        <v>4106</v>
      </c>
      <c r="BE89" s="12">
        <f t="shared" si="112"/>
        <v>12421</v>
      </c>
      <c r="BF89" s="12">
        <f t="shared" si="112"/>
        <v>14541</v>
      </c>
      <c r="BG89" s="12">
        <f t="shared" si="112"/>
        <v>22899</v>
      </c>
      <c r="BH89" s="12">
        <f t="shared" si="112"/>
        <v>24879</v>
      </c>
      <c r="BI89" s="12">
        <f t="shared" si="112"/>
        <v>12248</v>
      </c>
    </row>
    <row r="90" spans="1:61" s="41" customFormat="1" x14ac:dyDescent="0.35">
      <c r="A90" s="34"/>
      <c r="B90" s="40" t="s">
        <v>54</v>
      </c>
      <c r="C90" s="88"/>
      <c r="D90" s="88"/>
      <c r="E90" s="88"/>
      <c r="F90" s="88"/>
      <c r="G90" s="88"/>
      <c r="H90" s="88"/>
      <c r="I90" s="88"/>
      <c r="J90" s="88"/>
      <c r="K90" s="42"/>
      <c r="O90" s="42"/>
      <c r="S90" s="42"/>
      <c r="W90" s="42"/>
      <c r="AA90" s="42"/>
      <c r="AE90" s="42"/>
      <c r="AI90" s="42"/>
      <c r="AM90" s="42"/>
      <c r="AN90" s="70"/>
      <c r="AO90" s="70"/>
      <c r="AP90" s="70"/>
      <c r="AQ90" s="70"/>
      <c r="AR90" s="70"/>
      <c r="AS90" s="70"/>
      <c r="AT90" s="70"/>
    </row>
    <row r="91" spans="1:61" s="7" customFormat="1" x14ac:dyDescent="0.35">
      <c r="B91" s="5" t="s">
        <v>55</v>
      </c>
      <c r="C91" s="77"/>
      <c r="D91" s="77"/>
      <c r="E91" s="77"/>
      <c r="F91" s="77"/>
      <c r="G91" s="77"/>
      <c r="H91" s="77"/>
      <c r="I91" s="77"/>
      <c r="J91" s="77"/>
      <c r="K91" s="23">
        <v>21</v>
      </c>
      <c r="L91" s="7">
        <v>24</v>
      </c>
      <c r="M91" s="7">
        <v>26</v>
      </c>
      <c r="N91" s="7">
        <f>100-K91-L91-M91</f>
        <v>29</v>
      </c>
      <c r="O91" s="23">
        <v>39</v>
      </c>
      <c r="P91" s="7">
        <v>44</v>
      </c>
      <c r="Q91" s="7">
        <v>54</v>
      </c>
      <c r="R91" s="7">
        <f>202-O91-P91-Q91</f>
        <v>65</v>
      </c>
      <c r="S91" s="23">
        <v>80</v>
      </c>
      <c r="T91" s="7">
        <v>94</v>
      </c>
      <c r="U91" s="7">
        <v>117</v>
      </c>
      <c r="V91" s="7">
        <f>440-S91-T91-U91</f>
        <v>149</v>
      </c>
      <c r="W91" s="23">
        <v>183</v>
      </c>
      <c r="X91" s="7">
        <v>215</v>
      </c>
      <c r="Y91" s="7">
        <v>224</v>
      </c>
      <c r="Z91" s="7">
        <f>832-W91-X91-Y91</f>
        <v>210</v>
      </c>
      <c r="AA91" s="23">
        <v>202</v>
      </c>
      <c r="AB91" s="7">
        <v>135</v>
      </c>
      <c r="AC91" s="7">
        <v>118</v>
      </c>
      <c r="AD91" s="7">
        <f>555-AA91-AB91-AC91</f>
        <v>100</v>
      </c>
      <c r="AE91" s="23">
        <v>105</v>
      </c>
      <c r="AF91" s="7">
        <v>106</v>
      </c>
      <c r="AG91" s="7">
        <v>119</v>
      </c>
      <c r="AH91" s="7">
        <f>448-AE91-AF91-AG91</f>
        <v>118</v>
      </c>
      <c r="AI91" s="23">
        <v>108</v>
      </c>
      <c r="AJ91" s="7">
        <v>159</v>
      </c>
      <c r="AK91" s="7">
        <v>277</v>
      </c>
      <c r="AL91" s="7">
        <f>BI91-AK91-AJ91-AI91</f>
        <v>445</v>
      </c>
      <c r="AM91" s="23">
        <v>611</v>
      </c>
      <c r="AN91" s="71">
        <v>661</v>
      </c>
      <c r="AO91" s="71"/>
      <c r="AP91" s="71"/>
      <c r="AQ91" s="71"/>
      <c r="AR91" s="71"/>
      <c r="AS91" s="71"/>
      <c r="AT91" s="71"/>
      <c r="BC91" s="7">
        <v>100</v>
      </c>
      <c r="BD91" s="7">
        <v>202</v>
      </c>
      <c r="BE91" s="7">
        <v>440</v>
      </c>
      <c r="BF91" s="7">
        <v>832</v>
      </c>
      <c r="BG91" s="7">
        <v>555</v>
      </c>
      <c r="BH91" s="7">
        <v>448</v>
      </c>
      <c r="BI91" s="7">
        <v>989</v>
      </c>
    </row>
    <row r="92" spans="1:61" s="7" customFormat="1" x14ac:dyDescent="0.35">
      <c r="B92" s="5" t="s">
        <v>56</v>
      </c>
      <c r="C92" s="77"/>
      <c r="D92" s="77"/>
      <c r="E92" s="77"/>
      <c r="F92" s="77"/>
      <c r="G92" s="77"/>
      <c r="H92" s="77"/>
      <c r="I92" s="77"/>
      <c r="J92" s="77"/>
      <c r="K92" s="23">
        <v>-117</v>
      </c>
      <c r="L92" s="7">
        <v>-116</v>
      </c>
      <c r="M92" s="7">
        <v>-118</v>
      </c>
      <c r="N92" s="7">
        <f>+-484-K92-L92-M92</f>
        <v>-133</v>
      </c>
      <c r="O92" s="23">
        <v>-139</v>
      </c>
      <c r="P92" s="7">
        <v>-143</v>
      </c>
      <c r="Q92" s="7">
        <v>-228</v>
      </c>
      <c r="R92" s="7">
        <f>+-848-O92-P92-Q92</f>
        <v>-338</v>
      </c>
      <c r="S92" s="23">
        <v>-330</v>
      </c>
      <c r="T92" s="7">
        <v>-343</v>
      </c>
      <c r="U92" s="7">
        <v>-358</v>
      </c>
      <c r="V92" s="7">
        <f>+-1417-S92-T92-U92</f>
        <v>-386</v>
      </c>
      <c r="W92" s="23">
        <v>-366</v>
      </c>
      <c r="X92" s="7">
        <v>-383</v>
      </c>
      <c r="Y92" s="7">
        <v>-396</v>
      </c>
      <c r="Z92" s="7">
        <f>+-1600-W92-X92-Y92</f>
        <v>-455</v>
      </c>
      <c r="AA92" s="23">
        <v>-402</v>
      </c>
      <c r="AB92" s="7">
        <v>-403</v>
      </c>
      <c r="AC92" s="7">
        <v>-428</v>
      </c>
      <c r="AD92" s="7">
        <f>+-1647-AA92-AB92-AC92</f>
        <v>-414</v>
      </c>
      <c r="AE92" s="23">
        <v>-399</v>
      </c>
      <c r="AF92" s="7">
        <v>-435</v>
      </c>
      <c r="AG92" s="7">
        <v>-493</v>
      </c>
      <c r="AH92" s="7">
        <f>+-1809-AE92-AF92-AG92</f>
        <v>-482</v>
      </c>
      <c r="AI92" s="23">
        <v>-472</v>
      </c>
      <c r="AJ92" s="7">
        <v>-584</v>
      </c>
      <c r="AK92" s="7">
        <v>-617</v>
      </c>
      <c r="AL92" s="7">
        <f>BI92-AK92-AJ92-AI92</f>
        <v>-694</v>
      </c>
      <c r="AM92" s="23">
        <v>-823</v>
      </c>
      <c r="AN92" s="71">
        <v>-840</v>
      </c>
      <c r="AO92" s="71"/>
      <c r="AP92" s="71"/>
      <c r="AQ92" s="71"/>
      <c r="AR92" s="71"/>
      <c r="AS92" s="71"/>
      <c r="AT92" s="71"/>
      <c r="BC92" s="7">
        <v>-484</v>
      </c>
      <c r="BD92" s="7">
        <v>-848</v>
      </c>
      <c r="BE92" s="7">
        <v>-1417</v>
      </c>
      <c r="BF92" s="7">
        <v>-1600</v>
      </c>
      <c r="BG92" s="7">
        <v>-1647</v>
      </c>
      <c r="BH92" s="7">
        <v>-1809</v>
      </c>
      <c r="BI92" s="7">
        <v>-2367</v>
      </c>
    </row>
    <row r="93" spans="1:61" s="13" customFormat="1" x14ac:dyDescent="0.35">
      <c r="A93" s="8"/>
      <c r="B93" s="8" t="s">
        <v>57</v>
      </c>
      <c r="C93" s="8"/>
      <c r="D93" s="8"/>
      <c r="E93" s="8"/>
      <c r="F93" s="8"/>
      <c r="G93" s="8"/>
      <c r="H93" s="8"/>
      <c r="I93" s="8"/>
      <c r="J93" s="8"/>
      <c r="K93" s="24">
        <v>81</v>
      </c>
      <c r="L93" s="13">
        <v>-14</v>
      </c>
      <c r="M93" s="13">
        <v>8</v>
      </c>
      <c r="N93" s="13">
        <f>90-K93-L93-M93</f>
        <v>15</v>
      </c>
      <c r="O93" s="24">
        <v>48</v>
      </c>
      <c r="P93" s="13">
        <v>137</v>
      </c>
      <c r="Q93" s="13">
        <v>143</v>
      </c>
      <c r="R93" s="13">
        <f>346-O93-P93-Q93</f>
        <v>18</v>
      </c>
      <c r="S93" s="24">
        <v>239</v>
      </c>
      <c r="T93" s="13">
        <v>-129</v>
      </c>
      <c r="U93" s="13">
        <v>-93</v>
      </c>
      <c r="V93" s="13">
        <f>-183-S93-T93-U93</f>
        <v>-200</v>
      </c>
      <c r="W93" s="24">
        <v>164</v>
      </c>
      <c r="X93" s="13">
        <v>-27</v>
      </c>
      <c r="Y93" s="13">
        <v>-353</v>
      </c>
      <c r="Z93" s="13">
        <f>203-W93-X93-Y93</f>
        <v>419</v>
      </c>
      <c r="AA93" s="24">
        <v>-406</v>
      </c>
      <c r="AB93" s="13">
        <v>646</v>
      </c>
      <c r="AC93" s="13">
        <v>925</v>
      </c>
      <c r="AD93" s="13">
        <f>2371-AA93-AB93-AC93</f>
        <v>1206</v>
      </c>
      <c r="AE93" s="24">
        <v>1697</v>
      </c>
      <c r="AF93" s="13">
        <v>1261</v>
      </c>
      <c r="AG93" s="13">
        <v>-163</v>
      </c>
      <c r="AH93" s="13">
        <f>14633-AE93-AF93-AG93</f>
        <v>11838</v>
      </c>
      <c r="AI93" s="24">
        <v>-8570</v>
      </c>
      <c r="AJ93" s="13">
        <v>-5545</v>
      </c>
      <c r="AK93" s="13">
        <v>759</v>
      </c>
      <c r="AL93" s="13">
        <f>BI93-AK93-AJ93-AI93</f>
        <v>-3450</v>
      </c>
      <c r="AM93" s="24">
        <v>-443</v>
      </c>
      <c r="AN93" s="13">
        <v>61</v>
      </c>
      <c r="BC93" s="13">
        <v>90</v>
      </c>
      <c r="BD93" s="13">
        <v>346</v>
      </c>
      <c r="BE93" s="13">
        <v>-183</v>
      </c>
      <c r="BF93" s="13">
        <v>203</v>
      </c>
      <c r="BG93" s="13">
        <v>2371</v>
      </c>
      <c r="BH93" s="13">
        <v>14633</v>
      </c>
      <c r="BI93" s="13">
        <v>-16806</v>
      </c>
    </row>
    <row r="94" spans="1:61" s="13" customFormat="1" x14ac:dyDescent="0.35">
      <c r="A94" s="8"/>
      <c r="B94" s="9" t="s">
        <v>58</v>
      </c>
      <c r="C94" s="8"/>
      <c r="D94" s="8"/>
      <c r="E94" s="8"/>
      <c r="F94" s="8"/>
      <c r="G94" s="8"/>
      <c r="H94" s="8"/>
      <c r="I94" s="8"/>
      <c r="J94" s="8"/>
      <c r="K94" s="24">
        <f t="shared" ref="K94:AN94" si="113">SUM(K91:K93)</f>
        <v>-15</v>
      </c>
      <c r="L94" s="13">
        <f t="shared" si="113"/>
        <v>-106</v>
      </c>
      <c r="M94" s="13">
        <f t="shared" si="113"/>
        <v>-84</v>
      </c>
      <c r="N94" s="13">
        <f t="shared" si="113"/>
        <v>-89</v>
      </c>
      <c r="O94" s="24">
        <f t="shared" si="113"/>
        <v>-52</v>
      </c>
      <c r="P94" s="13">
        <f t="shared" si="113"/>
        <v>38</v>
      </c>
      <c r="Q94" s="13">
        <f t="shared" si="113"/>
        <v>-31</v>
      </c>
      <c r="R94" s="13">
        <f t="shared" si="113"/>
        <v>-255</v>
      </c>
      <c r="S94" s="24">
        <f t="shared" si="113"/>
        <v>-11</v>
      </c>
      <c r="T94" s="13">
        <f t="shared" si="113"/>
        <v>-378</v>
      </c>
      <c r="U94" s="13">
        <f t="shared" si="113"/>
        <v>-334</v>
      </c>
      <c r="V94" s="13">
        <f t="shared" si="113"/>
        <v>-437</v>
      </c>
      <c r="W94" s="24">
        <f t="shared" si="113"/>
        <v>-19</v>
      </c>
      <c r="X94" s="13">
        <f t="shared" si="113"/>
        <v>-195</v>
      </c>
      <c r="Y94" s="13">
        <f t="shared" si="113"/>
        <v>-525</v>
      </c>
      <c r="Z94" s="13">
        <f t="shared" si="113"/>
        <v>174</v>
      </c>
      <c r="AA94" s="24">
        <f t="shared" si="113"/>
        <v>-606</v>
      </c>
      <c r="AB94" s="13">
        <f t="shared" si="113"/>
        <v>378</v>
      </c>
      <c r="AC94" s="13">
        <f t="shared" si="113"/>
        <v>615</v>
      </c>
      <c r="AD94" s="13">
        <f t="shared" si="113"/>
        <v>892</v>
      </c>
      <c r="AE94" s="24">
        <f t="shared" si="113"/>
        <v>1403</v>
      </c>
      <c r="AF94" s="13">
        <f t="shared" si="113"/>
        <v>932</v>
      </c>
      <c r="AG94" s="13">
        <f t="shared" si="113"/>
        <v>-537</v>
      </c>
      <c r="AH94" s="13">
        <f t="shared" si="113"/>
        <v>11474</v>
      </c>
      <c r="AI94" s="24">
        <f t="shared" si="113"/>
        <v>-8934</v>
      </c>
      <c r="AJ94" s="13">
        <f t="shared" si="113"/>
        <v>-5970</v>
      </c>
      <c r="AK94" s="13">
        <f t="shared" si="113"/>
        <v>419</v>
      </c>
      <c r="AL94" s="13">
        <f t="shared" si="113"/>
        <v>-3699</v>
      </c>
      <c r="AM94" s="24">
        <f t="shared" si="113"/>
        <v>-655</v>
      </c>
      <c r="AN94" s="13">
        <f t="shared" si="113"/>
        <v>-118</v>
      </c>
      <c r="AU94" s="13">
        <f t="shared" ref="AU94:AX94" si="114">SUM(AU91:AU93)</f>
        <v>0</v>
      </c>
      <c r="AV94" s="13">
        <f t="shared" si="114"/>
        <v>0</v>
      </c>
      <c r="AW94" s="13">
        <f t="shared" si="114"/>
        <v>0</v>
      </c>
      <c r="AX94" s="13">
        <f t="shared" si="114"/>
        <v>0</v>
      </c>
      <c r="AY94" s="13">
        <f t="shared" ref="AY94" si="115">SUM(AY91:AY93)</f>
        <v>0</v>
      </c>
      <c r="AZ94" s="13">
        <f t="shared" ref="AZ94" si="116">SUM(AZ91:AZ93)</f>
        <v>0</v>
      </c>
      <c r="BA94" s="13">
        <f t="shared" ref="BA94:BI94" si="117">SUM(BA91:BA93)</f>
        <v>0</v>
      </c>
      <c r="BB94" s="13">
        <f t="shared" si="117"/>
        <v>0</v>
      </c>
      <c r="BC94" s="13">
        <f t="shared" si="117"/>
        <v>-294</v>
      </c>
      <c r="BD94" s="13">
        <f t="shared" si="117"/>
        <v>-300</v>
      </c>
      <c r="BE94" s="13">
        <f t="shared" si="117"/>
        <v>-1160</v>
      </c>
      <c r="BF94" s="13">
        <f t="shared" si="117"/>
        <v>-565</v>
      </c>
      <c r="BG94" s="13">
        <f t="shared" si="117"/>
        <v>1279</v>
      </c>
      <c r="BH94" s="13">
        <f t="shared" si="117"/>
        <v>13272</v>
      </c>
      <c r="BI94" s="13">
        <f t="shared" si="117"/>
        <v>-18184</v>
      </c>
    </row>
    <row r="95" spans="1:61" s="7" customFormat="1" x14ac:dyDescent="0.35">
      <c r="B95" s="5" t="s">
        <v>59</v>
      </c>
      <c r="C95" s="77"/>
      <c r="D95" s="77"/>
      <c r="E95" s="77"/>
      <c r="F95" s="77"/>
      <c r="G95" s="77"/>
      <c r="H95" s="77"/>
      <c r="I95" s="77"/>
      <c r="J95" s="77"/>
      <c r="K95" s="23">
        <f t="shared" ref="K95:AN95" si="118">K89+K94</f>
        <v>1056</v>
      </c>
      <c r="L95" s="7">
        <f t="shared" si="118"/>
        <v>1179</v>
      </c>
      <c r="M95" s="7">
        <f t="shared" si="118"/>
        <v>491</v>
      </c>
      <c r="N95" s="7">
        <f t="shared" si="118"/>
        <v>1166</v>
      </c>
      <c r="O95" s="23">
        <f t="shared" si="118"/>
        <v>953</v>
      </c>
      <c r="P95" s="7">
        <f t="shared" si="118"/>
        <v>666</v>
      </c>
      <c r="Q95" s="7">
        <f t="shared" si="118"/>
        <v>316</v>
      </c>
      <c r="R95" s="7">
        <f t="shared" si="118"/>
        <v>1871</v>
      </c>
      <c r="S95" s="23">
        <f t="shared" si="118"/>
        <v>1916</v>
      </c>
      <c r="T95" s="7">
        <f t="shared" si="118"/>
        <v>2605</v>
      </c>
      <c r="U95" s="7">
        <f t="shared" si="118"/>
        <v>3390</v>
      </c>
      <c r="V95" s="7">
        <f t="shared" si="118"/>
        <v>3350</v>
      </c>
      <c r="W95" s="23">
        <f t="shared" si="118"/>
        <v>4401</v>
      </c>
      <c r="X95" s="7">
        <f t="shared" si="118"/>
        <v>2889</v>
      </c>
      <c r="Y95" s="7">
        <f t="shared" si="118"/>
        <v>2632</v>
      </c>
      <c r="Z95" s="7">
        <f t="shared" si="118"/>
        <v>4054</v>
      </c>
      <c r="AA95" s="23">
        <f t="shared" si="118"/>
        <v>3383</v>
      </c>
      <c r="AB95" s="7">
        <f t="shared" si="118"/>
        <v>6221</v>
      </c>
      <c r="AC95" s="7">
        <f t="shared" si="118"/>
        <v>6809</v>
      </c>
      <c r="AD95" s="7">
        <f t="shared" si="118"/>
        <v>7765</v>
      </c>
      <c r="AE95" s="23">
        <f t="shared" si="118"/>
        <v>10268</v>
      </c>
      <c r="AF95" s="7">
        <f t="shared" si="118"/>
        <v>8634</v>
      </c>
      <c r="AG95" s="7">
        <f t="shared" si="118"/>
        <v>4315</v>
      </c>
      <c r="AH95" s="7">
        <f t="shared" si="118"/>
        <v>16934</v>
      </c>
      <c r="AI95" s="23">
        <f t="shared" si="118"/>
        <v>-5265</v>
      </c>
      <c r="AJ95" s="7">
        <f t="shared" si="118"/>
        <v>-2653</v>
      </c>
      <c r="AK95" s="7">
        <f t="shared" si="118"/>
        <v>2944</v>
      </c>
      <c r="AL95" s="7">
        <f t="shared" si="118"/>
        <v>-962</v>
      </c>
      <c r="AM95" s="23">
        <f t="shared" si="118"/>
        <v>4119</v>
      </c>
      <c r="AN95" s="7">
        <f t="shared" si="118"/>
        <v>7563</v>
      </c>
      <c r="AO95" s="71"/>
      <c r="AP95" s="71"/>
      <c r="AQ95" s="71"/>
      <c r="AR95" s="71"/>
      <c r="AS95" s="71"/>
      <c r="AT95" s="71"/>
      <c r="AU95" s="7">
        <f t="shared" ref="AU95:AX95" si="119">AU89+AU94</f>
        <v>0</v>
      </c>
      <c r="AV95" s="7">
        <f t="shared" si="119"/>
        <v>0</v>
      </c>
      <c r="AW95" s="7">
        <f t="shared" si="119"/>
        <v>0</v>
      </c>
      <c r="AX95" s="7">
        <f t="shared" si="119"/>
        <v>0</v>
      </c>
      <c r="AY95" s="7">
        <f t="shared" ref="AY95" si="120">AY89+AY94</f>
        <v>0</v>
      </c>
      <c r="AZ95" s="7">
        <f t="shared" ref="AZ95" si="121">AZ89+AZ94</f>
        <v>0</v>
      </c>
      <c r="BA95" s="7">
        <f t="shared" ref="BA95:BI95" si="122">BA89+BA94</f>
        <v>0</v>
      </c>
      <c r="BB95" s="7">
        <f t="shared" si="122"/>
        <v>0</v>
      </c>
      <c r="BC95" s="7">
        <f t="shared" si="122"/>
        <v>3892</v>
      </c>
      <c r="BD95" s="7">
        <f t="shared" si="122"/>
        <v>3806</v>
      </c>
      <c r="BE95" s="7">
        <f t="shared" si="122"/>
        <v>11261</v>
      </c>
      <c r="BF95" s="7">
        <f t="shared" si="122"/>
        <v>13976</v>
      </c>
      <c r="BG95" s="7">
        <f t="shared" si="122"/>
        <v>24178</v>
      </c>
      <c r="BH95" s="7">
        <f t="shared" si="122"/>
        <v>38151</v>
      </c>
      <c r="BI95" s="7">
        <f t="shared" si="122"/>
        <v>-5936</v>
      </c>
    </row>
    <row r="96" spans="1:61" s="7" customFormat="1" x14ac:dyDescent="0.35">
      <c r="B96" s="5" t="s">
        <v>60</v>
      </c>
      <c r="C96" s="77"/>
      <c r="D96" s="77"/>
      <c r="E96" s="77"/>
      <c r="F96" s="77"/>
      <c r="G96" s="77"/>
      <c r="H96" s="77"/>
      <c r="I96" s="77"/>
      <c r="J96" s="77"/>
      <c r="K96" s="23">
        <v>-475</v>
      </c>
      <c r="L96" s="7">
        <v>-307</v>
      </c>
      <c r="M96" s="7">
        <v>-229</v>
      </c>
      <c r="N96" s="7">
        <f>+-1425-K96-L96-M96</f>
        <v>-414</v>
      </c>
      <c r="O96" s="23">
        <v>-229</v>
      </c>
      <c r="P96" s="7">
        <v>-467</v>
      </c>
      <c r="Q96" s="7">
        <v>-58</v>
      </c>
      <c r="R96" s="7">
        <f>+-769-O96-P96-Q96</f>
        <v>-15</v>
      </c>
      <c r="S96" s="23">
        <v>-287</v>
      </c>
      <c r="T96" s="7">
        <v>-74</v>
      </c>
      <c r="U96" s="7">
        <v>-508</v>
      </c>
      <c r="V96" s="7">
        <f>+-1197-S96-T96-U96</f>
        <v>-328</v>
      </c>
      <c r="W96" s="23">
        <v>-836</v>
      </c>
      <c r="X96" s="7">
        <v>-257</v>
      </c>
      <c r="Y96" s="7">
        <v>-494</v>
      </c>
      <c r="Z96" s="7">
        <f>+-2374-W96-X96-Y96</f>
        <v>-787</v>
      </c>
      <c r="AA96" s="23">
        <v>-744</v>
      </c>
      <c r="AB96" s="7">
        <v>-984</v>
      </c>
      <c r="AC96" s="7">
        <v>-569</v>
      </c>
      <c r="AD96" s="7">
        <f>+-2863-AA96-AB96-AC96</f>
        <v>-566</v>
      </c>
      <c r="AE96" s="23">
        <v>-2156</v>
      </c>
      <c r="AF96" s="7">
        <v>-868</v>
      </c>
      <c r="AG96" s="7">
        <v>-1155</v>
      </c>
      <c r="AH96" s="7">
        <f>+-4791-AE96-AF96-AG96</f>
        <v>-612</v>
      </c>
      <c r="AI96" s="23">
        <v>1422</v>
      </c>
      <c r="AJ96" s="7">
        <v>637</v>
      </c>
      <c r="AK96" s="7">
        <v>-69</v>
      </c>
      <c r="AL96" s="7">
        <f>BI96-AK96-AJ96-AI96</f>
        <v>1227</v>
      </c>
      <c r="AM96" s="23">
        <v>-948</v>
      </c>
      <c r="AN96" s="71">
        <v>-804</v>
      </c>
      <c r="AO96" s="71"/>
      <c r="AP96" s="71"/>
      <c r="AQ96" s="71"/>
      <c r="AR96" s="71"/>
      <c r="AS96" s="71"/>
      <c r="AT96" s="71"/>
      <c r="BC96" s="7">
        <v>-1425</v>
      </c>
      <c r="BD96" s="7">
        <v>-769</v>
      </c>
      <c r="BE96" s="7">
        <v>-1197</v>
      </c>
      <c r="BF96" s="7">
        <v>-2374</v>
      </c>
      <c r="BG96" s="7">
        <v>-2863</v>
      </c>
      <c r="BH96" s="7">
        <v>-4791</v>
      </c>
      <c r="BI96" s="7">
        <v>3217</v>
      </c>
    </row>
    <row r="97" spans="1:66" s="13" customFormat="1" x14ac:dyDescent="0.35">
      <c r="A97" s="8"/>
      <c r="B97" s="9" t="s">
        <v>61</v>
      </c>
      <c r="C97" s="8"/>
      <c r="D97" s="8"/>
      <c r="E97" s="8"/>
      <c r="F97" s="8"/>
      <c r="G97" s="8"/>
      <c r="H97" s="8"/>
      <c r="I97" s="8"/>
      <c r="J97" s="8"/>
      <c r="K97" s="24">
        <v>-68</v>
      </c>
      <c r="L97" s="13">
        <v>-15</v>
      </c>
      <c r="M97" s="13">
        <v>-10</v>
      </c>
      <c r="N97" s="13">
        <f>+-96-K97-L97-M97</f>
        <v>-3</v>
      </c>
      <c r="O97" s="24">
        <v>0</v>
      </c>
      <c r="P97" s="13">
        <v>-2</v>
      </c>
      <c r="Q97" s="13">
        <v>-2</v>
      </c>
      <c r="R97" s="13">
        <f>+-4-O97-P97-Q97</f>
        <v>0</v>
      </c>
      <c r="S97" s="24">
        <v>0</v>
      </c>
      <c r="T97" s="13">
        <v>3</v>
      </c>
      <c r="U97" s="13">
        <v>1</v>
      </c>
      <c r="V97" s="13">
        <f>9-S97-T97-U97</f>
        <v>5</v>
      </c>
      <c r="W97" s="24">
        <v>-4</v>
      </c>
      <c r="X97" s="13">
        <v>-7</v>
      </c>
      <c r="Y97" s="13">
        <v>-4</v>
      </c>
      <c r="Z97" s="13">
        <f>-14-W97-X97-Y97</f>
        <v>1</v>
      </c>
      <c r="AA97" s="24">
        <v>-104</v>
      </c>
      <c r="AB97" s="13">
        <v>6</v>
      </c>
      <c r="AC97" s="13">
        <v>91</v>
      </c>
      <c r="AD97" s="13">
        <f>16-AA97-AB97-AC97</f>
        <v>23</v>
      </c>
      <c r="AE97" s="24">
        <v>-5</v>
      </c>
      <c r="AF97" s="13">
        <v>12</v>
      </c>
      <c r="AG97" s="13">
        <v>-4</v>
      </c>
      <c r="AH97" s="13">
        <f>4-AE97-AF97-AG97</f>
        <v>1</v>
      </c>
      <c r="AI97" s="24">
        <v>-1</v>
      </c>
      <c r="AJ97" s="13">
        <v>-12</v>
      </c>
      <c r="AK97" s="13">
        <v>-3</v>
      </c>
      <c r="AL97" s="13">
        <f>BI97-AK97-AJ97-AI97</f>
        <v>13</v>
      </c>
      <c r="AM97" s="24">
        <v>1</v>
      </c>
      <c r="AN97" s="13">
        <v>-9</v>
      </c>
      <c r="BC97" s="13">
        <v>-96</v>
      </c>
      <c r="BD97" s="13">
        <v>-4</v>
      </c>
      <c r="BE97" s="13">
        <v>9</v>
      </c>
      <c r="BF97" s="13">
        <v>-14</v>
      </c>
      <c r="BG97" s="13">
        <v>16</v>
      </c>
      <c r="BH97" s="13">
        <v>4</v>
      </c>
      <c r="BI97" s="13">
        <v>-3</v>
      </c>
    </row>
    <row r="98" spans="1:66" s="12" customFormat="1" x14ac:dyDescent="0.35">
      <c r="A98" s="3"/>
      <c r="B98" s="11" t="s">
        <v>62</v>
      </c>
      <c r="C98" s="87"/>
      <c r="D98" s="87"/>
      <c r="E98" s="87"/>
      <c r="F98" s="87"/>
      <c r="G98" s="87"/>
      <c r="H98" s="87"/>
      <c r="I98" s="87"/>
      <c r="J98" s="87"/>
      <c r="K98" s="26">
        <f t="shared" ref="K98:AN98" si="123">SUM(K95:K97)</f>
        <v>513</v>
      </c>
      <c r="L98" s="12">
        <f t="shared" si="123"/>
        <v>857</v>
      </c>
      <c r="M98" s="12">
        <f t="shared" si="123"/>
        <v>252</v>
      </c>
      <c r="N98" s="12">
        <f t="shared" si="123"/>
        <v>749</v>
      </c>
      <c r="O98" s="26">
        <f t="shared" si="123"/>
        <v>724</v>
      </c>
      <c r="P98" s="12">
        <f t="shared" si="123"/>
        <v>197</v>
      </c>
      <c r="Q98" s="12">
        <f t="shared" si="123"/>
        <v>256</v>
      </c>
      <c r="R98" s="12">
        <f t="shared" si="123"/>
        <v>1856</v>
      </c>
      <c r="S98" s="26">
        <f t="shared" si="123"/>
        <v>1629</v>
      </c>
      <c r="T98" s="12">
        <f t="shared" si="123"/>
        <v>2534</v>
      </c>
      <c r="U98" s="12">
        <f t="shared" si="123"/>
        <v>2883</v>
      </c>
      <c r="V98" s="12">
        <f t="shared" si="123"/>
        <v>3027</v>
      </c>
      <c r="W98" s="26">
        <f t="shared" si="123"/>
        <v>3561</v>
      </c>
      <c r="X98" s="12">
        <f t="shared" si="123"/>
        <v>2625</v>
      </c>
      <c r="Y98" s="12">
        <f t="shared" si="123"/>
        <v>2134</v>
      </c>
      <c r="Z98" s="12">
        <f t="shared" si="123"/>
        <v>3268</v>
      </c>
      <c r="AA98" s="26">
        <f t="shared" si="123"/>
        <v>2535</v>
      </c>
      <c r="AB98" s="12">
        <f t="shared" si="123"/>
        <v>5243</v>
      </c>
      <c r="AC98" s="12">
        <f t="shared" si="123"/>
        <v>6331</v>
      </c>
      <c r="AD98" s="12">
        <f t="shared" si="123"/>
        <v>7222</v>
      </c>
      <c r="AE98" s="26">
        <f t="shared" si="123"/>
        <v>8107</v>
      </c>
      <c r="AF98" s="12">
        <f t="shared" si="123"/>
        <v>7778</v>
      </c>
      <c r="AG98" s="12">
        <f t="shared" si="123"/>
        <v>3156</v>
      </c>
      <c r="AH98" s="12">
        <f t="shared" si="123"/>
        <v>16323</v>
      </c>
      <c r="AI98" s="26">
        <f t="shared" si="123"/>
        <v>-3844</v>
      </c>
      <c r="AJ98" s="12">
        <f t="shared" si="123"/>
        <v>-2028</v>
      </c>
      <c r="AK98" s="12">
        <f t="shared" si="123"/>
        <v>2872</v>
      </c>
      <c r="AL98" s="12">
        <f t="shared" si="123"/>
        <v>278</v>
      </c>
      <c r="AM98" s="26">
        <f t="shared" si="123"/>
        <v>3172</v>
      </c>
      <c r="AN98" s="12">
        <f t="shared" si="123"/>
        <v>6750</v>
      </c>
      <c r="AO98" s="72"/>
      <c r="AP98" s="72"/>
      <c r="AQ98" s="72"/>
      <c r="AR98" s="72"/>
      <c r="AS98" s="72"/>
      <c r="AT98" s="72"/>
      <c r="AU98" s="12">
        <f t="shared" ref="AU98:AX98" si="124">SUM(AU95:AU97)</f>
        <v>0</v>
      </c>
      <c r="AV98" s="12">
        <f t="shared" si="124"/>
        <v>0</v>
      </c>
      <c r="AW98" s="12">
        <f t="shared" si="124"/>
        <v>0</v>
      </c>
      <c r="AX98" s="12">
        <f t="shared" si="124"/>
        <v>0</v>
      </c>
      <c r="AY98" s="12">
        <f t="shared" ref="AY98" si="125">SUM(AY95:AY97)</f>
        <v>0</v>
      </c>
      <c r="AZ98" s="12">
        <f t="shared" ref="AZ98" si="126">SUM(AZ95:AZ97)</f>
        <v>0</v>
      </c>
      <c r="BA98" s="12">
        <f t="shared" ref="BA98:BI98" si="127">SUM(BA95:BA97)</f>
        <v>0</v>
      </c>
      <c r="BB98" s="12">
        <f t="shared" si="127"/>
        <v>0</v>
      </c>
      <c r="BC98" s="12">
        <f t="shared" si="127"/>
        <v>2371</v>
      </c>
      <c r="BD98" s="12">
        <f t="shared" si="127"/>
        <v>3033</v>
      </c>
      <c r="BE98" s="12">
        <f t="shared" si="127"/>
        <v>10073</v>
      </c>
      <c r="BF98" s="12">
        <f t="shared" si="127"/>
        <v>11588</v>
      </c>
      <c r="BG98" s="12">
        <f t="shared" si="127"/>
        <v>21331</v>
      </c>
      <c r="BH98" s="12">
        <f t="shared" si="127"/>
        <v>33364</v>
      </c>
      <c r="BI98" s="12">
        <f t="shared" si="127"/>
        <v>-2722</v>
      </c>
    </row>
    <row r="99" spans="1:66" x14ac:dyDescent="0.35">
      <c r="X99" s="7"/>
      <c r="AE99" s="23"/>
      <c r="AH99" s="10"/>
      <c r="AU99"/>
      <c r="AV99"/>
      <c r="AW99"/>
      <c r="AX99"/>
    </row>
    <row r="100" spans="1:66" s="10" customFormat="1" x14ac:dyDescent="0.35">
      <c r="B100" s="59" t="s">
        <v>63</v>
      </c>
      <c r="C100" s="78"/>
      <c r="D100" s="78"/>
      <c r="E100" s="78"/>
      <c r="F100" s="78"/>
      <c r="G100" s="78"/>
      <c r="H100" s="78"/>
      <c r="I100" s="78"/>
      <c r="J100" s="78"/>
      <c r="K100" s="28">
        <f t="shared" ref="K100:AN100" si="128">K98/K102</f>
        <v>5.4458598726114651E-2</v>
      </c>
      <c r="L100" s="10">
        <f t="shared" si="128"/>
        <v>9.0400843881856541E-2</v>
      </c>
      <c r="M100" s="10">
        <f t="shared" si="128"/>
        <v>2.6526315789473683E-2</v>
      </c>
      <c r="N100" s="10">
        <f t="shared" si="128"/>
        <v>7.8511530398322857E-2</v>
      </c>
      <c r="O100" s="28">
        <f t="shared" si="128"/>
        <v>7.5890985324947591E-2</v>
      </c>
      <c r="P100" s="10">
        <f t="shared" si="128"/>
        <v>2.056367432150313E-2</v>
      </c>
      <c r="Q100" s="10">
        <f t="shared" si="128"/>
        <v>2.6611226611226613E-2</v>
      </c>
      <c r="R100" s="10">
        <f t="shared" si="128"/>
        <v>0.19333333333333333</v>
      </c>
      <c r="S100" s="28">
        <f t="shared" si="128"/>
        <v>0.16828512396694215</v>
      </c>
      <c r="T100" s="10">
        <f t="shared" si="128"/>
        <v>0.26069958847736624</v>
      </c>
      <c r="U100" s="10">
        <f t="shared" si="128"/>
        <v>0.28772455089820359</v>
      </c>
      <c r="V100" s="10">
        <f t="shared" si="128"/>
        <v>0.31078028747433267</v>
      </c>
      <c r="W100" s="28">
        <f t="shared" si="128"/>
        <v>0.36262729124236254</v>
      </c>
      <c r="X100" s="10">
        <f t="shared" si="128"/>
        <v>0.26622718052738337</v>
      </c>
      <c r="Y100" s="10">
        <f t="shared" si="128"/>
        <v>0.21555555555555556</v>
      </c>
      <c r="Z100" s="10">
        <f t="shared" si="128"/>
        <v>0.33076923076923076</v>
      </c>
      <c r="AA100" s="28">
        <f t="shared" si="128"/>
        <v>0.25451807228915663</v>
      </c>
      <c r="AB100" s="10">
        <f t="shared" si="128"/>
        <v>0.52429999999999999</v>
      </c>
      <c r="AC100" s="10">
        <f t="shared" si="128"/>
        <v>0.63183632734530937</v>
      </c>
      <c r="AD100" s="10">
        <f t="shared" si="128"/>
        <v>0.72219999999999995</v>
      </c>
      <c r="AE100" s="28">
        <f t="shared" si="128"/>
        <v>0.80426587301587305</v>
      </c>
      <c r="AF100" s="10">
        <f t="shared" si="128"/>
        <v>0.76987033554389783</v>
      </c>
      <c r="AG100" s="10">
        <f t="shared" si="128"/>
        <v>0.31124260355029587</v>
      </c>
      <c r="AH100" s="10">
        <f t="shared" si="128"/>
        <v>1.6129446640316205</v>
      </c>
      <c r="AI100" s="28">
        <f t="shared" si="128"/>
        <v>-0.37760314341846757</v>
      </c>
      <c r="AJ100" s="10">
        <f t="shared" si="128"/>
        <v>-0.19931203931203931</v>
      </c>
      <c r="AK100" s="10">
        <f t="shared" si="128"/>
        <v>0.27799825767108705</v>
      </c>
      <c r="AL100" s="10">
        <f t="shared" si="128"/>
        <v>2.7129203962073429E-2</v>
      </c>
      <c r="AM100" s="28">
        <f t="shared" si="128"/>
        <v>0.30946341463414634</v>
      </c>
      <c r="AN100" s="10">
        <f t="shared" si="128"/>
        <v>0.65629557608167233</v>
      </c>
      <c r="AO100" s="78"/>
      <c r="AP100" s="78"/>
      <c r="AQ100" s="78"/>
      <c r="AR100" s="78"/>
      <c r="AS100" s="78"/>
      <c r="AT100" s="78"/>
      <c r="AU100" s="10" t="e">
        <f t="shared" ref="AU100" si="129">AU98/AU102</f>
        <v>#DIV/0!</v>
      </c>
      <c r="AV100" s="10" t="e">
        <f t="shared" ref="AV100" si="130">AV98/AV102</f>
        <v>#DIV/0!</v>
      </c>
      <c r="AW100" s="10" t="e">
        <f t="shared" ref="AW100:AX100" si="131">AW98/AW102</f>
        <v>#DIV/0!</v>
      </c>
      <c r="AX100" s="10" t="e">
        <f t="shared" si="131"/>
        <v>#DIV/0!</v>
      </c>
      <c r="AY100" s="10" t="s">
        <v>64</v>
      </c>
      <c r="AZ100" s="10" t="e">
        <f t="shared" ref="AZ100" si="132">AZ98/AZ102</f>
        <v>#DIV/0!</v>
      </c>
      <c r="BA100" s="10" t="s">
        <v>64</v>
      </c>
      <c r="BB100" s="10" t="e">
        <f t="shared" ref="BB100:BI100" si="133">BB98/BB102</f>
        <v>#DIV/0!</v>
      </c>
      <c r="BC100" s="10">
        <f t="shared" si="133"/>
        <v>0.25010548523206749</v>
      </c>
      <c r="BD100" s="10">
        <f t="shared" si="133"/>
        <v>0.31593749999999998</v>
      </c>
      <c r="BE100" s="10">
        <f t="shared" si="133"/>
        <v>1.0341889117043122</v>
      </c>
      <c r="BF100" s="10">
        <f t="shared" si="133"/>
        <v>1.1728744939271256</v>
      </c>
      <c r="BG100" s="10">
        <f t="shared" si="133"/>
        <v>2.1320339830084958</v>
      </c>
      <c r="BH100" s="10">
        <f t="shared" si="133"/>
        <v>3.2978155579717305</v>
      </c>
      <c r="BI100" s="10">
        <f t="shared" si="133"/>
        <v>-0.2671508489547551</v>
      </c>
    </row>
    <row r="101" spans="1:66" s="10" customFormat="1" x14ac:dyDescent="0.35">
      <c r="B101" s="59" t="s">
        <v>65</v>
      </c>
      <c r="C101" s="78"/>
      <c r="D101" s="78"/>
      <c r="E101" s="78"/>
      <c r="F101" s="78"/>
      <c r="G101" s="78"/>
      <c r="H101" s="78"/>
      <c r="I101" s="78"/>
      <c r="J101" s="78"/>
      <c r="K101" s="28"/>
      <c r="O101" s="28"/>
      <c r="S101" s="28"/>
      <c r="W101" s="28"/>
      <c r="AA101" s="28"/>
      <c r="AE101" s="28"/>
      <c r="AI101" s="28"/>
      <c r="AM101" s="28"/>
      <c r="AN101" s="78"/>
      <c r="AO101" s="78"/>
      <c r="AP101" s="78"/>
      <c r="AQ101" s="78"/>
      <c r="AR101" s="78"/>
      <c r="AS101" s="78"/>
      <c r="AT101" s="78"/>
      <c r="AU101" s="10" t="e">
        <f t="shared" ref="AU101" si="134">AU98/AU103</f>
        <v>#DIV/0!</v>
      </c>
      <c r="AV101" s="10" t="e">
        <f t="shared" ref="AV101" si="135">AV98/AV103</f>
        <v>#DIV/0!</v>
      </c>
      <c r="AW101" s="10" t="e">
        <f t="shared" ref="AW101" si="136">AW98/AW103</f>
        <v>#DIV/0!</v>
      </c>
      <c r="AX101" s="10" t="e">
        <f t="shared" ref="AX101" si="137">AX98/AX103</f>
        <v>#DIV/0!</v>
      </c>
      <c r="AY101" s="10" t="e">
        <f t="shared" ref="AY101:AZ101" si="138">AY98/AY103</f>
        <v>#DIV/0!</v>
      </c>
      <c r="AZ101" s="10" t="e">
        <f t="shared" si="138"/>
        <v>#DIV/0!</v>
      </c>
      <c r="BA101" s="10" t="e">
        <f t="shared" ref="BA101:BI101" si="139">BA98/BA103</f>
        <v>#DIV/0!</v>
      </c>
      <c r="BB101" s="10" t="e">
        <f t="shared" si="139"/>
        <v>#DIV/0!</v>
      </c>
      <c r="BC101" s="10">
        <f t="shared" si="139"/>
        <v>0.24493801652892561</v>
      </c>
      <c r="BD101" s="10">
        <f t="shared" si="139"/>
        <v>0.30760649087221098</v>
      </c>
      <c r="BE101" s="10">
        <f t="shared" si="139"/>
        <v>1.0073000000000001</v>
      </c>
      <c r="BF101" s="10">
        <f t="shared" si="139"/>
        <v>1.1496031746031745</v>
      </c>
      <c r="BG101" s="10">
        <f t="shared" si="139"/>
        <v>2.0916846440478527</v>
      </c>
      <c r="BH101" s="10">
        <f t="shared" si="139"/>
        <v>3.2404817404817403</v>
      </c>
      <c r="BI101" s="10">
        <f t="shared" si="139"/>
        <v>-0.2671508489547551</v>
      </c>
    </row>
    <row r="102" spans="1:66" s="7" customFormat="1" x14ac:dyDescent="0.35">
      <c r="B102" s="14" t="s">
        <v>66</v>
      </c>
      <c r="C102" s="71"/>
      <c r="D102" s="71"/>
      <c r="E102" s="71"/>
      <c r="F102" s="71"/>
      <c r="G102" s="71"/>
      <c r="H102" s="71"/>
      <c r="I102" s="71"/>
      <c r="J102" s="71"/>
      <c r="K102" s="23">
        <f>K103*20</f>
        <v>9420</v>
      </c>
      <c r="L102" s="71">
        <f t="shared" ref="L102:V102" si="140">L103*20</f>
        <v>9480</v>
      </c>
      <c r="M102" s="71">
        <f t="shared" si="140"/>
        <v>9500</v>
      </c>
      <c r="N102" s="71">
        <f t="shared" si="140"/>
        <v>9540</v>
      </c>
      <c r="O102" s="23">
        <f t="shared" si="140"/>
        <v>9540</v>
      </c>
      <c r="P102" s="71">
        <f t="shared" si="140"/>
        <v>9580</v>
      </c>
      <c r="Q102" s="71">
        <f t="shared" si="140"/>
        <v>9620</v>
      </c>
      <c r="R102" s="71">
        <f t="shared" si="140"/>
        <v>9600</v>
      </c>
      <c r="S102" s="23">
        <f t="shared" si="140"/>
        <v>9680</v>
      </c>
      <c r="T102" s="71">
        <f t="shared" si="140"/>
        <v>9720</v>
      </c>
      <c r="U102" s="71">
        <f t="shared" si="140"/>
        <v>10020</v>
      </c>
      <c r="V102" s="71">
        <f t="shared" si="140"/>
        <v>9740</v>
      </c>
      <c r="W102" s="23">
        <f>491*20</f>
        <v>9820</v>
      </c>
      <c r="X102" s="7">
        <f>493*20</f>
        <v>9860</v>
      </c>
      <c r="Y102" s="7">
        <f>495*20</f>
        <v>9900</v>
      </c>
      <c r="Z102" s="7">
        <f>494*20</f>
        <v>9880</v>
      </c>
      <c r="AA102" s="23">
        <f>498*20</f>
        <v>9960</v>
      </c>
      <c r="AB102" s="7">
        <f>500*20</f>
        <v>10000</v>
      </c>
      <c r="AC102" s="7">
        <f>501*20</f>
        <v>10020</v>
      </c>
      <c r="AD102" s="7">
        <f>500*20</f>
        <v>10000</v>
      </c>
      <c r="AE102" s="23">
        <f>504*20</f>
        <v>10080</v>
      </c>
      <c r="AF102" s="7">
        <f>10103</f>
        <v>10103</v>
      </c>
      <c r="AG102" s="7">
        <f>507*20</f>
        <v>10140</v>
      </c>
      <c r="AH102" s="7">
        <f>506*20</f>
        <v>10120</v>
      </c>
      <c r="AI102" s="23">
        <f>509*20</f>
        <v>10180</v>
      </c>
      <c r="AJ102" s="7">
        <v>10175</v>
      </c>
      <c r="AK102" s="7">
        <v>10331</v>
      </c>
      <c r="AL102" s="7">
        <v>10247.259757</v>
      </c>
      <c r="AM102" s="23">
        <v>10250</v>
      </c>
      <c r="AN102" s="71">
        <v>10285</v>
      </c>
      <c r="AO102" s="71"/>
      <c r="AP102" s="71"/>
      <c r="AQ102" s="71"/>
      <c r="AR102" s="71"/>
      <c r="AS102" s="71"/>
      <c r="AT102" s="71"/>
      <c r="AU102" s="71"/>
      <c r="AV102" s="71"/>
      <c r="AW102" s="71"/>
      <c r="AX102" s="71"/>
      <c r="BC102" s="7">
        <f>BC104*20</f>
        <v>9480</v>
      </c>
      <c r="BD102" s="7">
        <f>BD104*20</f>
        <v>9600</v>
      </c>
      <c r="BE102" s="7">
        <f>487*20</f>
        <v>9740</v>
      </c>
      <c r="BF102" s="7">
        <f>494*20</f>
        <v>9880</v>
      </c>
      <c r="BG102" s="7">
        <v>10005</v>
      </c>
      <c r="BH102" s="7">
        <v>10117</v>
      </c>
      <c r="BI102" s="7">
        <v>10189</v>
      </c>
    </row>
    <row r="103" spans="1:66" x14ac:dyDescent="0.35">
      <c r="B103" s="5" t="s">
        <v>1856</v>
      </c>
      <c r="K103" s="27">
        <v>471</v>
      </c>
      <c r="L103">
        <v>474</v>
      </c>
      <c r="M103">
        <v>475</v>
      </c>
      <c r="N103">
        <v>477</v>
      </c>
      <c r="O103" s="27">
        <v>477</v>
      </c>
      <c r="P103">
        <v>479</v>
      </c>
      <c r="Q103">
        <v>481</v>
      </c>
      <c r="R103">
        <v>480</v>
      </c>
      <c r="S103" s="27">
        <v>484</v>
      </c>
      <c r="T103">
        <v>486</v>
      </c>
      <c r="U103">
        <v>501</v>
      </c>
      <c r="V103">
        <v>487</v>
      </c>
      <c r="W103" s="27">
        <v>491</v>
      </c>
      <c r="X103">
        <v>493</v>
      </c>
      <c r="Y103">
        <v>495</v>
      </c>
      <c r="Z103">
        <v>494</v>
      </c>
      <c r="AA103" s="27">
        <v>498</v>
      </c>
      <c r="AB103">
        <v>500</v>
      </c>
      <c r="AC103">
        <v>501</v>
      </c>
      <c r="AD103">
        <v>500</v>
      </c>
      <c r="AE103" s="27">
        <v>504</v>
      </c>
      <c r="AF103">
        <v>505</v>
      </c>
      <c r="AG103">
        <v>507</v>
      </c>
      <c r="AH103">
        <v>506</v>
      </c>
      <c r="AI103" s="27">
        <v>509</v>
      </c>
      <c r="AJ103" s="7"/>
      <c r="BC103">
        <f>BC105*20</f>
        <v>9680</v>
      </c>
      <c r="BD103">
        <f>BD105*20</f>
        <v>9860</v>
      </c>
      <c r="BE103">
        <f>500*20</f>
        <v>10000</v>
      </c>
      <c r="BF103">
        <f>504*20</f>
        <v>10080</v>
      </c>
      <c r="BG103">
        <v>10198</v>
      </c>
      <c r="BH103">
        <v>10296</v>
      </c>
      <c r="BI103">
        <v>10189</v>
      </c>
    </row>
    <row r="104" spans="1:66" x14ac:dyDescent="0.35">
      <c r="AJ104" s="7"/>
      <c r="BC104">
        <v>474</v>
      </c>
      <c r="BD104">
        <v>480</v>
      </c>
      <c r="BE104">
        <v>487</v>
      </c>
    </row>
    <row r="105" spans="1:66" x14ac:dyDescent="0.35">
      <c r="BC105">
        <v>484</v>
      </c>
      <c r="BD105">
        <v>493</v>
      </c>
      <c r="BE105">
        <v>500</v>
      </c>
    </row>
    <row r="106" spans="1:66" s="53" customFormat="1" x14ac:dyDescent="0.35">
      <c r="B106" s="22" t="s">
        <v>67</v>
      </c>
      <c r="C106" s="69"/>
      <c r="D106" s="69"/>
      <c r="E106" s="69"/>
      <c r="F106" s="69"/>
      <c r="G106" s="69"/>
      <c r="H106" s="69"/>
      <c r="I106" s="69"/>
      <c r="J106" s="69"/>
      <c r="K106" s="54"/>
      <c r="O106" s="54"/>
      <c r="S106" s="54"/>
      <c r="W106" s="54"/>
      <c r="AA106" s="54"/>
      <c r="AE106" s="54"/>
      <c r="AI106" s="54"/>
      <c r="AM106" s="54"/>
      <c r="AN106" s="76"/>
      <c r="AO106" s="76"/>
      <c r="AP106" s="76"/>
      <c r="AQ106" s="76"/>
      <c r="AR106" s="76"/>
      <c r="AS106" s="76"/>
      <c r="AT106" s="76"/>
      <c r="AU106" s="76"/>
      <c r="AV106" s="76"/>
      <c r="AW106" s="76"/>
      <c r="AX106" s="76"/>
    </row>
    <row r="107" spans="1:66" s="35" customFormat="1" x14ac:dyDescent="0.35">
      <c r="B107" s="36" t="s">
        <v>68</v>
      </c>
      <c r="C107" s="79"/>
      <c r="D107" s="79"/>
      <c r="E107" s="79"/>
      <c r="F107" s="79"/>
      <c r="G107" s="79"/>
      <c r="H107" s="79"/>
      <c r="I107" s="79"/>
      <c r="J107" s="79"/>
      <c r="K107" s="37"/>
      <c r="O107" s="37"/>
      <c r="S107" s="37"/>
      <c r="W107" s="37"/>
      <c r="AA107" s="37"/>
      <c r="AE107" s="37"/>
      <c r="AI107" s="37"/>
      <c r="AM107" s="37"/>
      <c r="AN107" s="79"/>
      <c r="AO107" s="79"/>
      <c r="AP107" s="79"/>
      <c r="AQ107" s="79"/>
      <c r="AR107" s="79"/>
      <c r="AS107" s="79"/>
      <c r="AT107" s="79"/>
      <c r="AU107" s="79"/>
      <c r="AV107" s="79"/>
      <c r="AW107" s="79"/>
      <c r="AX107" s="79"/>
    </row>
    <row r="108" spans="1:66" s="7" customFormat="1" x14ac:dyDescent="0.35">
      <c r="B108" s="5" t="s">
        <v>69</v>
      </c>
      <c r="C108" s="77"/>
      <c r="D108" s="77"/>
      <c r="E108" s="77"/>
      <c r="F108" s="77"/>
      <c r="G108" s="77"/>
      <c r="H108" s="77"/>
      <c r="I108" s="77"/>
      <c r="J108" s="77"/>
      <c r="K108" s="23">
        <v>12470</v>
      </c>
      <c r="L108" s="7">
        <v>12521</v>
      </c>
      <c r="M108" s="7">
        <v>13656</v>
      </c>
      <c r="N108" s="7">
        <v>19334</v>
      </c>
      <c r="O108" s="23">
        <v>15440</v>
      </c>
      <c r="P108" s="7">
        <v>13203</v>
      </c>
      <c r="Q108" s="7">
        <v>12767</v>
      </c>
      <c r="R108" s="7">
        <v>20522</v>
      </c>
      <c r="S108" s="23">
        <v>16676</v>
      </c>
      <c r="T108" s="7">
        <v>19823</v>
      </c>
      <c r="U108" s="7">
        <v>20425</v>
      </c>
      <c r="V108" s="7">
        <v>31750</v>
      </c>
      <c r="W108" s="23">
        <v>23115</v>
      </c>
      <c r="X108" s="7">
        <v>22616</v>
      </c>
      <c r="Y108" s="7">
        <v>23255</v>
      </c>
      <c r="Z108" s="7">
        <v>36092</v>
      </c>
      <c r="AA108" s="23">
        <v>27201</v>
      </c>
      <c r="AB108" s="7">
        <v>37466</v>
      </c>
      <c r="AC108" s="7">
        <v>29930</v>
      </c>
      <c r="AD108" s="7">
        <v>42122</v>
      </c>
      <c r="AE108" s="23">
        <v>33834</v>
      </c>
      <c r="AF108" s="7">
        <v>40380</v>
      </c>
      <c r="AG108" s="7">
        <v>29944</v>
      </c>
      <c r="AH108" s="7">
        <v>36220</v>
      </c>
      <c r="AI108" s="23">
        <v>36393</v>
      </c>
      <c r="AJ108" s="7">
        <v>37478</v>
      </c>
      <c r="AK108" s="7">
        <v>34947</v>
      </c>
      <c r="AL108" s="7">
        <v>53888</v>
      </c>
      <c r="AM108" s="23">
        <v>49343</v>
      </c>
      <c r="AN108" s="71">
        <v>49529</v>
      </c>
      <c r="AO108" s="71"/>
      <c r="AP108" s="71"/>
      <c r="AQ108" s="71"/>
      <c r="AR108" s="71"/>
      <c r="AS108" s="71"/>
      <c r="AT108" s="71"/>
      <c r="BD108" s="7">
        <v>20522</v>
      </c>
      <c r="BE108" s="7">
        <v>31750</v>
      </c>
      <c r="BF108" s="7">
        <v>36092</v>
      </c>
      <c r="BG108" s="7">
        <v>42122</v>
      </c>
      <c r="BH108" s="7">
        <v>36220</v>
      </c>
      <c r="BI108" s="7">
        <v>53888</v>
      </c>
    </row>
    <row r="109" spans="1:66" s="7" customFormat="1" x14ac:dyDescent="0.35">
      <c r="B109" s="5" t="s">
        <v>70</v>
      </c>
      <c r="C109" s="77"/>
      <c r="D109" s="77"/>
      <c r="E109" s="77"/>
      <c r="F109" s="77"/>
      <c r="G109" s="77"/>
      <c r="H109" s="77"/>
      <c r="I109" s="77"/>
      <c r="J109" s="77"/>
      <c r="K109" s="23">
        <v>3389</v>
      </c>
      <c r="L109" s="7">
        <v>4019</v>
      </c>
      <c r="M109" s="7">
        <v>4691</v>
      </c>
      <c r="N109" s="7">
        <v>6647</v>
      </c>
      <c r="O109" s="23">
        <v>6091</v>
      </c>
      <c r="P109" s="7">
        <v>8248</v>
      </c>
      <c r="Q109" s="7">
        <v>11543</v>
      </c>
      <c r="R109" s="7">
        <v>10464</v>
      </c>
      <c r="S109" s="23">
        <v>8287</v>
      </c>
      <c r="T109" s="7">
        <v>7227</v>
      </c>
      <c r="U109" s="7">
        <v>9340</v>
      </c>
      <c r="V109" s="7">
        <v>9500</v>
      </c>
      <c r="W109" s="23">
        <v>13905</v>
      </c>
      <c r="X109" s="7">
        <v>18847</v>
      </c>
      <c r="Y109" s="7">
        <v>20146</v>
      </c>
      <c r="Z109" s="7">
        <v>18929</v>
      </c>
      <c r="AA109" s="23">
        <v>22091</v>
      </c>
      <c r="AB109" s="7">
        <v>33925</v>
      </c>
      <c r="AC109" s="7">
        <v>38472</v>
      </c>
      <c r="AD109" s="7">
        <v>42274</v>
      </c>
      <c r="AE109" s="23">
        <v>39436</v>
      </c>
      <c r="AF109" s="7">
        <v>49514</v>
      </c>
      <c r="AG109" s="7">
        <v>49044</v>
      </c>
      <c r="AH109" s="7">
        <v>59829</v>
      </c>
      <c r="AI109" s="23">
        <v>29992</v>
      </c>
      <c r="AJ109" s="7">
        <v>23232</v>
      </c>
      <c r="AK109" s="7">
        <v>23715</v>
      </c>
      <c r="AL109" s="7">
        <v>16138</v>
      </c>
      <c r="AM109" s="23">
        <v>15062</v>
      </c>
      <c r="AN109" s="71">
        <v>14441</v>
      </c>
      <c r="AO109" s="71"/>
      <c r="AP109" s="71"/>
      <c r="AQ109" s="71"/>
      <c r="AR109" s="71"/>
      <c r="AS109" s="71"/>
      <c r="AT109" s="71"/>
      <c r="BD109" s="7">
        <v>10464</v>
      </c>
      <c r="BE109" s="7">
        <v>9500</v>
      </c>
      <c r="BF109" s="7">
        <v>18929</v>
      </c>
      <c r="BG109" s="7">
        <v>42274</v>
      </c>
      <c r="BH109" s="7">
        <v>59829</v>
      </c>
      <c r="BI109" s="7">
        <v>16138</v>
      </c>
    </row>
    <row r="110" spans="1:66" s="7" customFormat="1" x14ac:dyDescent="0.35">
      <c r="B110" s="5" t="s">
        <v>71</v>
      </c>
      <c r="C110" s="77"/>
      <c r="D110" s="77"/>
      <c r="E110" s="77"/>
      <c r="F110" s="77"/>
      <c r="G110" s="77"/>
      <c r="H110" s="77"/>
      <c r="I110" s="77"/>
      <c r="J110" s="77"/>
      <c r="K110" s="23">
        <v>9582</v>
      </c>
      <c r="L110" s="7">
        <v>9588</v>
      </c>
      <c r="M110" s="7">
        <v>10696</v>
      </c>
      <c r="N110" s="7">
        <v>11461</v>
      </c>
      <c r="O110" s="23">
        <v>10600</v>
      </c>
      <c r="P110" s="7">
        <v>11510</v>
      </c>
      <c r="Q110" s="7">
        <v>13711</v>
      </c>
      <c r="R110" s="7">
        <v>16047</v>
      </c>
      <c r="S110" s="23">
        <v>13840</v>
      </c>
      <c r="T110" s="7">
        <v>14824</v>
      </c>
      <c r="U110" s="7">
        <v>15862</v>
      </c>
      <c r="V110" s="7">
        <v>17174</v>
      </c>
      <c r="W110" s="23">
        <v>16432</v>
      </c>
      <c r="X110" s="7">
        <v>18580</v>
      </c>
      <c r="Y110" s="7">
        <v>18766</v>
      </c>
      <c r="Z110" s="7">
        <v>20497</v>
      </c>
      <c r="AA110" s="23">
        <v>18857</v>
      </c>
      <c r="AB110" s="7">
        <v>19599</v>
      </c>
      <c r="AC110" s="7">
        <v>23735</v>
      </c>
      <c r="AD110" s="7">
        <v>23795</v>
      </c>
      <c r="AE110" s="23">
        <v>23849</v>
      </c>
      <c r="AF110" s="7">
        <v>24119</v>
      </c>
      <c r="AG110" s="7">
        <v>30933</v>
      </c>
      <c r="AH110" s="7">
        <v>32640</v>
      </c>
      <c r="AI110" s="23">
        <v>34987</v>
      </c>
      <c r="AJ110" s="7">
        <v>38153</v>
      </c>
      <c r="AK110" s="7">
        <v>36647</v>
      </c>
      <c r="AL110" s="7">
        <v>34405</v>
      </c>
      <c r="AM110" s="23">
        <v>34170</v>
      </c>
      <c r="AN110" s="71">
        <v>36587</v>
      </c>
      <c r="AO110" s="71"/>
      <c r="AP110" s="71"/>
      <c r="AQ110" s="71"/>
      <c r="AR110" s="71"/>
      <c r="AS110" s="71"/>
      <c r="AT110" s="71"/>
      <c r="BD110" s="7">
        <v>16047</v>
      </c>
      <c r="BE110" s="7">
        <v>17174</v>
      </c>
      <c r="BF110" s="7">
        <v>20497</v>
      </c>
      <c r="BG110" s="7">
        <v>23795</v>
      </c>
      <c r="BH110" s="7">
        <v>32640</v>
      </c>
      <c r="BI110" s="7">
        <v>34405</v>
      </c>
    </row>
    <row r="111" spans="1:66" s="13" customFormat="1" x14ac:dyDescent="0.35">
      <c r="A111" s="8"/>
      <c r="B111" s="9" t="s">
        <v>72</v>
      </c>
      <c r="C111" s="8"/>
      <c r="D111" s="8"/>
      <c r="E111" s="8"/>
      <c r="F111" s="8"/>
      <c r="G111" s="8"/>
      <c r="H111" s="8"/>
      <c r="I111" s="8"/>
      <c r="J111" s="8"/>
      <c r="K111" s="24">
        <v>5072</v>
      </c>
      <c r="L111" s="13">
        <v>6092</v>
      </c>
      <c r="M111" s="13">
        <v>6566</v>
      </c>
      <c r="N111" s="13">
        <v>8339</v>
      </c>
      <c r="O111" s="24">
        <v>7329</v>
      </c>
      <c r="P111" s="13">
        <v>8046</v>
      </c>
      <c r="Q111" s="13">
        <v>10557</v>
      </c>
      <c r="R111" s="13">
        <v>13164</v>
      </c>
      <c r="S111" s="24">
        <v>12026</v>
      </c>
      <c r="T111" s="13">
        <v>12607</v>
      </c>
      <c r="U111" s="13">
        <v>14258</v>
      </c>
      <c r="V111" s="13">
        <v>16677</v>
      </c>
      <c r="W111" s="24">
        <v>15979</v>
      </c>
      <c r="X111" s="13">
        <v>16747</v>
      </c>
      <c r="Y111" s="13">
        <v>16887</v>
      </c>
      <c r="Z111" s="13">
        <v>20816</v>
      </c>
      <c r="AA111" s="24">
        <v>17836</v>
      </c>
      <c r="AB111" s="13">
        <v>19918</v>
      </c>
      <c r="AC111" s="13">
        <v>20832</v>
      </c>
      <c r="AD111" s="13">
        <v>24542</v>
      </c>
      <c r="AE111" s="24">
        <v>24289</v>
      </c>
      <c r="AF111" s="13">
        <v>26835</v>
      </c>
      <c r="AG111" s="13">
        <v>28610</v>
      </c>
      <c r="AH111" s="13">
        <v>32891</v>
      </c>
      <c r="AI111" s="24">
        <v>32504</v>
      </c>
      <c r="AJ111" s="13">
        <v>34804</v>
      </c>
      <c r="AK111" s="13">
        <v>36154</v>
      </c>
      <c r="AL111" s="13">
        <v>42360</v>
      </c>
      <c r="AM111" s="24">
        <v>37646</v>
      </c>
      <c r="AN111" s="13">
        <v>39925</v>
      </c>
      <c r="BD111" s="13">
        <v>13164</v>
      </c>
      <c r="BE111" s="13">
        <v>16677</v>
      </c>
      <c r="BF111" s="13">
        <v>20816</v>
      </c>
      <c r="BG111" s="13">
        <v>24542</v>
      </c>
      <c r="BH111" s="13">
        <v>32891</v>
      </c>
      <c r="BI111" s="13">
        <v>42360</v>
      </c>
    </row>
    <row r="112" spans="1:66" s="12" customFormat="1" x14ac:dyDescent="0.35">
      <c r="A112" s="3"/>
      <c r="B112" s="11" t="s">
        <v>73</v>
      </c>
      <c r="C112" s="87"/>
      <c r="D112" s="87"/>
      <c r="E112" s="87"/>
      <c r="F112" s="87"/>
      <c r="G112" s="87"/>
      <c r="H112" s="87"/>
      <c r="I112" s="87"/>
      <c r="J112" s="87"/>
      <c r="K112" s="26">
        <f t="shared" ref="K112:AN112" si="141">SUM(K108:K111)</f>
        <v>30513</v>
      </c>
      <c r="L112" s="12">
        <f t="shared" si="141"/>
        <v>32220</v>
      </c>
      <c r="M112" s="12">
        <f t="shared" si="141"/>
        <v>35609</v>
      </c>
      <c r="N112" s="12">
        <f t="shared" si="141"/>
        <v>45781</v>
      </c>
      <c r="O112" s="26">
        <f t="shared" si="141"/>
        <v>39460</v>
      </c>
      <c r="P112" s="12">
        <f t="shared" si="141"/>
        <v>41007</v>
      </c>
      <c r="Q112" s="12">
        <f t="shared" si="141"/>
        <v>48578</v>
      </c>
      <c r="R112" s="12">
        <f t="shared" si="141"/>
        <v>60197</v>
      </c>
      <c r="S112" s="26">
        <f t="shared" si="141"/>
        <v>50829</v>
      </c>
      <c r="T112" s="12">
        <f t="shared" si="141"/>
        <v>54481</v>
      </c>
      <c r="U112" s="12">
        <f t="shared" si="141"/>
        <v>59885</v>
      </c>
      <c r="V112" s="12">
        <f t="shared" si="141"/>
        <v>75101</v>
      </c>
      <c r="W112" s="26">
        <f t="shared" si="141"/>
        <v>69431</v>
      </c>
      <c r="X112" s="12">
        <f t="shared" si="141"/>
        <v>76790</v>
      </c>
      <c r="Y112" s="12">
        <f t="shared" si="141"/>
        <v>79054</v>
      </c>
      <c r="Z112" s="12">
        <f t="shared" si="141"/>
        <v>96334</v>
      </c>
      <c r="AA112" s="26">
        <f t="shared" si="141"/>
        <v>85985</v>
      </c>
      <c r="AB112" s="12">
        <f t="shared" si="141"/>
        <v>110908</v>
      </c>
      <c r="AC112" s="12">
        <f t="shared" si="141"/>
        <v>112969</v>
      </c>
      <c r="AD112" s="12">
        <f t="shared" si="141"/>
        <v>132733</v>
      </c>
      <c r="AE112" s="26">
        <f t="shared" si="141"/>
        <v>121408</v>
      </c>
      <c r="AF112" s="12">
        <f t="shared" si="141"/>
        <v>140848</v>
      </c>
      <c r="AG112" s="12">
        <f t="shared" si="141"/>
        <v>138531</v>
      </c>
      <c r="AH112" s="12">
        <f t="shared" si="141"/>
        <v>161580</v>
      </c>
      <c r="AI112" s="26">
        <f t="shared" si="141"/>
        <v>133876</v>
      </c>
      <c r="AJ112" s="12">
        <f t="shared" si="141"/>
        <v>133667</v>
      </c>
      <c r="AK112" s="12">
        <f t="shared" si="141"/>
        <v>131463</v>
      </c>
      <c r="AL112" s="12">
        <f t="shared" si="141"/>
        <v>146791</v>
      </c>
      <c r="AM112" s="26">
        <f t="shared" si="141"/>
        <v>136221</v>
      </c>
      <c r="AN112" s="12">
        <f t="shared" si="141"/>
        <v>140482</v>
      </c>
      <c r="AO112" s="72"/>
      <c r="AP112" s="72"/>
      <c r="AQ112" s="72"/>
      <c r="AR112" s="72"/>
      <c r="AS112" s="72"/>
      <c r="AT112" s="72"/>
      <c r="AU112" s="12">
        <f t="shared" ref="AU112:AX112" si="142">SUM(AU108:AU111)</f>
        <v>0</v>
      </c>
      <c r="AV112" s="12">
        <f t="shared" si="142"/>
        <v>0</v>
      </c>
      <c r="AW112" s="12">
        <f t="shared" si="142"/>
        <v>0</v>
      </c>
      <c r="AX112" s="12">
        <f t="shared" si="142"/>
        <v>0</v>
      </c>
      <c r="AY112" s="12">
        <f t="shared" ref="AY112" si="143">SUM(AY108:AY111)</f>
        <v>0</v>
      </c>
      <c r="AZ112" s="12">
        <f t="shared" ref="AZ112" si="144">SUM(AZ108:AZ111)</f>
        <v>0</v>
      </c>
      <c r="BA112" s="12">
        <f t="shared" ref="BA112" si="145">SUM(BA108:BA111)</f>
        <v>0</v>
      </c>
      <c r="BB112" s="12">
        <f t="shared" ref="BB112:BI112" si="146">SUM(BB108:BB111)</f>
        <v>0</v>
      </c>
      <c r="BC112" s="12">
        <f t="shared" si="146"/>
        <v>0</v>
      </c>
      <c r="BD112" s="12">
        <f t="shared" si="146"/>
        <v>60197</v>
      </c>
      <c r="BE112" s="12">
        <f t="shared" si="146"/>
        <v>75101</v>
      </c>
      <c r="BF112" s="12">
        <f t="shared" ref="BF112" si="147">SUM(BF108:BF111)</f>
        <v>96334</v>
      </c>
      <c r="BG112" s="12">
        <f t="shared" ref="BG112" si="148">SUM(BG108:BG111)</f>
        <v>132733</v>
      </c>
      <c r="BH112" s="12">
        <f t="shared" ref="BH112" si="149">SUM(BH108:BH111)</f>
        <v>161580</v>
      </c>
      <c r="BI112" s="12">
        <f t="shared" ref="BI112" si="150">SUM(BI108:BI111)</f>
        <v>146791</v>
      </c>
      <c r="BJ112" s="12">
        <f t="shared" ref="BJ112" si="151">SUM(BJ108:BJ111)</f>
        <v>0</v>
      </c>
      <c r="BK112" s="12">
        <f t="shared" ref="BK112" si="152">SUM(BK108:BK111)</f>
        <v>0</v>
      </c>
      <c r="BL112" s="12">
        <f t="shared" ref="BL112" si="153">SUM(BL108:BL111)</f>
        <v>0</v>
      </c>
      <c r="BM112" s="12">
        <f t="shared" ref="BM112" si="154">SUM(BM108:BM111)</f>
        <v>0</v>
      </c>
      <c r="BN112" s="12">
        <f t="shared" ref="BN112" si="155">SUM(BN108:BN111)</f>
        <v>0</v>
      </c>
    </row>
    <row r="113" spans="1:66" s="38" customFormat="1" x14ac:dyDescent="0.35">
      <c r="A113" s="35"/>
      <c r="B113" s="36" t="s">
        <v>74</v>
      </c>
      <c r="C113" s="79"/>
      <c r="D113" s="79"/>
      <c r="E113" s="79"/>
      <c r="F113" s="79"/>
      <c r="G113" s="79"/>
      <c r="H113" s="79"/>
      <c r="I113" s="79"/>
      <c r="J113" s="79"/>
      <c r="K113" s="39"/>
      <c r="O113" s="39"/>
      <c r="S113" s="39"/>
      <c r="W113" s="39"/>
      <c r="AA113" s="39"/>
      <c r="AE113" s="39"/>
      <c r="AI113" s="39"/>
      <c r="AM113" s="39"/>
      <c r="AN113" s="73"/>
      <c r="AO113" s="73"/>
      <c r="AP113" s="73"/>
      <c r="AQ113" s="73"/>
      <c r="AR113" s="73"/>
      <c r="AS113" s="73"/>
      <c r="AT113" s="73"/>
    </row>
    <row r="114" spans="1:66" s="7" customFormat="1" x14ac:dyDescent="0.35">
      <c r="B114" s="5" t="s">
        <v>75</v>
      </c>
      <c r="C114" s="77"/>
      <c r="D114" s="77"/>
      <c r="E114" s="77"/>
      <c r="F114" s="77"/>
      <c r="G114" s="77"/>
      <c r="H114" s="77"/>
      <c r="I114" s="77"/>
      <c r="J114" s="77"/>
      <c r="K114" s="23">
        <v>23308</v>
      </c>
      <c r="L114" s="7">
        <v>25190</v>
      </c>
      <c r="M114" s="7">
        <v>27177</v>
      </c>
      <c r="N114" s="7">
        <v>29114</v>
      </c>
      <c r="O114" s="23">
        <v>32632</v>
      </c>
      <c r="P114" s="7">
        <v>37083</v>
      </c>
      <c r="Q114" s="7">
        <v>45335</v>
      </c>
      <c r="R114" s="7">
        <v>48866</v>
      </c>
      <c r="S114" s="23">
        <v>52331</v>
      </c>
      <c r="T114" s="7">
        <v>54768</v>
      </c>
      <c r="U114" s="7">
        <v>58019</v>
      </c>
      <c r="V114" s="7">
        <v>61797</v>
      </c>
      <c r="W114" s="23">
        <v>61048</v>
      </c>
      <c r="X114" s="7">
        <v>64723</v>
      </c>
      <c r="Y114" s="7">
        <v>67662</v>
      </c>
      <c r="Z114" s="7">
        <v>72705</v>
      </c>
      <c r="AA114" s="23">
        <v>77779</v>
      </c>
      <c r="AB114" s="7">
        <v>86517</v>
      </c>
      <c r="AC114" s="7">
        <v>99981</v>
      </c>
      <c r="AD114" s="7">
        <v>113114</v>
      </c>
      <c r="AE114" s="23">
        <v>121461</v>
      </c>
      <c r="AF114" s="7">
        <v>133502</v>
      </c>
      <c r="AG114" s="7">
        <v>147152</v>
      </c>
      <c r="AH114" s="7">
        <v>160281</v>
      </c>
      <c r="AI114" s="23">
        <v>168468</v>
      </c>
      <c r="AJ114" s="7">
        <v>173706</v>
      </c>
      <c r="AK114" s="7">
        <v>177195</v>
      </c>
      <c r="AL114" s="7">
        <v>186715</v>
      </c>
      <c r="AM114" s="23">
        <v>190754</v>
      </c>
      <c r="AN114" s="71">
        <v>193784</v>
      </c>
      <c r="AO114" s="71"/>
      <c r="AP114" s="71"/>
      <c r="AQ114" s="71"/>
      <c r="AR114" s="71"/>
      <c r="AS114" s="71"/>
      <c r="AT114" s="71"/>
      <c r="BD114" s="7">
        <v>48866</v>
      </c>
      <c r="BE114" s="7">
        <v>61797</v>
      </c>
      <c r="BF114" s="7">
        <v>72705</v>
      </c>
      <c r="BG114" s="7">
        <v>113114</v>
      </c>
      <c r="BH114" s="7">
        <v>160281</v>
      </c>
      <c r="BI114" s="7">
        <v>186715</v>
      </c>
    </row>
    <row r="115" spans="1:66" s="7" customFormat="1" x14ac:dyDescent="0.35">
      <c r="B115" s="5" t="s">
        <v>76</v>
      </c>
      <c r="C115" s="77"/>
      <c r="D115" s="77"/>
      <c r="E115" s="77"/>
      <c r="F115" s="77"/>
      <c r="G115" s="77"/>
      <c r="H115" s="77"/>
      <c r="I115" s="77"/>
      <c r="J115" s="77"/>
      <c r="K115" s="23" t="s">
        <v>32</v>
      </c>
      <c r="L115" s="7" t="s">
        <v>32</v>
      </c>
      <c r="M115" s="7" t="s">
        <v>32</v>
      </c>
      <c r="N115" s="7" t="s">
        <v>32</v>
      </c>
      <c r="O115" s="23" t="s">
        <v>32</v>
      </c>
      <c r="P115" s="7" t="s">
        <v>32</v>
      </c>
      <c r="Q115" s="7" t="s">
        <v>32</v>
      </c>
      <c r="R115" s="7" t="s">
        <v>32</v>
      </c>
      <c r="S115" s="23" t="s">
        <v>32</v>
      </c>
      <c r="T115" s="7" t="s">
        <v>32</v>
      </c>
      <c r="U115" s="7" t="s">
        <v>32</v>
      </c>
      <c r="V115" s="7" t="s">
        <v>32</v>
      </c>
      <c r="W115" s="23">
        <v>20132</v>
      </c>
      <c r="X115" s="7">
        <v>21649</v>
      </c>
      <c r="Y115" s="7">
        <v>23114</v>
      </c>
      <c r="Z115" s="7">
        <v>25141</v>
      </c>
      <c r="AA115" s="23">
        <v>26279</v>
      </c>
      <c r="AB115" s="7">
        <v>28537</v>
      </c>
      <c r="AC115" s="7">
        <v>34119</v>
      </c>
      <c r="AD115" s="7">
        <v>37553</v>
      </c>
      <c r="AE115" s="23">
        <v>39328</v>
      </c>
      <c r="AF115" s="7">
        <v>43346</v>
      </c>
      <c r="AG115" s="7">
        <v>52151</v>
      </c>
      <c r="AH115" s="7">
        <v>56082</v>
      </c>
      <c r="AI115" s="23">
        <v>56161</v>
      </c>
      <c r="AJ115" s="7">
        <v>58430</v>
      </c>
      <c r="AK115" s="7">
        <v>62033</v>
      </c>
      <c r="AL115" s="7">
        <v>66123</v>
      </c>
      <c r="AM115" s="23">
        <v>68262</v>
      </c>
      <c r="AN115" s="71">
        <v>70332</v>
      </c>
      <c r="AO115" s="71"/>
      <c r="AP115" s="71"/>
      <c r="AQ115" s="71"/>
      <c r="AR115" s="71"/>
      <c r="AS115" s="71"/>
      <c r="AT115" s="71"/>
      <c r="BD115" s="7">
        <v>0</v>
      </c>
      <c r="BE115" s="7">
        <v>0</v>
      </c>
      <c r="BF115" s="7">
        <v>25141</v>
      </c>
      <c r="BG115" s="7">
        <v>37553</v>
      </c>
      <c r="BH115" s="7">
        <v>56082</v>
      </c>
      <c r="BI115" s="7">
        <v>66123</v>
      </c>
    </row>
    <row r="116" spans="1:66" s="7" customFormat="1" x14ac:dyDescent="0.35">
      <c r="B116" s="5" t="s">
        <v>77</v>
      </c>
      <c r="C116" s="77"/>
      <c r="D116" s="77"/>
      <c r="E116" s="77"/>
      <c r="F116" s="77"/>
      <c r="G116" s="77"/>
      <c r="H116" s="77"/>
      <c r="I116" s="77"/>
      <c r="J116" s="77"/>
      <c r="K116" s="23">
        <v>3785</v>
      </c>
      <c r="L116" s="7">
        <v>3774</v>
      </c>
      <c r="M116" s="7">
        <v>3815</v>
      </c>
      <c r="N116" s="7">
        <v>3784</v>
      </c>
      <c r="O116" s="23">
        <v>3823</v>
      </c>
      <c r="P116" s="7">
        <v>4254</v>
      </c>
      <c r="Q116" s="7">
        <v>13271</v>
      </c>
      <c r="R116" s="7">
        <v>13350</v>
      </c>
      <c r="S116" s="23">
        <v>13388</v>
      </c>
      <c r="T116" s="7">
        <v>13944</v>
      </c>
      <c r="U116" s="7">
        <v>14553</v>
      </c>
      <c r="V116" s="7">
        <v>14548</v>
      </c>
      <c r="W116" s="23">
        <v>14708</v>
      </c>
      <c r="X116" s="7">
        <v>14727</v>
      </c>
      <c r="Y116" s="7">
        <v>14734</v>
      </c>
      <c r="Z116" s="7">
        <v>14754</v>
      </c>
      <c r="AA116" s="23">
        <v>14739</v>
      </c>
      <c r="AB116" s="7">
        <v>14751</v>
      </c>
      <c r="AC116" s="7">
        <v>14960</v>
      </c>
      <c r="AD116" s="7">
        <v>15017</v>
      </c>
      <c r="AE116" s="23">
        <v>15220</v>
      </c>
      <c r="AF116" s="7">
        <v>15350</v>
      </c>
      <c r="AG116" s="7">
        <v>15345</v>
      </c>
      <c r="AH116" s="7">
        <v>15371</v>
      </c>
      <c r="AI116" s="23">
        <v>20229</v>
      </c>
      <c r="AJ116" s="7">
        <v>20195</v>
      </c>
      <c r="AK116" s="7">
        <v>20168</v>
      </c>
      <c r="AL116" s="7">
        <v>20288</v>
      </c>
      <c r="AM116" s="23">
        <v>22749</v>
      </c>
      <c r="AN116" s="71">
        <v>22785</v>
      </c>
      <c r="AO116" s="71"/>
      <c r="AP116" s="71"/>
      <c r="AQ116" s="71"/>
      <c r="AR116" s="71"/>
      <c r="AS116" s="71"/>
      <c r="AT116" s="71"/>
      <c r="BD116" s="7">
        <v>13350</v>
      </c>
      <c r="BE116" s="7">
        <v>14548</v>
      </c>
      <c r="BF116" s="7">
        <v>14754</v>
      </c>
      <c r="BG116" s="7">
        <v>15017</v>
      </c>
      <c r="BH116" s="7">
        <v>15371</v>
      </c>
      <c r="BI116" s="7">
        <v>20288</v>
      </c>
    </row>
    <row r="117" spans="1:66" s="13" customFormat="1" x14ac:dyDescent="0.35">
      <c r="A117" s="8"/>
      <c r="B117" s="9" t="s">
        <v>78</v>
      </c>
      <c r="C117" s="8"/>
      <c r="D117" s="8"/>
      <c r="E117" s="8"/>
      <c r="F117" s="8"/>
      <c r="G117" s="8"/>
      <c r="H117" s="8"/>
      <c r="I117" s="8"/>
      <c r="J117" s="8"/>
      <c r="K117" s="24">
        <v>3522</v>
      </c>
      <c r="L117" s="13">
        <v>3892</v>
      </c>
      <c r="M117" s="13">
        <v>4296</v>
      </c>
      <c r="N117" s="13">
        <v>4723</v>
      </c>
      <c r="O117" s="24">
        <v>5054</v>
      </c>
      <c r="P117" s="13">
        <v>5437</v>
      </c>
      <c r="Q117" s="13">
        <v>8083</v>
      </c>
      <c r="R117" s="13">
        <v>8897</v>
      </c>
      <c r="S117" s="24">
        <v>9814</v>
      </c>
      <c r="T117" s="13">
        <v>10907</v>
      </c>
      <c r="U117" s="13">
        <v>11238</v>
      </c>
      <c r="V117" s="13">
        <v>11202</v>
      </c>
      <c r="W117" s="24">
        <v>12783</v>
      </c>
      <c r="X117" s="13">
        <v>13462</v>
      </c>
      <c r="Y117" s="13">
        <v>14535</v>
      </c>
      <c r="Z117" s="13">
        <v>16314</v>
      </c>
      <c r="AA117" s="24">
        <v>16456</v>
      </c>
      <c r="AB117" s="13">
        <v>17601</v>
      </c>
      <c r="AC117" s="13">
        <v>20150</v>
      </c>
      <c r="AD117" s="13">
        <v>22778</v>
      </c>
      <c r="AE117" s="24">
        <v>25660</v>
      </c>
      <c r="AF117" s="13">
        <v>27273</v>
      </c>
      <c r="AG117" s="13">
        <v>29227</v>
      </c>
      <c r="AH117" s="13">
        <v>27235</v>
      </c>
      <c r="AI117" s="24">
        <v>32033</v>
      </c>
      <c r="AJ117" s="13">
        <v>33730</v>
      </c>
      <c r="AK117" s="13">
        <v>37503</v>
      </c>
      <c r="AL117" s="13">
        <v>42758</v>
      </c>
      <c r="AM117" s="24">
        <v>46392</v>
      </c>
      <c r="AN117" s="13">
        <v>50224</v>
      </c>
      <c r="BD117" s="13">
        <v>8897</v>
      </c>
      <c r="BE117" s="13">
        <v>11202</v>
      </c>
      <c r="BF117" s="13">
        <v>16314</v>
      </c>
      <c r="BG117" s="13">
        <v>22778</v>
      </c>
      <c r="BH117" s="13">
        <v>27235</v>
      </c>
      <c r="BI117" s="13">
        <v>42758</v>
      </c>
    </row>
    <row r="118" spans="1:66" s="94" customFormat="1" x14ac:dyDescent="0.35">
      <c r="A118" s="91"/>
      <c r="B118" s="92" t="s">
        <v>1043</v>
      </c>
      <c r="C118" s="91"/>
      <c r="D118" s="91"/>
      <c r="E118" s="91"/>
      <c r="F118" s="91"/>
      <c r="G118" s="91"/>
      <c r="H118" s="91"/>
      <c r="I118" s="91"/>
      <c r="J118" s="91"/>
      <c r="K118" s="93">
        <f>SUM(K114:K117)</f>
        <v>30615</v>
      </c>
      <c r="L118" s="94">
        <f t="shared" ref="L118:AQ118" si="156">SUM(L114:L117)</f>
        <v>32856</v>
      </c>
      <c r="M118" s="94">
        <f t="shared" si="156"/>
        <v>35288</v>
      </c>
      <c r="N118" s="94">
        <f t="shared" si="156"/>
        <v>37621</v>
      </c>
      <c r="O118" s="93">
        <f t="shared" si="156"/>
        <v>41509</v>
      </c>
      <c r="P118" s="94">
        <f t="shared" si="156"/>
        <v>46774</v>
      </c>
      <c r="Q118" s="94">
        <f t="shared" si="156"/>
        <v>66689</v>
      </c>
      <c r="R118" s="94">
        <f t="shared" si="156"/>
        <v>71113</v>
      </c>
      <c r="S118" s="93">
        <f t="shared" si="156"/>
        <v>75533</v>
      </c>
      <c r="T118" s="94">
        <f t="shared" si="156"/>
        <v>79619</v>
      </c>
      <c r="U118" s="94">
        <f t="shared" si="156"/>
        <v>83810</v>
      </c>
      <c r="V118" s="94">
        <f t="shared" si="156"/>
        <v>87547</v>
      </c>
      <c r="W118" s="93">
        <f t="shared" si="156"/>
        <v>108671</v>
      </c>
      <c r="X118" s="94">
        <f t="shared" si="156"/>
        <v>114561</v>
      </c>
      <c r="Y118" s="94">
        <f t="shared" si="156"/>
        <v>120045</v>
      </c>
      <c r="Z118" s="94">
        <f t="shared" si="156"/>
        <v>128914</v>
      </c>
      <c r="AA118" s="93">
        <f t="shared" si="156"/>
        <v>135253</v>
      </c>
      <c r="AB118" s="94">
        <f t="shared" si="156"/>
        <v>147406</v>
      </c>
      <c r="AC118" s="94">
        <f t="shared" si="156"/>
        <v>169210</v>
      </c>
      <c r="AD118" s="94">
        <f t="shared" si="156"/>
        <v>188462</v>
      </c>
      <c r="AE118" s="93">
        <f t="shared" si="156"/>
        <v>201669</v>
      </c>
      <c r="AF118" s="94">
        <f t="shared" si="156"/>
        <v>219471</v>
      </c>
      <c r="AG118" s="94">
        <f t="shared" si="156"/>
        <v>243875</v>
      </c>
      <c r="AH118" s="94">
        <f t="shared" si="156"/>
        <v>258969</v>
      </c>
      <c r="AI118" s="93">
        <f t="shared" si="156"/>
        <v>276891</v>
      </c>
      <c r="AJ118" s="94">
        <f t="shared" si="156"/>
        <v>286061</v>
      </c>
      <c r="AK118" s="94">
        <f t="shared" si="156"/>
        <v>296899</v>
      </c>
      <c r="AL118" s="94">
        <f t="shared" si="156"/>
        <v>315884</v>
      </c>
      <c r="AM118" s="93">
        <f t="shared" si="156"/>
        <v>328157</v>
      </c>
      <c r="AN118" s="94">
        <f t="shared" si="156"/>
        <v>337125</v>
      </c>
      <c r="AO118" s="94">
        <f t="shared" si="156"/>
        <v>0</v>
      </c>
      <c r="AP118" s="94">
        <f t="shared" si="156"/>
        <v>0</v>
      </c>
      <c r="AQ118" s="94">
        <f t="shared" si="156"/>
        <v>0</v>
      </c>
      <c r="AU118" s="94">
        <f t="shared" ref="AU118:AX118" si="157">SUM(AU114:AU117)</f>
        <v>0</v>
      </c>
      <c r="AV118" s="94">
        <f t="shared" si="157"/>
        <v>0</v>
      </c>
      <c r="AW118" s="94">
        <f t="shared" si="157"/>
        <v>0</v>
      </c>
      <c r="AX118" s="94">
        <f t="shared" si="157"/>
        <v>0</v>
      </c>
      <c r="AY118" s="94">
        <f t="shared" ref="AY118" si="158">SUM(AY114:AY117)</f>
        <v>0</v>
      </c>
      <c r="AZ118" s="94">
        <f t="shared" ref="AZ118" si="159">SUM(AZ114:AZ117)</f>
        <v>0</v>
      </c>
      <c r="BA118" s="94">
        <f t="shared" ref="BA118" si="160">SUM(BA114:BA117)</f>
        <v>0</v>
      </c>
      <c r="BB118" s="94">
        <f t="shared" ref="BB118" si="161">SUM(BB114:BB117)</f>
        <v>0</v>
      </c>
      <c r="BC118" s="94">
        <f t="shared" ref="BC118" si="162">SUM(BC114:BC117)</f>
        <v>0</v>
      </c>
      <c r="BD118" s="94">
        <f t="shared" ref="BD118" si="163">SUM(BD114:BD117)</f>
        <v>71113</v>
      </c>
      <c r="BE118" s="94">
        <f t="shared" ref="BE118" si="164">SUM(BE114:BE117)</f>
        <v>87547</v>
      </c>
      <c r="BF118" s="94">
        <f t="shared" ref="BF118" si="165">SUM(BF114:BF117)</f>
        <v>128914</v>
      </c>
      <c r="BG118" s="94">
        <f t="shared" ref="BG118" si="166">SUM(BG114:BG117)</f>
        <v>188462</v>
      </c>
      <c r="BH118" s="94">
        <f t="shared" ref="BH118" si="167">SUM(BH114:BH117)</f>
        <v>258969</v>
      </c>
      <c r="BI118" s="94">
        <f t="shared" ref="BI118" si="168">SUM(BI114:BI117)</f>
        <v>315884</v>
      </c>
      <c r="BJ118" s="94">
        <f t="shared" ref="BJ118" si="169">SUM(BJ114:BJ117)</f>
        <v>0</v>
      </c>
      <c r="BK118" s="94">
        <f t="shared" ref="BK118" si="170">SUM(BK114:BK117)</f>
        <v>0</v>
      </c>
      <c r="BL118" s="94">
        <f t="shared" ref="BL118" si="171">SUM(BL114:BL117)</f>
        <v>0</v>
      </c>
      <c r="BM118" s="94">
        <f t="shared" ref="BM118" si="172">SUM(BM114:BM117)</f>
        <v>0</v>
      </c>
      <c r="BN118" s="94">
        <f t="shared" ref="BN118" si="173">SUM(BN114:BN117)</f>
        <v>0</v>
      </c>
    </row>
    <row r="119" spans="1:66" s="12" customFormat="1" x14ac:dyDescent="0.35">
      <c r="A119" s="3"/>
      <c r="B119" s="11" t="s">
        <v>79</v>
      </c>
      <c r="C119" s="87"/>
      <c r="D119" s="87"/>
      <c r="E119" s="87"/>
      <c r="F119" s="87"/>
      <c r="G119" s="87"/>
      <c r="H119" s="87"/>
      <c r="I119" s="87"/>
      <c r="J119" s="87"/>
      <c r="K119" s="26">
        <f>K118+K112</f>
        <v>61128</v>
      </c>
      <c r="L119" s="72">
        <f t="shared" ref="L119:AQ119" si="174">L118+L112</f>
        <v>65076</v>
      </c>
      <c r="M119" s="72">
        <f t="shared" si="174"/>
        <v>70897</v>
      </c>
      <c r="N119" s="72">
        <f t="shared" si="174"/>
        <v>83402</v>
      </c>
      <c r="O119" s="26">
        <f t="shared" si="174"/>
        <v>80969</v>
      </c>
      <c r="P119" s="72">
        <f t="shared" si="174"/>
        <v>87781</v>
      </c>
      <c r="Q119" s="72">
        <f t="shared" si="174"/>
        <v>115267</v>
      </c>
      <c r="R119" s="72">
        <f t="shared" si="174"/>
        <v>131310</v>
      </c>
      <c r="S119" s="26">
        <f t="shared" si="174"/>
        <v>126362</v>
      </c>
      <c r="T119" s="72">
        <f t="shared" si="174"/>
        <v>134100</v>
      </c>
      <c r="U119" s="72">
        <f t="shared" si="174"/>
        <v>143695</v>
      </c>
      <c r="V119" s="72">
        <f t="shared" si="174"/>
        <v>162648</v>
      </c>
      <c r="W119" s="26">
        <f t="shared" si="174"/>
        <v>178102</v>
      </c>
      <c r="X119" s="72">
        <f t="shared" si="174"/>
        <v>191351</v>
      </c>
      <c r="Y119" s="72">
        <f t="shared" si="174"/>
        <v>199099</v>
      </c>
      <c r="Z119" s="72">
        <f t="shared" si="174"/>
        <v>225248</v>
      </c>
      <c r="AA119" s="26">
        <f t="shared" si="174"/>
        <v>221238</v>
      </c>
      <c r="AB119" s="72">
        <f t="shared" si="174"/>
        <v>258314</v>
      </c>
      <c r="AC119" s="72">
        <f t="shared" si="174"/>
        <v>282179</v>
      </c>
      <c r="AD119" s="72">
        <f t="shared" si="174"/>
        <v>321195</v>
      </c>
      <c r="AE119" s="26">
        <f t="shared" si="174"/>
        <v>323077</v>
      </c>
      <c r="AF119" s="72">
        <f t="shared" si="174"/>
        <v>360319</v>
      </c>
      <c r="AG119" s="72">
        <f t="shared" si="174"/>
        <v>382406</v>
      </c>
      <c r="AH119" s="72">
        <f t="shared" si="174"/>
        <v>420549</v>
      </c>
      <c r="AI119" s="26">
        <f t="shared" si="174"/>
        <v>410767</v>
      </c>
      <c r="AJ119" s="72">
        <f t="shared" si="174"/>
        <v>419728</v>
      </c>
      <c r="AK119" s="72">
        <f t="shared" si="174"/>
        <v>428362</v>
      </c>
      <c r="AL119" s="72">
        <f t="shared" si="174"/>
        <v>462675</v>
      </c>
      <c r="AM119" s="26">
        <f t="shared" si="174"/>
        <v>464378</v>
      </c>
      <c r="AN119" s="72">
        <f t="shared" si="174"/>
        <v>477607</v>
      </c>
      <c r="AO119" s="72">
        <f t="shared" si="174"/>
        <v>0</v>
      </c>
      <c r="AP119" s="72">
        <f t="shared" si="174"/>
        <v>0</v>
      </c>
      <c r="AQ119" s="72">
        <f t="shared" si="174"/>
        <v>0</v>
      </c>
      <c r="AR119" s="72"/>
      <c r="AS119" s="72"/>
      <c r="AT119" s="72"/>
      <c r="AU119" s="72">
        <f t="shared" ref="AU119:AX119" si="175">AU118+AU112</f>
        <v>0</v>
      </c>
      <c r="AV119" s="72">
        <f t="shared" si="175"/>
        <v>0</v>
      </c>
      <c r="AW119" s="72">
        <f t="shared" si="175"/>
        <v>0</v>
      </c>
      <c r="AX119" s="72">
        <f t="shared" si="175"/>
        <v>0</v>
      </c>
      <c r="AY119" s="72">
        <f t="shared" ref="AY119" si="176">AY118+AY112</f>
        <v>0</v>
      </c>
      <c r="AZ119" s="72">
        <f t="shared" ref="AZ119" si="177">AZ118+AZ112</f>
        <v>0</v>
      </c>
      <c r="BA119" s="72">
        <f t="shared" ref="BA119" si="178">BA118+BA112</f>
        <v>0</v>
      </c>
      <c r="BB119" s="72">
        <f t="shared" ref="BB119" si="179">BB118+BB112</f>
        <v>0</v>
      </c>
      <c r="BC119" s="72">
        <f t="shared" ref="BC119" si="180">BC118+BC112</f>
        <v>0</v>
      </c>
      <c r="BD119" s="72">
        <f t="shared" ref="BD119" si="181">BD118+BD112</f>
        <v>131310</v>
      </c>
      <c r="BE119" s="72">
        <f t="shared" ref="BE119" si="182">BE118+BE112</f>
        <v>162648</v>
      </c>
      <c r="BF119" s="72">
        <f t="shared" ref="BF119" si="183">BF118+BF112</f>
        <v>225248</v>
      </c>
      <c r="BG119" s="72">
        <f t="shared" ref="BG119" si="184">BG118+BG112</f>
        <v>321195</v>
      </c>
      <c r="BH119" s="72">
        <f t="shared" ref="BH119" si="185">BH118+BH112</f>
        <v>420549</v>
      </c>
      <c r="BI119" s="72">
        <f t="shared" ref="BI119" si="186">BI118+BI112</f>
        <v>462675</v>
      </c>
      <c r="BJ119" s="72">
        <f t="shared" ref="BJ119" si="187">BJ118+BJ112</f>
        <v>0</v>
      </c>
      <c r="BK119" s="72">
        <f t="shared" ref="BK119" si="188">BK118+BK112</f>
        <v>0</v>
      </c>
      <c r="BL119" s="72">
        <f t="shared" ref="BL119" si="189">BL118+BL112</f>
        <v>0</v>
      </c>
      <c r="BM119" s="72">
        <f t="shared" ref="BM119" si="190">BM118+BM112</f>
        <v>0</v>
      </c>
      <c r="BN119" s="72">
        <f t="shared" ref="BN119" si="191">BN118+BN112</f>
        <v>0</v>
      </c>
    </row>
    <row r="120" spans="1:66" s="41" customFormat="1" x14ac:dyDescent="0.35">
      <c r="A120" s="34"/>
      <c r="B120" s="40" t="s">
        <v>80</v>
      </c>
      <c r="C120" s="88"/>
      <c r="D120" s="88"/>
      <c r="E120" s="88"/>
      <c r="F120" s="88"/>
      <c r="G120" s="88"/>
      <c r="H120" s="88"/>
      <c r="I120" s="88"/>
      <c r="J120" s="88"/>
      <c r="K120" s="42"/>
      <c r="O120" s="42"/>
      <c r="S120" s="42"/>
      <c r="W120" s="42"/>
      <c r="AA120" s="42"/>
      <c r="AE120" s="42"/>
      <c r="AI120" s="42"/>
      <c r="AM120" s="42"/>
      <c r="AN120" s="70"/>
      <c r="AO120" s="70"/>
      <c r="AP120" s="70"/>
      <c r="AQ120" s="70"/>
      <c r="AR120" s="70"/>
      <c r="AS120" s="70"/>
      <c r="AT120" s="70"/>
    </row>
    <row r="121" spans="1:66" s="7" customFormat="1" x14ac:dyDescent="0.35">
      <c r="B121" s="5" t="s">
        <v>81</v>
      </c>
      <c r="C121" s="77"/>
      <c r="D121" s="77"/>
      <c r="E121" s="77"/>
      <c r="F121" s="77"/>
      <c r="G121" s="77"/>
      <c r="H121" s="77"/>
      <c r="I121" s="77"/>
      <c r="J121" s="77"/>
      <c r="K121" s="23">
        <v>14990</v>
      </c>
      <c r="L121" s="7">
        <v>16123</v>
      </c>
      <c r="M121" s="7">
        <v>18801</v>
      </c>
      <c r="N121" s="7">
        <v>25309</v>
      </c>
      <c r="O121" s="23">
        <v>18891</v>
      </c>
      <c r="P121" s="7">
        <v>21439</v>
      </c>
      <c r="Q121" s="7">
        <v>26075</v>
      </c>
      <c r="R121" s="7">
        <v>34616</v>
      </c>
      <c r="S121" s="23">
        <v>25172</v>
      </c>
      <c r="T121" s="7">
        <v>27657</v>
      </c>
      <c r="U121" s="7">
        <v>30904</v>
      </c>
      <c r="V121" s="7">
        <v>38192</v>
      </c>
      <c r="W121" s="23">
        <v>31809</v>
      </c>
      <c r="X121" s="7">
        <v>36063</v>
      </c>
      <c r="Y121" s="7">
        <v>35794</v>
      </c>
      <c r="Z121" s="7">
        <v>47183</v>
      </c>
      <c r="AA121" s="23">
        <v>40056</v>
      </c>
      <c r="AB121" s="7">
        <v>51036</v>
      </c>
      <c r="AC121" s="7">
        <v>58334</v>
      </c>
      <c r="AD121" s="7">
        <v>72539</v>
      </c>
      <c r="AE121" s="23">
        <v>63926</v>
      </c>
      <c r="AF121" s="7">
        <v>66090</v>
      </c>
      <c r="AG121" s="7">
        <v>71474</v>
      </c>
      <c r="AH121" s="7">
        <v>78664</v>
      </c>
      <c r="AI121" s="23">
        <v>68547</v>
      </c>
      <c r="AJ121" s="7">
        <v>71219</v>
      </c>
      <c r="AK121" s="7">
        <v>67760</v>
      </c>
      <c r="AL121" s="7">
        <v>79600</v>
      </c>
      <c r="AM121" s="23">
        <v>66907</v>
      </c>
      <c r="AN121" s="71">
        <v>69481</v>
      </c>
      <c r="AO121" s="71"/>
      <c r="AP121" s="71"/>
      <c r="AQ121" s="71"/>
      <c r="AR121" s="71"/>
      <c r="AS121" s="71"/>
      <c r="AT121" s="71"/>
      <c r="BD121" s="7">
        <v>34616</v>
      </c>
      <c r="BE121" s="7">
        <v>38192</v>
      </c>
      <c r="BF121" s="7">
        <v>47183</v>
      </c>
      <c r="BG121" s="7">
        <v>72539</v>
      </c>
      <c r="BH121" s="7">
        <v>78664</v>
      </c>
      <c r="BI121" s="7">
        <v>79600</v>
      </c>
    </row>
    <row r="122" spans="1:66" s="7" customFormat="1" x14ac:dyDescent="0.35">
      <c r="B122" s="5" t="s">
        <v>82</v>
      </c>
      <c r="C122" s="77"/>
      <c r="D122" s="77"/>
      <c r="E122" s="77"/>
      <c r="F122" s="77"/>
      <c r="G122" s="77"/>
      <c r="H122" s="77"/>
      <c r="I122" s="77"/>
      <c r="J122" s="77"/>
      <c r="K122" s="23">
        <v>9431</v>
      </c>
      <c r="L122" s="7">
        <v>9613</v>
      </c>
      <c r="M122" s="7">
        <v>10497</v>
      </c>
      <c r="N122" s="7">
        <v>13739</v>
      </c>
      <c r="O122" s="23">
        <v>13054</v>
      </c>
      <c r="P122" s="7">
        <v>14016</v>
      </c>
      <c r="Q122" s="7">
        <v>15844</v>
      </c>
      <c r="R122" s="7">
        <v>18170</v>
      </c>
      <c r="S122" s="23">
        <v>16691</v>
      </c>
      <c r="T122" s="7">
        <v>17140</v>
      </c>
      <c r="U122" s="7">
        <v>18420</v>
      </c>
      <c r="V122" s="7">
        <v>23663</v>
      </c>
      <c r="W122" s="23">
        <v>24588</v>
      </c>
      <c r="X122" s="7">
        <v>26140</v>
      </c>
      <c r="Y122" s="7">
        <v>28961</v>
      </c>
      <c r="Z122" s="7">
        <v>32439</v>
      </c>
      <c r="AA122" s="23">
        <v>30791</v>
      </c>
      <c r="AB122" s="7">
        <v>33863</v>
      </c>
      <c r="AC122" s="7">
        <v>34327</v>
      </c>
      <c r="AD122" s="7">
        <v>44138</v>
      </c>
      <c r="AE122" s="23">
        <v>40939</v>
      </c>
      <c r="AF122" s="7">
        <v>41007</v>
      </c>
      <c r="AG122" s="7">
        <v>41546</v>
      </c>
      <c r="AH122" s="7">
        <v>51775</v>
      </c>
      <c r="AI122" s="23">
        <v>58141</v>
      </c>
      <c r="AJ122" s="7">
        <v>56254</v>
      </c>
      <c r="AK122" s="7">
        <v>59974</v>
      </c>
      <c r="AL122" s="7">
        <v>62566</v>
      </c>
      <c r="AM122" s="23">
        <v>66382</v>
      </c>
      <c r="AN122" s="71">
        <v>64235</v>
      </c>
      <c r="AO122" s="71"/>
      <c r="AP122" s="71"/>
      <c r="AQ122" s="71"/>
      <c r="AR122" s="71"/>
      <c r="AS122" s="71"/>
      <c r="AT122" s="71"/>
      <c r="BD122" s="7">
        <v>18170</v>
      </c>
      <c r="BE122" s="7">
        <v>23663</v>
      </c>
      <c r="BF122" s="7">
        <v>32439</v>
      </c>
      <c r="BG122" s="7">
        <v>44138</v>
      </c>
      <c r="BH122" s="7">
        <v>51775</v>
      </c>
      <c r="BI122" s="7">
        <v>62566</v>
      </c>
    </row>
    <row r="123" spans="1:66" s="13" customFormat="1" x14ac:dyDescent="0.35">
      <c r="A123" s="8"/>
      <c r="B123" s="9" t="s">
        <v>83</v>
      </c>
      <c r="C123" s="8"/>
      <c r="D123" s="8"/>
      <c r="E123" s="8"/>
      <c r="F123" s="8"/>
      <c r="G123" s="8"/>
      <c r="H123" s="8"/>
      <c r="I123" s="8"/>
      <c r="J123" s="8"/>
      <c r="K123" s="24">
        <v>3766</v>
      </c>
      <c r="L123" s="13">
        <v>3851</v>
      </c>
      <c r="M123" s="13">
        <v>4200</v>
      </c>
      <c r="N123" s="13">
        <v>4768</v>
      </c>
      <c r="O123" s="24">
        <v>5454</v>
      </c>
      <c r="P123" s="13">
        <v>5065</v>
      </c>
      <c r="Q123" s="13">
        <v>5153</v>
      </c>
      <c r="R123" s="13">
        <v>5097</v>
      </c>
      <c r="S123" s="24">
        <v>6182</v>
      </c>
      <c r="T123" s="13">
        <v>6004</v>
      </c>
      <c r="U123" s="13">
        <v>6000</v>
      </c>
      <c r="V123" s="13">
        <v>6536</v>
      </c>
      <c r="W123" s="24">
        <v>7298</v>
      </c>
      <c r="X123" s="13">
        <v>7475</v>
      </c>
      <c r="Y123" s="13">
        <v>7381</v>
      </c>
      <c r="Z123" s="13">
        <v>8190</v>
      </c>
      <c r="AA123" s="24">
        <v>8864</v>
      </c>
      <c r="AB123" s="13">
        <v>8997</v>
      </c>
      <c r="AC123" s="13">
        <v>9251</v>
      </c>
      <c r="AD123" s="13">
        <v>9708</v>
      </c>
      <c r="AE123" s="24">
        <v>10539</v>
      </c>
      <c r="AF123" s="13">
        <v>10695</v>
      </c>
      <c r="AG123" s="13">
        <v>10974</v>
      </c>
      <c r="AH123" s="13">
        <v>11827</v>
      </c>
      <c r="AI123" s="24">
        <v>12820</v>
      </c>
      <c r="AJ123" s="13">
        <v>12818</v>
      </c>
      <c r="AK123" s="13">
        <v>12629</v>
      </c>
      <c r="AL123" s="13">
        <v>13227</v>
      </c>
      <c r="AM123" s="24">
        <v>14281</v>
      </c>
      <c r="AN123" s="13">
        <v>14522</v>
      </c>
      <c r="BD123" s="13">
        <v>5097</v>
      </c>
      <c r="BE123" s="13">
        <v>6536</v>
      </c>
      <c r="BF123" s="13">
        <v>8190</v>
      </c>
      <c r="BG123" s="13">
        <v>9708</v>
      </c>
      <c r="BH123" s="13">
        <v>11827</v>
      </c>
      <c r="BI123" s="13">
        <v>13227</v>
      </c>
    </row>
    <row r="124" spans="1:66" s="12" customFormat="1" x14ac:dyDescent="0.35">
      <c r="A124" s="3"/>
      <c r="B124" s="11" t="s">
        <v>84</v>
      </c>
      <c r="C124" s="87"/>
      <c r="D124" s="87"/>
      <c r="E124" s="87"/>
      <c r="F124" s="87"/>
      <c r="G124" s="87"/>
      <c r="H124" s="87"/>
      <c r="I124" s="87"/>
      <c r="J124" s="87"/>
      <c r="K124" s="26">
        <f t="shared" ref="K124:AN124" si="192">SUM(K121:K123)</f>
        <v>28187</v>
      </c>
      <c r="L124" s="12">
        <f t="shared" si="192"/>
        <v>29587</v>
      </c>
      <c r="M124" s="12">
        <f t="shared" si="192"/>
        <v>33498</v>
      </c>
      <c r="N124" s="12">
        <f t="shared" si="192"/>
        <v>43816</v>
      </c>
      <c r="O124" s="26">
        <f t="shared" si="192"/>
        <v>37399</v>
      </c>
      <c r="P124" s="12">
        <f t="shared" si="192"/>
        <v>40520</v>
      </c>
      <c r="Q124" s="12">
        <f t="shared" si="192"/>
        <v>47072</v>
      </c>
      <c r="R124" s="12">
        <f t="shared" si="192"/>
        <v>57883</v>
      </c>
      <c r="S124" s="26">
        <f t="shared" si="192"/>
        <v>48045</v>
      </c>
      <c r="T124" s="12">
        <f t="shared" si="192"/>
        <v>50801</v>
      </c>
      <c r="U124" s="12">
        <f t="shared" si="192"/>
        <v>55324</v>
      </c>
      <c r="V124" s="12">
        <f t="shared" si="192"/>
        <v>68391</v>
      </c>
      <c r="W124" s="26">
        <f t="shared" si="192"/>
        <v>63695</v>
      </c>
      <c r="X124" s="12">
        <f t="shared" si="192"/>
        <v>69678</v>
      </c>
      <c r="Y124" s="12">
        <f t="shared" si="192"/>
        <v>72136</v>
      </c>
      <c r="Z124" s="12">
        <f t="shared" si="192"/>
        <v>87812</v>
      </c>
      <c r="AA124" s="26">
        <f t="shared" si="192"/>
        <v>79711</v>
      </c>
      <c r="AB124" s="12">
        <f t="shared" si="192"/>
        <v>93896</v>
      </c>
      <c r="AC124" s="12">
        <f t="shared" si="192"/>
        <v>101912</v>
      </c>
      <c r="AD124" s="12">
        <f t="shared" si="192"/>
        <v>126385</v>
      </c>
      <c r="AE124" s="26">
        <f t="shared" si="192"/>
        <v>115404</v>
      </c>
      <c r="AF124" s="12">
        <f t="shared" si="192"/>
        <v>117792</v>
      </c>
      <c r="AG124" s="12">
        <f t="shared" si="192"/>
        <v>123994</v>
      </c>
      <c r="AH124" s="12">
        <f t="shared" si="192"/>
        <v>142266</v>
      </c>
      <c r="AI124" s="26">
        <f t="shared" si="192"/>
        <v>139508</v>
      </c>
      <c r="AJ124" s="12">
        <f t="shared" si="192"/>
        <v>140291</v>
      </c>
      <c r="AK124" s="12">
        <f t="shared" si="192"/>
        <v>140363</v>
      </c>
      <c r="AL124" s="12">
        <f t="shared" si="192"/>
        <v>155393</v>
      </c>
      <c r="AM124" s="26">
        <f t="shared" si="192"/>
        <v>147570</v>
      </c>
      <c r="AN124" s="12">
        <f t="shared" si="192"/>
        <v>148238</v>
      </c>
      <c r="AO124" s="72"/>
      <c r="AP124" s="72"/>
      <c r="AQ124" s="72"/>
      <c r="AR124" s="72"/>
      <c r="AS124" s="72"/>
      <c r="AT124" s="72"/>
      <c r="AU124" s="12">
        <f t="shared" ref="AU124:AX124" si="193">SUM(AU121:AU123)</f>
        <v>0</v>
      </c>
      <c r="AV124" s="12">
        <f t="shared" si="193"/>
        <v>0</v>
      </c>
      <c r="AW124" s="12">
        <f t="shared" si="193"/>
        <v>0</v>
      </c>
      <c r="AX124" s="12">
        <f t="shared" si="193"/>
        <v>0</v>
      </c>
      <c r="AY124" s="12">
        <f t="shared" ref="AY124" si="194">SUM(AY121:AY123)</f>
        <v>0</v>
      </c>
      <c r="AZ124" s="12">
        <f t="shared" ref="AZ124" si="195">SUM(AZ121:AZ123)</f>
        <v>0</v>
      </c>
      <c r="BA124" s="12">
        <f t="shared" ref="BA124" si="196">SUM(BA121:BA123)</f>
        <v>0</v>
      </c>
      <c r="BB124" s="12">
        <f t="shared" ref="BB124:BI124" si="197">SUM(BB121:BB123)</f>
        <v>0</v>
      </c>
      <c r="BC124" s="12">
        <f t="shared" ref="BC124" si="198">SUM(BC121:BC123)</f>
        <v>0</v>
      </c>
      <c r="BD124" s="12">
        <f t="shared" ref="BD124" si="199">SUM(BD121:BD123)</f>
        <v>57883</v>
      </c>
      <c r="BE124" s="12">
        <f t="shared" ref="BE124" si="200">SUM(BE121:BE123)</f>
        <v>68391</v>
      </c>
      <c r="BF124" s="12">
        <f t="shared" ref="BF124" si="201">SUM(BF121:BF123)</f>
        <v>87812</v>
      </c>
      <c r="BG124" s="12">
        <f t="shared" ref="BG124" si="202">SUM(BG121:BG123)</f>
        <v>126385</v>
      </c>
      <c r="BH124" s="12">
        <f t="shared" ref="BH124" si="203">SUM(BH121:BH123)</f>
        <v>142266</v>
      </c>
      <c r="BI124" s="12">
        <f t="shared" ref="BI124" si="204">SUM(BI121:BI123)</f>
        <v>155393</v>
      </c>
      <c r="BJ124" s="12">
        <f t="shared" ref="BJ124" si="205">SUM(BJ121:BJ123)</f>
        <v>0</v>
      </c>
      <c r="BK124" s="12">
        <f t="shared" ref="BK124" si="206">SUM(BK121:BK123)</f>
        <v>0</v>
      </c>
      <c r="BL124" s="12">
        <f t="shared" ref="BL124" si="207">SUM(BL121:BL123)</f>
        <v>0</v>
      </c>
      <c r="BM124" s="12">
        <f t="shared" ref="BM124" si="208">SUM(BM121:BM123)</f>
        <v>0</v>
      </c>
      <c r="BN124" s="12">
        <f t="shared" ref="BN124" si="209">SUM(BN121:BN123)</f>
        <v>0</v>
      </c>
    </row>
    <row r="125" spans="1:66" s="41" customFormat="1" x14ac:dyDescent="0.35">
      <c r="A125" s="34"/>
      <c r="B125" s="40" t="s">
        <v>85</v>
      </c>
      <c r="C125" s="88"/>
      <c r="D125" s="88"/>
      <c r="E125" s="88"/>
      <c r="F125" s="88"/>
      <c r="G125" s="88"/>
      <c r="H125" s="88"/>
      <c r="I125" s="88"/>
      <c r="J125" s="88"/>
      <c r="K125" s="42"/>
      <c r="O125" s="42"/>
      <c r="S125" s="42"/>
      <c r="W125" s="42"/>
      <c r="AA125" s="42"/>
      <c r="AE125" s="42"/>
      <c r="AI125" s="42"/>
      <c r="AM125" s="42"/>
      <c r="AN125" s="70"/>
      <c r="AO125" s="70"/>
      <c r="AP125" s="70"/>
      <c r="AQ125" s="70"/>
      <c r="AR125" s="70"/>
      <c r="AS125" s="70"/>
      <c r="AT125" s="70"/>
    </row>
    <row r="126" spans="1:66" s="7" customFormat="1" x14ac:dyDescent="0.35">
      <c r="B126" s="5" t="s">
        <v>86</v>
      </c>
      <c r="C126" s="77"/>
      <c r="D126" s="77"/>
      <c r="E126" s="77"/>
      <c r="F126" s="77"/>
      <c r="G126" s="77"/>
      <c r="H126" s="77"/>
      <c r="I126" s="77"/>
      <c r="J126" s="77"/>
      <c r="K126" s="23" t="s">
        <v>32</v>
      </c>
      <c r="L126" s="7" t="s">
        <v>32</v>
      </c>
      <c r="M126" s="7" t="s">
        <v>32</v>
      </c>
      <c r="N126" s="7" t="s">
        <v>32</v>
      </c>
      <c r="O126" s="23" t="s">
        <v>32</v>
      </c>
      <c r="P126" s="7" t="s">
        <v>32</v>
      </c>
      <c r="Q126" s="7" t="s">
        <v>32</v>
      </c>
      <c r="R126" s="7" t="s">
        <v>32</v>
      </c>
      <c r="S126" s="23" t="s">
        <v>32</v>
      </c>
      <c r="T126" s="7" t="s">
        <v>32</v>
      </c>
      <c r="U126" s="7" t="s">
        <v>32</v>
      </c>
      <c r="V126" s="7">
        <v>9650</v>
      </c>
      <c r="W126" s="23">
        <v>33275</v>
      </c>
      <c r="X126" s="7">
        <v>35134</v>
      </c>
      <c r="Y126" s="7">
        <v>37058</v>
      </c>
      <c r="Z126" s="7">
        <v>39791</v>
      </c>
      <c r="AA126" s="23">
        <v>40300</v>
      </c>
      <c r="AB126" s="7">
        <v>42798</v>
      </c>
      <c r="AC126" s="7">
        <v>48589</v>
      </c>
      <c r="AD126" s="7">
        <v>52573</v>
      </c>
      <c r="AE126" s="23">
        <v>53067</v>
      </c>
      <c r="AF126" s="7">
        <v>56297</v>
      </c>
      <c r="AG126" s="7">
        <v>63848</v>
      </c>
      <c r="AH126" s="7">
        <v>67651</v>
      </c>
      <c r="AI126" s="23">
        <v>65731</v>
      </c>
      <c r="AJ126" s="7">
        <v>66524</v>
      </c>
      <c r="AK126" s="7">
        <v>69332</v>
      </c>
      <c r="AL126" s="7">
        <v>72968</v>
      </c>
      <c r="AM126" s="23">
        <v>74267</v>
      </c>
      <c r="AN126" s="71">
        <v>75822</v>
      </c>
      <c r="AO126" s="71"/>
      <c r="AP126" s="71"/>
      <c r="AQ126" s="71"/>
      <c r="AR126" s="71"/>
      <c r="AS126" s="71"/>
      <c r="AT126" s="71"/>
      <c r="BD126" s="7">
        <v>0</v>
      </c>
      <c r="BE126" s="7">
        <v>0</v>
      </c>
      <c r="BF126" s="7">
        <v>39791</v>
      </c>
      <c r="BG126" s="7">
        <v>52573</v>
      </c>
      <c r="BH126" s="7">
        <v>67651</v>
      </c>
      <c r="BI126" s="7">
        <v>72968</v>
      </c>
    </row>
    <row r="127" spans="1:66" s="7" customFormat="1" x14ac:dyDescent="0.35">
      <c r="B127" s="5" t="s">
        <v>87</v>
      </c>
      <c r="C127" s="77"/>
      <c r="D127" s="77"/>
      <c r="E127" s="77"/>
      <c r="F127" s="77"/>
      <c r="G127" s="77"/>
      <c r="H127" s="77"/>
      <c r="I127" s="77"/>
      <c r="J127" s="77"/>
      <c r="K127" s="23">
        <v>8219</v>
      </c>
      <c r="L127" s="7">
        <v>8212</v>
      </c>
      <c r="M127" s="7">
        <v>8205</v>
      </c>
      <c r="N127" s="7">
        <v>7694</v>
      </c>
      <c r="O127" s="23">
        <v>7691</v>
      </c>
      <c r="P127" s="7">
        <v>7683</v>
      </c>
      <c r="Q127" s="7">
        <v>24710</v>
      </c>
      <c r="R127" s="7">
        <v>24743</v>
      </c>
      <c r="S127" s="23">
        <v>24640</v>
      </c>
      <c r="T127" s="7">
        <v>24638</v>
      </c>
      <c r="U127" s="7">
        <v>24684</v>
      </c>
      <c r="V127" s="7">
        <v>23495</v>
      </c>
      <c r="W127" s="23">
        <v>23322</v>
      </c>
      <c r="X127" s="7">
        <v>23329</v>
      </c>
      <c r="Y127" s="7">
        <v>22472</v>
      </c>
      <c r="Z127" s="7">
        <v>23414</v>
      </c>
      <c r="AA127" s="23">
        <v>23437</v>
      </c>
      <c r="AB127" s="7">
        <v>33128</v>
      </c>
      <c r="AC127" s="7">
        <v>32929</v>
      </c>
      <c r="AD127" s="7">
        <v>31816</v>
      </c>
      <c r="AE127" s="23">
        <v>31868</v>
      </c>
      <c r="AF127" s="7">
        <v>50279</v>
      </c>
      <c r="AG127" s="7">
        <v>50055</v>
      </c>
      <c r="AH127" s="7">
        <v>48744</v>
      </c>
      <c r="AI127" s="23">
        <v>47556</v>
      </c>
      <c r="AJ127" s="7">
        <v>58053</v>
      </c>
      <c r="AK127" s="7">
        <v>58919</v>
      </c>
      <c r="AL127" s="7">
        <v>67150</v>
      </c>
      <c r="AM127" s="23">
        <v>67084</v>
      </c>
      <c r="AN127" s="71">
        <v>63092</v>
      </c>
      <c r="AO127" s="71"/>
      <c r="AP127" s="71"/>
      <c r="AQ127" s="71"/>
      <c r="AR127" s="71"/>
      <c r="AS127" s="71"/>
      <c r="AT127" s="71"/>
      <c r="BD127" s="7">
        <v>24743</v>
      </c>
      <c r="BE127" s="7">
        <v>23495</v>
      </c>
      <c r="BF127" s="7">
        <v>23414</v>
      </c>
      <c r="BG127" s="7">
        <v>31816</v>
      </c>
      <c r="BH127" s="7">
        <v>48744</v>
      </c>
      <c r="BI127" s="7">
        <v>67150</v>
      </c>
    </row>
    <row r="128" spans="1:66" s="13" customFormat="1" x14ac:dyDescent="0.35">
      <c r="A128" s="8"/>
      <c r="B128" s="9" t="s">
        <v>88</v>
      </c>
      <c r="C128" s="8"/>
      <c r="D128" s="8"/>
      <c r="E128" s="8"/>
      <c r="F128" s="8"/>
      <c r="G128" s="8"/>
      <c r="H128" s="8"/>
      <c r="I128" s="8"/>
      <c r="J128" s="8"/>
      <c r="K128" s="24">
        <v>9966</v>
      </c>
      <c r="L128" s="13">
        <v>10739</v>
      </c>
      <c r="M128" s="13">
        <v>11412</v>
      </c>
      <c r="N128" s="13">
        <v>12607</v>
      </c>
      <c r="O128" s="24">
        <v>14205</v>
      </c>
      <c r="P128" s="13">
        <v>16364</v>
      </c>
      <c r="Q128" s="13">
        <v>18827</v>
      </c>
      <c r="R128" s="13">
        <v>20975</v>
      </c>
      <c r="S128" s="24">
        <v>22214</v>
      </c>
      <c r="T128" s="13">
        <v>23666</v>
      </c>
      <c r="U128" s="13">
        <v>24562</v>
      </c>
      <c r="V128" s="13">
        <v>17563</v>
      </c>
      <c r="W128" s="24">
        <v>9400</v>
      </c>
      <c r="X128" s="13">
        <v>10149</v>
      </c>
      <c r="Y128" s="13">
        <v>10925</v>
      </c>
      <c r="Z128" s="13">
        <v>12171</v>
      </c>
      <c r="AA128" s="24">
        <v>12518</v>
      </c>
      <c r="AB128" s="13">
        <v>14764</v>
      </c>
      <c r="AC128" s="13">
        <v>15974</v>
      </c>
      <c r="AD128" s="13">
        <v>17017</v>
      </c>
      <c r="AE128" s="24">
        <v>19418</v>
      </c>
      <c r="AF128" s="13">
        <v>21148</v>
      </c>
      <c r="AG128" s="13">
        <v>23945</v>
      </c>
      <c r="AH128" s="13">
        <v>23643</v>
      </c>
      <c r="AI128" s="24">
        <v>23971</v>
      </c>
      <c r="AJ128" s="13">
        <v>23458</v>
      </c>
      <c r="AK128" s="13">
        <v>22259</v>
      </c>
      <c r="AL128" s="13">
        <v>21121</v>
      </c>
      <c r="AM128" s="24">
        <v>20931</v>
      </c>
      <c r="AN128" s="13">
        <v>21853</v>
      </c>
      <c r="BD128" s="13">
        <v>20975</v>
      </c>
      <c r="BE128" s="13">
        <v>27213</v>
      </c>
      <c r="BF128" s="13">
        <v>12171</v>
      </c>
      <c r="BG128" s="13">
        <v>17017</v>
      </c>
      <c r="BH128" s="13">
        <v>23643</v>
      </c>
      <c r="BI128" s="13">
        <v>21121</v>
      </c>
    </row>
    <row r="129" spans="1:66" s="94" customFormat="1" x14ac:dyDescent="0.35">
      <c r="A129" s="91"/>
      <c r="B129" s="92" t="s">
        <v>1271</v>
      </c>
      <c r="C129" s="91"/>
      <c r="D129" s="91"/>
      <c r="E129" s="91"/>
      <c r="F129" s="91"/>
      <c r="G129" s="91"/>
      <c r="H129" s="91"/>
      <c r="I129" s="91"/>
      <c r="J129" s="91"/>
      <c r="K129" s="93">
        <f>SUM(K126:K128)</f>
        <v>18185</v>
      </c>
      <c r="L129" s="94">
        <f t="shared" ref="L129:AQ129" si="210">SUM(L126:L128)</f>
        <v>18951</v>
      </c>
      <c r="M129" s="94">
        <f t="shared" si="210"/>
        <v>19617</v>
      </c>
      <c r="N129" s="94">
        <f t="shared" si="210"/>
        <v>20301</v>
      </c>
      <c r="O129" s="93">
        <f t="shared" si="210"/>
        <v>21896</v>
      </c>
      <c r="P129" s="94">
        <f t="shared" si="210"/>
        <v>24047</v>
      </c>
      <c r="Q129" s="94">
        <f t="shared" si="210"/>
        <v>43537</v>
      </c>
      <c r="R129" s="94">
        <f t="shared" si="210"/>
        <v>45718</v>
      </c>
      <c r="S129" s="93">
        <f t="shared" si="210"/>
        <v>46854</v>
      </c>
      <c r="T129" s="94">
        <f t="shared" si="210"/>
        <v>48304</v>
      </c>
      <c r="U129" s="94">
        <f t="shared" si="210"/>
        <v>49246</v>
      </c>
      <c r="V129" s="94">
        <f t="shared" si="210"/>
        <v>50708</v>
      </c>
      <c r="W129" s="93">
        <f t="shared" si="210"/>
        <v>65997</v>
      </c>
      <c r="X129" s="94">
        <f t="shared" si="210"/>
        <v>68612</v>
      </c>
      <c r="Y129" s="94">
        <f t="shared" si="210"/>
        <v>70455</v>
      </c>
      <c r="Z129" s="94">
        <f t="shared" si="210"/>
        <v>75376</v>
      </c>
      <c r="AA129" s="93">
        <f t="shared" si="210"/>
        <v>76255</v>
      </c>
      <c r="AB129" s="94">
        <f t="shared" si="210"/>
        <v>90690</v>
      </c>
      <c r="AC129" s="94">
        <f t="shared" si="210"/>
        <v>97492</v>
      </c>
      <c r="AD129" s="94">
        <f t="shared" si="210"/>
        <v>101406</v>
      </c>
      <c r="AE129" s="93">
        <f t="shared" si="210"/>
        <v>104353</v>
      </c>
      <c r="AF129" s="94">
        <f t="shared" si="210"/>
        <v>127724</v>
      </c>
      <c r="AG129" s="94">
        <f t="shared" si="210"/>
        <v>137848</v>
      </c>
      <c r="AH129" s="94">
        <f t="shared" si="210"/>
        <v>140038</v>
      </c>
      <c r="AI129" s="93">
        <f t="shared" si="210"/>
        <v>137258</v>
      </c>
      <c r="AJ129" s="94">
        <f t="shared" si="210"/>
        <v>148035</v>
      </c>
      <c r="AK129" s="94">
        <f t="shared" si="210"/>
        <v>150510</v>
      </c>
      <c r="AL129" s="94">
        <f t="shared" si="210"/>
        <v>161239</v>
      </c>
      <c r="AM129" s="93">
        <f t="shared" si="210"/>
        <v>162282</v>
      </c>
      <c r="AN129" s="94">
        <f t="shared" si="210"/>
        <v>160767</v>
      </c>
      <c r="AO129" s="94">
        <f t="shared" si="210"/>
        <v>0</v>
      </c>
      <c r="AP129" s="94">
        <f t="shared" si="210"/>
        <v>0</v>
      </c>
      <c r="AQ129" s="94">
        <f t="shared" si="210"/>
        <v>0</v>
      </c>
      <c r="AU129" s="94">
        <f t="shared" ref="AU129:AX129" si="211">SUM(AU126:AU128)</f>
        <v>0</v>
      </c>
      <c r="AV129" s="94">
        <f t="shared" si="211"/>
        <v>0</v>
      </c>
      <c r="AW129" s="94">
        <f t="shared" si="211"/>
        <v>0</v>
      </c>
      <c r="AX129" s="94">
        <f t="shared" si="211"/>
        <v>0</v>
      </c>
      <c r="AY129" s="94">
        <f t="shared" ref="AY129" si="212">SUM(AY126:AY128)</f>
        <v>0</v>
      </c>
      <c r="AZ129" s="94">
        <f t="shared" ref="AZ129" si="213">SUM(AZ126:AZ128)</f>
        <v>0</v>
      </c>
      <c r="BA129" s="94">
        <f t="shared" ref="BA129" si="214">SUM(BA126:BA128)</f>
        <v>0</v>
      </c>
      <c r="BB129" s="94">
        <f t="shared" ref="BB129" si="215">SUM(BB126:BB128)</f>
        <v>0</v>
      </c>
      <c r="BC129" s="94">
        <f t="shared" ref="BC129" si="216">SUM(BC126:BC128)</f>
        <v>0</v>
      </c>
      <c r="BD129" s="94">
        <f t="shared" ref="BD129" si="217">SUM(BD126:BD128)</f>
        <v>45718</v>
      </c>
      <c r="BE129" s="94">
        <f t="shared" ref="BE129" si="218">SUM(BE126:BE128)</f>
        <v>50708</v>
      </c>
      <c r="BF129" s="94">
        <f t="shared" ref="BF129" si="219">SUM(BF126:BF128)</f>
        <v>75376</v>
      </c>
      <c r="BG129" s="94">
        <f t="shared" ref="BG129" si="220">SUM(BG126:BG128)</f>
        <v>101406</v>
      </c>
      <c r="BH129" s="94">
        <f t="shared" ref="BH129" si="221">SUM(BH126:BH128)</f>
        <v>140038</v>
      </c>
      <c r="BI129" s="94">
        <f t="shared" ref="BI129" si="222">SUM(BI126:BI128)</f>
        <v>161239</v>
      </c>
      <c r="BJ129" s="94">
        <f t="shared" ref="BJ129" si="223">SUM(BJ126:BJ128)</f>
        <v>0</v>
      </c>
      <c r="BK129" s="94">
        <f t="shared" ref="BK129" si="224">SUM(BK126:BK128)</f>
        <v>0</v>
      </c>
      <c r="BL129" s="94">
        <f t="shared" ref="BL129" si="225">SUM(BL126:BL128)</f>
        <v>0</v>
      </c>
      <c r="BM129" s="94">
        <f t="shared" ref="BM129" si="226">SUM(BM126:BM128)</f>
        <v>0</v>
      </c>
      <c r="BN129" s="94">
        <f t="shared" ref="BN129" si="227">SUM(BN126:BN128)</f>
        <v>0</v>
      </c>
    </row>
    <row r="130" spans="1:66" s="12" customFormat="1" x14ac:dyDescent="0.35">
      <c r="A130" s="3"/>
      <c r="B130" s="11" t="s">
        <v>89</v>
      </c>
      <c r="C130" s="87"/>
      <c r="D130" s="87"/>
      <c r="E130" s="87"/>
      <c r="F130" s="87"/>
      <c r="G130" s="87"/>
      <c r="H130" s="87"/>
      <c r="I130" s="87"/>
      <c r="J130" s="87"/>
      <c r="K130" s="26">
        <f>K129+K124</f>
        <v>46372</v>
      </c>
      <c r="L130" s="72">
        <f t="shared" ref="L130:AQ130" si="228">L129+L124</f>
        <v>48538</v>
      </c>
      <c r="M130" s="72">
        <f t="shared" si="228"/>
        <v>53115</v>
      </c>
      <c r="N130" s="72">
        <f t="shared" si="228"/>
        <v>64117</v>
      </c>
      <c r="O130" s="26">
        <f t="shared" si="228"/>
        <v>59295</v>
      </c>
      <c r="P130" s="72">
        <f t="shared" si="228"/>
        <v>64567</v>
      </c>
      <c r="Q130" s="72">
        <f t="shared" si="228"/>
        <v>90609</v>
      </c>
      <c r="R130" s="72">
        <f t="shared" si="228"/>
        <v>103601</v>
      </c>
      <c r="S130" s="26">
        <f t="shared" si="228"/>
        <v>94899</v>
      </c>
      <c r="T130" s="72">
        <f t="shared" si="228"/>
        <v>99105</v>
      </c>
      <c r="U130" s="72">
        <f t="shared" si="228"/>
        <v>104570</v>
      </c>
      <c r="V130" s="72">
        <f t="shared" si="228"/>
        <v>119099</v>
      </c>
      <c r="W130" s="26">
        <f t="shared" si="228"/>
        <v>129692</v>
      </c>
      <c r="X130" s="72">
        <f t="shared" si="228"/>
        <v>138290</v>
      </c>
      <c r="Y130" s="72">
        <f t="shared" si="228"/>
        <v>142591</v>
      </c>
      <c r="Z130" s="72">
        <f t="shared" si="228"/>
        <v>163188</v>
      </c>
      <c r="AA130" s="26">
        <f t="shared" si="228"/>
        <v>155966</v>
      </c>
      <c r="AB130" s="72">
        <f t="shared" si="228"/>
        <v>184586</v>
      </c>
      <c r="AC130" s="72">
        <f t="shared" si="228"/>
        <v>199404</v>
      </c>
      <c r="AD130" s="72">
        <f t="shared" si="228"/>
        <v>227791</v>
      </c>
      <c r="AE130" s="26">
        <f t="shared" si="228"/>
        <v>219757</v>
      </c>
      <c r="AF130" s="72">
        <f t="shared" si="228"/>
        <v>245516</v>
      </c>
      <c r="AG130" s="72">
        <f t="shared" si="228"/>
        <v>261842</v>
      </c>
      <c r="AH130" s="72">
        <f t="shared" si="228"/>
        <v>282304</v>
      </c>
      <c r="AI130" s="26">
        <f t="shared" si="228"/>
        <v>276766</v>
      </c>
      <c r="AJ130" s="72">
        <f t="shared" si="228"/>
        <v>288326</v>
      </c>
      <c r="AK130" s="72">
        <f t="shared" si="228"/>
        <v>290873</v>
      </c>
      <c r="AL130" s="72">
        <f t="shared" si="228"/>
        <v>316632</v>
      </c>
      <c r="AM130" s="26">
        <f t="shared" si="228"/>
        <v>309852</v>
      </c>
      <c r="AN130" s="72">
        <f t="shared" si="228"/>
        <v>309005</v>
      </c>
      <c r="AO130" s="72">
        <f t="shared" si="228"/>
        <v>0</v>
      </c>
      <c r="AP130" s="72">
        <f t="shared" si="228"/>
        <v>0</v>
      </c>
      <c r="AQ130" s="72">
        <f t="shared" si="228"/>
        <v>0</v>
      </c>
      <c r="AR130" s="72"/>
      <c r="AS130" s="72"/>
      <c r="AT130" s="72"/>
      <c r="AU130" s="72">
        <f t="shared" ref="AU130:AX130" si="229">AU129+AU124</f>
        <v>0</v>
      </c>
      <c r="AV130" s="72">
        <f t="shared" si="229"/>
        <v>0</v>
      </c>
      <c r="AW130" s="72">
        <f t="shared" si="229"/>
        <v>0</v>
      </c>
      <c r="AX130" s="72">
        <f t="shared" si="229"/>
        <v>0</v>
      </c>
      <c r="AY130" s="72">
        <f t="shared" ref="AY130" si="230">AY129+AY124</f>
        <v>0</v>
      </c>
      <c r="AZ130" s="72">
        <f t="shared" ref="AZ130" si="231">AZ129+AZ124</f>
        <v>0</v>
      </c>
      <c r="BA130" s="72">
        <f t="shared" ref="BA130" si="232">BA129+BA124</f>
        <v>0</v>
      </c>
      <c r="BB130" s="72">
        <f t="shared" ref="BB130" si="233">BB129+BB124</f>
        <v>0</v>
      </c>
      <c r="BC130" s="72">
        <f t="shared" ref="BC130" si="234">BC129+BC124</f>
        <v>0</v>
      </c>
      <c r="BD130" s="72">
        <f t="shared" ref="BD130" si="235">BD129+BD124</f>
        <v>103601</v>
      </c>
      <c r="BE130" s="72">
        <f t="shared" ref="BE130" si="236">BE129+BE124</f>
        <v>119099</v>
      </c>
      <c r="BF130" s="72">
        <f t="shared" ref="BF130" si="237">BF129+BF124</f>
        <v>163188</v>
      </c>
      <c r="BG130" s="72">
        <f t="shared" ref="BG130" si="238">BG129+BG124</f>
        <v>227791</v>
      </c>
      <c r="BH130" s="72">
        <f t="shared" ref="BH130" si="239">BH129+BH124</f>
        <v>282304</v>
      </c>
      <c r="BI130" s="72">
        <f t="shared" ref="BI130" si="240">BI129+BI124</f>
        <v>316632</v>
      </c>
      <c r="BJ130" s="72">
        <f t="shared" ref="BJ130" si="241">BJ129+BJ124</f>
        <v>0</v>
      </c>
      <c r="BK130" s="72">
        <f t="shared" ref="BK130" si="242">BK129+BK124</f>
        <v>0</v>
      </c>
      <c r="BL130" s="72">
        <f t="shared" ref="BL130" si="243">BL129+BL124</f>
        <v>0</v>
      </c>
      <c r="BM130" s="72">
        <f t="shared" ref="BM130" si="244">BM129+BM124</f>
        <v>0</v>
      </c>
      <c r="BN130" s="72">
        <f t="shared" ref="BN130" si="245">BN129+BN124</f>
        <v>0</v>
      </c>
    </row>
    <row r="131" spans="1:66" s="41" customFormat="1" x14ac:dyDescent="0.35">
      <c r="A131" s="34"/>
      <c r="B131" s="40" t="s">
        <v>90</v>
      </c>
      <c r="C131" s="88"/>
      <c r="D131" s="88"/>
      <c r="E131" s="88"/>
      <c r="F131" s="88"/>
      <c r="G131" s="88"/>
      <c r="H131" s="88"/>
      <c r="I131" s="88"/>
      <c r="J131" s="88"/>
      <c r="K131" s="42"/>
      <c r="O131" s="42"/>
      <c r="S131" s="42"/>
      <c r="W131" s="42"/>
      <c r="AA131" s="42"/>
      <c r="AE131" s="42"/>
      <c r="AI131" s="42"/>
      <c r="AM131" s="42"/>
      <c r="AN131" s="70"/>
      <c r="AO131" s="70"/>
      <c r="AP131" s="70"/>
      <c r="AQ131" s="70"/>
      <c r="AR131" s="70"/>
      <c r="AS131" s="70"/>
      <c r="AT131" s="70"/>
    </row>
    <row r="132" spans="1:66" s="7" customFormat="1" x14ac:dyDescent="0.35">
      <c r="B132" s="5" t="s">
        <v>91</v>
      </c>
      <c r="C132" s="77"/>
      <c r="D132" s="77"/>
      <c r="E132" s="77"/>
      <c r="F132" s="77"/>
      <c r="G132" s="77"/>
      <c r="H132" s="77"/>
      <c r="I132" s="77"/>
      <c r="J132" s="77"/>
      <c r="K132" s="23">
        <v>5</v>
      </c>
      <c r="L132" s="7">
        <v>5</v>
      </c>
      <c r="M132" s="7">
        <v>5</v>
      </c>
      <c r="N132" s="7">
        <v>5</v>
      </c>
      <c r="O132" s="23">
        <v>5</v>
      </c>
      <c r="P132" s="7">
        <v>5</v>
      </c>
      <c r="Q132" s="7">
        <v>5</v>
      </c>
      <c r="R132" s="7">
        <v>5</v>
      </c>
      <c r="S132" s="23">
        <v>5</v>
      </c>
      <c r="T132" s="7">
        <v>5</v>
      </c>
      <c r="U132" s="7">
        <v>5</v>
      </c>
      <c r="V132" s="7">
        <v>5</v>
      </c>
      <c r="W132" s="23">
        <v>5</v>
      </c>
      <c r="X132" s="7">
        <v>5</v>
      </c>
      <c r="Y132" s="7">
        <v>5</v>
      </c>
      <c r="Z132" s="7">
        <v>5</v>
      </c>
      <c r="AA132" s="23">
        <v>5</v>
      </c>
      <c r="AB132" s="7">
        <v>5</v>
      </c>
      <c r="AC132" s="7">
        <v>5</v>
      </c>
      <c r="AD132" s="7">
        <v>5</v>
      </c>
      <c r="AE132" s="23">
        <v>5</v>
      </c>
      <c r="AF132" s="7">
        <v>5</v>
      </c>
      <c r="AG132" s="7">
        <v>5</v>
      </c>
      <c r="AH132" s="7">
        <v>5</v>
      </c>
      <c r="AI132" s="23">
        <v>5</v>
      </c>
      <c r="AJ132" s="7">
        <v>107</v>
      </c>
      <c r="AK132" s="7">
        <v>107</v>
      </c>
      <c r="AL132" s="7">
        <v>0</v>
      </c>
      <c r="AM132" s="23">
        <v>0</v>
      </c>
      <c r="AN132" s="71">
        <v>0</v>
      </c>
      <c r="AO132" s="71"/>
      <c r="AP132" s="71"/>
      <c r="AQ132" s="71"/>
      <c r="AR132" s="71"/>
      <c r="AS132" s="71"/>
      <c r="AT132" s="71"/>
      <c r="BD132" s="7">
        <v>0</v>
      </c>
      <c r="BE132" s="7">
        <v>0</v>
      </c>
      <c r="BF132" s="7">
        <v>0</v>
      </c>
      <c r="BG132" s="7">
        <v>0</v>
      </c>
      <c r="BH132" s="7">
        <v>0</v>
      </c>
      <c r="BI132" s="7">
        <v>0</v>
      </c>
    </row>
    <row r="133" spans="1:66" s="7" customFormat="1" x14ac:dyDescent="0.35">
      <c r="B133" s="5" t="s">
        <v>92</v>
      </c>
      <c r="C133" s="77"/>
      <c r="D133" s="77"/>
      <c r="E133" s="77"/>
      <c r="F133" s="77"/>
      <c r="G133" s="77"/>
      <c r="H133" s="77"/>
      <c r="I133" s="77"/>
      <c r="J133" s="77"/>
      <c r="K133" s="23"/>
      <c r="O133" s="23"/>
      <c r="S133" s="23"/>
      <c r="W133" s="23"/>
      <c r="AA133" s="23"/>
      <c r="AE133" s="23"/>
      <c r="AI133" s="23">
        <v>0</v>
      </c>
      <c r="AJ133" s="7">
        <v>0</v>
      </c>
      <c r="AK133" s="7">
        <v>0</v>
      </c>
      <c r="AL133" s="7">
        <v>108</v>
      </c>
      <c r="AM133" s="23">
        <v>108</v>
      </c>
      <c r="AN133" s="71">
        <v>108</v>
      </c>
      <c r="AO133" s="71"/>
      <c r="AP133" s="71"/>
      <c r="AQ133" s="71"/>
      <c r="AR133" s="71"/>
      <c r="AS133" s="71"/>
      <c r="AT133" s="71"/>
      <c r="BD133" s="7">
        <v>5</v>
      </c>
      <c r="BE133" s="7">
        <v>5</v>
      </c>
      <c r="BF133" s="7">
        <v>5</v>
      </c>
      <c r="BG133" s="7">
        <v>5</v>
      </c>
      <c r="BH133" s="7">
        <v>106</v>
      </c>
      <c r="BI133" s="7">
        <v>108</v>
      </c>
    </row>
    <row r="134" spans="1:66" s="7" customFormat="1" x14ac:dyDescent="0.35">
      <c r="B134" s="5" t="s">
        <v>93</v>
      </c>
      <c r="C134" s="77"/>
      <c r="D134" s="77"/>
      <c r="E134" s="77"/>
      <c r="F134" s="77"/>
      <c r="G134" s="77"/>
      <c r="H134" s="77"/>
      <c r="I134" s="77"/>
      <c r="J134" s="77"/>
      <c r="K134" s="23">
        <v>-1837</v>
      </c>
      <c r="L134" s="7">
        <v>-1837</v>
      </c>
      <c r="M134" s="7">
        <v>-1837</v>
      </c>
      <c r="N134" s="7">
        <v>-1837</v>
      </c>
      <c r="O134" s="23">
        <v>-1837</v>
      </c>
      <c r="P134" s="7">
        <v>-1837</v>
      </c>
      <c r="Q134" s="7">
        <v>-1837</v>
      </c>
      <c r="R134" s="7">
        <v>-1837</v>
      </c>
      <c r="S134" s="23">
        <v>-1837</v>
      </c>
      <c r="T134" s="7">
        <v>-1837</v>
      </c>
      <c r="U134" s="7">
        <v>-1837</v>
      </c>
      <c r="V134" s="7">
        <v>-1837</v>
      </c>
      <c r="W134" s="23">
        <v>-1837</v>
      </c>
      <c r="X134" s="7">
        <v>-1837</v>
      </c>
      <c r="Y134" s="7">
        <v>-1837</v>
      </c>
      <c r="Z134" s="7">
        <v>-1837</v>
      </c>
      <c r="AA134" s="23">
        <v>-1837</v>
      </c>
      <c r="AB134" s="7">
        <v>-1837</v>
      </c>
      <c r="AC134" s="7">
        <v>-1837</v>
      </c>
      <c r="AD134" s="7">
        <v>-1837</v>
      </c>
      <c r="AE134" s="23">
        <v>-1837</v>
      </c>
      <c r="AF134" s="7">
        <v>-1837</v>
      </c>
      <c r="AG134" s="7">
        <v>-1837</v>
      </c>
      <c r="AH134" s="7">
        <v>-1837</v>
      </c>
      <c r="AI134" s="23">
        <v>-4503</v>
      </c>
      <c r="AJ134" s="7">
        <v>-7837</v>
      </c>
      <c r="AK134" s="7">
        <v>-7837</v>
      </c>
      <c r="AL134" s="7">
        <v>-7837</v>
      </c>
      <c r="AM134" s="23">
        <v>-7837</v>
      </c>
      <c r="AN134" s="71">
        <v>-7837</v>
      </c>
      <c r="AO134" s="71"/>
      <c r="AP134" s="71"/>
      <c r="AQ134" s="71"/>
      <c r="AR134" s="71"/>
      <c r="AS134" s="71"/>
      <c r="AT134" s="71"/>
      <c r="BD134" s="7">
        <v>-1837</v>
      </c>
      <c r="BE134" s="7">
        <v>-1837</v>
      </c>
      <c r="BF134" s="7">
        <v>-1837</v>
      </c>
      <c r="BG134" s="7">
        <v>-1837</v>
      </c>
      <c r="BH134" s="7">
        <v>-1837</v>
      </c>
      <c r="BI134" s="7">
        <v>-7837</v>
      </c>
    </row>
    <row r="135" spans="1:66" s="7" customFormat="1" x14ac:dyDescent="0.35">
      <c r="B135" s="5" t="s">
        <v>94</v>
      </c>
      <c r="C135" s="77"/>
      <c r="D135" s="77"/>
      <c r="E135" s="77"/>
      <c r="F135" s="77"/>
      <c r="G135" s="77"/>
      <c r="H135" s="77"/>
      <c r="I135" s="77"/>
      <c r="J135" s="77"/>
      <c r="K135" s="23">
        <v>14144</v>
      </c>
      <c r="L135" s="7">
        <v>15026</v>
      </c>
      <c r="M135" s="7">
        <v>15968</v>
      </c>
      <c r="N135" s="7">
        <v>17186</v>
      </c>
      <c r="O135" s="23">
        <v>17976</v>
      </c>
      <c r="P135" s="7">
        <v>19129</v>
      </c>
      <c r="Q135" s="7">
        <v>20212</v>
      </c>
      <c r="R135" s="7">
        <v>21389</v>
      </c>
      <c r="S135" s="23">
        <v>22563</v>
      </c>
      <c r="T135" s="7">
        <v>24028</v>
      </c>
      <c r="U135" s="7">
        <v>25375</v>
      </c>
      <c r="V135" s="7">
        <v>26791</v>
      </c>
      <c r="W135" s="23">
        <v>28059</v>
      </c>
      <c r="X135" s="7">
        <v>30035</v>
      </c>
      <c r="Y135" s="7">
        <v>31817</v>
      </c>
      <c r="Z135" s="7">
        <v>33658</v>
      </c>
      <c r="AA135" s="23">
        <v>35412</v>
      </c>
      <c r="AB135" s="7">
        <v>38017</v>
      </c>
      <c r="AC135" s="7">
        <v>40307</v>
      </c>
      <c r="AD135" s="7">
        <v>42865</v>
      </c>
      <c r="AE135" s="23">
        <v>45160</v>
      </c>
      <c r="AF135" s="7">
        <v>48724</v>
      </c>
      <c r="AG135" s="7">
        <v>51879</v>
      </c>
      <c r="AH135" s="7">
        <v>55538</v>
      </c>
      <c r="AI135" s="23">
        <v>58793</v>
      </c>
      <c r="AJ135" s="7">
        <v>63871</v>
      </c>
      <c r="AK135" s="7">
        <v>69419</v>
      </c>
      <c r="AL135" s="7">
        <v>75066</v>
      </c>
      <c r="AM135" s="23">
        <v>79863</v>
      </c>
      <c r="AN135" s="71">
        <v>86896</v>
      </c>
      <c r="AO135" s="71"/>
      <c r="AP135" s="71"/>
      <c r="AQ135" s="71"/>
      <c r="AR135" s="71"/>
      <c r="AS135" s="71"/>
      <c r="AT135" s="71"/>
      <c r="BD135" s="7">
        <v>21389</v>
      </c>
      <c r="BE135" s="7">
        <v>26791</v>
      </c>
      <c r="BF135" s="7">
        <v>33658</v>
      </c>
      <c r="BG135" s="7">
        <v>42865</v>
      </c>
      <c r="BH135" s="7">
        <v>55437</v>
      </c>
      <c r="BI135" s="7">
        <v>75066</v>
      </c>
    </row>
    <row r="136" spans="1:66" s="7" customFormat="1" x14ac:dyDescent="0.35">
      <c r="B136" s="5" t="s">
        <v>95</v>
      </c>
      <c r="C136" s="77"/>
      <c r="D136" s="77"/>
      <c r="E136" s="77"/>
      <c r="F136" s="77"/>
      <c r="G136" s="77"/>
      <c r="H136" s="77"/>
      <c r="I136" s="77"/>
      <c r="J136" s="77"/>
      <c r="K136" s="23">
        <v>-614</v>
      </c>
      <c r="L136" s="7">
        <v>-571</v>
      </c>
      <c r="M136" s="7">
        <v>-521</v>
      </c>
      <c r="N136" s="7">
        <v>-985</v>
      </c>
      <c r="O136" s="23">
        <v>-797</v>
      </c>
      <c r="P136" s="7">
        <v>-607</v>
      </c>
      <c r="Q136" s="7">
        <v>-501</v>
      </c>
      <c r="R136" s="7">
        <v>-484</v>
      </c>
      <c r="S136" s="23">
        <v>-467</v>
      </c>
      <c r="T136" s="7">
        <v>-934</v>
      </c>
      <c r="U136" s="7">
        <v>-1037</v>
      </c>
      <c r="V136" s="7">
        <v>-1035</v>
      </c>
      <c r="W136" s="23">
        <v>-1010</v>
      </c>
      <c r="X136" s="7">
        <v>-960</v>
      </c>
      <c r="Y136" s="7">
        <v>-1429</v>
      </c>
      <c r="Z136" s="7">
        <v>-986</v>
      </c>
      <c r="AA136" s="23">
        <v>-2063</v>
      </c>
      <c r="AB136" s="7">
        <v>-1455</v>
      </c>
      <c r="AC136" s="7">
        <v>-1029</v>
      </c>
      <c r="AD136" s="7">
        <v>-180</v>
      </c>
      <c r="AE136" s="23">
        <v>-666</v>
      </c>
      <c r="AF136" s="7">
        <v>-525</v>
      </c>
      <c r="AG136" s="7">
        <v>-1075</v>
      </c>
      <c r="AH136" s="7">
        <v>-1376</v>
      </c>
      <c r="AI136" s="23">
        <v>-2365</v>
      </c>
      <c r="AJ136" s="7">
        <v>-4782</v>
      </c>
      <c r="AK136" s="7">
        <v>-7115</v>
      </c>
      <c r="AL136" s="7">
        <v>-4487</v>
      </c>
      <c r="AM136" s="23">
        <v>-3973</v>
      </c>
      <c r="AN136" s="71">
        <v>-3680</v>
      </c>
      <c r="AO136" s="71"/>
      <c r="AP136" s="71"/>
      <c r="AQ136" s="71"/>
      <c r="AR136" s="71"/>
      <c r="AS136" s="71"/>
      <c r="AT136" s="71"/>
      <c r="BD136" s="7">
        <v>-484</v>
      </c>
      <c r="BE136" s="7">
        <v>-1035</v>
      </c>
      <c r="BF136" s="7">
        <v>-986</v>
      </c>
      <c r="BG136" s="7">
        <v>-180</v>
      </c>
      <c r="BH136" s="7">
        <v>-1376</v>
      </c>
      <c r="BI136" s="7">
        <v>-4487</v>
      </c>
    </row>
    <row r="137" spans="1:66" s="13" customFormat="1" x14ac:dyDescent="0.35">
      <c r="A137" s="8"/>
      <c r="B137" s="9" t="s">
        <v>96</v>
      </c>
      <c r="C137" s="8"/>
      <c r="D137" s="8"/>
      <c r="E137" s="8"/>
      <c r="F137" s="8"/>
      <c r="G137" s="8"/>
      <c r="H137" s="8"/>
      <c r="I137" s="8"/>
      <c r="J137" s="8"/>
      <c r="K137" s="24">
        <v>3058</v>
      </c>
      <c r="L137" s="13">
        <v>3915</v>
      </c>
      <c r="M137" s="13">
        <v>4167</v>
      </c>
      <c r="N137" s="13">
        <v>4916</v>
      </c>
      <c r="O137" s="24">
        <v>6327</v>
      </c>
      <c r="P137" s="13">
        <v>6524</v>
      </c>
      <c r="Q137" s="13">
        <v>6779</v>
      </c>
      <c r="R137" s="13">
        <v>8636</v>
      </c>
      <c r="S137" s="24">
        <v>11199</v>
      </c>
      <c r="T137" s="13">
        <v>13733</v>
      </c>
      <c r="U137" s="13">
        <v>16616</v>
      </c>
      <c r="V137" s="13">
        <v>19625</v>
      </c>
      <c r="W137" s="24">
        <v>23193</v>
      </c>
      <c r="X137" s="13">
        <v>25818</v>
      </c>
      <c r="Y137" s="13">
        <v>27952</v>
      </c>
      <c r="Z137" s="13">
        <v>31220</v>
      </c>
      <c r="AA137" s="24">
        <v>33755</v>
      </c>
      <c r="AB137" s="13">
        <v>38998</v>
      </c>
      <c r="AC137" s="13">
        <v>45329</v>
      </c>
      <c r="AD137" s="13">
        <v>52551</v>
      </c>
      <c r="AE137" s="24">
        <v>60658</v>
      </c>
      <c r="AF137" s="13">
        <v>68436</v>
      </c>
      <c r="AG137" s="13">
        <v>71592</v>
      </c>
      <c r="AH137" s="13">
        <v>85915</v>
      </c>
      <c r="AI137" s="24">
        <v>82071</v>
      </c>
      <c r="AJ137" s="13">
        <v>80043</v>
      </c>
      <c r="AK137" s="13">
        <v>82915</v>
      </c>
      <c r="AL137" s="13">
        <v>83193</v>
      </c>
      <c r="AM137" s="24">
        <v>86365</v>
      </c>
      <c r="AN137" s="13">
        <v>93115</v>
      </c>
      <c r="BD137" s="13">
        <v>8636</v>
      </c>
      <c r="BE137" s="13">
        <v>19625</v>
      </c>
      <c r="BF137" s="13">
        <v>31220</v>
      </c>
      <c r="BG137" s="13">
        <v>52551</v>
      </c>
      <c r="BH137" s="13">
        <v>85915</v>
      </c>
      <c r="BI137" s="13">
        <v>83193</v>
      </c>
    </row>
    <row r="138" spans="1:66" s="32" customFormat="1" x14ac:dyDescent="0.35">
      <c r="A138" s="30"/>
      <c r="B138" s="31" t="s">
        <v>97</v>
      </c>
      <c r="C138" s="30"/>
      <c r="D138" s="30"/>
      <c r="E138" s="30"/>
      <c r="F138" s="30"/>
      <c r="G138" s="30"/>
      <c r="H138" s="30"/>
      <c r="I138" s="30"/>
      <c r="J138" s="30"/>
      <c r="K138" s="67">
        <f t="shared" ref="K138:AN138" si="246">SUM(K132:K137)</f>
        <v>14756</v>
      </c>
      <c r="L138" s="32">
        <f t="shared" si="246"/>
        <v>16538</v>
      </c>
      <c r="M138" s="32">
        <f t="shared" si="246"/>
        <v>17782</v>
      </c>
      <c r="N138" s="32">
        <f t="shared" si="246"/>
        <v>19285</v>
      </c>
      <c r="O138" s="67">
        <f t="shared" si="246"/>
        <v>21674</v>
      </c>
      <c r="P138" s="32">
        <f t="shared" si="246"/>
        <v>23214</v>
      </c>
      <c r="Q138" s="32">
        <f t="shared" si="246"/>
        <v>24658</v>
      </c>
      <c r="R138" s="32">
        <f t="shared" si="246"/>
        <v>27709</v>
      </c>
      <c r="S138" s="67">
        <f t="shared" si="246"/>
        <v>31463</v>
      </c>
      <c r="T138" s="32">
        <f t="shared" si="246"/>
        <v>34995</v>
      </c>
      <c r="U138" s="32">
        <f t="shared" si="246"/>
        <v>39122</v>
      </c>
      <c r="V138" s="32">
        <f t="shared" si="246"/>
        <v>43549</v>
      </c>
      <c r="W138" s="67">
        <f t="shared" si="246"/>
        <v>48410</v>
      </c>
      <c r="X138" s="32">
        <f t="shared" si="246"/>
        <v>53061</v>
      </c>
      <c r="Y138" s="32">
        <f t="shared" si="246"/>
        <v>56508</v>
      </c>
      <c r="Z138" s="32">
        <f t="shared" si="246"/>
        <v>62060</v>
      </c>
      <c r="AA138" s="67">
        <f t="shared" si="246"/>
        <v>65272</v>
      </c>
      <c r="AB138" s="32">
        <f t="shared" si="246"/>
        <v>73728</v>
      </c>
      <c r="AC138" s="32">
        <f t="shared" si="246"/>
        <v>82775</v>
      </c>
      <c r="AD138" s="32">
        <f t="shared" si="246"/>
        <v>93404</v>
      </c>
      <c r="AE138" s="67">
        <f t="shared" si="246"/>
        <v>103320</v>
      </c>
      <c r="AF138" s="32">
        <f t="shared" si="246"/>
        <v>114803</v>
      </c>
      <c r="AG138" s="32">
        <f t="shared" si="246"/>
        <v>120564</v>
      </c>
      <c r="AH138" s="32">
        <f t="shared" si="246"/>
        <v>138245</v>
      </c>
      <c r="AI138" s="67">
        <f t="shared" si="246"/>
        <v>134001</v>
      </c>
      <c r="AJ138" s="32">
        <f t="shared" si="246"/>
        <v>131402</v>
      </c>
      <c r="AK138" s="32">
        <f t="shared" si="246"/>
        <v>137489</v>
      </c>
      <c r="AL138" s="32">
        <f t="shared" si="246"/>
        <v>146043</v>
      </c>
      <c r="AM138" s="67">
        <f t="shared" si="246"/>
        <v>154526</v>
      </c>
      <c r="AN138" s="32">
        <f t="shared" si="246"/>
        <v>168602</v>
      </c>
      <c r="AO138" s="32">
        <f t="shared" ref="AO138" si="247">SUM(AO132:AO137)</f>
        <v>0</v>
      </c>
      <c r="AP138" s="32">
        <f t="shared" ref="AP138" si="248">SUM(AP132:AP137)</f>
        <v>0</v>
      </c>
      <c r="AQ138" s="32">
        <f t="shared" ref="AQ138" si="249">SUM(AQ132:AQ137)</f>
        <v>0</v>
      </c>
      <c r="AU138" s="32">
        <f t="shared" ref="AU138:AX138" si="250">SUM(AU132:AU137)</f>
        <v>0</v>
      </c>
      <c r="AV138" s="32">
        <f t="shared" si="250"/>
        <v>0</v>
      </c>
      <c r="AW138" s="32">
        <f t="shared" si="250"/>
        <v>0</v>
      </c>
      <c r="AX138" s="32">
        <f t="shared" si="250"/>
        <v>0</v>
      </c>
      <c r="AY138" s="32">
        <f t="shared" ref="AY138" si="251">SUM(AY132:AY137)</f>
        <v>0</v>
      </c>
      <c r="AZ138" s="32">
        <f t="shared" ref="AZ138" si="252">SUM(AZ132:AZ137)</f>
        <v>0</v>
      </c>
      <c r="BA138" s="32">
        <f t="shared" ref="BA138" si="253">SUM(BA132:BA137)</f>
        <v>0</v>
      </c>
      <c r="BB138" s="32">
        <f t="shared" ref="BB138:BI138" si="254">SUM(BB132:BB137)</f>
        <v>0</v>
      </c>
      <c r="BC138" s="32">
        <f t="shared" si="254"/>
        <v>0</v>
      </c>
      <c r="BD138" s="32">
        <f t="shared" si="254"/>
        <v>27709</v>
      </c>
      <c r="BE138" s="32">
        <f t="shared" si="254"/>
        <v>43549</v>
      </c>
      <c r="BF138" s="32">
        <f t="shared" si="254"/>
        <v>62060</v>
      </c>
      <c r="BG138" s="32">
        <f t="shared" si="254"/>
        <v>93404</v>
      </c>
      <c r="BH138" s="32">
        <f t="shared" si="254"/>
        <v>138245</v>
      </c>
      <c r="BI138" s="32">
        <f t="shared" si="254"/>
        <v>146043</v>
      </c>
    </row>
    <row r="139" spans="1:66" s="12" customFormat="1" x14ac:dyDescent="0.35">
      <c r="A139" s="3"/>
      <c r="B139" s="11" t="s">
        <v>98</v>
      </c>
      <c r="C139" s="87"/>
      <c r="D139" s="87"/>
      <c r="E139" s="87"/>
      <c r="F139" s="87"/>
      <c r="G139" s="87"/>
      <c r="H139" s="87"/>
      <c r="I139" s="87"/>
      <c r="J139" s="87"/>
      <c r="K139" s="26">
        <f t="shared" ref="K139:U139" si="255">K138+K124+K127+K128</f>
        <v>61128</v>
      </c>
      <c r="L139" s="12">
        <f t="shared" si="255"/>
        <v>65076</v>
      </c>
      <c r="M139" s="12">
        <f t="shared" si="255"/>
        <v>70897</v>
      </c>
      <c r="N139" s="12">
        <f t="shared" si="255"/>
        <v>83402</v>
      </c>
      <c r="O139" s="26">
        <f t="shared" si="255"/>
        <v>80969</v>
      </c>
      <c r="P139" s="12">
        <f t="shared" si="255"/>
        <v>87781</v>
      </c>
      <c r="Q139" s="12">
        <f t="shared" si="255"/>
        <v>115267</v>
      </c>
      <c r="R139" s="12">
        <f t="shared" si="255"/>
        <v>131310</v>
      </c>
      <c r="S139" s="26">
        <f t="shared" si="255"/>
        <v>126362</v>
      </c>
      <c r="T139" s="12">
        <f t="shared" si="255"/>
        <v>134100</v>
      </c>
      <c r="U139" s="12">
        <f t="shared" si="255"/>
        <v>143692</v>
      </c>
      <c r="V139" s="12">
        <f t="shared" ref="V139:AK139" si="256">V138+V124+V127+V128+V126</f>
        <v>162648</v>
      </c>
      <c r="W139" s="26">
        <f t="shared" si="256"/>
        <v>178102</v>
      </c>
      <c r="X139" s="12">
        <f t="shared" si="256"/>
        <v>191351</v>
      </c>
      <c r="Y139" s="12">
        <f t="shared" si="256"/>
        <v>199099</v>
      </c>
      <c r="Z139" s="12">
        <f t="shared" si="256"/>
        <v>225248</v>
      </c>
      <c r="AA139" s="26">
        <f t="shared" si="256"/>
        <v>221238</v>
      </c>
      <c r="AB139" s="12">
        <f t="shared" si="256"/>
        <v>258314</v>
      </c>
      <c r="AC139" s="12">
        <f t="shared" si="256"/>
        <v>282179</v>
      </c>
      <c r="AD139" s="12">
        <f t="shared" si="256"/>
        <v>321195</v>
      </c>
      <c r="AE139" s="26">
        <f t="shared" si="256"/>
        <v>323077</v>
      </c>
      <c r="AF139" s="12">
        <f t="shared" si="256"/>
        <v>360319</v>
      </c>
      <c r="AG139" s="12">
        <f t="shared" si="256"/>
        <v>382406</v>
      </c>
      <c r="AH139" s="12">
        <f t="shared" si="256"/>
        <v>420549</v>
      </c>
      <c r="AI139" s="26">
        <f t="shared" si="256"/>
        <v>410767</v>
      </c>
      <c r="AJ139" s="12">
        <f t="shared" si="256"/>
        <v>419728</v>
      </c>
      <c r="AK139" s="12">
        <f t="shared" si="256"/>
        <v>428362</v>
      </c>
      <c r="AL139" s="12">
        <f t="shared" ref="AL139:AM139" si="257">AL138+AL130</f>
        <v>462675</v>
      </c>
      <c r="AM139" s="26">
        <f t="shared" si="257"/>
        <v>464378</v>
      </c>
      <c r="AN139" s="12">
        <f t="shared" ref="AN139" si="258">AN138+AN124+AN127+AN128+AN126</f>
        <v>477607</v>
      </c>
      <c r="AO139" s="12">
        <f t="shared" ref="AO139" si="259">AO138+AO124+AO127+AO128+AO126</f>
        <v>0</v>
      </c>
      <c r="AP139" s="12">
        <f t="shared" ref="AP139" si="260">AP138+AP124+AP127+AP128+AP126</f>
        <v>0</v>
      </c>
      <c r="AQ139" s="12">
        <f t="shared" ref="AQ139" si="261">AQ138+AQ124+AQ127+AQ128+AQ126</f>
        <v>0</v>
      </c>
      <c r="AR139" s="72"/>
      <c r="AS139" s="72"/>
      <c r="AT139" s="72"/>
      <c r="AU139" s="12">
        <f t="shared" ref="AU139:AX139" si="262">AU138+AU130</f>
        <v>0</v>
      </c>
      <c r="AV139" s="12">
        <f t="shared" si="262"/>
        <v>0</v>
      </c>
      <c r="AW139" s="12">
        <f t="shared" si="262"/>
        <v>0</v>
      </c>
      <c r="AX139" s="12">
        <f t="shared" si="262"/>
        <v>0</v>
      </c>
      <c r="AY139" s="12">
        <f t="shared" ref="AY139" si="263">AY138+AY130</f>
        <v>0</v>
      </c>
      <c r="AZ139" s="12">
        <f t="shared" ref="AZ139" si="264">AZ138+AZ130</f>
        <v>0</v>
      </c>
      <c r="BA139" s="12">
        <f t="shared" ref="BA139" si="265">BA138+BA130</f>
        <v>0</v>
      </c>
      <c r="BB139" s="12">
        <f t="shared" ref="BB139:BI139" si="266">BB138+BB130</f>
        <v>0</v>
      </c>
      <c r="BC139" s="12">
        <f t="shared" si="266"/>
        <v>0</v>
      </c>
      <c r="BD139" s="12">
        <f t="shared" si="266"/>
        <v>131310</v>
      </c>
      <c r="BE139" s="12">
        <f t="shared" si="266"/>
        <v>162648</v>
      </c>
      <c r="BF139" s="12">
        <f t="shared" si="266"/>
        <v>225248</v>
      </c>
      <c r="BG139" s="12">
        <f t="shared" si="266"/>
        <v>321195</v>
      </c>
      <c r="BH139" s="12">
        <f t="shared" si="266"/>
        <v>420549</v>
      </c>
      <c r="BI139" s="12">
        <f t="shared" si="266"/>
        <v>462675</v>
      </c>
    </row>
    <row r="140" spans="1:66" x14ac:dyDescent="0.35">
      <c r="AU140"/>
      <c r="AV140"/>
      <c r="AW140"/>
      <c r="AX140"/>
    </row>
    <row r="141" spans="1:66" s="10" customFormat="1" x14ac:dyDescent="0.35">
      <c r="B141" s="59" t="s">
        <v>99</v>
      </c>
      <c r="C141" s="78"/>
      <c r="D141" s="78"/>
      <c r="E141" s="78"/>
      <c r="F141" s="78"/>
      <c r="G141" s="78"/>
      <c r="H141" s="78"/>
      <c r="I141" s="78"/>
      <c r="J141" s="78"/>
      <c r="K141" s="28">
        <f t="shared" ref="K141:AN141" si="267">K112/K124</f>
        <v>1.082520310781566</v>
      </c>
      <c r="L141" s="10">
        <f t="shared" si="267"/>
        <v>1.0889917869334504</v>
      </c>
      <c r="M141" s="10">
        <f t="shared" si="267"/>
        <v>1.0630186876828467</v>
      </c>
      <c r="N141" s="10">
        <f t="shared" si="267"/>
        <v>1.0448466313675371</v>
      </c>
      <c r="O141" s="28">
        <f t="shared" si="267"/>
        <v>1.0551084253589669</v>
      </c>
      <c r="P141" s="10">
        <f t="shared" si="267"/>
        <v>1.0120187561697926</v>
      </c>
      <c r="Q141" s="10">
        <f t="shared" si="267"/>
        <v>1.0319935418082937</v>
      </c>
      <c r="R141" s="10">
        <f t="shared" si="267"/>
        <v>1.039977195376881</v>
      </c>
      <c r="S141" s="28">
        <f t="shared" si="267"/>
        <v>1.0579456759288168</v>
      </c>
      <c r="T141" s="10">
        <f t="shared" si="267"/>
        <v>1.0724395189071081</v>
      </c>
      <c r="U141" s="10">
        <f t="shared" si="267"/>
        <v>1.0824416166582316</v>
      </c>
      <c r="V141" s="10">
        <f t="shared" si="267"/>
        <v>1.0981123247210891</v>
      </c>
      <c r="W141" s="28">
        <f t="shared" si="267"/>
        <v>1.0900541643771096</v>
      </c>
      <c r="X141" s="10">
        <f t="shared" si="267"/>
        <v>1.1020695197910388</v>
      </c>
      <c r="Y141" s="10">
        <f t="shared" si="267"/>
        <v>1.095902184762116</v>
      </c>
      <c r="Z141" s="10">
        <f t="shared" si="267"/>
        <v>1.0970482394205803</v>
      </c>
      <c r="AA141" s="28">
        <f t="shared" si="267"/>
        <v>1.0787093374816525</v>
      </c>
      <c r="AB141" s="10">
        <f t="shared" si="267"/>
        <v>1.181179176961745</v>
      </c>
      <c r="AC141" s="10">
        <f t="shared" si="267"/>
        <v>1.1084955648010049</v>
      </c>
      <c r="AD141" s="10">
        <f t="shared" si="267"/>
        <v>1.0502274795268425</v>
      </c>
      <c r="AE141" s="28">
        <f t="shared" si="267"/>
        <v>1.0520259263110463</v>
      </c>
      <c r="AF141" s="10">
        <f t="shared" si="267"/>
        <v>1.19573485465906</v>
      </c>
      <c r="AG141" s="10">
        <f t="shared" si="267"/>
        <v>1.117239543848896</v>
      </c>
      <c r="AH141" s="10">
        <f t="shared" si="267"/>
        <v>1.1357597739445826</v>
      </c>
      <c r="AI141" s="28">
        <f t="shared" si="267"/>
        <v>0.95962955529432004</v>
      </c>
      <c r="AJ141" s="10">
        <f t="shared" si="267"/>
        <v>0.9527838564127421</v>
      </c>
      <c r="AK141" s="10">
        <f t="shared" si="267"/>
        <v>0.93659297678163045</v>
      </c>
      <c r="AL141" s="10">
        <f t="shared" si="267"/>
        <v>0.9446435811136924</v>
      </c>
      <c r="AM141" s="28"/>
      <c r="AN141" s="10">
        <f t="shared" si="267"/>
        <v>0.94767873284852733</v>
      </c>
      <c r="AO141" s="78"/>
      <c r="AP141" s="78"/>
      <c r="AQ141" s="78"/>
      <c r="AR141" s="78"/>
      <c r="AS141" s="78"/>
      <c r="AT141" s="78"/>
      <c r="AU141" s="10" t="e">
        <f t="shared" ref="AU141" si="268">AU112/AU124</f>
        <v>#DIV/0!</v>
      </c>
      <c r="AV141" s="10" t="e">
        <f t="shared" ref="AV141" si="269">AV112/AV124</f>
        <v>#DIV/0!</v>
      </c>
      <c r="AW141" s="10" t="e">
        <f t="shared" ref="AW141" si="270">AW112/AW124</f>
        <v>#DIV/0!</v>
      </c>
      <c r="AX141" s="10" t="e">
        <f t="shared" ref="AX141:AY141" si="271">AX112/AX124</f>
        <v>#DIV/0!</v>
      </c>
      <c r="AY141" s="10" t="e">
        <f t="shared" si="271"/>
        <v>#DIV/0!</v>
      </c>
      <c r="AZ141" s="10" t="e">
        <f t="shared" ref="AZ141:BA141" si="272">AZ112/AZ124</f>
        <v>#DIV/0!</v>
      </c>
      <c r="BA141" s="10" t="e">
        <f t="shared" si="272"/>
        <v>#DIV/0!</v>
      </c>
      <c r="BB141" s="10" t="e">
        <f t="shared" ref="BB141:BI141" si="273">BB112/BB124</f>
        <v>#DIV/0!</v>
      </c>
      <c r="BC141" s="10" t="e">
        <f t="shared" si="273"/>
        <v>#DIV/0!</v>
      </c>
      <c r="BD141" s="10">
        <f t="shared" si="273"/>
        <v>1.039977195376881</v>
      </c>
      <c r="BE141" s="10">
        <f t="shared" si="273"/>
        <v>1.0981123247210891</v>
      </c>
      <c r="BF141" s="10">
        <f t="shared" si="273"/>
        <v>1.0970482394205803</v>
      </c>
      <c r="BG141" s="10">
        <f t="shared" si="273"/>
        <v>1.0502274795268425</v>
      </c>
      <c r="BH141" s="10">
        <f t="shared" si="273"/>
        <v>1.1357597739445826</v>
      </c>
      <c r="BI141" s="10">
        <f t="shared" si="273"/>
        <v>0.9446435811136924</v>
      </c>
    </row>
    <row r="142" spans="1:66" s="6" customFormat="1" x14ac:dyDescent="0.35">
      <c r="A142" s="21"/>
      <c r="B142" s="22" t="s">
        <v>100</v>
      </c>
      <c r="C142" s="69"/>
      <c r="D142" s="69"/>
      <c r="E142" s="69"/>
      <c r="F142" s="69"/>
      <c r="G142" s="69"/>
      <c r="H142" s="69"/>
      <c r="I142" s="69"/>
      <c r="J142" s="69"/>
      <c r="K142" s="29"/>
      <c r="O142" s="29"/>
      <c r="S142" s="29"/>
      <c r="W142" s="29"/>
      <c r="AA142" s="29"/>
      <c r="AE142" s="29"/>
      <c r="AI142" s="29"/>
      <c r="AM142" s="29"/>
      <c r="AN142" s="80"/>
      <c r="AO142" s="80"/>
      <c r="AP142" s="80"/>
      <c r="AQ142" s="80"/>
      <c r="AR142" s="80"/>
      <c r="AS142" s="80"/>
      <c r="AT142" s="80"/>
      <c r="AU142" s="80"/>
      <c r="AV142" s="80"/>
      <c r="AW142" s="80"/>
      <c r="AX142" s="80"/>
    </row>
    <row r="143" spans="1:66" s="7" customFormat="1" x14ac:dyDescent="0.35">
      <c r="B143" s="14" t="s">
        <v>101</v>
      </c>
      <c r="C143" s="71"/>
      <c r="D143" s="71"/>
      <c r="E143" s="71"/>
      <c r="F143" s="71"/>
      <c r="G143" s="71"/>
      <c r="H143" s="71"/>
      <c r="I143" s="71"/>
      <c r="J143" s="71"/>
      <c r="K143" s="23">
        <v>-1953</v>
      </c>
      <c r="L143" s="7">
        <v>3578</v>
      </c>
      <c r="M143" s="7">
        <v>4659</v>
      </c>
      <c r="N143" s="7">
        <f>BC143-M143-L143-K143</f>
        <v>10919</v>
      </c>
      <c r="O143" s="23">
        <v>-1590</v>
      </c>
      <c r="P143" s="7">
        <v>3829</v>
      </c>
      <c r="Q143" s="7">
        <v>3851</v>
      </c>
      <c r="R143" s="7">
        <f>BD143-Q143-P143-O143</f>
        <v>12275</v>
      </c>
      <c r="S143" s="23">
        <v>-1791</v>
      </c>
      <c r="T143" s="7">
        <v>7449</v>
      </c>
      <c r="U143" s="7">
        <v>8588</v>
      </c>
      <c r="V143" s="7">
        <f>BE143-U143-T143-S143</f>
        <v>16477</v>
      </c>
      <c r="W143" s="23">
        <v>1846</v>
      </c>
      <c r="X143" s="7">
        <v>9118</v>
      </c>
      <c r="Y143" s="7">
        <v>7892</v>
      </c>
      <c r="Z143" s="7">
        <f>BF143-Y143-X143-W143</f>
        <v>19658</v>
      </c>
      <c r="AA143" s="23">
        <v>3064</v>
      </c>
      <c r="AB143" s="7">
        <v>20606</v>
      </c>
      <c r="AC143" s="7">
        <v>11964</v>
      </c>
      <c r="AD143" s="7">
        <f>BG143-AC143-AB143-AA143</f>
        <v>30430</v>
      </c>
      <c r="AE143" s="23">
        <v>4213</v>
      </c>
      <c r="AF143" s="7">
        <v>12715</v>
      </c>
      <c r="AG143" s="7">
        <v>7313</v>
      </c>
      <c r="AH143" s="7">
        <f>BH143-AG143-AF143-AE143</f>
        <v>22086</v>
      </c>
      <c r="AI143" s="23">
        <v>-2790</v>
      </c>
      <c r="AJ143" s="7">
        <v>8965</v>
      </c>
      <c r="AK143" s="7">
        <v>11404</v>
      </c>
      <c r="AL143" s="7">
        <f>BI143-AK143-AJ143-AI143</f>
        <v>29173</v>
      </c>
      <c r="AM143" s="23">
        <v>4788</v>
      </c>
      <c r="AN143" s="71">
        <v>16476</v>
      </c>
      <c r="AO143" s="71"/>
      <c r="AP143" s="71"/>
      <c r="AQ143" s="71"/>
      <c r="AR143" s="71"/>
      <c r="AS143" s="71"/>
      <c r="AT143" s="71"/>
      <c r="AU143" s="71"/>
      <c r="AV143" s="71"/>
      <c r="AW143" s="71"/>
      <c r="AX143" s="71"/>
      <c r="BB143" s="7">
        <v>12039</v>
      </c>
      <c r="BC143" s="7">
        <v>17203</v>
      </c>
      <c r="BD143" s="7">
        <v>18365</v>
      </c>
      <c r="BE143" s="7">
        <v>30723</v>
      </c>
      <c r="BF143" s="7">
        <v>38514</v>
      </c>
      <c r="BG143" s="7">
        <v>66064</v>
      </c>
      <c r="BH143" s="7">
        <v>46327</v>
      </c>
      <c r="BI143" s="7">
        <v>46752</v>
      </c>
    </row>
    <row r="144" spans="1:66" s="13" customFormat="1" x14ac:dyDescent="0.35">
      <c r="B144" s="15" t="s">
        <v>102</v>
      </c>
      <c r="K144" s="24">
        <v>-1179</v>
      </c>
      <c r="L144" s="13">
        <v>-1711</v>
      </c>
      <c r="M144" s="13">
        <v>-1841</v>
      </c>
      <c r="N144" s="13">
        <f>BC144-M144-L144-K144</f>
        <v>-3073</v>
      </c>
      <c r="O144" s="24">
        <v>-1861</v>
      </c>
      <c r="P144" s="13">
        <v>-2501</v>
      </c>
      <c r="Q144" s="13">
        <v>-2659</v>
      </c>
      <c r="R144" s="13">
        <f>BD144-Q144-P144-O144</f>
        <v>-4934</v>
      </c>
      <c r="S144" s="24">
        <v>-3098</v>
      </c>
      <c r="T144" s="13">
        <v>-3243</v>
      </c>
      <c r="U144" s="13">
        <v>-3352</v>
      </c>
      <c r="V144" s="13">
        <f>BE144-U144-T144-S144</f>
        <v>-3734</v>
      </c>
      <c r="W144" s="24">
        <v>-3290</v>
      </c>
      <c r="X144" s="13">
        <v>-3562</v>
      </c>
      <c r="Y144" s="13">
        <v>-4697</v>
      </c>
      <c r="Z144" s="13">
        <f>BF144-Y144-X144-W144</f>
        <v>-1140</v>
      </c>
      <c r="AA144" s="24">
        <v>-6795</v>
      </c>
      <c r="AB144" s="13">
        <v>-7459</v>
      </c>
      <c r="AC144" s="13">
        <v>-11063</v>
      </c>
      <c r="AD144" s="13">
        <f>BG144-AC144-AB144-AA144</f>
        <v>-14823</v>
      </c>
      <c r="AE144" s="24">
        <v>-12082</v>
      </c>
      <c r="AF144" s="13">
        <v>-14288</v>
      </c>
      <c r="AG144" s="13">
        <v>-15748</v>
      </c>
      <c r="AH144" s="13">
        <f>BH144-AG144-AF144-AE144</f>
        <v>-18935</v>
      </c>
      <c r="AI144" s="24">
        <v>-14951</v>
      </c>
      <c r="AJ144" s="13">
        <v>-15724</v>
      </c>
      <c r="AK144" s="13">
        <v>-16378</v>
      </c>
      <c r="AL144" s="13">
        <f>BI144-AK144-AJ144-AI144</f>
        <v>-16592</v>
      </c>
      <c r="AM144" s="24">
        <v>-14207</v>
      </c>
      <c r="AN144" s="13">
        <v>-11455</v>
      </c>
      <c r="BB144" s="13">
        <v>-4589</v>
      </c>
      <c r="BC144" s="13">
        <v>-7804</v>
      </c>
      <c r="BD144" s="13">
        <v>-11955</v>
      </c>
      <c r="BE144" s="13">
        <v>-13427</v>
      </c>
      <c r="BF144" s="13">
        <v>-12689</v>
      </c>
      <c r="BG144" s="13">
        <v>-40140</v>
      </c>
      <c r="BH144" s="13">
        <v>-61053</v>
      </c>
      <c r="BI144" s="13">
        <v>-63645</v>
      </c>
    </row>
    <row r="145" spans="2:66" s="7" customFormat="1" x14ac:dyDescent="0.35">
      <c r="B145" s="14" t="s">
        <v>103</v>
      </c>
      <c r="C145" s="71"/>
      <c r="D145" s="71"/>
      <c r="E145" s="71"/>
      <c r="F145" s="71"/>
      <c r="G145" s="71"/>
      <c r="H145" s="71"/>
      <c r="I145" s="71"/>
      <c r="J145" s="71"/>
      <c r="K145" s="23">
        <f>SUM(K143:K144)</f>
        <v>-3132</v>
      </c>
      <c r="L145" s="7">
        <f>SUM(L143:L144)</f>
        <v>1867</v>
      </c>
      <c r="M145" s="7">
        <f>SUM(M143:M144)</f>
        <v>2818</v>
      </c>
      <c r="N145" s="7">
        <f>SUM(N143:N144)</f>
        <v>7846</v>
      </c>
      <c r="O145" s="23">
        <f>SUM(O143:O144)</f>
        <v>-3451</v>
      </c>
      <c r="P145" s="7">
        <f>SUM(P143:P144)</f>
        <v>1328</v>
      </c>
      <c r="Q145" s="7">
        <f>SUM(Q143:Q144)</f>
        <v>1192</v>
      </c>
      <c r="R145" s="7">
        <f>SUM(R143:R144)</f>
        <v>7341</v>
      </c>
      <c r="S145" s="23">
        <f>SUM(S143:S144)</f>
        <v>-4889</v>
      </c>
      <c r="T145" s="7">
        <f>SUM(T143:T144)</f>
        <v>4206</v>
      </c>
      <c r="U145" s="7">
        <f>SUM(U143:U144)</f>
        <v>5236</v>
      </c>
      <c r="V145" s="7">
        <f>SUM(V143:V144)</f>
        <v>12743</v>
      </c>
      <c r="W145" s="23">
        <f>SUM(W143:W144)</f>
        <v>-1444</v>
      </c>
      <c r="X145" s="7">
        <f>SUM(X143:X144)</f>
        <v>5556</v>
      </c>
      <c r="Y145" s="7">
        <f>SUM(Y143:Y144)</f>
        <v>3195</v>
      </c>
      <c r="Z145" s="7">
        <f>SUM(Z143:Z144)</f>
        <v>18518</v>
      </c>
      <c r="AA145" s="23">
        <f>SUM(AA143:AA144)</f>
        <v>-3731</v>
      </c>
      <c r="AB145" s="7">
        <f>SUM(AB143:AB144)</f>
        <v>13147</v>
      </c>
      <c r="AC145" s="7">
        <f>SUM(AC143:AC144)</f>
        <v>901</v>
      </c>
      <c r="AD145" s="7">
        <f>SUM(AD143:AD144)</f>
        <v>15607</v>
      </c>
      <c r="AE145" s="23">
        <f>SUM(AE143:AE144)</f>
        <v>-7869</v>
      </c>
      <c r="AF145" s="7">
        <f>SUM(AF143:AF144)</f>
        <v>-1573</v>
      </c>
      <c r="AG145" s="7">
        <f>SUM(AG143:AG144)</f>
        <v>-8435</v>
      </c>
      <c r="AH145" s="7">
        <f>SUM(AH143:AH144)</f>
        <v>3151</v>
      </c>
      <c r="AI145" s="23">
        <f>SUM(AI143:AI144)</f>
        <v>-17741</v>
      </c>
      <c r="AJ145" s="7">
        <f>SUM(AJ143:AJ144)</f>
        <v>-6759</v>
      </c>
      <c r="AK145" s="7">
        <f>SUM(AK143:AK144)</f>
        <v>-4974</v>
      </c>
      <c r="AL145" s="7">
        <f>SUM(AL143:AL144)</f>
        <v>12581</v>
      </c>
      <c r="AM145" s="23">
        <f>SUM(AM143:AM144)</f>
        <v>-9419</v>
      </c>
      <c r="AN145" s="7">
        <f>SUM(AN143:AN144)</f>
        <v>5021</v>
      </c>
      <c r="AO145" s="71"/>
      <c r="AP145" s="71"/>
      <c r="AQ145" s="71"/>
      <c r="AR145" s="71"/>
      <c r="AS145" s="71"/>
      <c r="AT145" s="71"/>
      <c r="AU145" s="7">
        <f t="shared" ref="AU145:AX145" si="274">SUM(AU143:AU144)</f>
        <v>0</v>
      </c>
      <c r="AV145" s="7">
        <f t="shared" si="274"/>
        <v>0</v>
      </c>
      <c r="AW145" s="7">
        <f t="shared" si="274"/>
        <v>0</v>
      </c>
      <c r="AX145" s="7">
        <f t="shared" si="274"/>
        <v>0</v>
      </c>
      <c r="AY145" s="7">
        <f t="shared" ref="AY145" si="275">SUM(AY143:AY144)</f>
        <v>0</v>
      </c>
      <c r="AZ145" s="7">
        <f t="shared" ref="AZ145" si="276">SUM(AZ143:AZ144)</f>
        <v>0</v>
      </c>
      <c r="BA145" s="7">
        <f t="shared" ref="BA145" si="277">SUM(BA143:BA144)</f>
        <v>0</v>
      </c>
      <c r="BB145" s="7">
        <f t="shared" ref="BB145:BI145" si="278">SUM(BB143:BB144)</f>
        <v>7450</v>
      </c>
      <c r="BC145" s="7">
        <f t="shared" si="278"/>
        <v>9399</v>
      </c>
      <c r="BD145" s="7">
        <f t="shared" si="278"/>
        <v>6410</v>
      </c>
      <c r="BE145" s="7">
        <f t="shared" si="278"/>
        <v>17296</v>
      </c>
      <c r="BF145" s="7">
        <f t="shared" si="278"/>
        <v>25825</v>
      </c>
      <c r="BG145" s="7">
        <f t="shared" si="278"/>
        <v>25924</v>
      </c>
      <c r="BH145" s="7">
        <f t="shared" si="278"/>
        <v>-14726</v>
      </c>
      <c r="BI145" s="7">
        <f t="shared" si="278"/>
        <v>-16893</v>
      </c>
      <c r="BJ145" s="7">
        <f t="shared" ref="BJ145" si="279">SUM(BJ143:BJ144)</f>
        <v>0</v>
      </c>
      <c r="BK145" s="7">
        <f t="shared" ref="BK145" si="280">SUM(BK143:BK144)</f>
        <v>0</v>
      </c>
      <c r="BL145" s="7">
        <f t="shared" ref="BL145" si="281">SUM(BL143:BL144)</f>
        <v>0</v>
      </c>
      <c r="BM145" s="7">
        <f t="shared" ref="BM145" si="282">SUM(BM143:BM144)</f>
        <v>0</v>
      </c>
      <c r="BN145" s="7">
        <f t="shared" ref="BN145" si="283">SUM(BN143:BN144)</f>
        <v>0</v>
      </c>
    </row>
    <row r="146" spans="2:66" s="7" customFormat="1" x14ac:dyDescent="0.35">
      <c r="B146" s="14"/>
      <c r="C146" s="71"/>
      <c r="D146" s="71"/>
      <c r="E146" s="71"/>
      <c r="F146" s="71"/>
      <c r="G146" s="71"/>
      <c r="H146" s="71"/>
      <c r="I146" s="71"/>
      <c r="J146" s="71"/>
      <c r="K146" s="23"/>
      <c r="O146" s="23"/>
      <c r="S146" s="23"/>
      <c r="W146" s="23"/>
      <c r="AA146" s="23"/>
      <c r="AE146" s="23"/>
      <c r="AI146" s="23"/>
      <c r="AM146" s="23"/>
      <c r="AN146" s="71"/>
      <c r="AO146" s="71"/>
      <c r="AP146" s="71"/>
      <c r="AQ146" s="71"/>
      <c r="AR146" s="71"/>
      <c r="AS146" s="71"/>
      <c r="AT146" s="71"/>
      <c r="AU146" s="71"/>
      <c r="AV146" s="71"/>
      <c r="AW146" s="71"/>
      <c r="AX146" s="71"/>
    </row>
    <row r="147" spans="2:66" s="7" customFormat="1" x14ac:dyDescent="0.35">
      <c r="B147" s="14" t="s">
        <v>1883</v>
      </c>
      <c r="C147" s="71"/>
      <c r="D147" s="71"/>
      <c r="E147" s="71"/>
      <c r="F147" s="71"/>
      <c r="G147" s="71"/>
      <c r="H147" s="71"/>
      <c r="I147" s="71"/>
      <c r="J147" s="71"/>
      <c r="K147" s="23">
        <v>0</v>
      </c>
      <c r="L147" s="7">
        <v>0</v>
      </c>
      <c r="M147" s="7">
        <v>0</v>
      </c>
      <c r="N147" s="7">
        <f>BC147-M147-L147-K147</f>
        <v>0</v>
      </c>
      <c r="O147" s="23">
        <v>0</v>
      </c>
      <c r="P147" s="7">
        <v>0</v>
      </c>
      <c r="Q147" s="7">
        <v>0</v>
      </c>
      <c r="R147" s="7">
        <f>BD147-Q147-P147-O147</f>
        <v>0</v>
      </c>
      <c r="S147" s="23">
        <v>0</v>
      </c>
      <c r="T147" s="7">
        <v>0</v>
      </c>
      <c r="U147" s="7">
        <v>0</v>
      </c>
      <c r="V147" s="7">
        <f>BE147-U147-T147-S147</f>
        <v>0</v>
      </c>
      <c r="W147" s="23">
        <v>0</v>
      </c>
      <c r="X147" s="7">
        <v>0</v>
      </c>
      <c r="Y147" s="7">
        <v>0</v>
      </c>
      <c r="Z147" s="7">
        <f>BF147-Y147-X147-W147</f>
        <v>0</v>
      </c>
      <c r="AA147" s="23">
        <v>0</v>
      </c>
      <c r="AB147" s="7">
        <v>0</v>
      </c>
      <c r="AC147" s="7">
        <v>0</v>
      </c>
      <c r="AD147" s="7">
        <f>BG147-AC147-AB147-AA147</f>
        <v>0</v>
      </c>
      <c r="AE147" s="23">
        <v>0</v>
      </c>
      <c r="AF147" s="7">
        <v>0</v>
      </c>
      <c r="AG147" s="7">
        <v>0</v>
      </c>
      <c r="AH147" s="7">
        <f>BH147-AG147-AF147-AE147</f>
        <v>0</v>
      </c>
      <c r="AI147" s="23">
        <v>0</v>
      </c>
      <c r="AJ147" s="7">
        <v>0</v>
      </c>
      <c r="AK147" s="7">
        <v>0</v>
      </c>
      <c r="AL147" s="7">
        <f>BI147-AK147-AJ147-AI147</f>
        <v>0</v>
      </c>
      <c r="AM147" s="23">
        <v>0</v>
      </c>
      <c r="AN147" s="71">
        <v>0</v>
      </c>
      <c r="AO147" s="71"/>
      <c r="AP147" s="71"/>
      <c r="AQ147" s="71"/>
      <c r="AR147" s="71"/>
      <c r="AS147" s="71"/>
      <c r="AT147" s="71"/>
      <c r="AU147" s="71"/>
      <c r="AV147" s="71"/>
      <c r="AW147" s="71"/>
      <c r="AX147" s="71"/>
      <c r="BC147" s="7">
        <v>0</v>
      </c>
      <c r="BD147" s="7">
        <v>0</v>
      </c>
      <c r="BE147" s="7">
        <v>0</v>
      </c>
      <c r="BF147" s="7">
        <v>0</v>
      </c>
      <c r="BG147" s="7">
        <v>0</v>
      </c>
      <c r="BH147" s="7">
        <v>0</v>
      </c>
      <c r="BI147" s="7">
        <v>0</v>
      </c>
    </row>
    <row r="148" spans="2:66" s="7" customFormat="1" x14ac:dyDescent="0.35">
      <c r="B148" s="14" t="s">
        <v>1884</v>
      </c>
      <c r="C148" s="71"/>
      <c r="D148" s="71"/>
      <c r="E148" s="71"/>
      <c r="F148" s="71"/>
      <c r="G148" s="71"/>
      <c r="H148" s="71"/>
      <c r="I148" s="71"/>
      <c r="J148" s="71"/>
      <c r="K148" s="23">
        <v>544</v>
      </c>
      <c r="L148" s="7">
        <v>768</v>
      </c>
      <c r="M148" s="7">
        <v>776</v>
      </c>
      <c r="N148" s="7">
        <f>BC148-M148-L148-K148</f>
        <v>887</v>
      </c>
      <c r="O148" s="23">
        <v>792</v>
      </c>
      <c r="P148" s="7">
        <v>1158</v>
      </c>
      <c r="Q148" s="7">
        <v>1085</v>
      </c>
      <c r="R148" s="7">
        <f>BD148-Q148-P148-O148</f>
        <v>1180</v>
      </c>
      <c r="S148" s="23">
        <v>1182</v>
      </c>
      <c r="T148" s="7">
        <v>1468</v>
      </c>
      <c r="U148" s="7">
        <v>1350</v>
      </c>
      <c r="V148" s="7">
        <f>BE148-U148-T148-S148</f>
        <v>1418</v>
      </c>
      <c r="W148" s="23">
        <v>1274</v>
      </c>
      <c r="X148" s="7">
        <v>1971</v>
      </c>
      <c r="Y148" s="7">
        <v>1779</v>
      </c>
      <c r="Z148" s="7">
        <f>BF148-Y148-X148-W148</f>
        <v>1840</v>
      </c>
      <c r="AA148" s="23">
        <v>1757</v>
      </c>
      <c r="AB148" s="7">
        <v>2601</v>
      </c>
      <c r="AC148" s="7">
        <v>2288</v>
      </c>
      <c r="AD148" s="7">
        <f>BG148-AC148-AB148-AA148</f>
        <v>2562</v>
      </c>
      <c r="AE148" s="23">
        <v>2306</v>
      </c>
      <c r="AF148" s="7">
        <v>3591</v>
      </c>
      <c r="AG148" s="7">
        <v>3180</v>
      </c>
      <c r="AH148" s="7">
        <f>BH148-AG148-AF148-AE148</f>
        <v>3680</v>
      </c>
      <c r="AI148" s="23">
        <v>3250</v>
      </c>
      <c r="AJ148" s="7">
        <v>5209</v>
      </c>
      <c r="AK148" s="7">
        <v>5556</v>
      </c>
      <c r="AL148" s="7">
        <f>BI148-AK148-AJ148-AI148</f>
        <v>5606</v>
      </c>
      <c r="AM148" s="23">
        <v>4748</v>
      </c>
      <c r="AN148" s="71">
        <v>7127</v>
      </c>
      <c r="AO148" s="71"/>
      <c r="AP148" s="71"/>
      <c r="AQ148" s="71"/>
      <c r="AR148" s="71"/>
      <c r="AS148" s="71"/>
      <c r="AT148" s="71"/>
      <c r="AU148" s="71"/>
      <c r="AV148" s="71"/>
      <c r="AW148" s="71"/>
      <c r="AX148" s="71"/>
      <c r="BC148" s="7">
        <v>2975</v>
      </c>
      <c r="BD148" s="7">
        <v>4215</v>
      </c>
      <c r="BE148" s="7">
        <v>5418</v>
      </c>
      <c r="BF148" s="7">
        <v>6864</v>
      </c>
      <c r="BG148" s="7">
        <v>9208</v>
      </c>
      <c r="BH148" s="7">
        <v>12757</v>
      </c>
      <c r="BI148" s="7">
        <v>19621</v>
      </c>
    </row>
    <row r="149" spans="2:66" s="7" customFormat="1" x14ac:dyDescent="0.35">
      <c r="B149" s="14" t="s">
        <v>1885</v>
      </c>
      <c r="C149" s="71"/>
      <c r="D149" s="71"/>
      <c r="E149" s="71"/>
      <c r="F149" s="71"/>
      <c r="G149" s="71"/>
      <c r="H149" s="71"/>
      <c r="I149" s="71"/>
      <c r="J149" s="71"/>
      <c r="K149" s="23">
        <v>0</v>
      </c>
      <c r="L149" s="7">
        <v>0</v>
      </c>
      <c r="M149" s="7">
        <v>0</v>
      </c>
      <c r="N149" s="7">
        <f>BC149-M149-L149-K149</f>
        <v>0</v>
      </c>
      <c r="O149" s="23">
        <v>0</v>
      </c>
      <c r="P149" s="7">
        <v>0</v>
      </c>
      <c r="Q149" s="7">
        <v>0</v>
      </c>
      <c r="R149" s="7">
        <f>BD149-Q149-P149-O149</f>
        <v>0</v>
      </c>
      <c r="S149" s="23">
        <v>0</v>
      </c>
      <c r="T149" s="7">
        <v>0</v>
      </c>
      <c r="U149" s="7">
        <v>0</v>
      </c>
      <c r="V149" s="7">
        <f>BE149-U149-T149-S149</f>
        <v>0</v>
      </c>
      <c r="W149" s="23">
        <v>0</v>
      </c>
      <c r="X149" s="7">
        <v>0</v>
      </c>
      <c r="Y149" s="7">
        <v>0</v>
      </c>
      <c r="Z149" s="7">
        <f>BF149-Y149-X149-W149</f>
        <v>0</v>
      </c>
      <c r="AA149" s="23">
        <v>0</v>
      </c>
      <c r="AB149" s="7">
        <v>0</v>
      </c>
      <c r="AC149" s="7">
        <v>0</v>
      </c>
      <c r="AD149" s="7">
        <f>BG149-AC149-AB149-AA149</f>
        <v>0</v>
      </c>
      <c r="AE149" s="23">
        <v>0</v>
      </c>
      <c r="AF149" s="7">
        <v>0</v>
      </c>
      <c r="AG149" s="7">
        <v>0</v>
      </c>
      <c r="AH149" s="7">
        <f>BH149-AG149-AF149-AE149</f>
        <v>0</v>
      </c>
      <c r="AI149" s="23">
        <v>-2666</v>
      </c>
      <c r="AJ149" s="7">
        <v>-3334</v>
      </c>
      <c r="AK149" s="7">
        <v>0</v>
      </c>
      <c r="AL149" s="7">
        <v>0</v>
      </c>
      <c r="AM149" s="23">
        <v>0</v>
      </c>
      <c r="AN149" s="90">
        <v>0</v>
      </c>
      <c r="AO149" s="71"/>
      <c r="AP149" s="71"/>
      <c r="AQ149" s="71"/>
      <c r="AR149" s="71"/>
      <c r="AS149" s="71"/>
      <c r="AT149" s="71"/>
      <c r="AU149" s="71"/>
      <c r="AV149" s="71"/>
      <c r="AW149" s="71"/>
      <c r="AX149" s="71"/>
      <c r="BC149" s="7">
        <v>0</v>
      </c>
      <c r="BD149" s="7">
        <v>0</v>
      </c>
      <c r="BE149" s="7">
        <v>0</v>
      </c>
      <c r="BF149" s="7">
        <v>0</v>
      </c>
      <c r="BG149" s="7">
        <v>0</v>
      </c>
      <c r="BH149" s="7">
        <v>0</v>
      </c>
      <c r="BI149" s="7">
        <v>0</v>
      </c>
    </row>
    <row r="150" spans="2:66" s="7" customFormat="1" x14ac:dyDescent="0.35">
      <c r="B150" s="14" t="s">
        <v>1886</v>
      </c>
      <c r="C150" s="71"/>
      <c r="D150" s="71"/>
      <c r="E150" s="71"/>
      <c r="F150" s="71"/>
      <c r="G150" s="71"/>
      <c r="H150" s="71"/>
      <c r="I150" s="71"/>
      <c r="J150" s="71"/>
      <c r="K150" s="23">
        <v>0</v>
      </c>
      <c r="L150" s="7">
        <v>0</v>
      </c>
      <c r="M150" s="7">
        <v>0</v>
      </c>
      <c r="N150" s="7">
        <f>BC150-M150-L150-K150</f>
        <v>0</v>
      </c>
      <c r="O150" s="23">
        <v>0</v>
      </c>
      <c r="P150" s="7">
        <v>0</v>
      </c>
      <c r="Q150" s="7">
        <v>0</v>
      </c>
      <c r="R150" s="7">
        <f>BD150-Q150-P150-O150</f>
        <v>0</v>
      </c>
      <c r="S150" s="23">
        <v>0</v>
      </c>
      <c r="T150" s="7">
        <v>0</v>
      </c>
      <c r="U150" s="7">
        <v>0</v>
      </c>
      <c r="V150" s="7">
        <f>BE150-U150-T150-S150</f>
        <v>0</v>
      </c>
      <c r="W150" s="23">
        <v>0</v>
      </c>
      <c r="X150" s="7">
        <v>0</v>
      </c>
      <c r="Y150" s="7">
        <v>0</v>
      </c>
      <c r="Z150" s="7">
        <f>BF150-Y150-X150-W150</f>
        <v>0</v>
      </c>
      <c r="AA150" s="23">
        <v>0</v>
      </c>
      <c r="AB150" s="7">
        <v>0</v>
      </c>
      <c r="AC150" s="7">
        <v>0</v>
      </c>
      <c r="AD150" s="7">
        <f>BG150-AC150-AB150-AA150</f>
        <v>0</v>
      </c>
      <c r="AE150" s="23">
        <v>0</v>
      </c>
      <c r="AF150" s="7">
        <v>0</v>
      </c>
      <c r="AG150" s="7">
        <v>0</v>
      </c>
      <c r="AH150" s="7">
        <f>BH150-AG150-AF150-AE150</f>
        <v>0</v>
      </c>
      <c r="AI150" s="23">
        <v>0</v>
      </c>
      <c r="AJ150" s="7">
        <v>0</v>
      </c>
      <c r="AK150" s="7">
        <v>0</v>
      </c>
      <c r="AL150" s="7">
        <f>BI150-AK150-AJ150-AI150</f>
        <v>0</v>
      </c>
      <c r="AM150" s="23">
        <v>0</v>
      </c>
      <c r="AN150" s="90">
        <v>0</v>
      </c>
      <c r="AO150" s="71"/>
      <c r="AP150" s="71"/>
      <c r="AQ150" s="71"/>
      <c r="AR150" s="71"/>
      <c r="AS150" s="71"/>
      <c r="AT150" s="71"/>
      <c r="AU150" s="71"/>
      <c r="AV150" s="71"/>
      <c r="AW150" s="71"/>
      <c r="AX150" s="71"/>
      <c r="BC150" s="7">
        <v>0</v>
      </c>
      <c r="BD150" s="7">
        <v>0</v>
      </c>
      <c r="BE150" s="7">
        <v>0</v>
      </c>
      <c r="BF150" s="7">
        <v>0</v>
      </c>
      <c r="BG150" s="7">
        <v>0</v>
      </c>
      <c r="BH150" s="7">
        <v>0</v>
      </c>
      <c r="BI150" s="7">
        <v>0</v>
      </c>
    </row>
    <row r="152" spans="2:66" s="57" customFormat="1" x14ac:dyDescent="0.35">
      <c r="B152" s="22" t="s">
        <v>1907</v>
      </c>
      <c r="C152" s="69"/>
      <c r="D152" s="69"/>
      <c r="E152" s="69"/>
      <c r="F152" s="69"/>
      <c r="G152" s="69"/>
      <c r="H152" s="69"/>
      <c r="I152" s="69"/>
      <c r="J152" s="69"/>
      <c r="K152" s="58"/>
      <c r="O152" s="58"/>
      <c r="S152" s="58"/>
      <c r="W152" s="58"/>
      <c r="AA152" s="58"/>
      <c r="AE152" s="58"/>
      <c r="AI152" s="58"/>
      <c r="AM152" s="58"/>
      <c r="AN152" s="69"/>
      <c r="AO152" s="69"/>
      <c r="AP152" s="69"/>
      <c r="AQ152" s="69"/>
      <c r="AR152" s="69"/>
      <c r="AS152" s="69"/>
      <c r="AT152" s="69"/>
      <c r="AU152" s="69"/>
      <c r="AV152" s="69"/>
      <c r="AW152" s="69"/>
      <c r="AX152" s="69"/>
    </row>
    <row r="153" spans="2:66" s="136" customFormat="1" x14ac:dyDescent="0.35">
      <c r="B153" s="133" t="s">
        <v>1908</v>
      </c>
      <c r="C153" s="134"/>
      <c r="D153" s="134"/>
      <c r="E153" s="134"/>
      <c r="F153" s="134"/>
      <c r="G153" s="134"/>
      <c r="H153" s="134"/>
      <c r="I153" s="134"/>
      <c r="J153" s="134"/>
      <c r="K153" s="135">
        <f>K7*K154</f>
        <v>267151.2</v>
      </c>
      <c r="L153" s="136">
        <f t="shared" ref="L153:AM153" si="284">L7*L154</f>
        <v>320329.2</v>
      </c>
      <c r="M153" s="136">
        <f t="shared" si="284"/>
        <v>363090</v>
      </c>
      <c r="N153" s="136">
        <f t="shared" si="284"/>
        <v>373777.2</v>
      </c>
      <c r="O153" s="135">
        <f t="shared" si="284"/>
        <v>397150.2</v>
      </c>
      <c r="P153" s="136">
        <f t="shared" si="284"/>
        <v>456966</v>
      </c>
      <c r="Q153" s="136">
        <f t="shared" si="284"/>
        <v>472534.39999999997</v>
      </c>
      <c r="R153" s="136">
        <f t="shared" si="284"/>
        <v>399648</v>
      </c>
      <c r="S153" s="135">
        <f t="shared" si="284"/>
        <v>692216.8</v>
      </c>
      <c r="T153" s="136">
        <f t="shared" si="284"/>
        <v>771476.4</v>
      </c>
      <c r="U153" s="136">
        <f t="shared" si="284"/>
        <v>942180.6</v>
      </c>
      <c r="V153" s="136">
        <f t="shared" si="284"/>
        <v>811049.79999999993</v>
      </c>
      <c r="W153" s="135">
        <f t="shared" si="284"/>
        <v>817220.4</v>
      </c>
      <c r="X153" s="136">
        <f t="shared" si="284"/>
        <v>918459</v>
      </c>
      <c r="Y153" s="136">
        <f t="shared" si="284"/>
        <v>918917.99999999988</v>
      </c>
      <c r="Z153" s="136">
        <f t="shared" si="284"/>
        <v>873886</v>
      </c>
      <c r="AA153" s="135">
        <f t="shared" si="284"/>
        <v>963928.8</v>
      </c>
      <c r="AB153" s="136">
        <f t="shared" si="284"/>
        <v>1205000</v>
      </c>
      <c r="AC153" s="136">
        <f t="shared" si="284"/>
        <v>1579753.2</v>
      </c>
      <c r="AD153" s="136">
        <f t="shared" si="284"/>
        <v>1595300</v>
      </c>
      <c r="AE153" s="135">
        <f t="shared" si="284"/>
        <v>1598486.4000000001</v>
      </c>
      <c r="AF153" s="136">
        <f t="shared" si="284"/>
        <v>1678209.33</v>
      </c>
      <c r="AG153" s="136">
        <f t="shared" si="284"/>
        <v>1750366.8</v>
      </c>
      <c r="AH153" s="136">
        <f t="shared" si="284"/>
        <v>1732746.4</v>
      </c>
      <c r="AI153" s="135">
        <f t="shared" si="284"/>
        <v>1571588.4</v>
      </c>
      <c r="AJ153" s="136">
        <f t="shared" si="284"/>
        <v>1276352</v>
      </c>
      <c r="AK153" s="136">
        <f t="shared" si="284"/>
        <v>1308007.9099999999</v>
      </c>
      <c r="AL153" s="136">
        <f t="shared" si="284"/>
        <v>1012224.3187964599</v>
      </c>
      <c r="AM153" s="135">
        <f t="shared" si="284"/>
        <v>989227.5</v>
      </c>
      <c r="AN153" s="136">
        <f>AN7*AN154</f>
        <v>1171770.05</v>
      </c>
      <c r="AO153" s="134"/>
      <c r="AP153" s="134"/>
      <c r="AQ153" s="134"/>
      <c r="AR153" s="134"/>
      <c r="AS153" s="134"/>
      <c r="AT153" s="134"/>
      <c r="AU153" s="136">
        <f>AU7*AU154</f>
        <v>0</v>
      </c>
      <c r="AV153" s="136">
        <f t="shared" ref="AV153:BH153" si="285">AV7*AV154</f>
        <v>0</v>
      </c>
      <c r="AW153" s="136">
        <f t="shared" si="285"/>
        <v>0</v>
      </c>
      <c r="AX153" s="136">
        <f t="shared" si="285"/>
        <v>0</v>
      </c>
      <c r="AY153" s="136">
        <f t="shared" si="285"/>
        <v>0</v>
      </c>
      <c r="AZ153" s="136">
        <f t="shared" si="285"/>
        <v>0</v>
      </c>
      <c r="BA153" s="136">
        <f t="shared" si="285"/>
        <v>0</v>
      </c>
      <c r="BB153" s="136">
        <f t="shared" si="285"/>
        <v>0</v>
      </c>
      <c r="BC153" s="136">
        <f t="shared" si="285"/>
        <v>331610.39999999997</v>
      </c>
      <c r="BD153" s="136">
        <f t="shared" si="285"/>
        <v>464735.99999999994</v>
      </c>
      <c r="BE153" s="136">
        <f t="shared" si="285"/>
        <v>799751.4</v>
      </c>
      <c r="BF153" s="136">
        <f t="shared" si="285"/>
        <v>883766</v>
      </c>
      <c r="BG153" s="136">
        <f t="shared" si="285"/>
        <v>1339969.6500000001</v>
      </c>
      <c r="BH153" s="136">
        <f t="shared" si="285"/>
        <v>1691562.4</v>
      </c>
      <c r="BI153" s="136">
        <f>BI7*BI154</f>
        <v>1284832.8999999999</v>
      </c>
    </row>
    <row r="154" spans="2:66" x14ac:dyDescent="0.35">
      <c r="B154" s="5" t="s">
        <v>1</v>
      </c>
      <c r="K154" s="23">
        <f>K102</f>
        <v>9420</v>
      </c>
      <c r="L154" s="7">
        <f t="shared" ref="L154:AM154" si="286">L102</f>
        <v>9480</v>
      </c>
      <c r="M154" s="7">
        <f t="shared" si="286"/>
        <v>9500</v>
      </c>
      <c r="N154" s="7">
        <f t="shared" si="286"/>
        <v>9540</v>
      </c>
      <c r="O154" s="23">
        <f t="shared" si="286"/>
        <v>9540</v>
      </c>
      <c r="P154" s="7">
        <f t="shared" si="286"/>
        <v>9580</v>
      </c>
      <c r="Q154" s="7">
        <f t="shared" si="286"/>
        <v>9620</v>
      </c>
      <c r="R154" s="7">
        <f t="shared" si="286"/>
        <v>9600</v>
      </c>
      <c r="S154" s="23">
        <f t="shared" si="286"/>
        <v>9680</v>
      </c>
      <c r="T154" s="7">
        <f t="shared" si="286"/>
        <v>9720</v>
      </c>
      <c r="U154" s="7">
        <f t="shared" si="286"/>
        <v>10020</v>
      </c>
      <c r="V154" s="7">
        <f t="shared" si="286"/>
        <v>9740</v>
      </c>
      <c r="W154" s="23">
        <f t="shared" si="286"/>
        <v>9820</v>
      </c>
      <c r="X154" s="7">
        <f t="shared" si="286"/>
        <v>9860</v>
      </c>
      <c r="Y154" s="7">
        <f t="shared" si="286"/>
        <v>9900</v>
      </c>
      <c r="Z154" s="7">
        <f t="shared" si="286"/>
        <v>9880</v>
      </c>
      <c r="AA154" s="23">
        <f t="shared" si="286"/>
        <v>9960</v>
      </c>
      <c r="AB154" s="7">
        <f t="shared" si="286"/>
        <v>10000</v>
      </c>
      <c r="AC154" s="7">
        <f t="shared" si="286"/>
        <v>10020</v>
      </c>
      <c r="AD154" s="7">
        <f t="shared" si="286"/>
        <v>10000</v>
      </c>
      <c r="AE154" s="23">
        <f t="shared" si="286"/>
        <v>10080</v>
      </c>
      <c r="AF154" s="7">
        <f t="shared" si="286"/>
        <v>10103</v>
      </c>
      <c r="AG154" s="7">
        <f t="shared" si="286"/>
        <v>10140</v>
      </c>
      <c r="AH154" s="7">
        <f t="shared" si="286"/>
        <v>10120</v>
      </c>
      <c r="AI154" s="23">
        <f t="shared" si="286"/>
        <v>10180</v>
      </c>
      <c r="AJ154" s="7">
        <f t="shared" si="286"/>
        <v>10175</v>
      </c>
      <c r="AK154" s="7">
        <f t="shared" si="286"/>
        <v>10331</v>
      </c>
      <c r="AL154" s="7">
        <f t="shared" si="286"/>
        <v>10247.259757</v>
      </c>
      <c r="AM154" s="23">
        <f t="shared" si="286"/>
        <v>10250</v>
      </c>
      <c r="AN154" s="7">
        <f>AN102</f>
        <v>10285</v>
      </c>
      <c r="AU154" s="7">
        <f>AU102</f>
        <v>0</v>
      </c>
      <c r="AV154" s="7">
        <f t="shared" ref="AV154:BH154" si="287">AV102</f>
        <v>0</v>
      </c>
      <c r="AW154" s="7">
        <f t="shared" si="287"/>
        <v>0</v>
      </c>
      <c r="AX154" s="7">
        <f t="shared" si="287"/>
        <v>0</v>
      </c>
      <c r="AY154" s="7">
        <f t="shared" si="287"/>
        <v>0</v>
      </c>
      <c r="AZ154" s="7">
        <f t="shared" si="287"/>
        <v>0</v>
      </c>
      <c r="BA154" s="7">
        <f t="shared" si="287"/>
        <v>0</v>
      </c>
      <c r="BB154" s="7">
        <f t="shared" si="287"/>
        <v>0</v>
      </c>
      <c r="BC154" s="7">
        <f t="shared" si="287"/>
        <v>9480</v>
      </c>
      <c r="BD154" s="7">
        <f t="shared" si="287"/>
        <v>9600</v>
      </c>
      <c r="BE154" s="7">
        <f t="shared" si="287"/>
        <v>9740</v>
      </c>
      <c r="BF154" s="7">
        <f t="shared" si="287"/>
        <v>9880</v>
      </c>
      <c r="BG154" s="7">
        <f t="shared" si="287"/>
        <v>10005</v>
      </c>
      <c r="BH154" s="7">
        <f t="shared" si="287"/>
        <v>10117</v>
      </c>
      <c r="BI154" s="7">
        <f>BI102</f>
        <v>10189</v>
      </c>
    </row>
    <row r="155" spans="2:66" s="140" customFormat="1" x14ac:dyDescent="0.35">
      <c r="B155" s="137" t="s">
        <v>1909</v>
      </c>
      <c r="C155" s="138"/>
      <c r="D155" s="138"/>
      <c r="E155" s="138"/>
      <c r="F155" s="138"/>
      <c r="G155" s="138"/>
      <c r="H155" s="138"/>
      <c r="I155" s="138"/>
      <c r="J155" s="138"/>
      <c r="K155" s="139">
        <f>K153/SUM(H80:K80)</f>
        <v>9.1716286734413632</v>
      </c>
      <c r="L155" s="138">
        <f t="shared" ref="L155:AM155" si="288">L153/SUM(I80:L80)</f>
        <v>5.3807901632735335</v>
      </c>
      <c r="M155" s="138">
        <f t="shared" si="288"/>
        <v>3.9361056305964488</v>
      </c>
      <c r="N155" s="138">
        <f t="shared" si="288"/>
        <v>2.748624500871407</v>
      </c>
      <c r="O155" s="139">
        <f t="shared" si="288"/>
        <v>2.7855919423733808</v>
      </c>
      <c r="P155" s="138">
        <f t="shared" si="288"/>
        <v>3.043923689749807</v>
      </c>
      <c r="Q155" s="138">
        <f t="shared" si="288"/>
        <v>2.9321915683135384</v>
      </c>
      <c r="R155" s="138">
        <f t="shared" si="288"/>
        <v>2.2469049734069468</v>
      </c>
      <c r="S155" s="139">
        <f t="shared" si="288"/>
        <v>3.5830139652370159</v>
      </c>
      <c r="T155" s="138">
        <f t="shared" si="288"/>
        <v>3.7067935135135137</v>
      </c>
      <c r="U155" s="138">
        <f t="shared" si="288"/>
        <v>4.2640902981123023</v>
      </c>
      <c r="V155" s="138">
        <f t="shared" si="288"/>
        <v>3.4825894103148736</v>
      </c>
      <c r="W155" s="139">
        <f t="shared" si="288"/>
        <v>3.3833049742284049</v>
      </c>
      <c r="X155" s="138">
        <f t="shared" si="288"/>
        <v>3.6437676295211912</v>
      </c>
      <c r="Y155" s="138">
        <f t="shared" si="288"/>
        <v>3.4615019512709626</v>
      </c>
      <c r="Z155" s="138">
        <f t="shared" si="288"/>
        <v>3.1152137800243831</v>
      </c>
      <c r="AA155" s="139">
        <f t="shared" si="288"/>
        <v>3.2535045262155977</v>
      </c>
      <c r="AB155" s="138">
        <f t="shared" si="288"/>
        <v>3.7447713047964148</v>
      </c>
      <c r="AC155" s="138">
        <f t="shared" si="288"/>
        <v>4.5402252073597626</v>
      </c>
      <c r="AD155" s="138">
        <f t="shared" si="288"/>
        <v>4.1322164200754283</v>
      </c>
      <c r="AE155" s="139">
        <f t="shared" si="288"/>
        <v>3.8138200558299338</v>
      </c>
      <c r="AF155" s="138">
        <f t="shared" si="288"/>
        <v>3.7857362992840033</v>
      </c>
      <c r="AG155" s="138">
        <f t="shared" si="288"/>
        <v>3.8220536503881304</v>
      </c>
      <c r="AH155" s="138">
        <f t="shared" si="288"/>
        <v>3.68809123455266</v>
      </c>
      <c r="AI155" s="139">
        <f t="shared" si="288"/>
        <v>3.289576094510076</v>
      </c>
      <c r="AJ155" s="138">
        <f t="shared" si="288"/>
        <v>2.6267683606982479</v>
      </c>
      <c r="AK155" s="138">
        <f t="shared" si="288"/>
        <v>2.6046024520550946</v>
      </c>
      <c r="AL155" s="138">
        <f t="shared" si="288"/>
        <v>1.9693731481322532</v>
      </c>
      <c r="AM155" s="139">
        <f t="shared" si="288"/>
        <v>1.8846126001863224</v>
      </c>
      <c r="AN155" s="138">
        <f>AN153/SUM(AK80:AN80)</f>
        <v>2.1778250372644719</v>
      </c>
      <c r="AO155" s="138"/>
      <c r="AP155" s="138"/>
      <c r="AQ155" s="138"/>
      <c r="AR155" s="138"/>
      <c r="AS155" s="138"/>
      <c r="AT155" s="138"/>
      <c r="AU155" s="140" t="e">
        <f>AU153/AU80</f>
        <v>#DIV/0!</v>
      </c>
      <c r="AV155" s="140" t="e">
        <f t="shared" ref="AV155:BH155" si="289">AV153/AV80</f>
        <v>#DIV/0!</v>
      </c>
      <c r="AW155" s="140" t="e">
        <f t="shared" si="289"/>
        <v>#DIV/0!</v>
      </c>
      <c r="AX155" s="140" t="e">
        <f t="shared" si="289"/>
        <v>#DIV/0!</v>
      </c>
      <c r="AY155" s="140" t="e">
        <f t="shared" si="289"/>
        <v>#DIV/0!</v>
      </c>
      <c r="AZ155" s="140" t="e">
        <f t="shared" si="289"/>
        <v>#DIV/0!</v>
      </c>
      <c r="BA155" s="140" t="e">
        <f t="shared" si="289"/>
        <v>#DIV/0!</v>
      </c>
      <c r="BB155" s="140" t="e">
        <f t="shared" si="289"/>
        <v>#DIV/0!</v>
      </c>
      <c r="BC155" s="140">
        <f t="shared" si="289"/>
        <v>2.4385448609058216</v>
      </c>
      <c r="BD155" s="140">
        <f t="shared" si="289"/>
        <v>2.6128433764744243</v>
      </c>
      <c r="BE155" s="140">
        <f t="shared" si="289"/>
        <v>3.4340748946914168</v>
      </c>
      <c r="BF155" s="140">
        <f t="shared" si="289"/>
        <v>3.1504338340664901</v>
      </c>
      <c r="BG155" s="140">
        <f t="shared" si="289"/>
        <v>3.4708484862613456</v>
      </c>
      <c r="BH155" s="140">
        <f t="shared" si="289"/>
        <v>3.600432504225004</v>
      </c>
      <c r="BI155" s="140">
        <f>BI153/BI80</f>
        <v>2.4997575795308404</v>
      </c>
      <c r="BJ155" s="140" t="e">
        <f t="shared" ref="BJ155:BN155" si="290">BJ153/BJ80</f>
        <v>#DIV/0!</v>
      </c>
      <c r="BK155" s="140" t="e">
        <f t="shared" si="290"/>
        <v>#DIV/0!</v>
      </c>
      <c r="BL155" s="140" t="e">
        <f t="shared" si="290"/>
        <v>#DIV/0!</v>
      </c>
      <c r="BM155" s="140" t="e">
        <f t="shared" si="290"/>
        <v>#DIV/0!</v>
      </c>
      <c r="BN155" s="140" t="e">
        <f t="shared" si="290"/>
        <v>#DIV/0!</v>
      </c>
    </row>
    <row r="156" spans="2:66" s="140" customFormat="1" x14ac:dyDescent="0.35">
      <c r="B156" s="137" t="s">
        <v>1910</v>
      </c>
      <c r="C156" s="138"/>
      <c r="D156" s="138"/>
      <c r="E156" s="138"/>
      <c r="F156" s="138"/>
      <c r="G156" s="138"/>
      <c r="H156" s="138"/>
      <c r="I156" s="138"/>
      <c r="J156" s="138"/>
      <c r="K156" s="139">
        <f>K153/SUM(H98:K98)</f>
        <v>520.76257309941525</v>
      </c>
      <c r="L156" s="138">
        <f t="shared" ref="L156:AM156" si="291">L153/SUM(I98:L98)</f>
        <v>233.81693430656935</v>
      </c>
      <c r="M156" s="138">
        <f t="shared" si="291"/>
        <v>223.85326757090013</v>
      </c>
      <c r="N156" s="138">
        <f t="shared" si="291"/>
        <v>157.64538169548715</v>
      </c>
      <c r="O156" s="139">
        <f t="shared" si="291"/>
        <v>153.81494965143301</v>
      </c>
      <c r="P156" s="138">
        <f t="shared" si="291"/>
        <v>237.75546305931323</v>
      </c>
      <c r="Q156" s="138">
        <f t="shared" si="291"/>
        <v>245.34496365524402</v>
      </c>
      <c r="R156" s="138">
        <f t="shared" si="291"/>
        <v>131.76656775469831</v>
      </c>
      <c r="S156" s="139">
        <f t="shared" si="291"/>
        <v>175.77877094972069</v>
      </c>
      <c r="T156" s="138">
        <f t="shared" si="291"/>
        <v>122.94444621513945</v>
      </c>
      <c r="U156" s="138">
        <f t="shared" si="291"/>
        <v>105.83920467310716</v>
      </c>
      <c r="V156" s="138">
        <f t="shared" si="291"/>
        <v>80.517204407822888</v>
      </c>
      <c r="W156" s="139">
        <f t="shared" si="291"/>
        <v>68.073336109954184</v>
      </c>
      <c r="X156" s="138">
        <f t="shared" si="291"/>
        <v>75.930803571428569</v>
      </c>
      <c r="Y156" s="138">
        <f t="shared" si="291"/>
        <v>80.983343615052434</v>
      </c>
      <c r="Z156" s="138">
        <f t="shared" si="291"/>
        <v>75.413013462202272</v>
      </c>
      <c r="AA156" s="139">
        <f t="shared" si="291"/>
        <v>91.263851543268331</v>
      </c>
      <c r="AB156" s="138">
        <f t="shared" si="291"/>
        <v>91.426403641881635</v>
      </c>
      <c r="AC156" s="138">
        <f t="shared" si="291"/>
        <v>90.910582954480063</v>
      </c>
      <c r="AD156" s="138">
        <f t="shared" si="291"/>
        <v>74.787867422999398</v>
      </c>
      <c r="AE156" s="139">
        <f t="shared" si="291"/>
        <v>59.416659852061116</v>
      </c>
      <c r="AF156" s="138">
        <f t="shared" si="291"/>
        <v>57.008265846864596</v>
      </c>
      <c r="AG156" s="138">
        <f t="shared" si="291"/>
        <v>66.647633552907138</v>
      </c>
      <c r="AH156" s="138">
        <f t="shared" si="291"/>
        <v>48.997466349960412</v>
      </c>
      <c r="AI156" s="139">
        <f t="shared" si="291"/>
        <v>67.124605988126248</v>
      </c>
      <c r="AJ156" s="138">
        <f t="shared" si="291"/>
        <v>93.801131770412283</v>
      </c>
      <c r="AK156" s="138">
        <f t="shared" si="291"/>
        <v>98.176680177137271</v>
      </c>
      <c r="AL156" s="138">
        <f t="shared" si="291"/>
        <v>-371.86786142412194</v>
      </c>
      <c r="AM156" s="139">
        <f t="shared" si="291"/>
        <v>230.37435957149512</v>
      </c>
      <c r="AN156" s="138">
        <f>AN153/SUM(AK98:AN98)</f>
        <v>89.639691707466341</v>
      </c>
      <c r="AO156" s="138"/>
      <c r="AP156" s="138"/>
      <c r="AQ156" s="138"/>
      <c r="AR156" s="138"/>
      <c r="AS156" s="138"/>
      <c r="AT156" s="138"/>
      <c r="AU156" s="140" t="e">
        <f>AU153/AU98</f>
        <v>#DIV/0!</v>
      </c>
      <c r="AV156" s="140" t="e">
        <f t="shared" ref="AV156:BH156" si="292">AV153/AV98</f>
        <v>#DIV/0!</v>
      </c>
      <c r="AW156" s="140" t="e">
        <f t="shared" si="292"/>
        <v>#DIV/0!</v>
      </c>
      <c r="AX156" s="140" t="e">
        <f t="shared" si="292"/>
        <v>#DIV/0!</v>
      </c>
      <c r="AY156" s="140" t="e">
        <f t="shared" si="292"/>
        <v>#DIV/0!</v>
      </c>
      <c r="AZ156" s="140" t="e">
        <f t="shared" si="292"/>
        <v>#DIV/0!</v>
      </c>
      <c r="BA156" s="140" t="e">
        <f t="shared" si="292"/>
        <v>#DIV/0!</v>
      </c>
      <c r="BB156" s="140" t="e">
        <f t="shared" si="292"/>
        <v>#DIV/0!</v>
      </c>
      <c r="BC156" s="140">
        <f t="shared" si="292"/>
        <v>139.86098692534793</v>
      </c>
      <c r="BD156" s="140">
        <f t="shared" si="292"/>
        <v>153.22650840751729</v>
      </c>
      <c r="BE156" s="140">
        <f t="shared" si="292"/>
        <v>79.395552466990964</v>
      </c>
      <c r="BF156" s="140">
        <f t="shared" si="292"/>
        <v>76.265619606489466</v>
      </c>
      <c r="BG156" s="140">
        <f t="shared" si="292"/>
        <v>62.817948056818722</v>
      </c>
      <c r="BH156" s="140">
        <f t="shared" si="292"/>
        <v>50.700227790432798</v>
      </c>
      <c r="BI156" s="140">
        <f>BI153/BI98</f>
        <v>-472.0179647318148</v>
      </c>
      <c r="BJ156" s="140" t="e">
        <f t="shared" ref="BJ156:BN156" si="293">BJ153/BJ98</f>
        <v>#DIV/0!</v>
      </c>
      <c r="BK156" s="140" t="e">
        <f t="shared" si="293"/>
        <v>#DIV/0!</v>
      </c>
      <c r="BL156" s="140" t="e">
        <f t="shared" si="293"/>
        <v>#DIV/0!</v>
      </c>
      <c r="BM156" s="140" t="e">
        <f t="shared" si="293"/>
        <v>#DIV/0!</v>
      </c>
      <c r="BN156" s="140" t="e">
        <f t="shared" si="293"/>
        <v>#DIV/0!</v>
      </c>
    </row>
    <row r="157" spans="2:66" s="140" customFormat="1" x14ac:dyDescent="0.35">
      <c r="B157" s="137" t="s">
        <v>1911</v>
      </c>
      <c r="C157" s="138"/>
      <c r="D157" s="138"/>
      <c r="E157" s="138"/>
      <c r="F157" s="138"/>
      <c r="G157" s="138"/>
      <c r="H157" s="138"/>
      <c r="I157" s="138"/>
      <c r="J157" s="138"/>
      <c r="K157" s="139">
        <f>K153/K138</f>
        <v>18.104581187313634</v>
      </c>
      <c r="L157" s="138">
        <f t="shared" ref="L157:AM157" si="294">L153/L138</f>
        <v>19.369282863707824</v>
      </c>
      <c r="M157" s="138">
        <f t="shared" si="294"/>
        <v>20.418962996288382</v>
      </c>
      <c r="N157" s="138">
        <f t="shared" si="294"/>
        <v>19.381757842883069</v>
      </c>
      <c r="O157" s="139">
        <f t="shared" si="294"/>
        <v>18.323807326750945</v>
      </c>
      <c r="P157" s="138">
        <f t="shared" si="294"/>
        <v>19.684931506849313</v>
      </c>
      <c r="Q157" s="138">
        <f t="shared" si="294"/>
        <v>19.163533133263037</v>
      </c>
      <c r="R157" s="138">
        <f t="shared" si="294"/>
        <v>14.423039445667472</v>
      </c>
      <c r="S157" s="139">
        <f t="shared" si="294"/>
        <v>22.00097892762928</v>
      </c>
      <c r="T157" s="138">
        <f t="shared" si="294"/>
        <v>22.045332190312902</v>
      </c>
      <c r="U157" s="138">
        <f t="shared" si="294"/>
        <v>24.083139921271918</v>
      </c>
      <c r="V157" s="138">
        <f t="shared" si="294"/>
        <v>18.623844405152816</v>
      </c>
      <c r="W157" s="139">
        <f t="shared" si="294"/>
        <v>16.881231150588722</v>
      </c>
      <c r="X157" s="138">
        <f t="shared" si="294"/>
        <v>17.309492847854358</v>
      </c>
      <c r="Y157" s="138">
        <f t="shared" si="294"/>
        <v>16.261732851985556</v>
      </c>
      <c r="Z157" s="138">
        <f t="shared" si="294"/>
        <v>14.081308411214954</v>
      </c>
      <c r="AA157" s="139">
        <f t="shared" si="294"/>
        <v>14.767875965191813</v>
      </c>
      <c r="AB157" s="138">
        <f t="shared" si="294"/>
        <v>16.343858506944443</v>
      </c>
      <c r="AC157" s="138">
        <f t="shared" si="294"/>
        <v>19.084907278767744</v>
      </c>
      <c r="AD157" s="138">
        <f t="shared" si="294"/>
        <v>17.079568326838253</v>
      </c>
      <c r="AE157" s="139">
        <f t="shared" si="294"/>
        <v>15.471219512195123</v>
      </c>
      <c r="AF157" s="138">
        <f t="shared" si="294"/>
        <v>14.618166162905151</v>
      </c>
      <c r="AG157" s="138">
        <f t="shared" si="294"/>
        <v>14.518154673036728</v>
      </c>
      <c r="AH157" s="138">
        <f t="shared" si="294"/>
        <v>12.533881153025424</v>
      </c>
      <c r="AI157" s="139">
        <f t="shared" si="294"/>
        <v>11.728184118028969</v>
      </c>
      <c r="AJ157" s="138">
        <f t="shared" si="294"/>
        <v>9.7133376965342997</v>
      </c>
      <c r="AK157" s="138">
        <f t="shared" si="294"/>
        <v>9.5135458836706928</v>
      </c>
      <c r="AL157" s="138">
        <f t="shared" si="294"/>
        <v>6.9310019569336427</v>
      </c>
      <c r="AM157" s="139">
        <f t="shared" si="294"/>
        <v>6.4016896832895434</v>
      </c>
      <c r="AN157" s="138">
        <f>AN153/AN138</f>
        <v>6.9499178538807369</v>
      </c>
      <c r="AO157" s="138"/>
      <c r="AP157" s="138"/>
      <c r="AQ157" s="138"/>
      <c r="AR157" s="138"/>
      <c r="AS157" s="138"/>
      <c r="AT157" s="138"/>
      <c r="AU157" s="140" t="e">
        <f>AU153/AU138</f>
        <v>#DIV/0!</v>
      </c>
      <c r="AV157" s="140" t="e">
        <f t="shared" ref="AV157:BH157" si="295">AV153/AV138</f>
        <v>#DIV/0!</v>
      </c>
      <c r="AW157" s="140" t="e">
        <f t="shared" si="295"/>
        <v>#DIV/0!</v>
      </c>
      <c r="AX157" s="140" t="e">
        <f t="shared" si="295"/>
        <v>#DIV/0!</v>
      </c>
      <c r="AY157" s="140" t="e">
        <f t="shared" si="295"/>
        <v>#DIV/0!</v>
      </c>
      <c r="AZ157" s="140" t="e">
        <f t="shared" si="295"/>
        <v>#DIV/0!</v>
      </c>
      <c r="BA157" s="140" t="e">
        <f t="shared" si="295"/>
        <v>#DIV/0!</v>
      </c>
      <c r="BB157" s="140" t="e">
        <f t="shared" si="295"/>
        <v>#DIV/0!</v>
      </c>
      <c r="BC157" s="140" t="e">
        <f t="shared" si="295"/>
        <v>#DIV/0!</v>
      </c>
      <c r="BD157" s="140">
        <f t="shared" si="295"/>
        <v>16.772023530260924</v>
      </c>
      <c r="BE157" s="140">
        <f t="shared" si="295"/>
        <v>18.364403315805184</v>
      </c>
      <c r="BF157" s="140">
        <f t="shared" si="295"/>
        <v>14.240509184660006</v>
      </c>
      <c r="BG157" s="140">
        <f t="shared" si="295"/>
        <v>14.345955740653507</v>
      </c>
      <c r="BH157" s="140">
        <f t="shared" si="295"/>
        <v>12.23597526131144</v>
      </c>
      <c r="BI157" s="140">
        <f>BI153/BI138</f>
        <v>8.7976342584033471</v>
      </c>
      <c r="BJ157" s="140" t="e">
        <f t="shared" ref="BJ157:BN157" si="296">BJ153/BJ138</f>
        <v>#DIV/0!</v>
      </c>
      <c r="BK157" s="140" t="e">
        <f t="shared" si="296"/>
        <v>#DIV/0!</v>
      </c>
      <c r="BL157" s="140" t="e">
        <f t="shared" si="296"/>
        <v>#DIV/0!</v>
      </c>
      <c r="BM157" s="140" t="e">
        <f t="shared" si="296"/>
        <v>#DIV/0!</v>
      </c>
      <c r="BN157" s="140" t="e">
        <f t="shared" si="296"/>
        <v>#DIV/0!</v>
      </c>
    </row>
    <row r="158" spans="2:66" s="140" customFormat="1" x14ac:dyDescent="0.35">
      <c r="B158" s="137" t="s">
        <v>1912</v>
      </c>
      <c r="C158" s="138"/>
      <c r="D158" s="138"/>
      <c r="E158" s="138"/>
      <c r="F158" s="138"/>
      <c r="G158" s="138"/>
      <c r="H158" s="138"/>
      <c r="I158" s="138"/>
      <c r="J158" s="138"/>
      <c r="K158" s="139">
        <f>K153/SUM(H145:K145)</f>
        <v>-85.297318007662838</v>
      </c>
      <c r="L158" s="138">
        <f t="shared" ref="L158:AM158" si="297">L153/SUM(I145:L145)</f>
        <v>-253.22466403162056</v>
      </c>
      <c r="M158" s="138">
        <f t="shared" si="297"/>
        <v>233.79909851899549</v>
      </c>
      <c r="N158" s="138">
        <f t="shared" si="297"/>
        <v>39.767762527928504</v>
      </c>
      <c r="O158" s="139">
        <f t="shared" si="297"/>
        <v>43.739008810572692</v>
      </c>
      <c r="P158" s="138">
        <f t="shared" si="297"/>
        <v>53.502634351949418</v>
      </c>
      <c r="Q158" s="138">
        <f t="shared" si="297"/>
        <v>68.334692697035422</v>
      </c>
      <c r="R158" s="138">
        <f t="shared" si="297"/>
        <v>62.347581903276129</v>
      </c>
      <c r="S158" s="139">
        <f t="shared" si="297"/>
        <v>139.22300884955754</v>
      </c>
      <c r="T158" s="138">
        <f t="shared" si="297"/>
        <v>98.277248407643313</v>
      </c>
      <c r="U158" s="138">
        <f t="shared" si="297"/>
        <v>79.214780561627705</v>
      </c>
      <c r="V158" s="138">
        <f t="shared" si="297"/>
        <v>46.892333487511557</v>
      </c>
      <c r="W158" s="139">
        <f t="shared" si="297"/>
        <v>39.401205342076082</v>
      </c>
      <c r="X158" s="138">
        <f t="shared" si="297"/>
        <v>41.576162238015485</v>
      </c>
      <c r="Y158" s="138">
        <f t="shared" si="297"/>
        <v>45.831321695760593</v>
      </c>
      <c r="Z158" s="138">
        <f t="shared" si="297"/>
        <v>33.838760890609876</v>
      </c>
      <c r="AA158" s="139">
        <f t="shared" si="297"/>
        <v>40.952026510323734</v>
      </c>
      <c r="AB158" s="138">
        <f t="shared" si="297"/>
        <v>38.709884673455619</v>
      </c>
      <c r="AC158" s="138">
        <f t="shared" si="297"/>
        <v>54.78596150511531</v>
      </c>
      <c r="AD158" s="138">
        <f t="shared" si="297"/>
        <v>61.537571362444069</v>
      </c>
      <c r="AE158" s="139">
        <f t="shared" si="297"/>
        <v>73.372183971357757</v>
      </c>
      <c r="AF158" s="138">
        <f t="shared" si="297"/>
        <v>237.50485847721484</v>
      </c>
      <c r="AG158" s="138">
        <f t="shared" si="297"/>
        <v>-771.08669603524231</v>
      </c>
      <c r="AH158" s="138">
        <f t="shared" si="297"/>
        <v>-117.66578840146678</v>
      </c>
      <c r="AI158" s="139">
        <f t="shared" si="297"/>
        <v>-63.890901699325141</v>
      </c>
      <c r="AJ158" s="138">
        <f t="shared" si="297"/>
        <v>-42.853612677947893</v>
      </c>
      <c r="AK158" s="138">
        <f t="shared" si="297"/>
        <v>-49.690685332218969</v>
      </c>
      <c r="AL158" s="138">
        <f t="shared" si="297"/>
        <v>-59.919748937220149</v>
      </c>
      <c r="AM158" s="139">
        <f t="shared" si="297"/>
        <v>-115.41564578228912</v>
      </c>
      <c r="AN158" s="138">
        <f>AN153/SUM(AK145:AN145)</f>
        <v>365.15115300716735</v>
      </c>
      <c r="AO158" s="138"/>
      <c r="AP158" s="138"/>
      <c r="AQ158" s="138"/>
      <c r="AR158" s="138"/>
      <c r="AS158" s="138"/>
      <c r="AT158" s="138"/>
      <c r="AU158" s="140" t="e">
        <f>AU153/AU145</f>
        <v>#DIV/0!</v>
      </c>
      <c r="AV158" s="140" t="e">
        <f t="shared" ref="AV158:BH158" si="298">AV153/AV145</f>
        <v>#DIV/0!</v>
      </c>
      <c r="AW158" s="140" t="e">
        <f t="shared" si="298"/>
        <v>#DIV/0!</v>
      </c>
      <c r="AX158" s="140" t="e">
        <f t="shared" si="298"/>
        <v>#DIV/0!</v>
      </c>
      <c r="AY158" s="140" t="e">
        <f t="shared" si="298"/>
        <v>#DIV/0!</v>
      </c>
      <c r="AZ158" s="140" t="e">
        <f t="shared" si="298"/>
        <v>#DIV/0!</v>
      </c>
      <c r="BA158" s="140" t="e">
        <f t="shared" si="298"/>
        <v>#DIV/0!</v>
      </c>
      <c r="BB158" s="140">
        <f t="shared" si="298"/>
        <v>0</v>
      </c>
      <c r="BC158" s="140">
        <f t="shared" si="298"/>
        <v>35.28145547398659</v>
      </c>
      <c r="BD158" s="140">
        <f t="shared" si="298"/>
        <v>72.501716068642736</v>
      </c>
      <c r="BE158" s="140">
        <f t="shared" si="298"/>
        <v>46.239095744680853</v>
      </c>
      <c r="BF158" s="140">
        <f t="shared" si="298"/>
        <v>34.221335914811227</v>
      </c>
      <c r="BG158" s="140">
        <f t="shared" si="298"/>
        <v>51.688383351334679</v>
      </c>
      <c r="BH158" s="140">
        <f t="shared" si="298"/>
        <v>-114.86910226809724</v>
      </c>
      <c r="BI158" s="140">
        <f>BI153/BI145</f>
        <v>-76.057118333037351</v>
      </c>
      <c r="BJ158" s="140" t="e">
        <f t="shared" ref="BJ158:BN158" si="299">BJ153/BJ145</f>
        <v>#DIV/0!</v>
      </c>
      <c r="BK158" s="140" t="e">
        <f t="shared" si="299"/>
        <v>#DIV/0!</v>
      </c>
      <c r="BL158" s="140" t="e">
        <f t="shared" si="299"/>
        <v>#DIV/0!</v>
      </c>
      <c r="BM158" s="140" t="e">
        <f t="shared" si="299"/>
        <v>#DIV/0!</v>
      </c>
      <c r="BN158" s="140" t="e">
        <f t="shared" si="299"/>
        <v>#DIV/0!</v>
      </c>
    </row>
    <row r="159" spans="2:66" x14ac:dyDescent="0.35">
      <c r="L159" s="77"/>
      <c r="M159" s="77"/>
      <c r="N159" s="77"/>
      <c r="P159" s="77"/>
      <c r="Q159" s="77"/>
      <c r="R159" s="77"/>
      <c r="T159" s="77"/>
      <c r="U159" s="77"/>
      <c r="V159" s="77"/>
      <c r="X159" s="77"/>
      <c r="Y159" s="77"/>
      <c r="Z159" s="77"/>
      <c r="AB159" s="77"/>
      <c r="AC159" s="77"/>
      <c r="AD159" s="77"/>
      <c r="AF159" s="77"/>
      <c r="AG159" s="77"/>
      <c r="AH159" s="77"/>
      <c r="AJ159" s="77"/>
      <c r="AK159" s="77"/>
      <c r="AL159" s="77"/>
    </row>
    <row r="160" spans="2:66" s="118" customFormat="1" x14ac:dyDescent="0.35">
      <c r="B160" s="22" t="s">
        <v>1913</v>
      </c>
      <c r="C160" s="83"/>
      <c r="D160" s="83"/>
      <c r="E160" s="83"/>
      <c r="F160" s="83"/>
      <c r="G160" s="83"/>
      <c r="H160" s="83"/>
      <c r="I160" s="83"/>
      <c r="J160" s="83"/>
      <c r="K160" s="119"/>
      <c r="L160" s="83"/>
      <c r="M160" s="83"/>
      <c r="N160" s="83"/>
      <c r="O160" s="119"/>
      <c r="P160" s="83"/>
      <c r="Q160" s="83"/>
      <c r="R160" s="83"/>
      <c r="S160" s="119"/>
      <c r="T160" s="83"/>
      <c r="U160" s="83"/>
      <c r="V160" s="83"/>
      <c r="W160" s="119"/>
      <c r="X160" s="83"/>
      <c r="Y160" s="83"/>
      <c r="Z160" s="83"/>
      <c r="AA160" s="119"/>
      <c r="AB160" s="83"/>
      <c r="AC160" s="83"/>
      <c r="AD160" s="83"/>
      <c r="AE160" s="119"/>
      <c r="AF160" s="83"/>
      <c r="AG160" s="83"/>
      <c r="AH160" s="83"/>
      <c r="AI160" s="119"/>
      <c r="AJ160" s="83"/>
      <c r="AK160" s="83"/>
      <c r="AL160" s="83"/>
      <c r="AM160" s="119"/>
      <c r="AN160" s="83"/>
      <c r="AO160" s="83"/>
      <c r="AP160" s="83"/>
      <c r="AQ160" s="83"/>
      <c r="AR160" s="83"/>
      <c r="AS160" s="83"/>
      <c r="AT160" s="83"/>
      <c r="AU160" s="83"/>
      <c r="AV160" s="83"/>
      <c r="AW160" s="83"/>
      <c r="AX160" s="83"/>
    </row>
    <row r="161" spans="2:66" s="16" customFormat="1" x14ac:dyDescent="0.35">
      <c r="B161" s="17" t="s">
        <v>1914</v>
      </c>
      <c r="C161" s="75"/>
      <c r="D161" s="75"/>
      <c r="E161" s="75"/>
      <c r="F161" s="75"/>
      <c r="G161" s="75"/>
      <c r="H161" s="75"/>
      <c r="I161" s="75"/>
      <c r="J161" s="75"/>
      <c r="K161" s="25" t="e">
        <f>(K80-G80)/ABS(G80)</f>
        <v>#DIV/0!</v>
      </c>
      <c r="L161" s="75" t="e">
        <f t="shared" ref="L161:AM161" si="300">(L80-H80)/ABS(H80)</f>
        <v>#DIV/0!</v>
      </c>
      <c r="M161" s="75" t="e">
        <f t="shared" si="300"/>
        <v>#DIV/0!</v>
      </c>
      <c r="N161" s="75" t="e">
        <f t="shared" si="300"/>
        <v>#DIV/0!</v>
      </c>
      <c r="O161" s="25">
        <f t="shared" si="300"/>
        <v>0.22610546553144739</v>
      </c>
      <c r="P161" s="75">
        <f t="shared" si="300"/>
        <v>0.2483554795421655</v>
      </c>
      <c r="Q161" s="75">
        <f t="shared" si="300"/>
        <v>0.33716451672067005</v>
      </c>
      <c r="R161" s="75">
        <f t="shared" si="300"/>
        <v>0.38206716810315267</v>
      </c>
      <c r="S161" s="25">
        <f t="shared" si="300"/>
        <v>0.42918743349946797</v>
      </c>
      <c r="T161" s="75">
        <f t="shared" si="300"/>
        <v>0.39338690554604139</v>
      </c>
      <c r="U161" s="75">
        <f t="shared" si="300"/>
        <v>0.29334308705193857</v>
      </c>
      <c r="V161" s="75">
        <f t="shared" si="300"/>
        <v>0.19734339073329693</v>
      </c>
      <c r="W161" s="25">
        <f t="shared" si="300"/>
        <v>0.16962501469378158</v>
      </c>
      <c r="X161" s="75">
        <f t="shared" si="300"/>
        <v>0.19888061112581779</v>
      </c>
      <c r="Y161" s="75">
        <f t="shared" si="300"/>
        <v>0.2369379242081448</v>
      </c>
      <c r="Z161" s="75">
        <f t="shared" si="300"/>
        <v>0.20797701117665751</v>
      </c>
      <c r="AA161" s="25">
        <f t="shared" si="300"/>
        <v>0.26385259631490787</v>
      </c>
      <c r="AB161" s="75">
        <f t="shared" si="300"/>
        <v>0.40230900258658758</v>
      </c>
      <c r="AC161" s="75">
        <f t="shared" si="300"/>
        <v>0.37387290836084081</v>
      </c>
      <c r="AD161" s="75">
        <f t="shared" si="300"/>
        <v>0.43594816839553052</v>
      </c>
      <c r="AE161" s="25">
        <f t="shared" si="300"/>
        <v>0.43823888034777075</v>
      </c>
      <c r="AF161" s="75">
        <f t="shared" si="300"/>
        <v>0.27181932697498651</v>
      </c>
      <c r="AG161" s="75">
        <f t="shared" si="300"/>
        <v>0.15255083467679026</v>
      </c>
      <c r="AH161" s="75">
        <f t="shared" si="300"/>
        <v>9.4436701047349761E-2</v>
      </c>
      <c r="AI161" s="25">
        <f t="shared" si="300"/>
        <v>7.3038574245747251E-2</v>
      </c>
      <c r="AJ161" s="75">
        <f t="shared" si="300"/>
        <v>7.2108241952599933E-2</v>
      </c>
      <c r="AK161" s="75">
        <f t="shared" si="300"/>
        <v>0.14699671515720319</v>
      </c>
      <c r="AL161" s="75">
        <f t="shared" si="300"/>
        <v>8.5814921549791867E-2</v>
      </c>
      <c r="AM161" s="25">
        <f t="shared" si="300"/>
        <v>9.3727456975026616E-2</v>
      </c>
      <c r="AN161" s="75">
        <f>(AN80-AJ80)/ABS(AJ80)</f>
        <v>0.10845967302901827</v>
      </c>
      <c r="AO161" s="75"/>
      <c r="AP161" s="75"/>
      <c r="AQ161" s="75"/>
      <c r="AR161" s="75"/>
      <c r="AS161" s="75"/>
      <c r="AT161" s="75"/>
      <c r="AU161" s="16" t="e">
        <f>(AU80-AT80)/ABS(AT80)</f>
        <v>#DIV/0!</v>
      </c>
      <c r="AV161" s="16" t="e">
        <f t="shared" ref="AV161:BN161" si="301">(AV80-AU80)/ABS(AU80)</f>
        <v>#DIV/0!</v>
      </c>
      <c r="AW161" s="16" t="e">
        <f t="shared" si="301"/>
        <v>#DIV/0!</v>
      </c>
      <c r="AX161" s="16" t="e">
        <f t="shared" si="301"/>
        <v>#DIV/0!</v>
      </c>
      <c r="AY161" s="16" t="e">
        <f t="shared" si="301"/>
        <v>#DIV/0!</v>
      </c>
      <c r="AZ161" s="16" t="e">
        <f t="shared" si="301"/>
        <v>#DIV/0!</v>
      </c>
      <c r="BA161" s="16" t="e">
        <f t="shared" si="301"/>
        <v>#DIV/0!</v>
      </c>
      <c r="BB161" s="16" t="e">
        <f t="shared" si="301"/>
        <v>#DIV/0!</v>
      </c>
      <c r="BC161" s="16" t="e">
        <f t="shared" si="301"/>
        <v>#DIV/0!</v>
      </c>
      <c r="BD161" s="16">
        <f t="shared" si="301"/>
        <v>0.30796326119408474</v>
      </c>
      <c r="BE161" s="16">
        <f t="shared" si="301"/>
        <v>0.3093396152159491</v>
      </c>
      <c r="BF161" s="16">
        <f t="shared" si="301"/>
        <v>0.2045412582067698</v>
      </c>
      <c r="BG161" s="16">
        <f t="shared" si="301"/>
        <v>0.37623430604373276</v>
      </c>
      <c r="BH161" s="16">
        <f t="shared" si="301"/>
        <v>0.21695366571345684</v>
      </c>
      <c r="BI161" s="16">
        <f t="shared" si="301"/>
        <v>9.3995172639850841E-2</v>
      </c>
      <c r="BJ161" s="16">
        <f t="shared" si="301"/>
        <v>-1</v>
      </c>
      <c r="BK161" s="16" t="e">
        <f t="shared" si="301"/>
        <v>#DIV/0!</v>
      </c>
      <c r="BL161" s="16" t="e">
        <f t="shared" si="301"/>
        <v>#DIV/0!</v>
      </c>
      <c r="BM161" s="16" t="e">
        <f t="shared" si="301"/>
        <v>#DIV/0!</v>
      </c>
      <c r="BN161" s="16" t="e">
        <f t="shared" si="301"/>
        <v>#DIV/0!</v>
      </c>
    </row>
    <row r="162" spans="2:66" s="16" customFormat="1" x14ac:dyDescent="0.35">
      <c r="B162" s="17" t="s">
        <v>1915</v>
      </c>
      <c r="C162" s="75"/>
      <c r="D162" s="75"/>
      <c r="E162" s="75"/>
      <c r="F162" s="75"/>
      <c r="G162" s="75"/>
      <c r="H162" s="75"/>
      <c r="I162" s="75"/>
      <c r="J162" s="75"/>
      <c r="K162" s="25" t="e">
        <f>(K98-G98)/ABS(G98)</f>
        <v>#DIV/0!</v>
      </c>
      <c r="L162" s="75" t="e">
        <f t="shared" ref="L162:AM162" si="302">(L98-H98)/ABS(H98)</f>
        <v>#DIV/0!</v>
      </c>
      <c r="M162" s="75" t="e">
        <f t="shared" si="302"/>
        <v>#DIV/0!</v>
      </c>
      <c r="N162" s="75" t="e">
        <f t="shared" si="302"/>
        <v>#DIV/0!</v>
      </c>
      <c r="O162" s="25">
        <f t="shared" si="302"/>
        <v>0.41130604288499023</v>
      </c>
      <c r="P162" s="75">
        <f t="shared" si="302"/>
        <v>-0.77012835472578767</v>
      </c>
      <c r="Q162" s="75">
        <f t="shared" si="302"/>
        <v>1.5873015873015872E-2</v>
      </c>
      <c r="R162" s="75">
        <f t="shared" si="302"/>
        <v>1.4779706275033377</v>
      </c>
      <c r="S162" s="25">
        <f t="shared" si="302"/>
        <v>1.25</v>
      </c>
      <c r="T162" s="75">
        <f t="shared" si="302"/>
        <v>11.862944162436548</v>
      </c>
      <c r="U162" s="75">
        <f t="shared" si="302"/>
        <v>10.26171875</v>
      </c>
      <c r="V162" s="75">
        <f t="shared" si="302"/>
        <v>0.63092672413793105</v>
      </c>
      <c r="W162" s="25">
        <f t="shared" si="302"/>
        <v>1.1860036832412524</v>
      </c>
      <c r="X162" s="75">
        <f t="shared" si="302"/>
        <v>3.591160220994475E-2</v>
      </c>
      <c r="Y162" s="75">
        <f t="shared" si="302"/>
        <v>-0.25979882067291016</v>
      </c>
      <c r="Z162" s="75">
        <f t="shared" si="302"/>
        <v>7.9616782292699043E-2</v>
      </c>
      <c r="AA162" s="25">
        <f t="shared" si="302"/>
        <v>-0.2881213142375737</v>
      </c>
      <c r="AB162" s="75">
        <f t="shared" si="302"/>
        <v>0.99733333333333329</v>
      </c>
      <c r="AC162" s="75">
        <f t="shared" si="302"/>
        <v>1.9667291471415183</v>
      </c>
      <c r="AD162" s="75">
        <f t="shared" si="302"/>
        <v>1.2099143206854346</v>
      </c>
      <c r="AE162" s="25">
        <f t="shared" si="302"/>
        <v>2.1980276134122287</v>
      </c>
      <c r="AF162" s="75">
        <f t="shared" si="302"/>
        <v>0.48350181193972919</v>
      </c>
      <c r="AG162" s="75">
        <f t="shared" si="302"/>
        <v>-0.50150055283525508</v>
      </c>
      <c r="AH162" s="75">
        <f t="shared" si="302"/>
        <v>1.2601772362226531</v>
      </c>
      <c r="AI162" s="25">
        <f t="shared" si="302"/>
        <v>-1.4741581349451092</v>
      </c>
      <c r="AJ162" s="75">
        <f t="shared" si="302"/>
        <v>-1.2607354075597841</v>
      </c>
      <c r="AK162" s="75">
        <f t="shared" si="302"/>
        <v>-8.9987325728770592E-2</v>
      </c>
      <c r="AL162" s="75">
        <f t="shared" si="302"/>
        <v>-0.98296881700667771</v>
      </c>
      <c r="AM162" s="25">
        <f t="shared" si="302"/>
        <v>1.8251821019771073</v>
      </c>
      <c r="AN162" s="75">
        <f>(AN98-AJ98)/ABS(AJ98)</f>
        <v>4.3284023668639051</v>
      </c>
      <c r="AO162" s="75"/>
      <c r="AP162" s="75"/>
      <c r="AQ162" s="75"/>
      <c r="AR162" s="75"/>
      <c r="AS162" s="75"/>
      <c r="AT162" s="75"/>
      <c r="AU162" s="16" t="e">
        <f>(AU98-AT98)/ABS(AT98)</f>
        <v>#DIV/0!</v>
      </c>
      <c r="AV162" s="16" t="e">
        <f t="shared" ref="AV162:BN162" si="303">(AV98-AU98)/ABS(AU98)</f>
        <v>#DIV/0!</v>
      </c>
      <c r="AW162" s="16" t="e">
        <f t="shared" si="303"/>
        <v>#DIV/0!</v>
      </c>
      <c r="AX162" s="16" t="e">
        <f t="shared" si="303"/>
        <v>#DIV/0!</v>
      </c>
      <c r="AY162" s="16" t="e">
        <f t="shared" si="303"/>
        <v>#DIV/0!</v>
      </c>
      <c r="AZ162" s="16" t="e">
        <f t="shared" si="303"/>
        <v>#DIV/0!</v>
      </c>
      <c r="BA162" s="16" t="e">
        <f t="shared" si="303"/>
        <v>#DIV/0!</v>
      </c>
      <c r="BB162" s="16" t="e">
        <f t="shared" si="303"/>
        <v>#DIV/0!</v>
      </c>
      <c r="BC162" s="16" t="e">
        <f t="shared" si="303"/>
        <v>#DIV/0!</v>
      </c>
      <c r="BD162" s="16">
        <f t="shared" si="303"/>
        <v>0.27920708561788277</v>
      </c>
      <c r="BE162" s="16">
        <f t="shared" si="303"/>
        <v>2.3211341905703922</v>
      </c>
      <c r="BF162" s="16">
        <f t="shared" si="303"/>
        <v>0.15040206492603991</v>
      </c>
      <c r="BG162" s="16">
        <f t="shared" si="303"/>
        <v>0.84078356920952713</v>
      </c>
      <c r="BH162" s="16">
        <f t="shared" si="303"/>
        <v>0.56410857437532225</v>
      </c>
      <c r="BI162" s="16">
        <f t="shared" si="303"/>
        <v>-1.0815849418534949</v>
      </c>
      <c r="BJ162" s="16">
        <f t="shared" si="303"/>
        <v>1</v>
      </c>
      <c r="BK162" s="16" t="e">
        <f t="shared" si="303"/>
        <v>#DIV/0!</v>
      </c>
      <c r="BL162" s="16" t="e">
        <f t="shared" si="303"/>
        <v>#DIV/0!</v>
      </c>
      <c r="BM162" s="16" t="e">
        <f t="shared" si="303"/>
        <v>#DIV/0!</v>
      </c>
      <c r="BN162" s="16" t="e">
        <f t="shared" si="303"/>
        <v>#DIV/0!</v>
      </c>
    </row>
    <row r="163" spans="2:66" s="16" customFormat="1" x14ac:dyDescent="0.35">
      <c r="B163" s="17" t="s">
        <v>1916</v>
      </c>
      <c r="C163" s="75"/>
      <c r="D163" s="75"/>
      <c r="E163" s="75"/>
      <c r="F163" s="75"/>
      <c r="G163" s="75"/>
      <c r="H163" s="75"/>
      <c r="I163" s="75"/>
      <c r="J163" s="75"/>
      <c r="K163" s="25" t="e">
        <f>(K145-G145)/ABS(G145)</f>
        <v>#DIV/0!</v>
      </c>
      <c r="L163" s="75" t="e">
        <f t="shared" ref="L163:AM163" si="304">(L145-H145)/ABS(H145)</f>
        <v>#DIV/0!</v>
      </c>
      <c r="M163" s="75" t="e">
        <f t="shared" si="304"/>
        <v>#DIV/0!</v>
      </c>
      <c r="N163" s="75" t="e">
        <f t="shared" si="304"/>
        <v>#DIV/0!</v>
      </c>
      <c r="O163" s="25">
        <f t="shared" si="304"/>
        <v>-0.10185185185185185</v>
      </c>
      <c r="P163" s="75">
        <f t="shared" si="304"/>
        <v>-0.28869844670594536</v>
      </c>
      <c r="Q163" s="75">
        <f t="shared" si="304"/>
        <v>-0.5770049680624556</v>
      </c>
      <c r="R163" s="75">
        <f t="shared" si="304"/>
        <v>-6.4364007137394846E-2</v>
      </c>
      <c r="S163" s="25">
        <f t="shared" si="304"/>
        <v>-0.41669081425673715</v>
      </c>
      <c r="T163" s="75">
        <f t="shared" si="304"/>
        <v>2.1671686746987953</v>
      </c>
      <c r="U163" s="75">
        <f t="shared" si="304"/>
        <v>3.3926174496644297</v>
      </c>
      <c r="V163" s="75">
        <f t="shared" si="304"/>
        <v>0.73586704808609182</v>
      </c>
      <c r="W163" s="25">
        <f t="shared" si="304"/>
        <v>0.70464307629372058</v>
      </c>
      <c r="X163" s="75">
        <f t="shared" si="304"/>
        <v>0.32097004279600572</v>
      </c>
      <c r="Y163" s="75">
        <f t="shared" si="304"/>
        <v>-0.38980137509549273</v>
      </c>
      <c r="Z163" s="75">
        <f t="shared" si="304"/>
        <v>0.4531899866593424</v>
      </c>
      <c r="AA163" s="25">
        <f t="shared" si="304"/>
        <v>-1.5837950138504155</v>
      </c>
      <c r="AB163" s="75">
        <f t="shared" si="304"/>
        <v>1.3662706983441324</v>
      </c>
      <c r="AC163" s="75">
        <f t="shared" si="304"/>
        <v>-0.71799687010954616</v>
      </c>
      <c r="AD163" s="75">
        <f t="shared" si="304"/>
        <v>-0.15719840155524353</v>
      </c>
      <c r="AE163" s="25">
        <f t="shared" si="304"/>
        <v>-1.1090860359153043</v>
      </c>
      <c r="AF163" s="75">
        <f t="shared" si="304"/>
        <v>-1.1196470677721153</v>
      </c>
      <c r="AG163" s="75">
        <f t="shared" si="304"/>
        <v>-10.361820199778025</v>
      </c>
      <c r="AH163" s="75">
        <f t="shared" si="304"/>
        <v>-0.79810341513423466</v>
      </c>
      <c r="AI163" s="25">
        <f t="shared" si="304"/>
        <v>-1.254543143982717</v>
      </c>
      <c r="AJ163" s="75">
        <f t="shared" si="304"/>
        <v>-3.2968849332485695</v>
      </c>
      <c r="AK163" s="75">
        <f t="shared" si="304"/>
        <v>0.41031416716064018</v>
      </c>
      <c r="AL163" s="75">
        <f t="shared" si="304"/>
        <v>2.9927007299270074</v>
      </c>
      <c r="AM163" s="25">
        <f t="shared" si="304"/>
        <v>0.46908291528098756</v>
      </c>
      <c r="AN163" s="75">
        <f>(AN145-AJ145)/ABS(AJ145)</f>
        <v>1.7428613700251516</v>
      </c>
      <c r="AO163" s="75"/>
      <c r="AP163" s="75"/>
      <c r="AQ163" s="75"/>
      <c r="AR163" s="75"/>
      <c r="AS163" s="75"/>
      <c r="AT163" s="75"/>
      <c r="AU163" s="16" t="e">
        <f>(AU145-AT145)/ABS(AT145)</f>
        <v>#DIV/0!</v>
      </c>
      <c r="AV163" s="16" t="e">
        <f t="shared" ref="AV163:BN163" si="305">(AV145-AU145)/ABS(AU145)</f>
        <v>#DIV/0!</v>
      </c>
      <c r="AW163" s="16" t="e">
        <f t="shared" si="305"/>
        <v>#DIV/0!</v>
      </c>
      <c r="AX163" s="16" t="e">
        <f t="shared" si="305"/>
        <v>#DIV/0!</v>
      </c>
      <c r="AY163" s="16" t="e">
        <f t="shared" si="305"/>
        <v>#DIV/0!</v>
      </c>
      <c r="AZ163" s="16" t="e">
        <f t="shared" si="305"/>
        <v>#DIV/0!</v>
      </c>
      <c r="BA163" s="16" t="e">
        <f t="shared" si="305"/>
        <v>#DIV/0!</v>
      </c>
      <c r="BB163" s="16" t="e">
        <f t="shared" si="305"/>
        <v>#DIV/0!</v>
      </c>
      <c r="BC163" s="16">
        <f t="shared" si="305"/>
        <v>0.26161073825503356</v>
      </c>
      <c r="BD163" s="16">
        <f t="shared" si="305"/>
        <v>-0.31801255452707733</v>
      </c>
      <c r="BE163" s="16">
        <f t="shared" si="305"/>
        <v>1.6982839313572542</v>
      </c>
      <c r="BF163" s="16">
        <f t="shared" si="305"/>
        <v>0.49311979648473636</v>
      </c>
      <c r="BG163" s="16">
        <f t="shared" si="305"/>
        <v>3.8334946757018393E-3</v>
      </c>
      <c r="BH163" s="16">
        <f t="shared" si="305"/>
        <v>-1.5680450547754976</v>
      </c>
      <c r="BI163" s="16">
        <f t="shared" si="305"/>
        <v>-0.14715469238082304</v>
      </c>
      <c r="BJ163" s="16">
        <f t="shared" si="305"/>
        <v>1</v>
      </c>
      <c r="BK163" s="16" t="e">
        <f t="shared" si="305"/>
        <v>#DIV/0!</v>
      </c>
      <c r="BL163" s="16" t="e">
        <f t="shared" si="305"/>
        <v>#DIV/0!</v>
      </c>
      <c r="BM163" s="16" t="e">
        <f t="shared" si="305"/>
        <v>#DIV/0!</v>
      </c>
      <c r="BN163" s="16" t="e">
        <f t="shared" si="305"/>
        <v>#DIV/0!</v>
      </c>
    </row>
    <row r="164" spans="2:66" s="144" customFormat="1" x14ac:dyDescent="0.35">
      <c r="B164" s="141" t="s">
        <v>1889</v>
      </c>
      <c r="C164" s="142"/>
      <c r="D164" s="142"/>
      <c r="E164" s="142"/>
      <c r="F164" s="142"/>
      <c r="G164" s="142"/>
      <c r="H164" s="142"/>
      <c r="I164" s="142"/>
      <c r="J164" s="142"/>
      <c r="K164" s="143" t="e">
        <f>(K26-G26)/ABS(G26)</f>
        <v>#DIV/0!</v>
      </c>
      <c r="L164" s="142" t="e">
        <f t="shared" ref="L164:AM164" si="306">(L26-H26)/ABS(H26)</f>
        <v>#DIV/0!</v>
      </c>
      <c r="M164" s="142" t="e">
        <f t="shared" si="306"/>
        <v>#DIV/0!</v>
      </c>
      <c r="N164" s="142" t="e">
        <f t="shared" si="306"/>
        <v>#DIV/0!</v>
      </c>
      <c r="O164" s="143">
        <f t="shared" si="306"/>
        <v>0.42673421667965705</v>
      </c>
      <c r="P164" s="142">
        <f t="shared" si="306"/>
        <v>0.42065142065142064</v>
      </c>
      <c r="Q164" s="142">
        <f t="shared" si="306"/>
        <v>0.41875580315691735</v>
      </c>
      <c r="R164" s="142">
        <f t="shared" si="306"/>
        <v>0.44626696832579188</v>
      </c>
      <c r="S164" s="143">
        <f t="shared" si="306"/>
        <v>0.48647910406992623</v>
      </c>
      <c r="T164" s="142">
        <f t="shared" si="306"/>
        <v>0.48902439024390243</v>
      </c>
      <c r="U164" s="142">
        <f t="shared" si="306"/>
        <v>0.45702443280977312</v>
      </c>
      <c r="V164" s="142">
        <f t="shared" si="306"/>
        <v>0.45267892061008996</v>
      </c>
      <c r="W164" s="143">
        <f t="shared" si="306"/>
        <v>0.4141859610437339</v>
      </c>
      <c r="X164" s="142">
        <f t="shared" si="306"/>
        <v>0.37280917280917281</v>
      </c>
      <c r="Y164" s="142">
        <f t="shared" si="306"/>
        <v>0.34675849678095522</v>
      </c>
      <c r="Z164" s="142">
        <f t="shared" si="306"/>
        <v>0.33988423744783952</v>
      </c>
      <c r="AA164" s="143">
        <f t="shared" si="306"/>
        <v>0.32783264033264031</v>
      </c>
      <c r="AB164" s="142">
        <f t="shared" si="306"/>
        <v>0.28958358191146644</v>
      </c>
      <c r="AC164" s="142">
        <f t="shared" si="306"/>
        <v>0.28971650917176212</v>
      </c>
      <c r="AD164" s="142">
        <f t="shared" si="306"/>
        <v>0.28008840667068513</v>
      </c>
      <c r="AE164" s="143">
        <f t="shared" si="306"/>
        <v>0.32136216850963889</v>
      </c>
      <c r="AF164" s="142">
        <f t="shared" si="306"/>
        <v>0.37018874907475946</v>
      </c>
      <c r="AG164" s="142">
        <f t="shared" si="306"/>
        <v>0.3886733902249806</v>
      </c>
      <c r="AH164" s="142">
        <f t="shared" si="306"/>
        <v>0.39538533982106422</v>
      </c>
      <c r="AI164" s="143">
        <f t="shared" si="306"/>
        <v>0.36569651188624752</v>
      </c>
      <c r="AJ164" s="142">
        <f t="shared" si="306"/>
        <v>0.33290566547369843</v>
      </c>
      <c r="AK164" s="142">
        <f t="shared" si="306"/>
        <v>0.27486033519553071</v>
      </c>
      <c r="AL164" s="142">
        <f t="shared" si="306"/>
        <v>0.20236220472440944</v>
      </c>
      <c r="AM164" s="143">
        <f t="shared" si="306"/>
        <v>0.15796323409793395</v>
      </c>
      <c r="AN164" s="142">
        <f>(AN26-AJ26)/ABS(AJ26)</f>
        <v>0.12163736764780383</v>
      </c>
      <c r="AO164" s="142"/>
      <c r="AP164" s="142"/>
      <c r="AQ164" s="142"/>
      <c r="AR164" s="142"/>
      <c r="AS164" s="142"/>
      <c r="AT164" s="142"/>
      <c r="AU164" s="144" t="e">
        <f>(AU26-AT26)/ABS(AT26)</f>
        <v>#DIV/0!</v>
      </c>
      <c r="AV164" s="144" t="e">
        <f t="shared" ref="AV164:BN164" si="307">(AV26-AU26)/ABS(AU26)</f>
        <v>#DIV/0!</v>
      </c>
      <c r="AW164" s="144" t="e">
        <f t="shared" si="307"/>
        <v>#DIV/0!</v>
      </c>
      <c r="AX164" s="144" t="e">
        <f t="shared" si="307"/>
        <v>#DIV/0!</v>
      </c>
      <c r="AY164" s="144" t="e">
        <f t="shared" si="307"/>
        <v>#DIV/0!</v>
      </c>
      <c r="AZ164" s="144" t="e">
        <f t="shared" si="307"/>
        <v>#DIV/0!</v>
      </c>
      <c r="BA164" s="144" t="e">
        <f t="shared" si="307"/>
        <v>#DIV/0!</v>
      </c>
      <c r="BB164" s="144">
        <f t="shared" si="307"/>
        <v>0.69681309216192933</v>
      </c>
      <c r="BC164" s="144">
        <f t="shared" si="307"/>
        <v>0.55063451776649741</v>
      </c>
      <c r="BD164" s="144">
        <f t="shared" si="307"/>
        <v>0.42884033063262134</v>
      </c>
      <c r="BE164" s="144">
        <f t="shared" si="307"/>
        <v>0.46944269431238905</v>
      </c>
      <c r="BF164" s="144">
        <f t="shared" si="307"/>
        <v>0.36526992788930035</v>
      </c>
      <c r="BG164" s="144">
        <f t="shared" si="307"/>
        <v>0.29532347399074971</v>
      </c>
      <c r="BH164" s="144">
        <f t="shared" si="307"/>
        <v>0.37099404893101168</v>
      </c>
      <c r="BI164" s="144">
        <f t="shared" si="307"/>
        <v>0.28767563743931063</v>
      </c>
      <c r="BJ164" s="144">
        <f t="shared" si="307"/>
        <v>-1</v>
      </c>
      <c r="BK164" s="144" t="e">
        <f t="shared" si="307"/>
        <v>#DIV/0!</v>
      </c>
      <c r="BL164" s="144" t="e">
        <f t="shared" si="307"/>
        <v>#DIV/0!</v>
      </c>
      <c r="BM164" s="144" t="e">
        <f t="shared" si="307"/>
        <v>#DIV/0!</v>
      </c>
      <c r="BN164" s="144" t="e">
        <f t="shared" si="307"/>
        <v>#DIV/0!</v>
      </c>
    </row>
    <row r="167" spans="2:66" s="57" customFormat="1" x14ac:dyDescent="0.35">
      <c r="B167" s="22" t="s">
        <v>1917</v>
      </c>
      <c r="C167" s="69"/>
      <c r="D167" s="69"/>
      <c r="E167" s="69"/>
      <c r="F167" s="69"/>
      <c r="G167" s="69"/>
      <c r="H167" s="69"/>
      <c r="I167" s="69"/>
      <c r="J167" s="69"/>
      <c r="K167" s="58"/>
      <c r="O167" s="58"/>
      <c r="S167" s="58"/>
      <c r="W167" s="58"/>
      <c r="AA167" s="58"/>
      <c r="AE167" s="58"/>
      <c r="AI167" s="58"/>
      <c r="AM167" s="58"/>
      <c r="AN167" s="69"/>
      <c r="AO167" s="69"/>
      <c r="AP167" s="69"/>
      <c r="AQ167" s="69"/>
      <c r="AR167" s="69"/>
      <c r="AS167" s="69"/>
      <c r="AT167" s="69"/>
      <c r="AU167" s="69"/>
      <c r="AV167" s="69"/>
      <c r="AW167" s="69"/>
      <c r="AX167" s="69"/>
    </row>
    <row r="168" spans="2:66" s="140" customFormat="1" x14ac:dyDescent="0.35">
      <c r="B168" s="137" t="s">
        <v>1918</v>
      </c>
      <c r="C168" s="138"/>
      <c r="D168" s="138"/>
      <c r="E168" s="138"/>
      <c r="F168" s="138"/>
      <c r="G168" s="138"/>
      <c r="H168" s="138"/>
      <c r="I168" s="138"/>
      <c r="J168" s="138"/>
      <c r="K168" s="139">
        <f>SUM(H80:K80)/K102</f>
        <v>3.0921443736730363</v>
      </c>
      <c r="L168" s="138">
        <f t="shared" ref="L168:AQ168" si="308">SUM(I80:L80)/L102</f>
        <v>6.2797468354430377</v>
      </c>
      <c r="M168" s="138">
        <f t="shared" si="308"/>
        <v>9.7101052631578941</v>
      </c>
      <c r="N168" s="138">
        <f t="shared" si="308"/>
        <v>14.254402515723271</v>
      </c>
      <c r="O168" s="139">
        <f t="shared" si="308"/>
        <v>14.944758909853249</v>
      </c>
      <c r="P168" s="138">
        <f t="shared" si="308"/>
        <v>15.670563674321503</v>
      </c>
      <c r="Q168" s="138">
        <f t="shared" si="308"/>
        <v>16.751975051975052</v>
      </c>
      <c r="R168" s="138">
        <f t="shared" si="308"/>
        <v>18.527708333333333</v>
      </c>
      <c r="S168" s="139">
        <f t="shared" si="308"/>
        <v>19.958057851239669</v>
      </c>
      <c r="T168" s="138">
        <f t="shared" si="308"/>
        <v>21.412037037037038</v>
      </c>
      <c r="U168" s="138">
        <f t="shared" si="308"/>
        <v>22.051596806387227</v>
      </c>
      <c r="V168" s="138">
        <f t="shared" si="308"/>
        <v>23.910369609856264</v>
      </c>
      <c r="W168" s="139">
        <f t="shared" si="308"/>
        <v>24.597250509164969</v>
      </c>
      <c r="X168" s="138">
        <f t="shared" si="308"/>
        <v>25.564198782961462</v>
      </c>
      <c r="Y168" s="138">
        <f t="shared" si="308"/>
        <v>26.814949494949495</v>
      </c>
      <c r="Z168" s="138">
        <f t="shared" si="308"/>
        <v>28.392914979757084</v>
      </c>
      <c r="AA168" s="139">
        <f t="shared" si="308"/>
        <v>29.746385542168674</v>
      </c>
      <c r="AB168" s="138">
        <f t="shared" si="308"/>
        <v>32.178199999999997</v>
      </c>
      <c r="AC168" s="138">
        <f t="shared" si="308"/>
        <v>34.725149700598806</v>
      </c>
      <c r="AD168" s="138">
        <f t="shared" si="308"/>
        <v>38.606400000000001</v>
      </c>
      <c r="AE168" s="139">
        <f t="shared" si="308"/>
        <v>41.580357142857146</v>
      </c>
      <c r="AF168" s="138">
        <f t="shared" si="308"/>
        <v>43.877858061961795</v>
      </c>
      <c r="AG168" s="138">
        <f t="shared" si="308"/>
        <v>45.164201183431956</v>
      </c>
      <c r="AH168" s="138">
        <f t="shared" si="308"/>
        <v>46.425098814229251</v>
      </c>
      <c r="AI168" s="139">
        <f t="shared" si="308"/>
        <v>46.93005893909627</v>
      </c>
      <c r="AJ168" s="138">
        <f t="shared" si="308"/>
        <v>47.754496314496315</v>
      </c>
      <c r="AK168" s="138">
        <f t="shared" si="308"/>
        <v>48.610105507695287</v>
      </c>
      <c r="AL168" s="138">
        <f t="shared" si="308"/>
        <v>50.158092230353908</v>
      </c>
      <c r="AM168" s="139">
        <f t="shared" si="308"/>
        <v>51.209463414634143</v>
      </c>
      <c r="AN168" s="138">
        <f t="shared" si="308"/>
        <v>52.313660670879919</v>
      </c>
      <c r="AO168" s="138" t="e">
        <f t="shared" si="308"/>
        <v>#DIV/0!</v>
      </c>
      <c r="AP168" s="138" t="e">
        <f t="shared" si="308"/>
        <v>#DIV/0!</v>
      </c>
      <c r="AQ168" s="138" t="e">
        <f t="shared" si="308"/>
        <v>#DIV/0!</v>
      </c>
      <c r="AR168" s="138"/>
      <c r="AS168" s="138"/>
      <c r="AT168" s="138"/>
      <c r="AU168" s="140" t="e">
        <f>AU80/AU102</f>
        <v>#DIV/0!</v>
      </c>
      <c r="AV168" s="140" t="e">
        <f>AV80/AV102</f>
        <v>#DIV/0!</v>
      </c>
      <c r="AW168" s="140" t="e">
        <f>AW80/AW102</f>
        <v>#DIV/0!</v>
      </c>
      <c r="AX168" s="140" t="e">
        <f t="shared" ref="AX168:BN168" si="309">AX80/AX102</f>
        <v>#DIV/0!</v>
      </c>
      <c r="AY168" s="140" t="e">
        <f t="shared" si="309"/>
        <v>#DIV/0!</v>
      </c>
      <c r="AZ168" s="140" t="e">
        <f t="shared" si="309"/>
        <v>#DIV/0!</v>
      </c>
      <c r="BA168" s="140" t="e">
        <f t="shared" si="309"/>
        <v>#DIV/0!</v>
      </c>
      <c r="BB168" s="140" t="e">
        <f t="shared" si="309"/>
        <v>#DIV/0!</v>
      </c>
      <c r="BC168" s="140">
        <f t="shared" si="309"/>
        <v>14.344620253164557</v>
      </c>
      <c r="BD168" s="140">
        <f t="shared" si="309"/>
        <v>18.527708333333333</v>
      </c>
      <c r="BE168" s="140">
        <f t="shared" si="309"/>
        <v>23.910369609856264</v>
      </c>
      <c r="BF168" s="140">
        <f t="shared" si="309"/>
        <v>28.392914979757084</v>
      </c>
      <c r="BG168" s="140">
        <f t="shared" si="309"/>
        <v>38.587106446776609</v>
      </c>
      <c r="BH168" s="140">
        <f t="shared" si="309"/>
        <v>46.43886527626767</v>
      </c>
      <c r="BI168" s="140">
        <f t="shared" si="309"/>
        <v>50.444891549710469</v>
      </c>
      <c r="BJ168" s="140" t="e">
        <f t="shared" si="309"/>
        <v>#DIV/0!</v>
      </c>
      <c r="BK168" s="140" t="e">
        <f t="shared" si="309"/>
        <v>#DIV/0!</v>
      </c>
      <c r="BL168" s="140" t="e">
        <f t="shared" si="309"/>
        <v>#DIV/0!</v>
      </c>
      <c r="BM168" s="140" t="e">
        <f t="shared" si="309"/>
        <v>#DIV/0!</v>
      </c>
      <c r="BN168" s="140" t="e">
        <f t="shared" si="309"/>
        <v>#DIV/0!</v>
      </c>
    </row>
    <row r="169" spans="2:66" s="140" customFormat="1" x14ac:dyDescent="0.35">
      <c r="B169" s="137" t="s">
        <v>863</v>
      </c>
      <c r="C169" s="138"/>
      <c r="D169" s="138"/>
      <c r="E169" s="138"/>
      <c r="F169" s="138"/>
      <c r="G169" s="138"/>
      <c r="H169" s="138"/>
      <c r="I169" s="138"/>
      <c r="J169" s="138"/>
      <c r="K169" s="139">
        <f>SUM(H98:K98)/K102</f>
        <v>5.4458598726114651E-2</v>
      </c>
      <c r="L169" s="138">
        <f t="shared" ref="L169:AQ169" si="310">SUM(I98:L98)/L102</f>
        <v>0.14451476793248946</v>
      </c>
      <c r="M169" s="138">
        <f t="shared" si="310"/>
        <v>0.17073684210526316</v>
      </c>
      <c r="N169" s="138">
        <f t="shared" si="310"/>
        <v>0.24853249475890984</v>
      </c>
      <c r="O169" s="139">
        <f t="shared" si="310"/>
        <v>0.27064989517819704</v>
      </c>
      <c r="P169" s="138">
        <f t="shared" si="310"/>
        <v>0.20062630480167015</v>
      </c>
      <c r="Q169" s="138">
        <f t="shared" si="310"/>
        <v>0.20020790020790022</v>
      </c>
      <c r="R169" s="138">
        <f t="shared" si="310"/>
        <v>0.31593749999999998</v>
      </c>
      <c r="S169" s="139">
        <f t="shared" si="310"/>
        <v>0.4068181818181818</v>
      </c>
      <c r="T169" s="138">
        <f t="shared" si="310"/>
        <v>0.64557613168724282</v>
      </c>
      <c r="U169" s="138">
        <f t="shared" si="310"/>
        <v>0.88842315369261482</v>
      </c>
      <c r="V169" s="138">
        <f t="shared" si="310"/>
        <v>1.0341889117043122</v>
      </c>
      <c r="W169" s="139">
        <f t="shared" si="310"/>
        <v>1.2225050916496945</v>
      </c>
      <c r="X169" s="138">
        <f t="shared" si="310"/>
        <v>1.2267748478701825</v>
      </c>
      <c r="Y169" s="138">
        <f t="shared" si="310"/>
        <v>1.1461616161616162</v>
      </c>
      <c r="Z169" s="138">
        <f t="shared" si="310"/>
        <v>1.1728744939271256</v>
      </c>
      <c r="AA169" s="139">
        <f t="shared" si="310"/>
        <v>1.0604417670682731</v>
      </c>
      <c r="AB169" s="138">
        <f t="shared" si="310"/>
        <v>1.3180000000000001</v>
      </c>
      <c r="AC169" s="138">
        <f t="shared" si="310"/>
        <v>1.7342315369261476</v>
      </c>
      <c r="AD169" s="138">
        <f t="shared" si="310"/>
        <v>2.1331000000000002</v>
      </c>
      <c r="AE169" s="139">
        <f t="shared" si="310"/>
        <v>2.6689484126984127</v>
      </c>
      <c r="AF169" s="138">
        <f t="shared" si="310"/>
        <v>2.9137879837671981</v>
      </c>
      <c r="AG169" s="138">
        <f t="shared" si="310"/>
        <v>2.5900394477317552</v>
      </c>
      <c r="AH169" s="138">
        <f t="shared" si="310"/>
        <v>3.4944664031620554</v>
      </c>
      <c r="AI169" s="139">
        <f t="shared" si="310"/>
        <v>2.2999017681728882</v>
      </c>
      <c r="AJ169" s="138">
        <f t="shared" si="310"/>
        <v>1.3372972972972974</v>
      </c>
      <c r="AK169" s="138">
        <f t="shared" si="310"/>
        <v>1.2896137837576227</v>
      </c>
      <c r="AL169" s="138">
        <f t="shared" si="310"/>
        <v>-0.26563198987325137</v>
      </c>
      <c r="AM169" s="139">
        <f t="shared" si="310"/>
        <v>0.41892682926829267</v>
      </c>
      <c r="AN169" s="138">
        <f t="shared" si="310"/>
        <v>1.270977151191055</v>
      </c>
      <c r="AO169" s="138" t="e">
        <f t="shared" si="310"/>
        <v>#DIV/0!</v>
      </c>
      <c r="AP169" s="138" t="e">
        <f t="shared" si="310"/>
        <v>#DIV/0!</v>
      </c>
      <c r="AQ169" s="138" t="e">
        <f t="shared" si="310"/>
        <v>#DIV/0!</v>
      </c>
      <c r="AR169" s="138"/>
      <c r="AS169" s="138"/>
      <c r="AT169" s="138"/>
      <c r="AU169" s="140" t="e">
        <f>AU98/AU102</f>
        <v>#DIV/0!</v>
      </c>
      <c r="AV169" s="140" t="e">
        <f>AV98/AV102</f>
        <v>#DIV/0!</v>
      </c>
      <c r="AW169" s="140" t="e">
        <f>AW98/AW102</f>
        <v>#DIV/0!</v>
      </c>
      <c r="AX169" s="140" t="e">
        <f t="shared" ref="AX169:BN169" si="311">AX98/AX102</f>
        <v>#DIV/0!</v>
      </c>
      <c r="AY169" s="140" t="e">
        <f t="shared" si="311"/>
        <v>#DIV/0!</v>
      </c>
      <c r="AZ169" s="140" t="e">
        <f t="shared" si="311"/>
        <v>#DIV/0!</v>
      </c>
      <c r="BA169" s="140" t="e">
        <f t="shared" si="311"/>
        <v>#DIV/0!</v>
      </c>
      <c r="BB169" s="140" t="e">
        <f t="shared" si="311"/>
        <v>#DIV/0!</v>
      </c>
      <c r="BC169" s="140">
        <f t="shared" si="311"/>
        <v>0.25010548523206749</v>
      </c>
      <c r="BD169" s="140">
        <f t="shared" si="311"/>
        <v>0.31593749999999998</v>
      </c>
      <c r="BE169" s="140">
        <f t="shared" si="311"/>
        <v>1.0341889117043122</v>
      </c>
      <c r="BF169" s="140">
        <f t="shared" si="311"/>
        <v>1.1728744939271256</v>
      </c>
      <c r="BG169" s="140">
        <f t="shared" si="311"/>
        <v>2.1320339830084958</v>
      </c>
      <c r="BH169" s="140">
        <f t="shared" si="311"/>
        <v>3.2978155579717305</v>
      </c>
      <c r="BI169" s="140">
        <f t="shared" si="311"/>
        <v>-0.2671508489547551</v>
      </c>
      <c r="BJ169" s="140" t="e">
        <f t="shared" si="311"/>
        <v>#DIV/0!</v>
      </c>
      <c r="BK169" s="140" t="e">
        <f t="shared" si="311"/>
        <v>#DIV/0!</v>
      </c>
      <c r="BL169" s="140" t="e">
        <f t="shared" si="311"/>
        <v>#DIV/0!</v>
      </c>
      <c r="BM169" s="140" t="e">
        <f t="shared" si="311"/>
        <v>#DIV/0!</v>
      </c>
      <c r="BN169" s="140" t="e">
        <f t="shared" si="311"/>
        <v>#DIV/0!</v>
      </c>
    </row>
    <row r="170" spans="2:66" s="140" customFormat="1" x14ac:dyDescent="0.35">
      <c r="B170" s="137" t="s">
        <v>1919</v>
      </c>
      <c r="C170" s="138"/>
      <c r="D170" s="138"/>
      <c r="E170" s="138"/>
      <c r="F170" s="138"/>
      <c r="G170" s="138"/>
      <c r="H170" s="138"/>
      <c r="I170" s="138"/>
      <c r="J170" s="138"/>
      <c r="K170" s="139">
        <f>K108/K102</f>
        <v>1.3237791932059448</v>
      </c>
      <c r="L170" s="138">
        <f t="shared" ref="L170:AQ170" si="312">L108/L102</f>
        <v>1.3207805907172996</v>
      </c>
      <c r="M170" s="138">
        <f t="shared" si="312"/>
        <v>1.4374736842105262</v>
      </c>
      <c r="N170" s="138">
        <f t="shared" si="312"/>
        <v>2.0266247379454927</v>
      </c>
      <c r="O170" s="139">
        <f t="shared" si="312"/>
        <v>1.6184486373165619</v>
      </c>
      <c r="P170" s="138">
        <f t="shared" si="312"/>
        <v>1.3781837160751567</v>
      </c>
      <c r="Q170" s="138">
        <f t="shared" si="312"/>
        <v>1.3271309771309772</v>
      </c>
      <c r="R170" s="138">
        <f t="shared" si="312"/>
        <v>2.1377083333333333</v>
      </c>
      <c r="S170" s="139">
        <f t="shared" si="312"/>
        <v>1.7227272727272727</v>
      </c>
      <c r="T170" s="138">
        <f t="shared" si="312"/>
        <v>2.0394032921810701</v>
      </c>
      <c r="U170" s="138">
        <f t="shared" si="312"/>
        <v>2.038423153692615</v>
      </c>
      <c r="V170" s="138">
        <f t="shared" si="312"/>
        <v>3.2597535934291582</v>
      </c>
      <c r="W170" s="139">
        <f t="shared" si="312"/>
        <v>2.3538696537678208</v>
      </c>
      <c r="X170" s="138">
        <f t="shared" si="312"/>
        <v>2.2937119675456388</v>
      </c>
      <c r="Y170" s="138">
        <f t="shared" si="312"/>
        <v>2.348989898989899</v>
      </c>
      <c r="Z170" s="138">
        <f t="shared" si="312"/>
        <v>3.6530364372469637</v>
      </c>
      <c r="AA170" s="139">
        <f t="shared" si="312"/>
        <v>2.7310240963855423</v>
      </c>
      <c r="AB170" s="138">
        <f t="shared" si="312"/>
        <v>3.7465999999999999</v>
      </c>
      <c r="AC170" s="138">
        <f t="shared" si="312"/>
        <v>2.9870259481037924</v>
      </c>
      <c r="AD170" s="138">
        <f t="shared" si="312"/>
        <v>4.2122000000000002</v>
      </c>
      <c r="AE170" s="139">
        <f t="shared" si="312"/>
        <v>3.3565476190476189</v>
      </c>
      <c r="AF170" s="138">
        <f t="shared" si="312"/>
        <v>3.9968326239730771</v>
      </c>
      <c r="AG170" s="138">
        <f t="shared" si="312"/>
        <v>2.9530571992110453</v>
      </c>
      <c r="AH170" s="138">
        <f t="shared" si="312"/>
        <v>3.5790513833992095</v>
      </c>
      <c r="AI170" s="139">
        <f t="shared" si="312"/>
        <v>3.5749508840864439</v>
      </c>
      <c r="AJ170" s="138">
        <f t="shared" si="312"/>
        <v>3.6833415233415234</v>
      </c>
      <c r="AK170" s="138">
        <f t="shared" si="312"/>
        <v>3.3827315845513501</v>
      </c>
      <c r="AL170" s="138">
        <f t="shared" si="312"/>
        <v>5.2587717377993268</v>
      </c>
      <c r="AM170" s="139">
        <f t="shared" si="312"/>
        <v>4.8139512195121954</v>
      </c>
      <c r="AN170" s="138">
        <f t="shared" si="312"/>
        <v>4.8156538648517255</v>
      </c>
      <c r="AO170" s="138" t="e">
        <f t="shared" si="312"/>
        <v>#DIV/0!</v>
      </c>
      <c r="AP170" s="138" t="e">
        <f t="shared" si="312"/>
        <v>#DIV/0!</v>
      </c>
      <c r="AQ170" s="138" t="e">
        <f t="shared" si="312"/>
        <v>#DIV/0!</v>
      </c>
      <c r="AR170" s="138"/>
      <c r="AS170" s="138"/>
      <c r="AT170" s="138"/>
      <c r="AU170" s="140" t="e">
        <f>AU108/AU102</f>
        <v>#DIV/0!</v>
      </c>
      <c r="AV170" s="140" t="e">
        <f>AV108/AV102</f>
        <v>#DIV/0!</v>
      </c>
      <c r="AW170" s="140" t="e">
        <f>AW108/AW102</f>
        <v>#DIV/0!</v>
      </c>
      <c r="AX170" s="140" t="e">
        <f t="shared" ref="AX170:BN170" si="313">AX108/AX102</f>
        <v>#DIV/0!</v>
      </c>
      <c r="AY170" s="140" t="e">
        <f t="shared" si="313"/>
        <v>#DIV/0!</v>
      </c>
      <c r="AZ170" s="140" t="e">
        <f t="shared" si="313"/>
        <v>#DIV/0!</v>
      </c>
      <c r="BA170" s="140" t="e">
        <f t="shared" si="313"/>
        <v>#DIV/0!</v>
      </c>
      <c r="BB170" s="140" t="e">
        <f t="shared" si="313"/>
        <v>#DIV/0!</v>
      </c>
      <c r="BC170" s="140">
        <f t="shared" si="313"/>
        <v>0</v>
      </c>
      <c r="BD170" s="140">
        <f t="shared" si="313"/>
        <v>2.1377083333333333</v>
      </c>
      <c r="BE170" s="140">
        <f t="shared" si="313"/>
        <v>3.2597535934291582</v>
      </c>
      <c r="BF170" s="140">
        <f t="shared" si="313"/>
        <v>3.6530364372469637</v>
      </c>
      <c r="BG170" s="140">
        <f t="shared" si="313"/>
        <v>4.2100949525237379</v>
      </c>
      <c r="BH170" s="140">
        <f t="shared" si="313"/>
        <v>3.5801126816249877</v>
      </c>
      <c r="BI170" s="140">
        <f t="shared" si="313"/>
        <v>5.2888409068603393</v>
      </c>
      <c r="BJ170" s="140" t="e">
        <f t="shared" si="313"/>
        <v>#DIV/0!</v>
      </c>
      <c r="BK170" s="140" t="e">
        <f t="shared" si="313"/>
        <v>#DIV/0!</v>
      </c>
      <c r="BL170" s="140" t="e">
        <f t="shared" si="313"/>
        <v>#DIV/0!</v>
      </c>
      <c r="BM170" s="140" t="e">
        <f t="shared" si="313"/>
        <v>#DIV/0!</v>
      </c>
      <c r="BN170" s="140" t="e">
        <f t="shared" si="313"/>
        <v>#DIV/0!</v>
      </c>
    </row>
    <row r="171" spans="2:66" s="140" customFormat="1" x14ac:dyDescent="0.35">
      <c r="B171" s="137" t="s">
        <v>1920</v>
      </c>
      <c r="C171" s="138"/>
      <c r="D171" s="138"/>
      <c r="E171" s="138"/>
      <c r="F171" s="138"/>
      <c r="G171" s="138"/>
      <c r="H171" s="138"/>
      <c r="I171" s="138"/>
      <c r="J171" s="138"/>
      <c r="K171" s="139">
        <f>K127/K102</f>
        <v>0.8725053078556263</v>
      </c>
      <c r="L171" s="138">
        <f t="shared" ref="L171:AQ171" si="314">L127/L102</f>
        <v>0.86624472573839661</v>
      </c>
      <c r="M171" s="138">
        <f t="shared" si="314"/>
        <v>0.86368421052631583</v>
      </c>
      <c r="N171" s="138">
        <f t="shared" si="314"/>
        <v>0.80649895178197062</v>
      </c>
      <c r="O171" s="139">
        <f t="shared" si="314"/>
        <v>0.80618448637316564</v>
      </c>
      <c r="P171" s="138">
        <f t="shared" si="314"/>
        <v>0.80198329853862216</v>
      </c>
      <c r="Q171" s="138">
        <f t="shared" si="314"/>
        <v>2.5686070686070686</v>
      </c>
      <c r="R171" s="138">
        <f t="shared" si="314"/>
        <v>2.5773958333333336</v>
      </c>
      <c r="S171" s="139">
        <f t="shared" si="314"/>
        <v>2.5454545454545454</v>
      </c>
      <c r="T171" s="138">
        <f t="shared" si="314"/>
        <v>2.5347736625514403</v>
      </c>
      <c r="U171" s="138">
        <f t="shared" si="314"/>
        <v>2.4634730538922156</v>
      </c>
      <c r="V171" s="138">
        <f t="shared" si="314"/>
        <v>2.412217659137577</v>
      </c>
      <c r="W171" s="139">
        <f t="shared" si="314"/>
        <v>2.3749490835030551</v>
      </c>
      <c r="X171" s="138">
        <f t="shared" si="314"/>
        <v>2.366024340770791</v>
      </c>
      <c r="Y171" s="138">
        <f t="shared" si="314"/>
        <v>2.2698989898989899</v>
      </c>
      <c r="Z171" s="138">
        <f t="shared" si="314"/>
        <v>2.369838056680162</v>
      </c>
      <c r="AA171" s="139">
        <f t="shared" si="314"/>
        <v>2.3531124497991969</v>
      </c>
      <c r="AB171" s="138">
        <f t="shared" si="314"/>
        <v>3.3128000000000002</v>
      </c>
      <c r="AC171" s="138">
        <f t="shared" si="314"/>
        <v>3.2863273453093811</v>
      </c>
      <c r="AD171" s="138">
        <f t="shared" si="314"/>
        <v>3.1816</v>
      </c>
      <c r="AE171" s="139">
        <f t="shared" si="314"/>
        <v>3.1615079365079364</v>
      </c>
      <c r="AF171" s="138">
        <f t="shared" si="314"/>
        <v>4.9766406018014449</v>
      </c>
      <c r="AG171" s="138">
        <f t="shared" si="314"/>
        <v>4.9363905325443787</v>
      </c>
      <c r="AH171" s="138">
        <f t="shared" si="314"/>
        <v>4.8166007905138342</v>
      </c>
      <c r="AI171" s="139">
        <f t="shared" si="314"/>
        <v>4.6715127701375243</v>
      </c>
      <c r="AJ171" s="138">
        <f t="shared" si="314"/>
        <v>5.7054545454545451</v>
      </c>
      <c r="AK171" s="138">
        <f t="shared" si="314"/>
        <v>5.7031265124382928</v>
      </c>
      <c r="AL171" s="138">
        <f t="shared" si="314"/>
        <v>6.5529713886806862</v>
      </c>
      <c r="AM171" s="139">
        <f t="shared" si="314"/>
        <v>6.5447804878048776</v>
      </c>
      <c r="AN171" s="138">
        <f t="shared" si="314"/>
        <v>6.134370442391833</v>
      </c>
      <c r="AO171" s="138" t="e">
        <f t="shared" si="314"/>
        <v>#DIV/0!</v>
      </c>
      <c r="AP171" s="138" t="e">
        <f t="shared" si="314"/>
        <v>#DIV/0!</v>
      </c>
      <c r="AQ171" s="138" t="e">
        <f t="shared" si="314"/>
        <v>#DIV/0!</v>
      </c>
      <c r="AR171" s="138"/>
      <c r="AS171" s="138"/>
      <c r="AT171" s="138"/>
      <c r="AU171" s="140" t="e">
        <f>AU127/AU102</f>
        <v>#DIV/0!</v>
      </c>
      <c r="AV171" s="140" t="e">
        <f>AV127/AV102</f>
        <v>#DIV/0!</v>
      </c>
      <c r="AW171" s="140" t="e">
        <f>AW127/AW102</f>
        <v>#DIV/0!</v>
      </c>
      <c r="AX171" s="140" t="e">
        <f t="shared" ref="AX171:BN171" si="315">AX127/AX102</f>
        <v>#DIV/0!</v>
      </c>
      <c r="AY171" s="140" t="e">
        <f t="shared" si="315"/>
        <v>#DIV/0!</v>
      </c>
      <c r="AZ171" s="140" t="e">
        <f t="shared" si="315"/>
        <v>#DIV/0!</v>
      </c>
      <c r="BA171" s="140" t="e">
        <f t="shared" si="315"/>
        <v>#DIV/0!</v>
      </c>
      <c r="BB171" s="140" t="e">
        <f t="shared" si="315"/>
        <v>#DIV/0!</v>
      </c>
      <c r="BC171" s="140">
        <f t="shared" si="315"/>
        <v>0</v>
      </c>
      <c r="BD171" s="140">
        <f t="shared" si="315"/>
        <v>2.5773958333333336</v>
      </c>
      <c r="BE171" s="140">
        <f t="shared" si="315"/>
        <v>2.412217659137577</v>
      </c>
      <c r="BF171" s="140">
        <f t="shared" si="315"/>
        <v>2.369838056680162</v>
      </c>
      <c r="BG171" s="140">
        <f t="shared" si="315"/>
        <v>3.1800099950024987</v>
      </c>
      <c r="BH171" s="140">
        <f t="shared" si="315"/>
        <v>4.8180290599980236</v>
      </c>
      <c r="BI171" s="140">
        <f t="shared" si="315"/>
        <v>6.5904406713121997</v>
      </c>
      <c r="BJ171" s="140" t="e">
        <f t="shared" si="315"/>
        <v>#DIV/0!</v>
      </c>
      <c r="BK171" s="140" t="e">
        <f t="shared" si="315"/>
        <v>#DIV/0!</v>
      </c>
      <c r="BL171" s="140" t="e">
        <f t="shared" si="315"/>
        <v>#DIV/0!</v>
      </c>
      <c r="BM171" s="140" t="e">
        <f t="shared" si="315"/>
        <v>#DIV/0!</v>
      </c>
      <c r="BN171" s="140" t="e">
        <f t="shared" si="315"/>
        <v>#DIV/0!</v>
      </c>
    </row>
    <row r="172" spans="2:66" s="10" customFormat="1" x14ac:dyDescent="0.35">
      <c r="B172" s="59" t="s">
        <v>1921</v>
      </c>
      <c r="C172" s="78"/>
      <c r="D172" s="78"/>
      <c r="E172" s="78"/>
      <c r="F172" s="78"/>
      <c r="G172" s="78"/>
      <c r="H172" s="78"/>
      <c r="I172" s="78"/>
      <c r="J172" s="78"/>
      <c r="K172" s="28">
        <f>SUM(G145:K145)/K102</f>
        <v>-0.332484076433121</v>
      </c>
      <c r="L172" s="78">
        <f t="shared" ref="L172:AQ172" si="316">SUM(H145:L145)/L102</f>
        <v>-0.13343881856540085</v>
      </c>
      <c r="M172" s="78">
        <f t="shared" si="316"/>
        <v>0.16347368421052633</v>
      </c>
      <c r="N172" s="78">
        <f t="shared" si="316"/>
        <v>0.98522012578616347</v>
      </c>
      <c r="O172" s="28">
        <f t="shared" si="316"/>
        <v>0.62348008385744236</v>
      </c>
      <c r="P172" s="78">
        <f t="shared" si="316"/>
        <v>1.0864300626304801</v>
      </c>
      <c r="Q172" s="78">
        <f t="shared" si="316"/>
        <v>1.0117463617463618</v>
      </c>
      <c r="R172" s="78">
        <f t="shared" si="316"/>
        <v>1.4850000000000001</v>
      </c>
      <c r="S172" s="28">
        <f t="shared" si="316"/>
        <v>0.15712809917355372</v>
      </c>
      <c r="T172" s="78">
        <f t="shared" si="316"/>
        <v>0.94423868312757198</v>
      </c>
      <c r="U172" s="78">
        <f t="shared" si="316"/>
        <v>1.3059880239520958</v>
      </c>
      <c r="V172" s="78">
        <f t="shared" si="316"/>
        <v>2.5294661190965093</v>
      </c>
      <c r="W172" s="28">
        <f t="shared" si="316"/>
        <v>1.6142566191446028</v>
      </c>
      <c r="X172" s="78">
        <f t="shared" si="316"/>
        <v>2.6670385395537526</v>
      </c>
      <c r="Y172" s="78">
        <f t="shared" si="316"/>
        <v>2.554141414141414</v>
      </c>
      <c r="Z172" s="78">
        <f t="shared" si="316"/>
        <v>3.9036437246963565</v>
      </c>
      <c r="AA172" s="28">
        <f t="shared" si="316"/>
        <v>2.2182730923694778</v>
      </c>
      <c r="AB172" s="78">
        <f t="shared" si="316"/>
        <v>3.6684999999999999</v>
      </c>
      <c r="AC172" s="78">
        <f t="shared" si="316"/>
        <v>3.1966067864271457</v>
      </c>
      <c r="AD172" s="78">
        <f t="shared" si="316"/>
        <v>4.4442000000000004</v>
      </c>
      <c r="AE172" s="28">
        <f t="shared" si="316"/>
        <v>1.7911706349206349</v>
      </c>
      <c r="AF172" s="78">
        <f t="shared" si="316"/>
        <v>2.0006928635058894</v>
      </c>
      <c r="AG172" s="78">
        <f t="shared" si="316"/>
        <v>-0.13500986193293885</v>
      </c>
      <c r="AH172" s="78">
        <f t="shared" si="316"/>
        <v>8.7055335968379444E-2</v>
      </c>
      <c r="AI172" s="28">
        <f t="shared" si="316"/>
        <v>-3.1892927308447936</v>
      </c>
      <c r="AJ172" s="78">
        <f t="shared" si="316"/>
        <v>-3.081769041769042</v>
      </c>
      <c r="AK172" s="78">
        <f t="shared" si="316"/>
        <v>-3.3644371309650567</v>
      </c>
      <c r="AL172" s="78">
        <f t="shared" si="316"/>
        <v>-1.341041441895011</v>
      </c>
      <c r="AM172" s="28">
        <f t="shared" si="316"/>
        <v>-2.5670243902439025</v>
      </c>
      <c r="AN172" s="78">
        <f t="shared" si="316"/>
        <v>-0.34516285853184248</v>
      </c>
      <c r="AO172" s="78" t="e">
        <f t="shared" si="316"/>
        <v>#DIV/0!</v>
      </c>
      <c r="AP172" s="78" t="e">
        <f t="shared" si="316"/>
        <v>#DIV/0!</v>
      </c>
      <c r="AQ172" s="78" t="e">
        <f t="shared" si="316"/>
        <v>#DIV/0!</v>
      </c>
      <c r="AR172" s="78"/>
      <c r="AS172" s="78"/>
      <c r="AT172" s="78"/>
      <c r="AU172" s="10" t="e">
        <f>AU145/AU102</f>
        <v>#DIV/0!</v>
      </c>
      <c r="AV172" s="10" t="e">
        <f>AV145/AV102</f>
        <v>#DIV/0!</v>
      </c>
      <c r="AW172" s="10" t="e">
        <f>AW145/AW102</f>
        <v>#DIV/0!</v>
      </c>
      <c r="AX172" s="10" t="e">
        <f t="shared" ref="AX172:BN172" si="317">AX145/AX102</f>
        <v>#DIV/0!</v>
      </c>
      <c r="AY172" s="10" t="e">
        <f t="shared" si="317"/>
        <v>#DIV/0!</v>
      </c>
      <c r="AZ172" s="10" t="e">
        <f t="shared" si="317"/>
        <v>#DIV/0!</v>
      </c>
      <c r="BA172" s="10" t="e">
        <f t="shared" si="317"/>
        <v>#DIV/0!</v>
      </c>
      <c r="BB172" s="10" t="e">
        <f t="shared" si="317"/>
        <v>#DIV/0!</v>
      </c>
      <c r="BC172" s="10">
        <f t="shared" si="317"/>
        <v>0.9914556962025316</v>
      </c>
      <c r="BD172" s="10">
        <f t="shared" si="317"/>
        <v>0.66770833333333335</v>
      </c>
      <c r="BE172" s="10">
        <f t="shared" si="317"/>
        <v>1.7757700205338809</v>
      </c>
      <c r="BF172" s="10">
        <f t="shared" si="317"/>
        <v>2.6138663967611335</v>
      </c>
      <c r="BG172" s="10">
        <f t="shared" si="317"/>
        <v>2.5911044477761118</v>
      </c>
      <c r="BH172" s="10">
        <f t="shared" si="317"/>
        <v>-1.4555698329544331</v>
      </c>
      <c r="BI172" s="10">
        <f t="shared" si="317"/>
        <v>-1.6579644714888606</v>
      </c>
      <c r="BJ172" s="10" t="e">
        <f t="shared" si="317"/>
        <v>#DIV/0!</v>
      </c>
      <c r="BK172" s="10" t="e">
        <f t="shared" si="317"/>
        <v>#DIV/0!</v>
      </c>
      <c r="BL172" s="10" t="e">
        <f t="shared" si="317"/>
        <v>#DIV/0!</v>
      </c>
      <c r="BM172" s="10" t="e">
        <f t="shared" si="317"/>
        <v>#DIV/0!</v>
      </c>
      <c r="BN172" s="10" t="e">
        <f t="shared" si="317"/>
        <v>#DIV/0!</v>
      </c>
    </row>
  </sheetData>
  <pageMargins left="0.7" right="0.7" top="0.75" bottom="0.75" header="0.3" footer="0.3"/>
  <pageSetup orientation="portrait"/>
  <ignoredErrors>
    <ignoredError sqref="AH18"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zoomScale="85" zoomScaleNormal="85" workbookViewId="0">
      <selection activeCell="P41" sqref="P41"/>
    </sheetView>
  </sheetViews>
  <sheetFormatPr defaultRowHeight="14.5" x14ac:dyDescent="0.35"/>
  <cols>
    <col min="1" max="1" width="26.453125" customWidth="1"/>
  </cols>
  <sheetData>
    <row r="1" spans="1:18" x14ac:dyDescent="0.35">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row>
    <row r="2" spans="1:18" s="3" customFormat="1" x14ac:dyDescent="0.35">
      <c r="A2" s="1" t="s">
        <v>121</v>
      </c>
      <c r="B2" s="3" t="s">
        <v>122</v>
      </c>
      <c r="C2" s="3" t="s">
        <v>123</v>
      </c>
      <c r="D2" s="3" t="s">
        <v>124</v>
      </c>
      <c r="E2" s="3" t="s">
        <v>125</v>
      </c>
      <c r="F2" s="3" t="s">
        <v>126</v>
      </c>
      <c r="G2" s="3" t="s">
        <v>127</v>
      </c>
      <c r="H2" s="3" t="s">
        <v>128</v>
      </c>
      <c r="I2" s="3" t="s">
        <v>129</v>
      </c>
      <c r="J2" s="3" t="s">
        <v>130</v>
      </c>
      <c r="K2" s="3" t="s">
        <v>131</v>
      </c>
      <c r="L2" s="3" t="s">
        <v>132</v>
      </c>
      <c r="M2" s="3" t="s">
        <v>133</v>
      </c>
      <c r="N2" s="3" t="s">
        <v>134</v>
      </c>
      <c r="O2" s="3" t="s">
        <v>135</v>
      </c>
      <c r="P2" s="3" t="s">
        <v>136</v>
      </c>
      <c r="Q2" s="3" t="s">
        <v>137</v>
      </c>
      <c r="R2" s="3" t="s">
        <v>138</v>
      </c>
    </row>
    <row r="3" spans="1:18" s="3" customFormat="1" x14ac:dyDescent="0.35">
      <c r="A3" s="1" t="s">
        <v>139</v>
      </c>
      <c r="B3" s="3" t="s">
        <v>140</v>
      </c>
      <c r="C3" s="3" t="s">
        <v>141</v>
      </c>
      <c r="D3" s="3" t="s">
        <v>142</v>
      </c>
      <c r="E3" s="3" t="s">
        <v>143</v>
      </c>
      <c r="F3" s="3" t="s">
        <v>144</v>
      </c>
      <c r="G3" s="3" t="s">
        <v>145</v>
      </c>
      <c r="H3" s="3" t="s">
        <v>146</v>
      </c>
      <c r="I3" s="3" t="s">
        <v>147</v>
      </c>
      <c r="J3" s="3" t="s">
        <v>148</v>
      </c>
      <c r="K3" s="3" t="s">
        <v>141</v>
      </c>
      <c r="L3" s="3" t="s">
        <v>149</v>
      </c>
      <c r="M3" s="3" t="s">
        <v>150</v>
      </c>
      <c r="N3" s="3" t="s">
        <v>151</v>
      </c>
      <c r="O3" s="3" t="s">
        <v>152</v>
      </c>
      <c r="P3" s="3" t="s">
        <v>153</v>
      </c>
      <c r="Q3" s="3" t="s">
        <v>154</v>
      </c>
      <c r="R3" s="3" t="s">
        <v>155</v>
      </c>
    </row>
    <row r="4" spans="1:18" x14ac:dyDescent="0.35">
      <c r="A4" s="1" t="s">
        <v>156</v>
      </c>
      <c r="B4" t="s">
        <v>141</v>
      </c>
      <c r="C4" t="s">
        <v>157</v>
      </c>
      <c r="D4" t="s">
        <v>158</v>
      </c>
      <c r="E4" t="s">
        <v>159</v>
      </c>
      <c r="F4" t="s">
        <v>160</v>
      </c>
      <c r="G4" t="s">
        <v>161</v>
      </c>
      <c r="H4" t="s">
        <v>162</v>
      </c>
      <c r="I4" t="s">
        <v>163</v>
      </c>
      <c r="J4" t="s">
        <v>164</v>
      </c>
      <c r="K4" t="s">
        <v>165</v>
      </c>
      <c r="L4" t="s">
        <v>166</v>
      </c>
      <c r="M4" t="s">
        <v>167</v>
      </c>
      <c r="N4" t="s">
        <v>168</v>
      </c>
      <c r="O4" t="s">
        <v>169</v>
      </c>
      <c r="P4" t="s">
        <v>170</v>
      </c>
      <c r="Q4" t="s">
        <v>171</v>
      </c>
      <c r="R4" t="s">
        <v>172</v>
      </c>
    </row>
    <row r="5" spans="1:18" x14ac:dyDescent="0.35">
      <c r="A5" s="1" t="s">
        <v>173</v>
      </c>
      <c r="B5" t="s">
        <v>174</v>
      </c>
      <c r="C5" t="s">
        <v>174</v>
      </c>
      <c r="D5" t="s">
        <v>174</v>
      </c>
      <c r="E5" t="s">
        <v>174</v>
      </c>
      <c r="F5" t="s">
        <v>174</v>
      </c>
      <c r="G5" t="s">
        <v>174</v>
      </c>
      <c r="H5" t="s">
        <v>174</v>
      </c>
      <c r="I5" t="s">
        <v>174</v>
      </c>
      <c r="J5" t="s">
        <v>174</v>
      </c>
      <c r="K5" t="s">
        <v>174</v>
      </c>
      <c r="L5" t="s">
        <v>174</v>
      </c>
      <c r="M5" t="s">
        <v>174</v>
      </c>
      <c r="N5" t="s">
        <v>174</v>
      </c>
      <c r="O5" t="s">
        <v>174</v>
      </c>
      <c r="P5" t="s">
        <v>174</v>
      </c>
      <c r="Q5" t="s">
        <v>174</v>
      </c>
      <c r="R5" t="s">
        <v>174</v>
      </c>
    </row>
    <row r="6" spans="1:18" x14ac:dyDescent="0.35">
      <c r="A6" s="1" t="s">
        <v>175</v>
      </c>
      <c r="B6" t="s">
        <v>147</v>
      </c>
      <c r="C6" t="s">
        <v>147</v>
      </c>
      <c r="D6" t="s">
        <v>162</v>
      </c>
      <c r="E6" t="s">
        <v>162</v>
      </c>
      <c r="F6" t="s">
        <v>176</v>
      </c>
      <c r="G6" t="s">
        <v>177</v>
      </c>
      <c r="H6" t="s">
        <v>178</v>
      </c>
      <c r="I6" t="s">
        <v>179</v>
      </c>
      <c r="J6" t="s">
        <v>180</v>
      </c>
      <c r="K6" t="s">
        <v>181</v>
      </c>
      <c r="L6" t="s">
        <v>182</v>
      </c>
      <c r="M6" t="s">
        <v>183</v>
      </c>
      <c r="N6" t="s">
        <v>184</v>
      </c>
      <c r="O6" t="s">
        <v>185</v>
      </c>
      <c r="P6" t="s">
        <v>186</v>
      </c>
      <c r="Q6" t="s">
        <v>187</v>
      </c>
      <c r="R6" t="s">
        <v>188</v>
      </c>
    </row>
    <row r="7" spans="1:18" x14ac:dyDescent="0.35">
      <c r="A7" s="1" t="s">
        <v>189</v>
      </c>
      <c r="B7" t="s">
        <v>190</v>
      </c>
      <c r="C7" t="s">
        <v>157</v>
      </c>
      <c r="D7" t="s">
        <v>150</v>
      </c>
      <c r="E7" t="s">
        <v>191</v>
      </c>
      <c r="F7" t="s">
        <v>192</v>
      </c>
      <c r="G7" t="s">
        <v>193</v>
      </c>
      <c r="H7" t="s">
        <v>194</v>
      </c>
      <c r="I7" t="s">
        <v>195</v>
      </c>
      <c r="J7" t="s">
        <v>196</v>
      </c>
      <c r="K7" t="s">
        <v>197</v>
      </c>
      <c r="L7" t="s">
        <v>198</v>
      </c>
      <c r="M7" t="s">
        <v>199</v>
      </c>
      <c r="N7" t="s">
        <v>200</v>
      </c>
      <c r="O7" t="s">
        <v>201</v>
      </c>
      <c r="P7" t="s">
        <v>202</v>
      </c>
      <c r="Q7" t="s">
        <v>203</v>
      </c>
      <c r="R7" t="s">
        <v>204</v>
      </c>
    </row>
    <row r="8" spans="1:18" x14ac:dyDescent="0.35">
      <c r="A8" s="1" t="s">
        <v>205</v>
      </c>
      <c r="B8" t="s">
        <v>206</v>
      </c>
      <c r="C8" t="s">
        <v>207</v>
      </c>
      <c r="D8" t="s">
        <v>208</v>
      </c>
      <c r="E8" t="s">
        <v>209</v>
      </c>
      <c r="F8" t="s">
        <v>210</v>
      </c>
      <c r="G8" t="s">
        <v>211</v>
      </c>
      <c r="H8" t="s">
        <v>211</v>
      </c>
      <c r="I8" t="s">
        <v>212</v>
      </c>
      <c r="J8" t="s">
        <v>213</v>
      </c>
      <c r="K8" t="s">
        <v>214</v>
      </c>
      <c r="L8" t="s">
        <v>215</v>
      </c>
      <c r="M8" t="s">
        <v>216</v>
      </c>
      <c r="N8" t="s">
        <v>217</v>
      </c>
      <c r="O8" t="s">
        <v>218</v>
      </c>
      <c r="P8" t="s">
        <v>219</v>
      </c>
      <c r="Q8" t="s">
        <v>220</v>
      </c>
      <c r="R8" t="s">
        <v>221</v>
      </c>
    </row>
    <row r="9" spans="1:18" s="3" customFormat="1" x14ac:dyDescent="0.35">
      <c r="A9" s="1" t="s">
        <v>222</v>
      </c>
      <c r="B9" s="3" t="s">
        <v>223</v>
      </c>
      <c r="C9" s="3" t="s">
        <v>224</v>
      </c>
      <c r="D9" s="3" t="s">
        <v>225</v>
      </c>
      <c r="E9" s="3" t="s">
        <v>226</v>
      </c>
      <c r="F9" s="3" t="s">
        <v>227</v>
      </c>
      <c r="G9" s="3" t="s">
        <v>228</v>
      </c>
      <c r="H9" s="3" t="s">
        <v>229</v>
      </c>
      <c r="I9" s="3" t="s">
        <v>230</v>
      </c>
      <c r="J9" s="3" t="s">
        <v>231</v>
      </c>
      <c r="K9" s="3" t="s">
        <v>232</v>
      </c>
      <c r="L9" s="3" t="s">
        <v>233</v>
      </c>
      <c r="M9" s="3" t="s">
        <v>234</v>
      </c>
      <c r="N9" s="3" t="s">
        <v>235</v>
      </c>
      <c r="O9" s="3" t="s">
        <v>236</v>
      </c>
      <c r="P9" s="3" t="s">
        <v>237</v>
      </c>
      <c r="Q9" s="3" t="s">
        <v>238</v>
      </c>
      <c r="R9" s="3" t="s">
        <v>239</v>
      </c>
    </row>
    <row r="10" spans="1:18" x14ac:dyDescent="0.35">
      <c r="A10" s="1" t="s">
        <v>240</v>
      </c>
      <c r="B10" t="s">
        <v>241</v>
      </c>
      <c r="C10" t="s">
        <v>242</v>
      </c>
      <c r="D10" t="s">
        <v>243</v>
      </c>
      <c r="E10" t="s">
        <v>244</v>
      </c>
      <c r="F10" t="s">
        <v>245</v>
      </c>
      <c r="G10" t="s">
        <v>246</v>
      </c>
      <c r="H10" t="s">
        <v>247</v>
      </c>
      <c r="I10" t="s">
        <v>248</v>
      </c>
      <c r="J10" t="s">
        <v>249</v>
      </c>
      <c r="K10" t="s">
        <v>250</v>
      </c>
      <c r="L10" t="s">
        <v>251</v>
      </c>
      <c r="M10" t="s">
        <v>252</v>
      </c>
      <c r="N10" t="s">
        <v>253</v>
      </c>
      <c r="O10" t="s">
        <v>254</v>
      </c>
      <c r="P10" t="s">
        <v>255</v>
      </c>
      <c r="Q10" t="s">
        <v>255</v>
      </c>
      <c r="R10" t="s">
        <v>251</v>
      </c>
    </row>
    <row r="11" spans="1:18" x14ac:dyDescent="0.35">
      <c r="A11" s="1" t="s">
        <v>256</v>
      </c>
      <c r="B11" t="s">
        <v>174</v>
      </c>
      <c r="C11" t="s">
        <v>174</v>
      </c>
      <c r="D11" t="s">
        <v>174</v>
      </c>
      <c r="E11" t="s">
        <v>174</v>
      </c>
      <c r="F11" t="s">
        <v>174</v>
      </c>
      <c r="G11" t="s">
        <v>174</v>
      </c>
      <c r="H11" t="s">
        <v>174</v>
      </c>
      <c r="I11" t="s">
        <v>174</v>
      </c>
      <c r="J11" t="s">
        <v>174</v>
      </c>
      <c r="K11" t="s">
        <v>174</v>
      </c>
      <c r="L11" t="s">
        <v>174</v>
      </c>
      <c r="M11" t="s">
        <v>174</v>
      </c>
      <c r="N11" t="s">
        <v>174</v>
      </c>
      <c r="O11" t="s">
        <v>174</v>
      </c>
      <c r="P11" t="s">
        <v>174</v>
      </c>
      <c r="Q11" t="s">
        <v>174</v>
      </c>
      <c r="R11" t="s">
        <v>174</v>
      </c>
    </row>
    <row r="12" spans="1:18" x14ac:dyDescent="0.35">
      <c r="A12" s="1" t="s">
        <v>257</v>
      </c>
      <c r="B12" t="s">
        <v>258</v>
      </c>
      <c r="C12" t="s">
        <v>259</v>
      </c>
      <c r="D12" t="s">
        <v>260</v>
      </c>
      <c r="E12" t="s">
        <v>261</v>
      </c>
      <c r="F12" t="s">
        <v>262</v>
      </c>
      <c r="G12" t="s">
        <v>263</v>
      </c>
      <c r="H12" t="s">
        <v>264</v>
      </c>
      <c r="I12" t="s">
        <v>265</v>
      </c>
      <c r="J12" t="s">
        <v>266</v>
      </c>
      <c r="K12" t="s">
        <v>267</v>
      </c>
      <c r="L12" t="s">
        <v>268</v>
      </c>
      <c r="M12" t="s">
        <v>269</v>
      </c>
      <c r="N12" t="s">
        <v>270</v>
      </c>
      <c r="O12" t="s">
        <v>271</v>
      </c>
      <c r="P12" t="s">
        <v>272</v>
      </c>
      <c r="Q12" t="s">
        <v>273</v>
      </c>
      <c r="R12" t="s">
        <v>274</v>
      </c>
    </row>
    <row r="13" spans="1:18" x14ac:dyDescent="0.35">
      <c r="A13" s="1" t="s">
        <v>275</v>
      </c>
      <c r="B13" t="s">
        <v>276</v>
      </c>
      <c r="C13" t="s">
        <v>277</v>
      </c>
      <c r="D13" t="s">
        <v>277</v>
      </c>
      <c r="E13" t="s">
        <v>278</v>
      </c>
      <c r="F13" t="s">
        <v>279</v>
      </c>
      <c r="G13" t="s">
        <v>280</v>
      </c>
      <c r="H13" t="s">
        <v>281</v>
      </c>
      <c r="I13" t="s">
        <v>282</v>
      </c>
      <c r="J13" t="s">
        <v>283</v>
      </c>
      <c r="K13" t="s">
        <v>284</v>
      </c>
      <c r="L13" t="s">
        <v>285</v>
      </c>
      <c r="M13" t="s">
        <v>286</v>
      </c>
      <c r="N13" t="s">
        <v>287</v>
      </c>
      <c r="O13" t="s">
        <v>288</v>
      </c>
      <c r="P13" t="s">
        <v>289</v>
      </c>
      <c r="Q13" t="s">
        <v>287</v>
      </c>
      <c r="R13" t="s">
        <v>290</v>
      </c>
    </row>
    <row r="14" spans="1:18" x14ac:dyDescent="0.35">
      <c r="A14" s="1" t="s">
        <v>291</v>
      </c>
      <c r="B14" t="s">
        <v>292</v>
      </c>
      <c r="C14" t="s">
        <v>293</v>
      </c>
      <c r="D14" t="s">
        <v>294</v>
      </c>
      <c r="E14" t="s">
        <v>295</v>
      </c>
      <c r="F14" t="s">
        <v>296</v>
      </c>
      <c r="G14" t="s">
        <v>297</v>
      </c>
      <c r="H14" t="s">
        <v>298</v>
      </c>
      <c r="I14" t="s">
        <v>299</v>
      </c>
      <c r="J14" t="s">
        <v>300</v>
      </c>
      <c r="K14" t="s">
        <v>301</v>
      </c>
      <c r="L14" t="s">
        <v>302</v>
      </c>
      <c r="M14" t="s">
        <v>303</v>
      </c>
      <c r="N14" t="s">
        <v>304</v>
      </c>
      <c r="O14" t="s">
        <v>305</v>
      </c>
      <c r="P14" t="s">
        <v>306</v>
      </c>
      <c r="Q14" t="s">
        <v>307</v>
      </c>
      <c r="R14" t="s">
        <v>308</v>
      </c>
    </row>
    <row r="15" spans="1:18" x14ac:dyDescent="0.35">
      <c r="A15" s="1" t="s">
        <v>309</v>
      </c>
      <c r="B15" t="s">
        <v>310</v>
      </c>
      <c r="C15" t="s">
        <v>311</v>
      </c>
      <c r="D15" t="s">
        <v>312</v>
      </c>
      <c r="E15" t="s">
        <v>313</v>
      </c>
      <c r="F15" t="s">
        <v>314</v>
      </c>
      <c r="G15" t="s">
        <v>315</v>
      </c>
      <c r="H15" t="s">
        <v>316</v>
      </c>
      <c r="I15" t="s">
        <v>317</v>
      </c>
      <c r="J15" t="s">
        <v>318</v>
      </c>
      <c r="K15" t="s">
        <v>319</v>
      </c>
      <c r="L15" t="s">
        <v>320</v>
      </c>
      <c r="M15" t="s">
        <v>321</v>
      </c>
      <c r="N15" t="s">
        <v>322</v>
      </c>
      <c r="O15" t="s">
        <v>323</v>
      </c>
      <c r="P15" t="s">
        <v>324</v>
      </c>
      <c r="Q15" t="s">
        <v>325</v>
      </c>
      <c r="R15" t="s">
        <v>326</v>
      </c>
    </row>
    <row r="16" spans="1:18" x14ac:dyDescent="0.35">
      <c r="A16" s="1" t="s">
        <v>327</v>
      </c>
      <c r="B16" t="s">
        <v>328</v>
      </c>
      <c r="C16" t="s">
        <v>329</v>
      </c>
      <c r="D16" t="s">
        <v>330</v>
      </c>
      <c r="E16" t="s">
        <v>331</v>
      </c>
      <c r="F16" t="s">
        <v>332</v>
      </c>
      <c r="G16" t="s">
        <v>333</v>
      </c>
      <c r="H16" t="s">
        <v>334</v>
      </c>
      <c r="I16" t="s">
        <v>335</v>
      </c>
      <c r="J16" t="s">
        <v>336</v>
      </c>
      <c r="K16" t="s">
        <v>337</v>
      </c>
      <c r="L16" t="s">
        <v>338</v>
      </c>
      <c r="M16" t="s">
        <v>339</v>
      </c>
      <c r="N16" t="s">
        <v>340</v>
      </c>
      <c r="O16" t="s">
        <v>341</v>
      </c>
      <c r="P16" t="s">
        <v>342</v>
      </c>
      <c r="Q16" t="s">
        <v>343</v>
      </c>
      <c r="R16" t="s">
        <v>344</v>
      </c>
    </row>
    <row r="17" spans="1:18" x14ac:dyDescent="0.35">
      <c r="A17" s="1" t="s">
        <v>345</v>
      </c>
      <c r="B17" t="s">
        <v>280</v>
      </c>
      <c r="C17" t="s">
        <v>290</v>
      </c>
      <c r="D17" t="s">
        <v>346</v>
      </c>
      <c r="E17" t="s">
        <v>347</v>
      </c>
      <c r="F17" t="s">
        <v>346</v>
      </c>
      <c r="G17" t="s">
        <v>348</v>
      </c>
      <c r="H17" t="s">
        <v>349</v>
      </c>
      <c r="I17" t="s">
        <v>350</v>
      </c>
      <c r="J17" t="s">
        <v>351</v>
      </c>
      <c r="K17" t="s">
        <v>352</v>
      </c>
      <c r="L17" t="s">
        <v>353</v>
      </c>
      <c r="M17" t="s">
        <v>353</v>
      </c>
      <c r="N17" t="s">
        <v>354</v>
      </c>
      <c r="O17" t="s">
        <v>279</v>
      </c>
      <c r="P17" t="s">
        <v>355</v>
      </c>
      <c r="Q17" t="s">
        <v>356</v>
      </c>
      <c r="R17" t="s">
        <v>284</v>
      </c>
    </row>
    <row r="18" spans="1:18" x14ac:dyDescent="0.35">
      <c r="A18" s="1" t="s">
        <v>357</v>
      </c>
      <c r="B18" t="s">
        <v>358</v>
      </c>
      <c r="C18" t="s">
        <v>359</v>
      </c>
      <c r="D18" t="s">
        <v>360</v>
      </c>
      <c r="E18" t="s">
        <v>361</v>
      </c>
      <c r="F18" t="s">
        <v>362</v>
      </c>
      <c r="G18" t="s">
        <v>363</v>
      </c>
      <c r="H18" t="s">
        <v>364</v>
      </c>
      <c r="I18" t="s">
        <v>365</v>
      </c>
      <c r="J18" t="s">
        <v>366</v>
      </c>
      <c r="K18" t="s">
        <v>367</v>
      </c>
      <c r="L18" t="s">
        <v>368</v>
      </c>
      <c r="M18" t="s">
        <v>369</v>
      </c>
      <c r="N18" t="s">
        <v>370</v>
      </c>
      <c r="O18" t="s">
        <v>371</v>
      </c>
      <c r="P18" t="s">
        <v>372</v>
      </c>
      <c r="Q18" t="s">
        <v>373</v>
      </c>
      <c r="R18" t="s">
        <v>374</v>
      </c>
    </row>
    <row r="19" spans="1:18" x14ac:dyDescent="0.35">
      <c r="A19" s="1" t="s">
        <v>375</v>
      </c>
      <c r="B19" t="s">
        <v>376</v>
      </c>
      <c r="C19" t="s">
        <v>377</v>
      </c>
      <c r="D19" t="s">
        <v>378</v>
      </c>
      <c r="E19" t="s">
        <v>379</v>
      </c>
      <c r="F19" t="s">
        <v>380</v>
      </c>
      <c r="G19" t="s">
        <v>381</v>
      </c>
      <c r="H19" t="s">
        <v>382</v>
      </c>
      <c r="I19" t="s">
        <v>383</v>
      </c>
      <c r="J19" t="s">
        <v>384</v>
      </c>
      <c r="K19" t="s">
        <v>385</v>
      </c>
      <c r="L19" t="s">
        <v>386</v>
      </c>
      <c r="M19" t="s">
        <v>387</v>
      </c>
      <c r="N19" t="s">
        <v>388</v>
      </c>
      <c r="O19" t="s">
        <v>389</v>
      </c>
      <c r="P19" t="s">
        <v>390</v>
      </c>
      <c r="Q19" t="s">
        <v>391</v>
      </c>
      <c r="R19" t="s">
        <v>392</v>
      </c>
    </row>
    <row r="20" spans="1:18" x14ac:dyDescent="0.35">
      <c r="A20" s="1" t="s">
        <v>393</v>
      </c>
      <c r="B20" t="s">
        <v>394</v>
      </c>
      <c r="C20" t="s">
        <v>395</v>
      </c>
      <c r="D20" t="s">
        <v>396</v>
      </c>
      <c r="E20" t="s">
        <v>397</v>
      </c>
      <c r="F20" t="s">
        <v>398</v>
      </c>
      <c r="G20" t="s">
        <v>399</v>
      </c>
      <c r="H20" t="s">
        <v>400</v>
      </c>
      <c r="I20" t="s">
        <v>401</v>
      </c>
      <c r="J20" t="s">
        <v>402</v>
      </c>
      <c r="K20" t="s">
        <v>403</v>
      </c>
      <c r="L20" t="s">
        <v>404</v>
      </c>
      <c r="M20" t="s">
        <v>405</v>
      </c>
      <c r="N20" t="s">
        <v>406</v>
      </c>
      <c r="O20" t="s">
        <v>407</v>
      </c>
      <c r="P20" t="s">
        <v>408</v>
      </c>
      <c r="Q20" t="s">
        <v>409</v>
      </c>
      <c r="R20" t="s">
        <v>410</v>
      </c>
    </row>
    <row r="21" spans="1:18" x14ac:dyDescent="0.35">
      <c r="A21" s="1" t="s">
        <v>411</v>
      </c>
      <c r="B21" t="s">
        <v>412</v>
      </c>
      <c r="C21" t="s">
        <v>413</v>
      </c>
      <c r="D21" t="s">
        <v>414</v>
      </c>
      <c r="E21" t="s">
        <v>415</v>
      </c>
      <c r="F21" t="s">
        <v>416</v>
      </c>
      <c r="G21" t="s">
        <v>417</v>
      </c>
      <c r="H21" t="s">
        <v>418</v>
      </c>
      <c r="I21" t="s">
        <v>286</v>
      </c>
      <c r="J21" t="s">
        <v>348</v>
      </c>
      <c r="K21" t="s">
        <v>419</v>
      </c>
      <c r="L21" t="s">
        <v>420</v>
      </c>
      <c r="M21" t="s">
        <v>421</v>
      </c>
      <c r="N21" t="s">
        <v>422</v>
      </c>
      <c r="O21" t="s">
        <v>423</v>
      </c>
      <c r="P21" t="s">
        <v>424</v>
      </c>
      <c r="Q21" t="s">
        <v>343</v>
      </c>
      <c r="R21" t="s">
        <v>425</v>
      </c>
    </row>
    <row r="22" spans="1:18" x14ac:dyDescent="0.35">
      <c r="A22" s="1" t="s">
        <v>426</v>
      </c>
      <c r="B22" t="s">
        <v>427</v>
      </c>
      <c r="C22" t="s">
        <v>428</v>
      </c>
      <c r="D22" t="s">
        <v>429</v>
      </c>
      <c r="E22" t="s">
        <v>430</v>
      </c>
      <c r="F22" t="s">
        <v>431</v>
      </c>
      <c r="G22" t="s">
        <v>432</v>
      </c>
      <c r="H22" t="s">
        <v>433</v>
      </c>
      <c r="I22" t="s">
        <v>434</v>
      </c>
      <c r="J22" t="s">
        <v>283</v>
      </c>
      <c r="K22" t="s">
        <v>285</v>
      </c>
      <c r="L22" t="s">
        <v>421</v>
      </c>
      <c r="M22" t="s">
        <v>435</v>
      </c>
      <c r="N22" t="s">
        <v>436</v>
      </c>
      <c r="O22" t="s">
        <v>420</v>
      </c>
      <c r="P22" t="s">
        <v>437</v>
      </c>
      <c r="Q22" t="s">
        <v>438</v>
      </c>
      <c r="R22" t="s">
        <v>435</v>
      </c>
    </row>
    <row r="23" spans="1:18" x14ac:dyDescent="0.35">
      <c r="A23" s="1" t="s">
        <v>439</v>
      </c>
      <c r="B23" t="s">
        <v>440</v>
      </c>
      <c r="C23" t="s">
        <v>441</v>
      </c>
      <c r="D23" t="s">
        <v>442</v>
      </c>
      <c r="E23" t="s">
        <v>443</v>
      </c>
      <c r="F23" t="s">
        <v>444</v>
      </c>
      <c r="G23" t="s">
        <v>445</v>
      </c>
      <c r="H23" t="s">
        <v>446</v>
      </c>
      <c r="I23" t="s">
        <v>447</v>
      </c>
      <c r="J23" t="s">
        <v>448</v>
      </c>
      <c r="K23" t="s">
        <v>449</v>
      </c>
      <c r="L23" t="s">
        <v>450</v>
      </c>
      <c r="M23" t="s">
        <v>451</v>
      </c>
      <c r="N23" t="s">
        <v>452</v>
      </c>
      <c r="O23" t="s">
        <v>453</v>
      </c>
      <c r="P23" t="s">
        <v>454</v>
      </c>
      <c r="Q23" t="s">
        <v>442</v>
      </c>
      <c r="R23" t="s">
        <v>455</v>
      </c>
    </row>
    <row r="24" spans="1:18" x14ac:dyDescent="0.35">
      <c r="A24" s="1" t="s">
        <v>456</v>
      </c>
      <c r="B24" t="s">
        <v>457</v>
      </c>
      <c r="C24" t="s">
        <v>457</v>
      </c>
      <c r="D24" t="s">
        <v>457</v>
      </c>
      <c r="E24" t="s">
        <v>457</v>
      </c>
      <c r="F24" t="s">
        <v>457</v>
      </c>
      <c r="G24" t="s">
        <v>457</v>
      </c>
      <c r="H24" t="s">
        <v>457</v>
      </c>
      <c r="I24" t="s">
        <v>457</v>
      </c>
      <c r="J24" t="s">
        <v>457</v>
      </c>
      <c r="K24" t="s">
        <v>457</v>
      </c>
      <c r="L24" t="s">
        <v>457</v>
      </c>
      <c r="M24" t="s">
        <v>457</v>
      </c>
      <c r="N24" t="s">
        <v>457</v>
      </c>
      <c r="O24" t="s">
        <v>457</v>
      </c>
      <c r="P24" t="s">
        <v>457</v>
      </c>
      <c r="Q24" t="s">
        <v>457</v>
      </c>
      <c r="R24" t="s">
        <v>457</v>
      </c>
    </row>
    <row r="25" spans="1:18" x14ac:dyDescent="0.35">
      <c r="A25" s="1" t="s">
        <v>458</v>
      </c>
      <c r="B25" t="s">
        <v>459</v>
      </c>
      <c r="C25" t="s">
        <v>460</v>
      </c>
      <c r="D25" t="s">
        <v>461</v>
      </c>
      <c r="E25" t="s">
        <v>174</v>
      </c>
      <c r="F25" t="s">
        <v>174</v>
      </c>
      <c r="G25" t="s">
        <v>462</v>
      </c>
      <c r="H25" t="s">
        <v>174</v>
      </c>
      <c r="I25" t="s">
        <v>174</v>
      </c>
      <c r="J25" t="s">
        <v>174</v>
      </c>
      <c r="K25" t="s">
        <v>174</v>
      </c>
      <c r="L25" t="s">
        <v>174</v>
      </c>
      <c r="M25" t="s">
        <v>174</v>
      </c>
      <c r="N25" t="s">
        <v>174</v>
      </c>
      <c r="O25" t="s">
        <v>174</v>
      </c>
      <c r="P25" t="s">
        <v>174</v>
      </c>
      <c r="Q25" t="s">
        <v>174</v>
      </c>
      <c r="R25" t="s">
        <v>463</v>
      </c>
    </row>
    <row r="28" spans="1:18" x14ac:dyDescent="0.35">
      <c r="A28" s="2" t="s">
        <v>464</v>
      </c>
      <c r="B28">
        <f t="shared" ref="B28:R28" si="0">B3*B9</f>
        <v>1.5860000000000001</v>
      </c>
      <c r="C28">
        <f t="shared" si="0"/>
        <v>3.5220000000000002</v>
      </c>
      <c r="D28">
        <f t="shared" si="0"/>
        <v>3.6639999999999997</v>
      </c>
      <c r="E28">
        <f t="shared" si="0"/>
        <v>4.2</v>
      </c>
      <c r="F28">
        <f t="shared" si="0"/>
        <v>6.9550000000000001</v>
      </c>
      <c r="G28">
        <f t="shared" si="0"/>
        <v>9.8770000000000007</v>
      </c>
      <c r="H28">
        <f t="shared" si="0"/>
        <v>0</v>
      </c>
      <c r="I28">
        <f t="shared" si="0"/>
        <v>14.91</v>
      </c>
      <c r="J28">
        <f t="shared" si="0"/>
        <v>19.013999999999999</v>
      </c>
      <c r="K28">
        <f t="shared" si="0"/>
        <v>22.511999999999997</v>
      </c>
      <c r="L28">
        <f t="shared" si="0"/>
        <v>34.799999999999997</v>
      </c>
      <c r="M28">
        <f t="shared" si="0"/>
        <v>49.152000000000001</v>
      </c>
      <c r="N28">
        <f t="shared" si="0"/>
        <v>81.061000000000007</v>
      </c>
      <c r="O28">
        <f t="shared" si="0"/>
        <v>88.802999999999997</v>
      </c>
      <c r="P28">
        <f t="shared" si="0"/>
        <v>133.55099999999999</v>
      </c>
      <c r="Q28">
        <f t="shared" si="0"/>
        <v>166.98</v>
      </c>
      <c r="R28">
        <f t="shared" si="0"/>
        <v>148.65600000000001</v>
      </c>
    </row>
    <row r="30" spans="1:18" x14ac:dyDescent="0.35">
      <c r="A30" t="s">
        <v>465</v>
      </c>
      <c r="B30" s="4">
        <f t="shared" ref="B30:R30" si="1">B3/B2</f>
        <v>1.5503875968992248E-2</v>
      </c>
      <c r="C30" s="4">
        <f t="shared" si="1"/>
        <v>3.3333333333333333E-2</v>
      </c>
      <c r="D30" s="4">
        <f t="shared" si="1"/>
        <v>3.5242290748898682E-2</v>
      </c>
      <c r="E30" s="4">
        <f t="shared" si="1"/>
        <v>3.5335689045936397E-2</v>
      </c>
      <c r="F30" s="4">
        <f t="shared" si="1"/>
        <v>3.3942558746736295E-2</v>
      </c>
      <c r="G30" s="4">
        <f t="shared" si="1"/>
        <v>1.3182674199623354E-2</v>
      </c>
      <c r="H30" s="4">
        <f t="shared" si="1"/>
        <v>0</v>
      </c>
      <c r="I30" s="4">
        <f t="shared" si="1"/>
        <v>3.6809815950920241E-3</v>
      </c>
      <c r="J30" s="4">
        <f t="shared" si="1"/>
        <v>-3.1152647975077876E-3</v>
      </c>
      <c r="K30" s="4">
        <f t="shared" si="1"/>
        <v>5.2356020942408371E-3</v>
      </c>
      <c r="L30" s="4">
        <f t="shared" si="1"/>
        <v>1.7433751743375175E-2</v>
      </c>
      <c r="M30" s="4">
        <f t="shared" si="1"/>
        <v>1.7269293038316244E-2</v>
      </c>
      <c r="N30" s="4">
        <f t="shared" si="1"/>
        <v>4.3078209953994147E-2</v>
      </c>
      <c r="O30" s="4">
        <f t="shared" si="1"/>
        <v>4.1211694258541737E-2</v>
      </c>
      <c r="P30" s="4">
        <f t="shared" si="1"/>
        <v>5.5167055167055168E-2</v>
      </c>
      <c r="Q30" s="4">
        <f t="shared" si="1"/>
        <v>7.1074736161964247E-2</v>
      </c>
      <c r="R30" s="4">
        <f t="shared" si="1"/>
        <v>2.3844384020079479E-2</v>
      </c>
    </row>
    <row r="31" spans="1:18" x14ac:dyDescent="0.35">
      <c r="B31" s="4"/>
      <c r="C31" s="4"/>
      <c r="D31" s="4"/>
      <c r="E31" s="4"/>
      <c r="F31" s="4"/>
      <c r="G31" s="4"/>
      <c r="H31" s="4"/>
      <c r="I31" s="4"/>
      <c r="J31" s="4"/>
      <c r="K31" s="4"/>
      <c r="L31" s="4"/>
      <c r="M31" s="4"/>
      <c r="N31" s="4"/>
      <c r="O31" s="4"/>
      <c r="P31" s="4"/>
      <c r="Q31" s="4"/>
      <c r="R31" s="4"/>
    </row>
    <row r="32" spans="1:18" x14ac:dyDescent="0.35">
      <c r="A32" t="s">
        <v>466</v>
      </c>
      <c r="B32" s="4"/>
      <c r="C32" s="4"/>
      <c r="D32" s="4"/>
      <c r="E32" s="4"/>
      <c r="F32" s="4"/>
      <c r="G32" s="4"/>
      <c r="H32" s="4"/>
      <c r="I32" s="4"/>
      <c r="J32" s="4"/>
      <c r="K32" s="4"/>
      <c r="L32" s="4"/>
      <c r="M32" s="4"/>
      <c r="N32" s="4"/>
      <c r="O32" s="4"/>
      <c r="P32" s="4"/>
      <c r="Q32" s="4"/>
      <c r="R32" s="4"/>
    </row>
    <row r="33" spans="1:18" x14ac:dyDescent="0.35">
      <c r="A33" s="1" t="s">
        <v>121</v>
      </c>
      <c r="B33" s="3" t="s">
        <v>122</v>
      </c>
      <c r="C33" s="3" t="s">
        <v>123</v>
      </c>
      <c r="D33" s="3" t="s">
        <v>124</v>
      </c>
      <c r="E33" s="3" t="s">
        <v>125</v>
      </c>
      <c r="F33" s="3" t="s">
        <v>126</v>
      </c>
      <c r="G33" s="3" t="s">
        <v>127</v>
      </c>
      <c r="H33" s="3" t="s">
        <v>128</v>
      </c>
      <c r="I33" s="3" t="s">
        <v>129</v>
      </c>
      <c r="J33" s="3" t="s">
        <v>130</v>
      </c>
      <c r="K33" s="3" t="s">
        <v>131</v>
      </c>
      <c r="L33" s="3" t="s">
        <v>132</v>
      </c>
      <c r="M33" s="3" t="s">
        <v>133</v>
      </c>
      <c r="N33" s="3" t="s">
        <v>134</v>
      </c>
      <c r="O33" s="3" t="s">
        <v>135</v>
      </c>
      <c r="P33" s="3" t="s">
        <v>136</v>
      </c>
      <c r="Q33" s="3" t="s">
        <v>137</v>
      </c>
      <c r="R33" s="4"/>
    </row>
    <row r="34" spans="1:18" s="3" customFormat="1" x14ac:dyDescent="0.35">
      <c r="A34" s="1" t="s">
        <v>139</v>
      </c>
      <c r="B34" s="3" t="s">
        <v>140</v>
      </c>
      <c r="C34" s="3" t="s">
        <v>141</v>
      </c>
      <c r="D34" s="3" t="s">
        <v>142</v>
      </c>
      <c r="E34" s="3" t="s">
        <v>143</v>
      </c>
      <c r="F34" s="3" t="s">
        <v>144</v>
      </c>
      <c r="G34" s="3" t="s">
        <v>145</v>
      </c>
      <c r="H34" s="3" t="s">
        <v>146</v>
      </c>
      <c r="I34" s="3" t="s">
        <v>147</v>
      </c>
      <c r="J34" s="3" t="s">
        <v>148</v>
      </c>
      <c r="K34" s="3" t="s">
        <v>141</v>
      </c>
      <c r="L34" s="3" t="s">
        <v>149</v>
      </c>
      <c r="M34" s="3" t="s">
        <v>150</v>
      </c>
      <c r="N34" s="3" t="s">
        <v>151</v>
      </c>
      <c r="O34" s="3" t="s">
        <v>152</v>
      </c>
      <c r="P34" s="3" t="s">
        <v>153</v>
      </c>
      <c r="Q34" s="3" t="s">
        <v>154</v>
      </c>
      <c r="R34" s="3" t="s">
        <v>155</v>
      </c>
    </row>
    <row r="35" spans="1:18" x14ac:dyDescent="0.35">
      <c r="A35" s="1" t="s">
        <v>156</v>
      </c>
      <c r="B35" t="s">
        <v>141</v>
      </c>
      <c r="C35" t="s">
        <v>157</v>
      </c>
      <c r="D35" t="s">
        <v>158</v>
      </c>
      <c r="E35" t="s">
        <v>159</v>
      </c>
      <c r="F35" t="s">
        <v>160</v>
      </c>
      <c r="G35" t="s">
        <v>161</v>
      </c>
      <c r="H35" t="s">
        <v>162</v>
      </c>
      <c r="I35" t="s">
        <v>163</v>
      </c>
      <c r="J35" t="s">
        <v>164</v>
      </c>
      <c r="K35" t="s">
        <v>165</v>
      </c>
      <c r="L35" t="s">
        <v>166</v>
      </c>
      <c r="M35" t="s">
        <v>167</v>
      </c>
      <c r="N35" t="s">
        <v>168</v>
      </c>
      <c r="O35" t="s">
        <v>169</v>
      </c>
      <c r="P35" t="s">
        <v>170</v>
      </c>
      <c r="Q35" t="s">
        <v>171</v>
      </c>
      <c r="R35" t="s">
        <v>172</v>
      </c>
    </row>
    <row r="36" spans="1:18" x14ac:dyDescent="0.35">
      <c r="B36" s="4"/>
      <c r="C36" s="4"/>
      <c r="D36" s="4"/>
      <c r="E36" s="4"/>
      <c r="F36" s="4"/>
      <c r="G36" s="4"/>
      <c r="H36" s="4"/>
      <c r="I36" s="4"/>
      <c r="J36" s="4"/>
      <c r="K36" s="4"/>
      <c r="L36" s="4"/>
      <c r="M36" s="4"/>
      <c r="N36" s="4"/>
      <c r="O36" s="4"/>
      <c r="P36" s="4"/>
      <c r="Q36" s="4"/>
      <c r="R36" s="4"/>
    </row>
    <row r="37" spans="1:18" x14ac:dyDescent="0.35">
      <c r="B37" s="4"/>
      <c r="C37" s="4"/>
      <c r="D37" s="4"/>
      <c r="E37" s="4"/>
      <c r="F37" s="4"/>
      <c r="G37" s="4"/>
      <c r="H37" s="4"/>
      <c r="I37" s="4"/>
      <c r="J37" s="4"/>
      <c r="K37" s="4"/>
      <c r="L37" s="4"/>
      <c r="M37" s="4"/>
      <c r="N37" s="4"/>
      <c r="O37" s="4"/>
      <c r="P37" s="4"/>
      <c r="Q37" s="4"/>
      <c r="R37" s="4"/>
    </row>
    <row r="38" spans="1:18" x14ac:dyDescent="0.35">
      <c r="B38" s="4"/>
      <c r="C38" s="4"/>
      <c r="D38" s="4"/>
      <c r="E38" s="4"/>
      <c r="F38" s="4"/>
      <c r="G38" s="4"/>
      <c r="H38" s="4"/>
      <c r="I38" s="4"/>
      <c r="J38" s="4"/>
      <c r="K38" s="4"/>
      <c r="L38" s="4"/>
      <c r="M38" s="4"/>
      <c r="N38" s="4"/>
      <c r="O38" s="4"/>
      <c r="P38" s="4"/>
      <c r="Q38" s="4"/>
      <c r="R38" s="4"/>
    </row>
    <row r="39" spans="1:18" x14ac:dyDescent="0.35">
      <c r="B39" s="4"/>
      <c r="C39" s="4"/>
      <c r="D39" s="4"/>
      <c r="E39" s="4"/>
      <c r="F39" s="4"/>
      <c r="G39" s="4"/>
      <c r="H39" s="4"/>
      <c r="I39" s="4"/>
      <c r="J39" s="4"/>
      <c r="K39" s="4"/>
      <c r="L39" s="4"/>
      <c r="M39" s="4"/>
      <c r="N39" s="4"/>
      <c r="O39" s="4"/>
      <c r="P39" s="4"/>
      <c r="Q39" s="4"/>
      <c r="R39" s="4"/>
    </row>
    <row r="40" spans="1:18" x14ac:dyDescent="0.35">
      <c r="B40" s="4"/>
      <c r="C40" s="4"/>
      <c r="D40" s="4"/>
      <c r="E40" s="4"/>
      <c r="F40" s="4"/>
      <c r="G40" s="4"/>
      <c r="H40" s="4"/>
      <c r="I40" s="4"/>
      <c r="J40" s="4"/>
      <c r="K40" s="4"/>
      <c r="L40" s="4"/>
      <c r="M40" s="4"/>
      <c r="N40" s="4"/>
      <c r="O40" s="4"/>
      <c r="P40" s="4"/>
      <c r="Q40" s="4"/>
      <c r="R40" s="4"/>
    </row>
    <row r="41" spans="1:18" x14ac:dyDescent="0.35">
      <c r="B41" s="4"/>
      <c r="C41" s="4"/>
      <c r="D41" s="4"/>
      <c r="E41" s="4"/>
      <c r="F41" s="4"/>
      <c r="G41" s="4"/>
      <c r="H41" s="4"/>
      <c r="I41" s="4"/>
      <c r="J41" s="4"/>
      <c r="K41" s="4"/>
      <c r="L41" s="4"/>
      <c r="M41" s="4"/>
      <c r="N41" s="4"/>
      <c r="O41" s="4"/>
      <c r="P41" s="4"/>
      <c r="Q41" s="4"/>
      <c r="R41" s="4"/>
    </row>
    <row r="42" spans="1:18" x14ac:dyDescent="0.35">
      <c r="B42" s="4"/>
      <c r="C42" s="4"/>
      <c r="D42" s="4"/>
      <c r="E42" s="4"/>
      <c r="F42" s="4"/>
      <c r="G42" s="4"/>
      <c r="H42" s="4"/>
      <c r="I42" s="4"/>
      <c r="J42" s="4"/>
      <c r="K42" s="4"/>
      <c r="L42" s="4"/>
      <c r="M42" s="4"/>
      <c r="N42" s="4"/>
      <c r="O42" s="4"/>
      <c r="P42" s="4"/>
      <c r="Q42" s="4"/>
      <c r="R42" s="4"/>
    </row>
    <row r="43" spans="1:18" x14ac:dyDescent="0.35">
      <c r="B43" s="4"/>
      <c r="C43" s="4"/>
      <c r="D43" s="4"/>
      <c r="E43" s="4"/>
      <c r="F43" s="4"/>
      <c r="G43" s="4"/>
      <c r="H43" s="4"/>
      <c r="I43" s="4"/>
      <c r="J43" s="4"/>
      <c r="K43" s="4"/>
      <c r="L43" s="4"/>
      <c r="M43" s="4"/>
      <c r="N43" s="4"/>
      <c r="O43" s="4"/>
      <c r="P43" s="4"/>
      <c r="Q43" s="4"/>
      <c r="R43" s="4"/>
    </row>
    <row r="44" spans="1:18" x14ac:dyDescent="0.35">
      <c r="B44" s="4"/>
      <c r="C44" s="4"/>
      <c r="D44" s="4"/>
      <c r="E44" s="4"/>
      <c r="F44" s="4"/>
      <c r="G44" s="4"/>
      <c r="H44" s="4"/>
      <c r="I44" s="4"/>
      <c r="J44" s="4"/>
      <c r="K44" s="4"/>
      <c r="L44" s="4"/>
      <c r="M44" s="4"/>
      <c r="N44" s="4"/>
      <c r="O44" s="4"/>
      <c r="P44" s="4"/>
      <c r="Q44" s="4"/>
      <c r="R44" s="4"/>
    </row>
    <row r="45" spans="1:18" x14ac:dyDescent="0.35">
      <c r="B45" s="4"/>
      <c r="C45" s="4"/>
      <c r="D45" s="4"/>
      <c r="E45" s="4"/>
      <c r="F45" s="4"/>
      <c r="G45" s="4"/>
      <c r="H45" s="4"/>
      <c r="I45" s="4"/>
      <c r="J45" s="4"/>
      <c r="K45" s="4"/>
      <c r="L45" s="4"/>
      <c r="M45" s="4"/>
      <c r="N45" s="4"/>
      <c r="O45" s="4"/>
      <c r="P45" s="4"/>
      <c r="Q45" s="4"/>
      <c r="R45" s="4"/>
    </row>
    <row r="46" spans="1:18" x14ac:dyDescent="0.35">
      <c r="B46" s="4"/>
      <c r="C46" s="4"/>
      <c r="D46" s="4"/>
      <c r="E46" s="4"/>
      <c r="F46" s="4"/>
      <c r="G46" s="4"/>
      <c r="H46" s="4"/>
      <c r="I46" s="4"/>
      <c r="J46" s="4"/>
      <c r="K46" s="4"/>
      <c r="L46" s="4"/>
      <c r="M46" s="4"/>
      <c r="N46" s="4"/>
      <c r="O46" s="4"/>
      <c r="P46" s="4"/>
      <c r="Q46" s="4"/>
      <c r="R46" s="4"/>
    </row>
    <row r="47" spans="1:18" x14ac:dyDescent="0.35">
      <c r="B47" s="4"/>
      <c r="C47" s="4"/>
      <c r="D47" s="4"/>
      <c r="E47" s="4"/>
      <c r="F47" s="4"/>
      <c r="G47" s="4"/>
      <c r="H47" s="4"/>
      <c r="I47" s="4"/>
      <c r="J47" s="4"/>
      <c r="K47" s="4"/>
      <c r="L47" s="4"/>
      <c r="M47" s="4"/>
      <c r="N47" s="4"/>
      <c r="O47" s="4"/>
      <c r="P47" s="4"/>
      <c r="Q47" s="4"/>
      <c r="R47" s="4"/>
    </row>
    <row r="48" spans="1:18" x14ac:dyDescent="0.35">
      <c r="B48" s="4"/>
      <c r="C48" s="4"/>
      <c r="D48" s="4"/>
      <c r="E48" s="4"/>
      <c r="F48" s="4"/>
      <c r="G48" s="4"/>
      <c r="H48" s="4"/>
      <c r="I48" s="4"/>
      <c r="J48" s="4"/>
      <c r="K48" s="4"/>
      <c r="L48" s="4"/>
      <c r="M48" s="4"/>
      <c r="N48" s="4"/>
      <c r="O48" s="4"/>
      <c r="P48" s="4"/>
      <c r="Q48" s="4"/>
      <c r="R48" s="4"/>
    </row>
    <row r="49" spans="2:18" x14ac:dyDescent="0.35">
      <c r="B49" s="4"/>
      <c r="C49" s="4"/>
      <c r="D49" s="4"/>
      <c r="E49" s="4"/>
      <c r="F49" s="4"/>
      <c r="G49" s="4"/>
      <c r="H49" s="4"/>
      <c r="I49" s="4"/>
      <c r="J49" s="4"/>
      <c r="K49" s="4"/>
      <c r="L49" s="4"/>
      <c r="M49" s="4"/>
      <c r="N49" s="4"/>
      <c r="O49" s="4"/>
      <c r="P49" s="4"/>
      <c r="Q49" s="4"/>
      <c r="R49" s="4"/>
    </row>
    <row r="50" spans="2:18" x14ac:dyDescent="0.35">
      <c r="B50" s="4"/>
      <c r="C50" s="4"/>
      <c r="D50" s="4"/>
      <c r="E50" s="4"/>
      <c r="F50" s="4"/>
      <c r="G50" s="4"/>
      <c r="H50" s="4"/>
      <c r="I50" s="4"/>
      <c r="J50" s="4"/>
      <c r="K50" s="4"/>
      <c r="L50" s="4"/>
      <c r="M50" s="4"/>
      <c r="N50" s="4"/>
      <c r="O50" s="4"/>
      <c r="P50" s="4"/>
      <c r="Q50" s="4"/>
      <c r="R50" s="4"/>
    </row>
    <row r="51" spans="2:18" x14ac:dyDescent="0.35">
      <c r="B51" s="4"/>
      <c r="C51" s="4"/>
      <c r="D51" s="4"/>
      <c r="E51" s="4"/>
      <c r="F51" s="4"/>
      <c r="G51" s="4"/>
      <c r="H51" s="4"/>
      <c r="I51" s="4"/>
      <c r="J51" s="4"/>
      <c r="K51" s="4"/>
      <c r="L51" s="4"/>
      <c r="M51" s="4"/>
      <c r="N51" s="4"/>
      <c r="O51" s="4"/>
      <c r="P51" s="4"/>
      <c r="Q51" s="4"/>
      <c r="R51" s="4"/>
    </row>
    <row r="52" spans="2:18" x14ac:dyDescent="0.35">
      <c r="B52" s="4"/>
      <c r="C52" s="4"/>
      <c r="D52" s="4"/>
      <c r="E52" s="4"/>
      <c r="F52" s="4"/>
      <c r="G52" s="4"/>
      <c r="H52" s="4"/>
      <c r="I52" s="4"/>
      <c r="J52" s="4"/>
      <c r="K52" s="4"/>
      <c r="L52" s="4"/>
      <c r="M52" s="4"/>
      <c r="N52" s="4"/>
      <c r="O52" s="4"/>
      <c r="P52" s="4"/>
      <c r="Q52" s="4"/>
      <c r="R52" s="4"/>
    </row>
    <row r="53" spans="2:18" x14ac:dyDescent="0.35">
      <c r="B53" s="4"/>
      <c r="C53" s="4"/>
      <c r="D53" s="4"/>
      <c r="E53" s="4"/>
      <c r="F53" s="4"/>
      <c r="G53" s="4"/>
      <c r="H53" s="4"/>
      <c r="I53" s="4"/>
      <c r="J53" s="4"/>
      <c r="K53" s="4"/>
      <c r="L53" s="4"/>
      <c r="M53" s="4"/>
      <c r="N53" s="4"/>
      <c r="O53" s="4"/>
      <c r="P53" s="4"/>
      <c r="Q53" s="4"/>
      <c r="R53" s="4"/>
    </row>
    <row r="54" spans="2:18" x14ac:dyDescent="0.35">
      <c r="B54" s="4"/>
      <c r="C54" s="4"/>
      <c r="D54" s="4"/>
      <c r="E54" s="4"/>
      <c r="F54" s="4"/>
      <c r="G54" s="4"/>
      <c r="H54" s="4"/>
      <c r="I54" s="4"/>
      <c r="J54" s="4"/>
      <c r="K54" s="4"/>
      <c r="L54" s="4"/>
      <c r="M54" s="4"/>
      <c r="N54" s="4"/>
      <c r="O54" s="4"/>
      <c r="P54" s="4"/>
      <c r="Q54" s="4"/>
      <c r="R54" s="4"/>
    </row>
    <row r="55" spans="2:18" x14ac:dyDescent="0.35">
      <c r="B55" s="4"/>
      <c r="C55" s="4"/>
      <c r="D55" s="4"/>
      <c r="E55" s="4"/>
      <c r="F55" s="4"/>
      <c r="G55" s="4"/>
      <c r="H55" s="4"/>
      <c r="I55" s="4"/>
      <c r="J55" s="4"/>
      <c r="K55" s="4"/>
      <c r="L55" s="4"/>
      <c r="M55" s="4"/>
      <c r="N55" s="4"/>
      <c r="O55" s="4"/>
      <c r="P55" s="4"/>
      <c r="Q55" s="4"/>
      <c r="R55" s="4"/>
    </row>
    <row r="56" spans="2:18" x14ac:dyDescent="0.35">
      <c r="B56" s="4"/>
      <c r="C56" s="4"/>
      <c r="D56" s="4"/>
      <c r="E56" s="4"/>
      <c r="F56" s="4"/>
      <c r="G56" s="4"/>
      <c r="H56" s="4"/>
      <c r="I56" s="4"/>
      <c r="J56" s="4"/>
      <c r="K56" s="4"/>
      <c r="L56" s="4"/>
      <c r="M56" s="4"/>
      <c r="N56" s="4"/>
      <c r="O56" s="4"/>
      <c r="P56" s="4"/>
      <c r="Q56" s="4"/>
      <c r="R56" s="4"/>
    </row>
    <row r="57" spans="2:18" x14ac:dyDescent="0.35">
      <c r="B57" s="4"/>
      <c r="C57" s="4"/>
      <c r="D57" s="4"/>
      <c r="E57" s="4"/>
      <c r="F57" s="4"/>
      <c r="G57" s="4"/>
      <c r="H57" s="4"/>
      <c r="I57" s="4"/>
      <c r="J57" s="4"/>
      <c r="K57" s="4"/>
      <c r="L57" s="4"/>
      <c r="M57" s="4"/>
      <c r="N57" s="4"/>
      <c r="O57" s="4"/>
      <c r="P57" s="4"/>
      <c r="Q57" s="4"/>
      <c r="R57" s="4"/>
    </row>
    <row r="58" spans="2:18" x14ac:dyDescent="0.35">
      <c r="B58" s="4"/>
      <c r="C58" s="4"/>
      <c r="D58" s="4"/>
      <c r="E58" s="4"/>
      <c r="F58" s="4"/>
      <c r="G58" s="4"/>
      <c r="H58" s="4"/>
      <c r="I58" s="4"/>
      <c r="J58" s="4"/>
      <c r="K58" s="4"/>
      <c r="L58" s="4"/>
      <c r="M58" s="4"/>
      <c r="N58" s="4"/>
      <c r="O58" s="4"/>
      <c r="P58" s="4"/>
      <c r="Q58" s="4"/>
      <c r="R58" s="4"/>
    </row>
    <row r="59" spans="2:18" x14ac:dyDescent="0.35">
      <c r="B59" s="4"/>
      <c r="C59" s="4"/>
      <c r="D59" s="4"/>
      <c r="E59" s="4"/>
      <c r="F59" s="4"/>
      <c r="G59" s="4"/>
      <c r="H59" s="4"/>
      <c r="I59" s="4"/>
      <c r="J59" s="4"/>
      <c r="K59" s="4"/>
      <c r="L59" s="4"/>
      <c r="M59" s="4"/>
      <c r="N59" s="4"/>
      <c r="O59" s="4"/>
      <c r="P59" s="4"/>
      <c r="Q59" s="4"/>
      <c r="R59" s="4"/>
    </row>
    <row r="60" spans="2:18" x14ac:dyDescent="0.35">
      <c r="B60" s="4"/>
      <c r="C60" s="4"/>
      <c r="D60" s="4"/>
      <c r="E60" s="4"/>
      <c r="F60" s="4"/>
      <c r="G60" s="4"/>
      <c r="H60" s="4"/>
      <c r="I60" s="4"/>
      <c r="J60" s="4"/>
      <c r="K60" s="4"/>
      <c r="L60" s="4"/>
      <c r="M60" s="4"/>
      <c r="N60" s="4"/>
      <c r="O60" s="4"/>
      <c r="P60" s="4"/>
      <c r="Q60" s="4"/>
      <c r="R60" s="4"/>
    </row>
    <row r="61" spans="2:18" x14ac:dyDescent="0.35">
      <c r="B61" s="4"/>
      <c r="C61" s="4"/>
      <c r="D61" s="4"/>
      <c r="E61" s="4"/>
      <c r="F61" s="4"/>
      <c r="G61" s="4"/>
      <c r="H61" s="4"/>
      <c r="I61" s="4"/>
      <c r="J61" s="4"/>
      <c r="K61" s="4"/>
      <c r="L61" s="4"/>
      <c r="M61" s="4"/>
      <c r="N61" s="4"/>
      <c r="O61" s="4"/>
      <c r="P61" s="4"/>
      <c r="Q61" s="4"/>
      <c r="R61" s="4"/>
    </row>
    <row r="62" spans="2:18" x14ac:dyDescent="0.35">
      <c r="B62" s="4"/>
      <c r="C62" s="4"/>
      <c r="D62" s="4"/>
      <c r="E62" s="4"/>
      <c r="F62" s="4"/>
      <c r="G62" s="4"/>
      <c r="H62" s="4"/>
      <c r="I62" s="4"/>
      <c r="J62" s="4"/>
      <c r="K62" s="4"/>
      <c r="L62" s="4"/>
      <c r="M62" s="4"/>
      <c r="N62" s="4"/>
      <c r="O62" s="4"/>
      <c r="P62" s="4"/>
      <c r="Q62" s="4"/>
      <c r="R62" s="4"/>
    </row>
    <row r="63" spans="2:18" x14ac:dyDescent="0.35">
      <c r="B63" s="4"/>
      <c r="C63" s="4"/>
      <c r="D63" s="4"/>
      <c r="E63" s="4"/>
      <c r="F63" s="4"/>
      <c r="G63" s="4"/>
      <c r="H63" s="4"/>
      <c r="I63" s="4"/>
      <c r="J63" s="4"/>
      <c r="K63" s="4"/>
      <c r="L63" s="4"/>
      <c r="M63" s="4"/>
      <c r="N63" s="4"/>
      <c r="O63" s="4"/>
      <c r="P63" s="4"/>
      <c r="Q63" s="4"/>
      <c r="R63" s="4"/>
    </row>
    <row r="64" spans="2:18" x14ac:dyDescent="0.35">
      <c r="B64" s="4"/>
      <c r="C64" s="4"/>
      <c r="D64" s="4"/>
      <c r="E64" s="4"/>
      <c r="F64" s="4"/>
      <c r="G64" s="4"/>
      <c r="H64" s="4"/>
      <c r="I64" s="4"/>
      <c r="J64" s="4"/>
      <c r="K64" s="4"/>
      <c r="L64" s="4"/>
      <c r="M64" s="4"/>
      <c r="N64" s="4"/>
      <c r="O64" s="4"/>
      <c r="P64" s="4"/>
      <c r="Q64" s="4"/>
      <c r="R64" s="4"/>
    </row>
    <row r="65" spans="1:18" x14ac:dyDescent="0.35">
      <c r="B65" s="4"/>
      <c r="C65" s="4"/>
      <c r="D65" s="4"/>
      <c r="E65" s="4"/>
      <c r="F65" s="4"/>
      <c r="G65" s="4"/>
      <c r="H65" s="4"/>
      <c r="I65" s="4"/>
      <c r="J65" s="4"/>
      <c r="K65" s="4"/>
      <c r="L65" s="4"/>
      <c r="M65" s="4"/>
      <c r="N65" s="4"/>
      <c r="O65" s="4"/>
      <c r="P65" s="4"/>
      <c r="Q65" s="4"/>
      <c r="R65" s="4"/>
    </row>
    <row r="66" spans="1:18" x14ac:dyDescent="0.35">
      <c r="B66" s="4"/>
      <c r="C66" s="4"/>
      <c r="D66" s="4"/>
      <c r="E66" s="4"/>
      <c r="F66" s="4"/>
      <c r="G66" s="4"/>
      <c r="H66" s="4"/>
      <c r="I66" s="4"/>
      <c r="J66" s="4"/>
      <c r="K66" s="4"/>
      <c r="L66" s="4"/>
      <c r="M66" s="4"/>
      <c r="N66" s="4"/>
      <c r="O66" s="4"/>
      <c r="P66" s="4"/>
      <c r="Q66" s="4"/>
      <c r="R66" s="4"/>
    </row>
    <row r="67" spans="1:18" x14ac:dyDescent="0.35">
      <c r="B67" s="4"/>
      <c r="C67" s="4"/>
      <c r="D67" s="4"/>
      <c r="E67" s="4"/>
      <c r="F67" s="4"/>
      <c r="G67" s="4"/>
      <c r="H67" s="4"/>
      <c r="I67" s="4"/>
      <c r="J67" s="4"/>
      <c r="K67" s="4"/>
      <c r="L67" s="4"/>
      <c r="M67" s="4"/>
      <c r="N67" s="4"/>
      <c r="O67" s="4"/>
      <c r="P67" s="4"/>
      <c r="Q67" s="4"/>
      <c r="R67" s="4"/>
    </row>
    <row r="68" spans="1:18" x14ac:dyDescent="0.35">
      <c r="B68" s="4"/>
      <c r="C68" s="4"/>
      <c r="D68" s="4"/>
      <c r="E68" s="4"/>
      <c r="F68" s="4"/>
      <c r="G68" s="4"/>
      <c r="H68" s="4"/>
      <c r="I68" s="4"/>
      <c r="J68" s="4"/>
      <c r="K68" s="4"/>
      <c r="L68" s="4"/>
      <c r="M68" s="4"/>
      <c r="N68" s="4"/>
      <c r="O68" s="4"/>
      <c r="P68" s="4"/>
      <c r="Q68" s="4"/>
      <c r="R68" s="4"/>
    </row>
    <row r="69" spans="1:18" x14ac:dyDescent="0.35">
      <c r="B69" s="4"/>
      <c r="C69" s="4"/>
      <c r="D69" s="4"/>
      <c r="E69" s="4"/>
      <c r="F69" s="4"/>
      <c r="G69" s="4"/>
      <c r="H69" s="4"/>
      <c r="I69" s="4"/>
      <c r="J69" s="4"/>
      <c r="K69" s="4"/>
      <c r="L69" s="4"/>
      <c r="M69" s="4"/>
      <c r="N69" s="4"/>
      <c r="O69" s="4"/>
      <c r="P69" s="4"/>
      <c r="Q69" s="4"/>
      <c r="R69" s="4"/>
    </row>
    <row r="70" spans="1:18" x14ac:dyDescent="0.35">
      <c r="B70" s="4"/>
      <c r="C70" s="4"/>
      <c r="D70" s="4"/>
      <c r="E70" s="4"/>
      <c r="F70" s="4"/>
      <c r="G70" s="4"/>
      <c r="H70" s="4"/>
      <c r="I70" s="4"/>
      <c r="J70" s="4"/>
      <c r="K70" s="4"/>
      <c r="L70" s="4"/>
      <c r="M70" s="4"/>
      <c r="N70" s="4"/>
      <c r="O70" s="4"/>
      <c r="P70" s="4"/>
      <c r="Q70" s="4"/>
      <c r="R70" s="4"/>
    </row>
    <row r="71" spans="1:18" x14ac:dyDescent="0.35">
      <c r="B71" s="4"/>
      <c r="C71" s="4"/>
      <c r="D71" s="4"/>
      <c r="E71" s="4"/>
      <c r="F71" s="4"/>
      <c r="G71" s="4"/>
      <c r="H71" s="4"/>
      <c r="I71" s="4"/>
      <c r="J71" s="4"/>
      <c r="K71" s="4"/>
      <c r="L71" s="4"/>
      <c r="M71" s="4"/>
      <c r="N71" s="4"/>
      <c r="O71" s="4"/>
      <c r="P71" s="4"/>
      <c r="Q71" s="4"/>
      <c r="R71" s="4"/>
    </row>
    <row r="72" spans="1:18" x14ac:dyDescent="0.35">
      <c r="B72" s="4"/>
      <c r="C72" s="4"/>
      <c r="D72" s="4"/>
      <c r="E72" s="4"/>
      <c r="F72" s="4"/>
      <c r="G72" s="4"/>
      <c r="H72" s="4"/>
      <c r="I72" s="4"/>
      <c r="J72" s="4"/>
      <c r="K72" s="4"/>
      <c r="L72" s="4"/>
      <c r="M72" s="4"/>
      <c r="N72" s="4"/>
      <c r="O72" s="4"/>
      <c r="P72" s="4"/>
      <c r="Q72" s="4"/>
      <c r="R72" s="4"/>
    </row>
    <row r="73" spans="1:18" x14ac:dyDescent="0.35">
      <c r="B73" s="4"/>
      <c r="C73" s="4"/>
      <c r="D73" s="4"/>
      <c r="E73" s="4"/>
      <c r="F73" s="4"/>
      <c r="G73" s="4"/>
      <c r="H73" s="4"/>
      <c r="I73" s="4"/>
      <c r="J73" s="4"/>
      <c r="K73" s="4"/>
      <c r="L73" s="4"/>
      <c r="M73" s="4"/>
      <c r="N73" s="4"/>
      <c r="O73" s="4"/>
      <c r="P73" s="4"/>
      <c r="Q73" s="4"/>
      <c r="R73" s="4"/>
    </row>
    <row r="74" spans="1:18" x14ac:dyDescent="0.35">
      <c r="B74" s="4"/>
      <c r="C74" s="4"/>
      <c r="D74" s="4"/>
      <c r="E74" s="4"/>
      <c r="F74" s="4"/>
      <c r="G74" s="4"/>
      <c r="H74" s="4"/>
      <c r="I74" s="4"/>
      <c r="J74" s="4"/>
      <c r="K74" s="4"/>
      <c r="L74" s="4"/>
      <c r="M74" s="4"/>
      <c r="N74" s="4"/>
      <c r="O74" s="4"/>
      <c r="P74" s="4"/>
      <c r="Q74" s="4"/>
      <c r="R74" s="4"/>
    </row>
    <row r="79" spans="1:18" x14ac:dyDescent="0.35">
      <c r="A79" t="s">
        <v>467</v>
      </c>
      <c r="B79" t="s">
        <v>468</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4"/>
  <sheetViews>
    <sheetView zoomScale="85" zoomScaleNormal="85" workbookViewId="0">
      <pane xSplit="1" ySplit="1" topLeftCell="B2" activePane="bottomRight" state="frozen"/>
      <selection pane="topRight" activeCell="B1" sqref="B1"/>
      <selection pane="bottomLeft" activeCell="A2" sqref="A2"/>
      <selection pane="bottomRight" activeCell="E65" sqref="E65"/>
    </sheetView>
  </sheetViews>
  <sheetFormatPr defaultRowHeight="14.5" x14ac:dyDescent="0.35"/>
  <cols>
    <col min="1" max="1" width="25.54296875" customWidth="1"/>
    <col min="12" max="20" width="9.54296875" bestFit="1" customWidth="1"/>
    <col min="21" max="27" width="10.453125" bestFit="1" customWidth="1"/>
  </cols>
  <sheetData>
    <row r="1" spans="1:27" x14ac:dyDescent="0.35">
      <c r="B1" s="1" t="s">
        <v>469</v>
      </c>
      <c r="C1" s="1" t="s">
        <v>470</v>
      </c>
      <c r="D1" s="1" t="s">
        <v>471</v>
      </c>
      <c r="E1" s="1" t="s">
        <v>472</v>
      </c>
      <c r="F1" s="1" t="s">
        <v>473</v>
      </c>
      <c r="G1" s="1" t="s">
        <v>474</v>
      </c>
      <c r="H1" s="1" t="s">
        <v>475</v>
      </c>
      <c r="I1" s="1" t="s">
        <v>476</v>
      </c>
      <c r="J1" s="1" t="s">
        <v>477</v>
      </c>
      <c r="K1" s="1" t="s">
        <v>478</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c r="Z1" s="1" t="s">
        <v>118</v>
      </c>
      <c r="AA1" s="1" t="s">
        <v>119</v>
      </c>
    </row>
    <row r="2" spans="1:27" s="3" customFormat="1" x14ac:dyDescent="0.35">
      <c r="A2" s="1" t="s">
        <v>479</v>
      </c>
      <c r="B2" s="18">
        <v>16</v>
      </c>
      <c r="C2" s="18" t="s">
        <v>480</v>
      </c>
      <c r="D2" s="18" t="s">
        <v>481</v>
      </c>
      <c r="E2" s="18" t="s">
        <v>482</v>
      </c>
      <c r="F2" s="18" t="s">
        <v>483</v>
      </c>
      <c r="G2" s="18" t="s">
        <v>484</v>
      </c>
      <c r="H2" s="18" t="s">
        <v>485</v>
      </c>
      <c r="I2" s="18" t="s">
        <v>486</v>
      </c>
      <c r="J2" s="18" t="s">
        <v>487</v>
      </c>
      <c r="K2" s="18" t="s">
        <v>488</v>
      </c>
      <c r="L2" s="18" t="s">
        <v>258</v>
      </c>
      <c r="M2" s="18" t="s">
        <v>259</v>
      </c>
      <c r="N2" s="18" t="s">
        <v>260</v>
      </c>
      <c r="O2" s="18" t="s">
        <v>261</v>
      </c>
      <c r="P2" s="18" t="s">
        <v>262</v>
      </c>
      <c r="Q2" s="18" t="s">
        <v>263</v>
      </c>
      <c r="R2" s="18" t="s">
        <v>264</v>
      </c>
      <c r="S2" s="18" t="s">
        <v>265</v>
      </c>
      <c r="T2" s="18" t="s">
        <v>266</v>
      </c>
      <c r="U2" s="18" t="s">
        <v>267</v>
      </c>
      <c r="V2" s="18" t="s">
        <v>268</v>
      </c>
      <c r="W2" s="18" t="s">
        <v>269</v>
      </c>
      <c r="X2" s="18" t="s">
        <v>270</v>
      </c>
      <c r="Y2" s="18" t="s">
        <v>271</v>
      </c>
      <c r="Z2" s="18" t="s">
        <v>272</v>
      </c>
      <c r="AA2" s="18" t="s">
        <v>273</v>
      </c>
    </row>
    <row r="3" spans="1:27" x14ac:dyDescent="0.35">
      <c r="A3" s="1" t="s">
        <v>489</v>
      </c>
      <c r="B3" s="10" t="s">
        <v>490</v>
      </c>
      <c r="C3" s="10" t="s">
        <v>491</v>
      </c>
      <c r="D3" s="10" t="s">
        <v>311</v>
      </c>
      <c r="E3" s="10" t="s">
        <v>492</v>
      </c>
      <c r="F3" s="10" t="s">
        <v>493</v>
      </c>
      <c r="G3" s="10" t="s">
        <v>494</v>
      </c>
      <c r="H3" s="10" t="s">
        <v>495</v>
      </c>
      <c r="I3" s="10" t="s">
        <v>496</v>
      </c>
      <c r="J3" s="10" t="s">
        <v>497</v>
      </c>
      <c r="K3" s="10" t="s">
        <v>498</v>
      </c>
      <c r="L3" s="10" t="s">
        <v>499</v>
      </c>
      <c r="M3" s="10" t="s">
        <v>500</v>
      </c>
      <c r="N3" s="10" t="s">
        <v>501</v>
      </c>
      <c r="O3" s="10" t="s">
        <v>502</v>
      </c>
      <c r="P3" s="10" t="s">
        <v>503</v>
      </c>
      <c r="Q3" s="10" t="s">
        <v>504</v>
      </c>
      <c r="R3" s="10" t="s">
        <v>505</v>
      </c>
      <c r="S3" s="10" t="s">
        <v>506</v>
      </c>
      <c r="T3" s="10" t="s">
        <v>507</v>
      </c>
      <c r="U3" s="10" t="s">
        <v>508</v>
      </c>
      <c r="V3" s="10" t="s">
        <v>509</v>
      </c>
      <c r="W3" s="10" t="s">
        <v>510</v>
      </c>
      <c r="X3" s="10" t="s">
        <v>511</v>
      </c>
      <c r="Y3" s="10" t="s">
        <v>512</v>
      </c>
      <c r="Z3" s="10" t="s">
        <v>513</v>
      </c>
      <c r="AA3" s="10" t="s">
        <v>514</v>
      </c>
    </row>
    <row r="4" spans="1:27" s="3" customFormat="1" x14ac:dyDescent="0.35">
      <c r="A4" s="1" t="s">
        <v>515</v>
      </c>
      <c r="B4" s="18" t="s">
        <v>516</v>
      </c>
      <c r="C4" s="18" t="s">
        <v>517</v>
      </c>
      <c r="D4" s="18" t="s">
        <v>518</v>
      </c>
      <c r="E4" s="18" t="s">
        <v>519</v>
      </c>
      <c r="F4" s="18" t="s">
        <v>520</v>
      </c>
      <c r="G4" s="18" t="s">
        <v>521</v>
      </c>
      <c r="H4" s="18" t="s">
        <v>522</v>
      </c>
      <c r="I4" s="18" t="s">
        <v>523</v>
      </c>
      <c r="J4" s="18" t="s">
        <v>524</v>
      </c>
      <c r="K4" s="18" t="s">
        <v>525</v>
      </c>
      <c r="L4" s="18" t="s">
        <v>526</v>
      </c>
      <c r="M4" s="18" t="s">
        <v>527</v>
      </c>
      <c r="N4" s="18" t="s">
        <v>528</v>
      </c>
      <c r="O4" s="18" t="s">
        <v>529</v>
      </c>
      <c r="P4" s="18" t="s">
        <v>530</v>
      </c>
      <c r="Q4" s="18" t="s">
        <v>531</v>
      </c>
      <c r="R4" s="18" t="s">
        <v>532</v>
      </c>
      <c r="S4" s="18" t="s">
        <v>533</v>
      </c>
      <c r="T4" s="18" t="s">
        <v>534</v>
      </c>
      <c r="U4" s="18" t="s">
        <v>535</v>
      </c>
      <c r="V4" s="18" t="s">
        <v>536</v>
      </c>
      <c r="W4" s="18" t="s">
        <v>537</v>
      </c>
      <c r="X4" s="18" t="s">
        <v>538</v>
      </c>
      <c r="Y4" s="18" t="s">
        <v>539</v>
      </c>
      <c r="Z4" s="18" t="s">
        <v>540</v>
      </c>
      <c r="AA4" s="18" t="s">
        <v>541</v>
      </c>
    </row>
    <row r="5" spans="1:27" x14ac:dyDescent="0.35">
      <c r="A5" s="1" t="s">
        <v>23</v>
      </c>
      <c r="B5" t="s">
        <v>542</v>
      </c>
      <c r="C5" t="s">
        <v>543</v>
      </c>
      <c r="D5" t="s">
        <v>293</v>
      </c>
      <c r="E5" t="s">
        <v>544</v>
      </c>
      <c r="F5" t="s">
        <v>545</v>
      </c>
      <c r="G5" t="s">
        <v>546</v>
      </c>
      <c r="H5" t="s">
        <v>547</v>
      </c>
      <c r="I5" t="s">
        <v>548</v>
      </c>
      <c r="J5" t="s">
        <v>549</v>
      </c>
      <c r="K5" t="s">
        <v>550</v>
      </c>
      <c r="L5" t="s">
        <v>551</v>
      </c>
      <c r="M5" t="s">
        <v>552</v>
      </c>
      <c r="N5" t="s">
        <v>553</v>
      </c>
      <c r="O5" t="s">
        <v>554</v>
      </c>
      <c r="P5" t="s">
        <v>555</v>
      </c>
      <c r="Q5" t="s">
        <v>556</v>
      </c>
      <c r="R5" t="s">
        <v>557</v>
      </c>
      <c r="S5" t="s">
        <v>558</v>
      </c>
      <c r="T5" t="s">
        <v>559</v>
      </c>
      <c r="U5" t="s">
        <v>560</v>
      </c>
      <c r="V5" t="s">
        <v>561</v>
      </c>
      <c r="W5" t="s">
        <v>562</v>
      </c>
      <c r="X5" t="s">
        <v>563</v>
      </c>
      <c r="Y5" t="s">
        <v>564</v>
      </c>
      <c r="Z5" t="s">
        <v>565</v>
      </c>
      <c r="AA5" t="s">
        <v>566</v>
      </c>
    </row>
    <row r="6" spans="1:27" x14ac:dyDescent="0.35">
      <c r="A6" s="1" t="s">
        <v>567</v>
      </c>
      <c r="B6" t="s">
        <v>174</v>
      </c>
      <c r="C6" t="s">
        <v>568</v>
      </c>
      <c r="D6" t="s">
        <v>569</v>
      </c>
      <c r="E6" t="s">
        <v>570</v>
      </c>
      <c r="F6" t="s">
        <v>571</v>
      </c>
      <c r="G6" t="s">
        <v>572</v>
      </c>
      <c r="H6" t="s">
        <v>573</v>
      </c>
      <c r="I6" t="s">
        <v>574</v>
      </c>
      <c r="J6" t="s">
        <v>575</v>
      </c>
      <c r="K6" t="s">
        <v>576</v>
      </c>
      <c r="L6" t="s">
        <v>577</v>
      </c>
      <c r="M6" t="s">
        <v>578</v>
      </c>
      <c r="N6" t="s">
        <v>579</v>
      </c>
      <c r="O6" t="s">
        <v>580</v>
      </c>
      <c r="P6" t="s">
        <v>581</v>
      </c>
      <c r="Q6" t="s">
        <v>582</v>
      </c>
      <c r="R6" t="s">
        <v>583</v>
      </c>
      <c r="S6" t="s">
        <v>584</v>
      </c>
      <c r="T6" t="s">
        <v>585</v>
      </c>
      <c r="U6" t="s">
        <v>586</v>
      </c>
      <c r="V6" t="s">
        <v>587</v>
      </c>
      <c r="W6" t="s">
        <v>588</v>
      </c>
      <c r="X6" t="s">
        <v>589</v>
      </c>
      <c r="Y6" t="s">
        <v>590</v>
      </c>
      <c r="Z6" t="s">
        <v>591</v>
      </c>
      <c r="AA6" t="s">
        <v>592</v>
      </c>
    </row>
    <row r="7" spans="1:27" x14ac:dyDescent="0.35">
      <c r="A7" s="1" t="s">
        <v>593</v>
      </c>
      <c r="B7" t="s">
        <v>594</v>
      </c>
      <c r="C7" t="s">
        <v>595</v>
      </c>
      <c r="D7" t="s">
        <v>596</v>
      </c>
      <c r="E7" t="s">
        <v>597</v>
      </c>
      <c r="F7" t="s">
        <v>598</v>
      </c>
      <c r="G7" t="s">
        <v>599</v>
      </c>
      <c r="H7" t="s">
        <v>600</v>
      </c>
      <c r="I7" t="s">
        <v>601</v>
      </c>
      <c r="J7" t="s">
        <v>602</v>
      </c>
      <c r="K7" t="s">
        <v>603</v>
      </c>
      <c r="L7" t="s">
        <v>604</v>
      </c>
      <c r="M7" t="s">
        <v>605</v>
      </c>
      <c r="N7" t="s">
        <v>606</v>
      </c>
      <c r="O7" t="s">
        <v>607</v>
      </c>
      <c r="P7" t="s">
        <v>608</v>
      </c>
      <c r="Q7" t="s">
        <v>398</v>
      </c>
      <c r="R7" t="s">
        <v>609</v>
      </c>
      <c r="S7" t="s">
        <v>610</v>
      </c>
      <c r="T7" t="s">
        <v>611</v>
      </c>
      <c r="U7" t="s">
        <v>612</v>
      </c>
      <c r="V7" t="s">
        <v>613</v>
      </c>
      <c r="W7" t="s">
        <v>614</v>
      </c>
      <c r="X7" t="s">
        <v>615</v>
      </c>
      <c r="Y7" t="s">
        <v>616</v>
      </c>
      <c r="Z7" t="s">
        <v>617</v>
      </c>
      <c r="AA7" t="s">
        <v>618</v>
      </c>
    </row>
    <row r="8" spans="1:27" x14ac:dyDescent="0.35">
      <c r="A8" s="1" t="s">
        <v>619</v>
      </c>
      <c r="B8" t="s">
        <v>594</v>
      </c>
      <c r="C8" t="s">
        <v>595</v>
      </c>
      <c r="D8" t="s">
        <v>620</v>
      </c>
      <c r="E8" t="s">
        <v>621</v>
      </c>
      <c r="F8" t="s">
        <v>518</v>
      </c>
      <c r="G8" t="s">
        <v>622</v>
      </c>
      <c r="H8" t="s">
        <v>623</v>
      </c>
      <c r="I8" t="s">
        <v>624</v>
      </c>
      <c r="J8" t="s">
        <v>174</v>
      </c>
      <c r="K8" t="s">
        <v>174</v>
      </c>
      <c r="L8" t="s">
        <v>625</v>
      </c>
      <c r="M8" t="s">
        <v>626</v>
      </c>
      <c r="N8" t="s">
        <v>627</v>
      </c>
      <c r="O8" t="s">
        <v>628</v>
      </c>
      <c r="P8" t="s">
        <v>629</v>
      </c>
      <c r="Q8" t="s">
        <v>630</v>
      </c>
      <c r="R8" t="s">
        <v>631</v>
      </c>
      <c r="S8" t="s">
        <v>632</v>
      </c>
      <c r="T8" t="s">
        <v>633</v>
      </c>
      <c r="U8" t="s">
        <v>634</v>
      </c>
      <c r="V8" t="s">
        <v>635</v>
      </c>
      <c r="W8" t="s">
        <v>636</v>
      </c>
      <c r="X8" t="s">
        <v>637</v>
      </c>
      <c r="Y8" t="s">
        <v>638</v>
      </c>
      <c r="Z8" t="s">
        <v>639</v>
      </c>
      <c r="AA8" t="s">
        <v>640</v>
      </c>
    </row>
    <row r="9" spans="1:27" x14ac:dyDescent="0.35">
      <c r="A9" s="1" t="s">
        <v>641</v>
      </c>
      <c r="B9" t="s">
        <v>174</v>
      </c>
      <c r="C9" t="s">
        <v>174</v>
      </c>
      <c r="D9" t="s">
        <v>642</v>
      </c>
      <c r="E9" t="s">
        <v>643</v>
      </c>
      <c r="F9" t="s">
        <v>644</v>
      </c>
      <c r="G9" t="s">
        <v>645</v>
      </c>
      <c r="H9" t="s">
        <v>646</v>
      </c>
      <c r="I9" t="s">
        <v>647</v>
      </c>
      <c r="J9" t="s">
        <v>174</v>
      </c>
      <c r="K9" t="s">
        <v>174</v>
      </c>
      <c r="L9" t="s">
        <v>648</v>
      </c>
      <c r="M9" t="s">
        <v>649</v>
      </c>
      <c r="N9" t="s">
        <v>650</v>
      </c>
      <c r="O9" t="s">
        <v>651</v>
      </c>
      <c r="P9" t="s">
        <v>546</v>
      </c>
      <c r="Q9" t="s">
        <v>652</v>
      </c>
      <c r="R9" t="s">
        <v>653</v>
      </c>
      <c r="S9" t="s">
        <v>654</v>
      </c>
      <c r="T9" t="s">
        <v>655</v>
      </c>
      <c r="U9" t="s">
        <v>656</v>
      </c>
      <c r="V9" t="s">
        <v>657</v>
      </c>
      <c r="W9" t="s">
        <v>658</v>
      </c>
      <c r="X9" t="s">
        <v>659</v>
      </c>
      <c r="Y9" t="s">
        <v>660</v>
      </c>
      <c r="Z9" t="s">
        <v>661</v>
      </c>
      <c r="AA9" t="s">
        <v>662</v>
      </c>
    </row>
    <row r="10" spans="1:27" x14ac:dyDescent="0.35">
      <c r="A10" s="1" t="s">
        <v>663</v>
      </c>
      <c r="B10" t="s">
        <v>664</v>
      </c>
      <c r="C10" t="s">
        <v>665</v>
      </c>
      <c r="D10" t="s">
        <v>666</v>
      </c>
      <c r="E10" t="s">
        <v>667</v>
      </c>
      <c r="F10" t="s">
        <v>668</v>
      </c>
      <c r="G10" t="s">
        <v>669</v>
      </c>
      <c r="H10" t="s">
        <v>665</v>
      </c>
      <c r="I10" t="s">
        <v>670</v>
      </c>
      <c r="J10" t="s">
        <v>671</v>
      </c>
      <c r="K10" t="s">
        <v>174</v>
      </c>
      <c r="L10" t="s">
        <v>174</v>
      </c>
      <c r="M10" t="s">
        <v>174</v>
      </c>
      <c r="N10" t="s">
        <v>174</v>
      </c>
      <c r="O10" t="s">
        <v>174</v>
      </c>
      <c r="P10" t="s">
        <v>174</v>
      </c>
      <c r="Q10" t="s">
        <v>174</v>
      </c>
      <c r="R10" t="s">
        <v>672</v>
      </c>
      <c r="S10" t="s">
        <v>491</v>
      </c>
      <c r="T10" t="s">
        <v>642</v>
      </c>
      <c r="U10" t="s">
        <v>673</v>
      </c>
      <c r="V10" t="s">
        <v>674</v>
      </c>
      <c r="W10" t="s">
        <v>675</v>
      </c>
      <c r="X10" t="s">
        <v>676</v>
      </c>
      <c r="Y10" t="s">
        <v>677</v>
      </c>
      <c r="Z10" t="s">
        <v>678</v>
      </c>
      <c r="AA10" t="s">
        <v>679</v>
      </c>
    </row>
    <row r="11" spans="1:27" x14ac:dyDescent="0.35">
      <c r="A11" s="1" t="s">
        <v>680</v>
      </c>
      <c r="B11" t="s">
        <v>681</v>
      </c>
      <c r="C11" t="s">
        <v>682</v>
      </c>
      <c r="D11" t="s">
        <v>683</v>
      </c>
      <c r="E11" t="s">
        <v>684</v>
      </c>
      <c r="F11" t="s">
        <v>685</v>
      </c>
      <c r="G11" t="s">
        <v>527</v>
      </c>
      <c r="H11" t="s">
        <v>686</v>
      </c>
      <c r="I11" t="s">
        <v>687</v>
      </c>
      <c r="J11" t="s">
        <v>688</v>
      </c>
      <c r="K11" t="s">
        <v>689</v>
      </c>
      <c r="L11" t="s">
        <v>690</v>
      </c>
      <c r="M11" t="s">
        <v>691</v>
      </c>
      <c r="N11" t="s">
        <v>692</v>
      </c>
      <c r="O11" t="s">
        <v>693</v>
      </c>
      <c r="P11" t="s">
        <v>694</v>
      </c>
      <c r="Q11" t="s">
        <v>695</v>
      </c>
      <c r="R11" t="s">
        <v>696</v>
      </c>
      <c r="S11" t="s">
        <v>697</v>
      </c>
      <c r="T11" t="s">
        <v>698</v>
      </c>
      <c r="U11" t="s">
        <v>699</v>
      </c>
      <c r="V11" t="s">
        <v>700</v>
      </c>
      <c r="W11" t="s">
        <v>701</v>
      </c>
      <c r="X11" t="s">
        <v>702</v>
      </c>
      <c r="Y11" t="s">
        <v>703</v>
      </c>
      <c r="Z11" t="s">
        <v>704</v>
      </c>
      <c r="AA11" t="s">
        <v>705</v>
      </c>
    </row>
    <row r="12" spans="1:27" x14ac:dyDescent="0.35">
      <c r="A12" s="1" t="s">
        <v>706</v>
      </c>
      <c r="B12" t="s">
        <v>174</v>
      </c>
      <c r="C12" t="s">
        <v>174</v>
      </c>
      <c r="D12" t="s">
        <v>174</v>
      </c>
      <c r="E12" t="s">
        <v>174</v>
      </c>
      <c r="F12" t="s">
        <v>174</v>
      </c>
      <c r="G12" t="s">
        <v>174</v>
      </c>
      <c r="H12" t="s">
        <v>174</v>
      </c>
      <c r="I12" t="s">
        <v>174</v>
      </c>
      <c r="J12" t="s">
        <v>174</v>
      </c>
      <c r="K12" t="s">
        <v>174</v>
      </c>
      <c r="L12" t="s">
        <v>174</v>
      </c>
      <c r="M12" t="s">
        <v>174</v>
      </c>
      <c r="N12" t="s">
        <v>174</v>
      </c>
      <c r="O12" t="s">
        <v>174</v>
      </c>
      <c r="P12" t="s">
        <v>174</v>
      </c>
      <c r="Q12" t="s">
        <v>174</v>
      </c>
      <c r="R12" t="s">
        <v>174</v>
      </c>
      <c r="S12" t="s">
        <v>174</v>
      </c>
      <c r="T12" t="s">
        <v>174</v>
      </c>
      <c r="U12" t="s">
        <v>174</v>
      </c>
      <c r="V12" t="s">
        <v>174</v>
      </c>
      <c r="W12" t="s">
        <v>174</v>
      </c>
      <c r="X12" t="s">
        <v>174</v>
      </c>
      <c r="Y12" t="s">
        <v>174</v>
      </c>
      <c r="Z12" t="s">
        <v>174</v>
      </c>
      <c r="AA12" t="s">
        <v>707</v>
      </c>
    </row>
    <row r="13" spans="1:27" x14ac:dyDescent="0.35">
      <c r="A13" s="1" t="s">
        <v>56</v>
      </c>
      <c r="B13" t="s">
        <v>174</v>
      </c>
      <c r="C13" t="s">
        <v>174</v>
      </c>
      <c r="D13" t="s">
        <v>174</v>
      </c>
      <c r="E13" t="s">
        <v>174</v>
      </c>
      <c r="F13" t="s">
        <v>174</v>
      </c>
      <c r="G13" t="s">
        <v>174</v>
      </c>
      <c r="H13" t="s">
        <v>174</v>
      </c>
      <c r="I13" t="s">
        <v>174</v>
      </c>
      <c r="J13" t="s">
        <v>174</v>
      </c>
      <c r="K13" t="s">
        <v>174</v>
      </c>
      <c r="L13" t="s">
        <v>708</v>
      </c>
      <c r="M13" t="s">
        <v>709</v>
      </c>
      <c r="N13" t="s">
        <v>710</v>
      </c>
      <c r="O13" t="s">
        <v>517</v>
      </c>
      <c r="P13" t="s">
        <v>711</v>
      </c>
      <c r="Q13" t="s">
        <v>712</v>
      </c>
      <c r="R13" t="s">
        <v>713</v>
      </c>
      <c r="S13" t="s">
        <v>714</v>
      </c>
      <c r="T13" t="s">
        <v>715</v>
      </c>
      <c r="U13" t="s">
        <v>716</v>
      </c>
      <c r="V13" t="s">
        <v>717</v>
      </c>
      <c r="W13" t="s">
        <v>718</v>
      </c>
      <c r="X13" t="s">
        <v>719</v>
      </c>
      <c r="Y13" t="s">
        <v>720</v>
      </c>
      <c r="Z13" t="s">
        <v>721</v>
      </c>
      <c r="AA13" t="s">
        <v>722</v>
      </c>
    </row>
    <row r="14" spans="1:27" x14ac:dyDescent="0.35">
      <c r="A14" s="1" t="s">
        <v>723</v>
      </c>
      <c r="B14" t="s">
        <v>664</v>
      </c>
      <c r="C14" t="s">
        <v>665</v>
      </c>
      <c r="D14" t="s">
        <v>490</v>
      </c>
      <c r="E14" t="s">
        <v>724</v>
      </c>
      <c r="F14" t="s">
        <v>725</v>
      </c>
      <c r="G14" t="s">
        <v>726</v>
      </c>
      <c r="H14" t="s">
        <v>727</v>
      </c>
      <c r="I14" t="s">
        <v>708</v>
      </c>
      <c r="J14" t="s">
        <v>728</v>
      </c>
      <c r="K14" t="s">
        <v>729</v>
      </c>
      <c r="L14" t="s">
        <v>292</v>
      </c>
      <c r="M14" t="s">
        <v>293</v>
      </c>
      <c r="N14" t="s">
        <v>294</v>
      </c>
      <c r="O14" t="s">
        <v>295</v>
      </c>
      <c r="P14" t="s">
        <v>296</v>
      </c>
      <c r="Q14" t="s">
        <v>297</v>
      </c>
      <c r="R14" t="s">
        <v>298</v>
      </c>
      <c r="S14" t="s">
        <v>299</v>
      </c>
      <c r="T14" t="s">
        <v>300</v>
      </c>
      <c r="U14" t="s">
        <v>301</v>
      </c>
      <c r="V14" t="s">
        <v>302</v>
      </c>
      <c r="W14" t="s">
        <v>303</v>
      </c>
      <c r="X14" t="s">
        <v>304</v>
      </c>
      <c r="Y14" t="s">
        <v>305</v>
      </c>
      <c r="Z14" t="s">
        <v>306</v>
      </c>
      <c r="AA14" t="s">
        <v>307</v>
      </c>
    </row>
    <row r="15" spans="1:27" x14ac:dyDescent="0.35">
      <c r="A15" s="1" t="s">
        <v>730</v>
      </c>
      <c r="B15" t="s">
        <v>731</v>
      </c>
      <c r="C15" t="s">
        <v>732</v>
      </c>
      <c r="D15" t="s">
        <v>733</v>
      </c>
      <c r="E15" t="s">
        <v>734</v>
      </c>
      <c r="F15" t="s">
        <v>735</v>
      </c>
      <c r="G15" t="s">
        <v>736</v>
      </c>
      <c r="H15" t="s">
        <v>737</v>
      </c>
      <c r="I15" t="s">
        <v>491</v>
      </c>
      <c r="J15" t="s">
        <v>738</v>
      </c>
      <c r="K15" t="s">
        <v>739</v>
      </c>
      <c r="L15" t="s">
        <v>740</v>
      </c>
      <c r="M15" t="s">
        <v>741</v>
      </c>
      <c r="N15" t="s">
        <v>742</v>
      </c>
      <c r="O15" t="s">
        <v>743</v>
      </c>
      <c r="P15" t="s">
        <v>744</v>
      </c>
      <c r="Q15" t="s">
        <v>745</v>
      </c>
      <c r="R15" t="s">
        <v>746</v>
      </c>
      <c r="S15" t="s">
        <v>747</v>
      </c>
      <c r="T15" t="s">
        <v>748</v>
      </c>
      <c r="U15" t="s">
        <v>749</v>
      </c>
      <c r="V15" t="s">
        <v>750</v>
      </c>
      <c r="W15" t="s">
        <v>751</v>
      </c>
      <c r="X15" t="s">
        <v>752</v>
      </c>
      <c r="Y15" t="s">
        <v>753</v>
      </c>
      <c r="Z15" t="s">
        <v>754</v>
      </c>
      <c r="AA15" t="s">
        <v>755</v>
      </c>
    </row>
    <row r="16" spans="1:27" x14ac:dyDescent="0.35">
      <c r="A16" s="1" t="s">
        <v>24</v>
      </c>
      <c r="B16" t="s">
        <v>731</v>
      </c>
      <c r="C16" t="s">
        <v>756</v>
      </c>
      <c r="D16" t="s">
        <v>733</v>
      </c>
      <c r="E16" t="s">
        <v>757</v>
      </c>
      <c r="F16" t="s">
        <v>758</v>
      </c>
      <c r="G16" t="s">
        <v>759</v>
      </c>
      <c r="H16" t="s">
        <v>760</v>
      </c>
      <c r="I16" t="s">
        <v>761</v>
      </c>
      <c r="J16" t="s">
        <v>762</v>
      </c>
      <c r="K16" t="s">
        <v>738</v>
      </c>
      <c r="L16" t="s">
        <v>763</v>
      </c>
      <c r="M16" t="s">
        <v>764</v>
      </c>
      <c r="N16" t="s">
        <v>765</v>
      </c>
      <c r="O16" t="s">
        <v>632</v>
      </c>
      <c r="P16" t="s">
        <v>766</v>
      </c>
      <c r="Q16" t="s">
        <v>767</v>
      </c>
      <c r="R16" t="s">
        <v>768</v>
      </c>
      <c r="S16" t="s">
        <v>769</v>
      </c>
      <c r="T16" t="s">
        <v>770</v>
      </c>
      <c r="U16" t="s">
        <v>771</v>
      </c>
      <c r="V16" t="s">
        <v>772</v>
      </c>
      <c r="W16" t="s">
        <v>773</v>
      </c>
      <c r="X16" t="s">
        <v>774</v>
      </c>
      <c r="Y16" t="s">
        <v>775</v>
      </c>
      <c r="Z16" t="s">
        <v>776</v>
      </c>
      <c r="AA16" t="s">
        <v>777</v>
      </c>
    </row>
    <row r="17" spans="1:27" x14ac:dyDescent="0.35">
      <c r="A17" s="1" t="s">
        <v>778</v>
      </c>
      <c r="B17" t="s">
        <v>664</v>
      </c>
      <c r="C17" t="s">
        <v>779</v>
      </c>
      <c r="D17" t="s">
        <v>780</v>
      </c>
      <c r="E17" t="s">
        <v>781</v>
      </c>
      <c r="F17" t="s">
        <v>782</v>
      </c>
      <c r="G17" t="s">
        <v>783</v>
      </c>
      <c r="H17" t="s">
        <v>784</v>
      </c>
      <c r="I17" t="s">
        <v>785</v>
      </c>
      <c r="J17" t="s">
        <v>786</v>
      </c>
      <c r="K17" t="s">
        <v>787</v>
      </c>
      <c r="L17" t="s">
        <v>788</v>
      </c>
      <c r="M17" t="s">
        <v>665</v>
      </c>
      <c r="N17" t="s">
        <v>789</v>
      </c>
      <c r="O17" t="s">
        <v>790</v>
      </c>
      <c r="P17" t="s">
        <v>791</v>
      </c>
      <c r="Q17" t="s">
        <v>792</v>
      </c>
      <c r="R17" t="s">
        <v>793</v>
      </c>
      <c r="S17" t="s">
        <v>794</v>
      </c>
      <c r="T17" t="s">
        <v>795</v>
      </c>
      <c r="U17" t="s">
        <v>796</v>
      </c>
      <c r="V17" t="s">
        <v>797</v>
      </c>
      <c r="W17" t="s">
        <v>798</v>
      </c>
      <c r="X17" t="s">
        <v>799</v>
      </c>
      <c r="Y17" t="s">
        <v>800</v>
      </c>
      <c r="Z17" t="s">
        <v>801</v>
      </c>
      <c r="AA17" t="s">
        <v>802</v>
      </c>
    </row>
    <row r="18" spans="1:27" x14ac:dyDescent="0.35">
      <c r="A18" s="1" t="s">
        <v>803</v>
      </c>
      <c r="B18" t="s">
        <v>174</v>
      </c>
      <c r="C18" t="s">
        <v>174</v>
      </c>
      <c r="D18" t="s">
        <v>174</v>
      </c>
      <c r="E18" t="s">
        <v>174</v>
      </c>
      <c r="F18" t="s">
        <v>174</v>
      </c>
      <c r="G18" t="s">
        <v>174</v>
      </c>
      <c r="H18" t="s">
        <v>174</v>
      </c>
      <c r="I18" t="s">
        <v>174</v>
      </c>
      <c r="J18" t="s">
        <v>804</v>
      </c>
      <c r="K18" t="s">
        <v>805</v>
      </c>
      <c r="L18" t="s">
        <v>806</v>
      </c>
      <c r="M18" t="s">
        <v>740</v>
      </c>
      <c r="N18" t="s">
        <v>807</v>
      </c>
      <c r="O18" t="s">
        <v>808</v>
      </c>
      <c r="P18" t="s">
        <v>809</v>
      </c>
      <c r="Q18" t="s">
        <v>810</v>
      </c>
      <c r="R18" t="s">
        <v>811</v>
      </c>
      <c r="S18" t="s">
        <v>812</v>
      </c>
      <c r="T18" t="s">
        <v>813</v>
      </c>
      <c r="U18" t="s">
        <v>814</v>
      </c>
      <c r="V18" t="s">
        <v>815</v>
      </c>
      <c r="W18" t="s">
        <v>816</v>
      </c>
      <c r="X18" t="s">
        <v>817</v>
      </c>
      <c r="Y18" t="s">
        <v>818</v>
      </c>
      <c r="Z18" t="s">
        <v>819</v>
      </c>
      <c r="AA18" t="s">
        <v>820</v>
      </c>
    </row>
    <row r="19" spans="1:27" x14ac:dyDescent="0.35">
      <c r="A19" s="1" t="s">
        <v>821</v>
      </c>
      <c r="B19" t="s">
        <v>174</v>
      </c>
      <c r="C19" t="s">
        <v>174</v>
      </c>
      <c r="D19" t="s">
        <v>174</v>
      </c>
      <c r="E19" t="s">
        <v>174</v>
      </c>
      <c r="F19" t="s">
        <v>174</v>
      </c>
      <c r="G19" t="s">
        <v>174</v>
      </c>
      <c r="H19" t="s">
        <v>174</v>
      </c>
      <c r="I19" t="s">
        <v>174</v>
      </c>
      <c r="J19" t="s">
        <v>822</v>
      </c>
      <c r="K19" t="s">
        <v>823</v>
      </c>
      <c r="L19" t="s">
        <v>824</v>
      </c>
      <c r="M19" t="s">
        <v>825</v>
      </c>
      <c r="N19" t="s">
        <v>826</v>
      </c>
      <c r="O19" t="s">
        <v>827</v>
      </c>
      <c r="P19" t="s">
        <v>828</v>
      </c>
      <c r="Q19" t="s">
        <v>829</v>
      </c>
      <c r="R19" t="s">
        <v>830</v>
      </c>
      <c r="S19" t="s">
        <v>831</v>
      </c>
      <c r="T19" t="s">
        <v>832</v>
      </c>
      <c r="U19" t="s">
        <v>833</v>
      </c>
      <c r="V19" t="s">
        <v>834</v>
      </c>
      <c r="W19" t="s">
        <v>835</v>
      </c>
      <c r="X19" t="s">
        <v>836</v>
      </c>
      <c r="Y19" t="s">
        <v>837</v>
      </c>
      <c r="Z19" t="s">
        <v>838</v>
      </c>
      <c r="AA19" t="s">
        <v>839</v>
      </c>
    </row>
    <row r="20" spans="1:27" x14ac:dyDescent="0.35">
      <c r="A20" s="1" t="s">
        <v>840</v>
      </c>
      <c r="B20" t="s">
        <v>174</v>
      </c>
      <c r="C20" t="s">
        <v>174</v>
      </c>
      <c r="D20" t="s">
        <v>174</v>
      </c>
      <c r="E20" t="s">
        <v>174</v>
      </c>
      <c r="F20" t="s">
        <v>174</v>
      </c>
      <c r="G20" t="s">
        <v>174</v>
      </c>
      <c r="H20" t="s">
        <v>174</v>
      </c>
      <c r="I20" t="s">
        <v>174</v>
      </c>
      <c r="J20" t="s">
        <v>841</v>
      </c>
      <c r="K20" t="s">
        <v>842</v>
      </c>
      <c r="L20" t="s">
        <v>843</v>
      </c>
      <c r="M20" t="s">
        <v>380</v>
      </c>
      <c r="N20" t="s">
        <v>844</v>
      </c>
      <c r="O20" t="s">
        <v>845</v>
      </c>
      <c r="P20" t="s">
        <v>846</v>
      </c>
      <c r="Q20" t="s">
        <v>519</v>
      </c>
      <c r="R20" t="s">
        <v>805</v>
      </c>
      <c r="S20" t="s">
        <v>847</v>
      </c>
      <c r="T20" t="s">
        <v>674</v>
      </c>
      <c r="U20" t="s">
        <v>848</v>
      </c>
      <c r="V20" t="s">
        <v>849</v>
      </c>
      <c r="W20" t="s">
        <v>850</v>
      </c>
      <c r="X20" t="s">
        <v>395</v>
      </c>
      <c r="Y20" t="s">
        <v>851</v>
      </c>
      <c r="Z20" t="s">
        <v>852</v>
      </c>
      <c r="AA20" t="s">
        <v>853</v>
      </c>
    </row>
    <row r="21" spans="1:27" s="3" customFormat="1" x14ac:dyDescent="0.35">
      <c r="A21" s="1" t="s">
        <v>62</v>
      </c>
      <c r="B21" s="3" t="s">
        <v>731</v>
      </c>
      <c r="C21" s="3" t="s">
        <v>854</v>
      </c>
      <c r="D21" s="3" t="s">
        <v>855</v>
      </c>
      <c r="E21" s="3" t="s">
        <v>856</v>
      </c>
      <c r="F21" s="3" t="s">
        <v>857</v>
      </c>
      <c r="G21" s="3" t="s">
        <v>858</v>
      </c>
      <c r="H21" s="3" t="s">
        <v>859</v>
      </c>
      <c r="I21" s="3" t="s">
        <v>860</v>
      </c>
      <c r="J21" s="3" t="s">
        <v>861</v>
      </c>
      <c r="K21" s="3" t="s">
        <v>862</v>
      </c>
      <c r="L21" s="3" t="s">
        <v>310</v>
      </c>
      <c r="M21" s="3" t="s">
        <v>311</v>
      </c>
      <c r="N21" s="3" t="s">
        <v>312</v>
      </c>
      <c r="O21" s="3" t="s">
        <v>313</v>
      </c>
      <c r="P21" s="3" t="s">
        <v>314</v>
      </c>
      <c r="Q21" s="3" t="s">
        <v>315</v>
      </c>
      <c r="R21" s="3" t="s">
        <v>316</v>
      </c>
      <c r="S21" s="3" t="s">
        <v>317</v>
      </c>
      <c r="T21" s="3" t="s">
        <v>318</v>
      </c>
      <c r="U21" s="3" t="s">
        <v>319</v>
      </c>
      <c r="V21" s="3" t="s">
        <v>320</v>
      </c>
      <c r="W21" s="3" t="s">
        <v>321</v>
      </c>
      <c r="X21" s="3" t="s">
        <v>322</v>
      </c>
      <c r="Y21" s="3" t="s">
        <v>323</v>
      </c>
      <c r="Z21" s="3" t="s">
        <v>324</v>
      </c>
      <c r="AA21" s="3" t="s">
        <v>325</v>
      </c>
    </row>
    <row r="22" spans="1:27" x14ac:dyDescent="0.35">
      <c r="A22" s="1" t="s">
        <v>863</v>
      </c>
      <c r="B22" t="s">
        <v>146</v>
      </c>
      <c r="C22" t="s">
        <v>864</v>
      </c>
      <c r="D22" t="s">
        <v>865</v>
      </c>
      <c r="E22" t="s">
        <v>866</v>
      </c>
      <c r="F22" t="s">
        <v>867</v>
      </c>
      <c r="G22" t="s">
        <v>868</v>
      </c>
      <c r="H22" t="s">
        <v>865</v>
      </c>
      <c r="I22" t="s">
        <v>869</v>
      </c>
      <c r="J22" t="s">
        <v>145</v>
      </c>
      <c r="K22" t="s">
        <v>162</v>
      </c>
      <c r="L22" t="s">
        <v>140</v>
      </c>
      <c r="M22" t="s">
        <v>141</v>
      </c>
      <c r="N22" t="s">
        <v>145</v>
      </c>
      <c r="O22" t="s">
        <v>143</v>
      </c>
      <c r="P22" t="s">
        <v>144</v>
      </c>
      <c r="Q22" t="s">
        <v>145</v>
      </c>
      <c r="R22" t="s">
        <v>146</v>
      </c>
      <c r="S22" t="s">
        <v>147</v>
      </c>
      <c r="T22" t="s">
        <v>148</v>
      </c>
      <c r="U22" t="s">
        <v>141</v>
      </c>
      <c r="V22" t="s">
        <v>870</v>
      </c>
      <c r="W22" t="s">
        <v>871</v>
      </c>
      <c r="X22" t="s">
        <v>872</v>
      </c>
      <c r="Y22" t="s">
        <v>873</v>
      </c>
      <c r="Z22" t="s">
        <v>874</v>
      </c>
      <c r="AA22" t="s">
        <v>154</v>
      </c>
    </row>
    <row r="23" spans="1:27" x14ac:dyDescent="0.35">
      <c r="A23" s="1" t="s">
        <v>875</v>
      </c>
      <c r="B23" t="s">
        <v>146</v>
      </c>
      <c r="C23" t="s">
        <v>864</v>
      </c>
      <c r="D23" t="s">
        <v>865</v>
      </c>
      <c r="E23" t="s">
        <v>866</v>
      </c>
      <c r="F23" t="s">
        <v>867</v>
      </c>
      <c r="G23" t="s">
        <v>868</v>
      </c>
      <c r="H23" t="s">
        <v>865</v>
      </c>
      <c r="I23" t="s">
        <v>869</v>
      </c>
      <c r="J23" t="s">
        <v>145</v>
      </c>
      <c r="K23" t="s">
        <v>162</v>
      </c>
      <c r="L23" t="s">
        <v>140</v>
      </c>
      <c r="M23" t="s">
        <v>141</v>
      </c>
      <c r="N23" t="s">
        <v>145</v>
      </c>
      <c r="O23" t="s">
        <v>143</v>
      </c>
      <c r="P23" t="s">
        <v>144</v>
      </c>
      <c r="Q23" t="s">
        <v>145</v>
      </c>
      <c r="R23" t="s">
        <v>146</v>
      </c>
      <c r="S23" t="s">
        <v>147</v>
      </c>
      <c r="T23" t="s">
        <v>148</v>
      </c>
      <c r="U23" t="s">
        <v>141</v>
      </c>
      <c r="V23" t="s">
        <v>870</v>
      </c>
      <c r="W23" t="s">
        <v>871</v>
      </c>
      <c r="X23" t="s">
        <v>872</v>
      </c>
      <c r="Y23" t="s">
        <v>873</v>
      </c>
      <c r="Z23" t="s">
        <v>874</v>
      </c>
      <c r="AA23" t="s">
        <v>876</v>
      </c>
    </row>
    <row r="24" spans="1:27" x14ac:dyDescent="0.35">
      <c r="A24" s="1" t="s">
        <v>877</v>
      </c>
      <c r="B24" t="s">
        <v>878</v>
      </c>
      <c r="C24" t="s">
        <v>879</v>
      </c>
      <c r="D24" t="s">
        <v>880</v>
      </c>
      <c r="E24" t="s">
        <v>881</v>
      </c>
      <c r="F24" s="7">
        <v>7017</v>
      </c>
      <c r="G24" t="s">
        <v>882</v>
      </c>
      <c r="H24" t="s">
        <v>883</v>
      </c>
      <c r="I24" t="s">
        <v>884</v>
      </c>
      <c r="J24" t="s">
        <v>885</v>
      </c>
      <c r="K24" t="s">
        <v>886</v>
      </c>
      <c r="L24" t="s">
        <v>206</v>
      </c>
      <c r="M24" t="s">
        <v>207</v>
      </c>
      <c r="N24" t="s">
        <v>208</v>
      </c>
      <c r="O24" t="s">
        <v>209</v>
      </c>
      <c r="P24" t="s">
        <v>210</v>
      </c>
      <c r="Q24" t="s">
        <v>211</v>
      </c>
      <c r="R24" t="s">
        <v>211</v>
      </c>
      <c r="S24" t="s">
        <v>212</v>
      </c>
      <c r="T24" t="s">
        <v>213</v>
      </c>
      <c r="U24" t="s">
        <v>214</v>
      </c>
      <c r="V24" t="s">
        <v>215</v>
      </c>
      <c r="W24" t="s">
        <v>216</v>
      </c>
      <c r="X24" t="s">
        <v>217</v>
      </c>
      <c r="Y24" t="s">
        <v>218</v>
      </c>
      <c r="Z24" t="s">
        <v>219</v>
      </c>
      <c r="AA24" t="s">
        <v>220</v>
      </c>
    </row>
    <row r="25" spans="1:27" x14ac:dyDescent="0.35">
      <c r="A25" s="1" t="s">
        <v>887</v>
      </c>
      <c r="B25" t="s">
        <v>878</v>
      </c>
      <c r="C25" t="s">
        <v>888</v>
      </c>
      <c r="D25" t="s">
        <v>880</v>
      </c>
      <c r="E25" t="s">
        <v>881</v>
      </c>
      <c r="F25" t="s">
        <v>889</v>
      </c>
      <c r="G25" t="s">
        <v>882</v>
      </c>
      <c r="H25" t="s">
        <v>883</v>
      </c>
      <c r="I25" t="s">
        <v>890</v>
      </c>
      <c r="J25" t="s">
        <v>891</v>
      </c>
      <c r="K25" t="s">
        <v>892</v>
      </c>
      <c r="L25" t="s">
        <v>893</v>
      </c>
      <c r="M25" t="s">
        <v>893</v>
      </c>
      <c r="N25" t="s">
        <v>894</v>
      </c>
      <c r="O25" t="s">
        <v>895</v>
      </c>
      <c r="P25" t="s">
        <v>896</v>
      </c>
      <c r="Q25" t="s">
        <v>897</v>
      </c>
      <c r="R25" t="s">
        <v>211</v>
      </c>
      <c r="S25" t="s">
        <v>898</v>
      </c>
      <c r="T25" t="s">
        <v>213</v>
      </c>
      <c r="U25" t="s">
        <v>899</v>
      </c>
      <c r="V25" t="s">
        <v>900</v>
      </c>
      <c r="W25" t="s">
        <v>901</v>
      </c>
      <c r="X25" t="s">
        <v>219</v>
      </c>
      <c r="Y25" t="s">
        <v>902</v>
      </c>
      <c r="Z25" t="s">
        <v>903</v>
      </c>
      <c r="AA25" t="s">
        <v>904</v>
      </c>
    </row>
    <row r="28" spans="1:27" x14ac:dyDescent="0.35">
      <c r="C28">
        <f>((C2-B2)/B2)*100</f>
        <v>825</v>
      </c>
    </row>
    <row r="29" spans="1:27" x14ac:dyDescent="0.35">
      <c r="A29" t="s">
        <v>905</v>
      </c>
      <c r="C29" s="4">
        <f t="shared" ref="C29:AA29" si="0">C2/B2-1</f>
        <v>8.25</v>
      </c>
      <c r="D29" s="4">
        <f t="shared" si="0"/>
        <v>3.1216216216216219</v>
      </c>
      <c r="E29" s="4">
        <f t="shared" si="0"/>
        <v>1.6885245901639343</v>
      </c>
      <c r="F29" s="4">
        <f t="shared" si="0"/>
        <v>0.68414634146341458</v>
      </c>
      <c r="G29" s="4">
        <f t="shared" si="0"/>
        <v>0.13034033309196236</v>
      </c>
      <c r="H29" s="4">
        <f t="shared" si="0"/>
        <v>0.25976937860345939</v>
      </c>
      <c r="I29" s="4">
        <f t="shared" si="0"/>
        <v>0.33841851004322399</v>
      </c>
      <c r="J29" s="4">
        <f t="shared" si="0"/>
        <v>0.31477963525835873</v>
      </c>
      <c r="K29" s="4">
        <f t="shared" si="0"/>
        <v>0.22670134373645423</v>
      </c>
      <c r="L29" s="4">
        <f t="shared" si="0"/>
        <v>0.26160188457008249</v>
      </c>
      <c r="M29" s="4">
        <f t="shared" si="0"/>
        <v>0.38502474092054895</v>
      </c>
      <c r="N29" s="4">
        <f t="shared" si="0"/>
        <v>0.29194472531176263</v>
      </c>
      <c r="O29" s="4">
        <f t="shared" si="0"/>
        <v>0.27877491391004905</v>
      </c>
      <c r="P29" s="4">
        <f t="shared" si="0"/>
        <v>0.39556897466236896</v>
      </c>
      <c r="Q29" s="4">
        <f t="shared" si="0"/>
        <v>0.40559583674424049</v>
      </c>
      <c r="R29" s="4">
        <f t="shared" si="0"/>
        <v>0.27073236682821311</v>
      </c>
      <c r="S29" s="4">
        <f t="shared" si="0"/>
        <v>0.21866662301736706</v>
      </c>
      <c r="T29" s="4">
        <f t="shared" si="0"/>
        <v>0.1952398861011122</v>
      </c>
      <c r="U29" s="4">
        <f t="shared" si="0"/>
        <v>0.20247673843664304</v>
      </c>
      <c r="V29" s="4">
        <f t="shared" si="0"/>
        <v>0.27083528026465808</v>
      </c>
      <c r="W29" s="4">
        <f t="shared" si="0"/>
        <v>0.30796326119408479</v>
      </c>
      <c r="X29" s="4">
        <f t="shared" si="0"/>
        <v>0.3093396152159491</v>
      </c>
      <c r="Y29" s="4">
        <f t="shared" si="0"/>
        <v>0.20454125820676983</v>
      </c>
      <c r="Z29" s="4">
        <f t="shared" si="0"/>
        <v>0.37623430604373276</v>
      </c>
      <c r="AA29" s="4">
        <f t="shared" si="0"/>
        <v>0.21695366571345676</v>
      </c>
    </row>
    <row r="30" spans="1:27" x14ac:dyDescent="0.35">
      <c r="A30" t="s">
        <v>906</v>
      </c>
    </row>
    <row r="31" spans="1:27" x14ac:dyDescent="0.35">
      <c r="A31" t="s">
        <v>907</v>
      </c>
    </row>
    <row r="33" spans="1:27" x14ac:dyDescent="0.35">
      <c r="A33" t="s">
        <v>908</v>
      </c>
      <c r="B33" s="4">
        <f t="shared" ref="B33:AA33" si="1">B4/B2</f>
        <v>0.25</v>
      </c>
      <c r="C33" s="4">
        <f t="shared" si="1"/>
        <v>0.22972972972972974</v>
      </c>
      <c r="D33" s="4">
        <f t="shared" si="1"/>
        <v>0.21967213114754097</v>
      </c>
      <c r="E33" s="4">
        <f t="shared" si="1"/>
        <v>0.17743902439024389</v>
      </c>
      <c r="F33" s="4">
        <f t="shared" si="1"/>
        <v>0.23750905141202028</v>
      </c>
      <c r="G33" s="4">
        <f t="shared" si="1"/>
        <v>0.25592568866111465</v>
      </c>
      <c r="H33" s="4">
        <f t="shared" si="1"/>
        <v>0.25247902364607172</v>
      </c>
      <c r="I33" s="4">
        <f t="shared" si="1"/>
        <v>0.23879179331306991</v>
      </c>
      <c r="J33" s="4">
        <f t="shared" si="1"/>
        <v>0.23146944083224968</v>
      </c>
      <c r="K33" s="4">
        <f t="shared" si="1"/>
        <v>0.24016489988221437</v>
      </c>
      <c r="L33" s="4">
        <f t="shared" si="1"/>
        <v>0.22929698440855195</v>
      </c>
      <c r="M33" s="4">
        <f t="shared" si="1"/>
        <v>0.22601954836535221</v>
      </c>
      <c r="N33" s="4">
        <f t="shared" si="1"/>
        <v>0.22279035792549307</v>
      </c>
      <c r="O33" s="4">
        <f t="shared" si="1"/>
        <v>0.22567220204822719</v>
      </c>
      <c r="P33" s="4">
        <f t="shared" si="1"/>
        <v>0.22345339726347796</v>
      </c>
      <c r="Q33" s="4">
        <f t="shared" si="1"/>
        <v>0.22441084094265448</v>
      </c>
      <c r="R33" s="4">
        <f t="shared" si="1"/>
        <v>0.14245494573846432</v>
      </c>
      <c r="S33" s="4">
        <f t="shared" si="1"/>
        <v>0.1569601891151346</v>
      </c>
      <c r="T33" s="4">
        <f t="shared" si="1"/>
        <v>0.17384366431428958</v>
      </c>
      <c r="U33" s="4">
        <f t="shared" si="1"/>
        <v>0.20508195802104554</v>
      </c>
      <c r="V33" s="4">
        <f t="shared" si="1"/>
        <v>0.22136674829211617</v>
      </c>
      <c r="W33" s="4">
        <f t="shared" si="1"/>
        <v>0.22872836854710848</v>
      </c>
      <c r="X33" s="4">
        <f t="shared" si="1"/>
        <v>0.25636467471348767</v>
      </c>
      <c r="Y33" s="4">
        <f t="shared" si="1"/>
        <v>0.26648177326555494</v>
      </c>
      <c r="Z33" s="4">
        <f t="shared" si="1"/>
        <v>0.24410460441792034</v>
      </c>
      <c r="AA33" s="4">
        <f t="shared" si="1"/>
        <v>0.14114920118683247</v>
      </c>
    </row>
    <row r="34" spans="1:27" x14ac:dyDescent="0.35">
      <c r="A34" t="s">
        <v>25</v>
      </c>
      <c r="B34" s="4">
        <f t="shared" ref="B34:AA34" si="2">B16/B4</f>
        <v>-1.5</v>
      </c>
      <c r="C34" s="4">
        <f t="shared" si="2"/>
        <v>-0.8529411764705882</v>
      </c>
      <c r="D34" s="4">
        <f t="shared" si="2"/>
        <v>-0.83582089552238803</v>
      </c>
      <c r="E34" s="4">
        <f t="shared" si="2"/>
        <v>-2.0824742268041239</v>
      </c>
      <c r="F34" s="4">
        <f t="shared" si="2"/>
        <v>-1.3170731707317074</v>
      </c>
      <c r="G34" s="4">
        <f t="shared" si="2"/>
        <v>-0.51564455569461831</v>
      </c>
      <c r="H34" s="4">
        <f t="shared" si="2"/>
        <v>6.4451158106747231E-2</v>
      </c>
      <c r="I34" s="4">
        <f t="shared" si="2"/>
        <v>0.21559268098647574</v>
      </c>
      <c r="J34" s="4">
        <f t="shared" si="2"/>
        <v>0.27465667915106118</v>
      </c>
      <c r="K34" s="4">
        <f t="shared" si="2"/>
        <v>0.21186856302108878</v>
      </c>
      <c r="L34" s="4">
        <f t="shared" si="2"/>
        <v>0.15838762214983712</v>
      </c>
      <c r="M34" s="4">
        <f t="shared" si="2"/>
        <v>0.19534745004473605</v>
      </c>
      <c r="N34" s="4">
        <f t="shared" si="2"/>
        <v>0.19718969555035129</v>
      </c>
      <c r="O34" s="4">
        <f t="shared" si="2"/>
        <v>0.20412222021334298</v>
      </c>
      <c r="P34" s="4">
        <f t="shared" si="2"/>
        <v>0.18395917833311526</v>
      </c>
      <c r="Q34" s="4">
        <f t="shared" si="2"/>
        <v>7.9896190564463801E-2</v>
      </c>
      <c r="R34" s="4">
        <f t="shared" si="2"/>
        <v>7.767436516143858E-2</v>
      </c>
      <c r="S34" s="4">
        <f t="shared" si="2"/>
        <v>6.3751497518398079E-2</v>
      </c>
      <c r="T34" s="4">
        <f t="shared" si="2"/>
        <v>1.1506140917905625E-2</v>
      </c>
      <c r="U34" s="4">
        <f t="shared" si="2"/>
        <v>0.10175438596491228</v>
      </c>
      <c r="V34" s="4">
        <f t="shared" si="2"/>
        <v>0.13905590804903165</v>
      </c>
      <c r="W34" s="4">
        <f t="shared" si="2"/>
        <v>0.10092667699038911</v>
      </c>
      <c r="X34" s="4">
        <f t="shared" si="2"/>
        <v>0.20804301219348786</v>
      </c>
      <c r="Y34" s="4">
        <f t="shared" si="2"/>
        <v>0.1945180191026567</v>
      </c>
      <c r="Z34" s="4">
        <f t="shared" si="2"/>
        <v>0.24298599320882852</v>
      </c>
      <c r="AA34" s="4">
        <f t="shared" si="2"/>
        <v>0.37516399004750056</v>
      </c>
    </row>
    <row r="35" spans="1:27" x14ac:dyDescent="0.35">
      <c r="A35" t="s">
        <v>909</v>
      </c>
      <c r="B35" s="4">
        <f t="shared" ref="B35:AA35" si="3">B21/B4</f>
        <v>-1.5</v>
      </c>
      <c r="C35" s="4">
        <f t="shared" si="3"/>
        <v>-0.82352941176470584</v>
      </c>
      <c r="D35" s="4">
        <f t="shared" si="3"/>
        <v>-0.93283582089552242</v>
      </c>
      <c r="E35" s="4">
        <f t="shared" si="3"/>
        <v>-2.4742268041237114</v>
      </c>
      <c r="F35" s="4">
        <f t="shared" si="3"/>
        <v>-2.1509146341463414</v>
      </c>
      <c r="G35" s="4">
        <f t="shared" si="3"/>
        <v>-0.70963704630788482</v>
      </c>
      <c r="H35" s="4">
        <f t="shared" si="3"/>
        <v>-0.15005035246727089</v>
      </c>
      <c r="I35" s="4">
        <f t="shared" si="3"/>
        <v>2.7844073190135241E-2</v>
      </c>
      <c r="J35" s="4">
        <f t="shared" si="3"/>
        <v>0.36704119850187267</v>
      </c>
      <c r="K35" s="4">
        <f t="shared" si="3"/>
        <v>0.17606669936243258</v>
      </c>
      <c r="L35" s="4">
        <f t="shared" si="3"/>
        <v>7.7361563517915316E-2</v>
      </c>
      <c r="M35" s="4">
        <f t="shared" si="3"/>
        <v>0.14196242171189979</v>
      </c>
      <c r="N35" s="4">
        <f t="shared" si="3"/>
        <v>0.15105386416861827</v>
      </c>
      <c r="O35" s="4">
        <f t="shared" si="3"/>
        <v>0.16308081721207737</v>
      </c>
      <c r="P35" s="4">
        <f t="shared" si="3"/>
        <v>0.15072615465131492</v>
      </c>
      <c r="Q35" s="4">
        <f t="shared" si="3"/>
        <v>5.8485494485123739E-2</v>
      </c>
      <c r="R35" s="4">
        <f t="shared" si="3"/>
        <v>-4.4812133746983795E-3</v>
      </c>
      <c r="S35" s="4">
        <f t="shared" si="3"/>
        <v>2.3446859489988019E-2</v>
      </c>
      <c r="T35" s="4">
        <f t="shared" si="3"/>
        <v>-1.5578539107950873E-2</v>
      </c>
      <c r="U35" s="4">
        <f t="shared" si="3"/>
        <v>2.7158806106174528E-2</v>
      </c>
      <c r="V35" s="4">
        <f t="shared" si="3"/>
        <v>7.876291399528286E-2</v>
      </c>
      <c r="W35" s="4">
        <f t="shared" si="3"/>
        <v>7.4552024187006863E-2</v>
      </c>
      <c r="X35" s="4">
        <f t="shared" si="3"/>
        <v>0.16871566394211443</v>
      </c>
      <c r="Y35" s="4">
        <f t="shared" si="3"/>
        <v>0.15501511624795997</v>
      </c>
      <c r="Z35" s="4">
        <f t="shared" si="3"/>
        <v>0.22634762308998302</v>
      </c>
      <c r="AA35" s="4">
        <f t="shared" si="3"/>
        <v>0.50311392595943605</v>
      </c>
    </row>
    <row r="40" spans="1:27" x14ac:dyDescent="0.35">
      <c r="A40" t="s">
        <v>466</v>
      </c>
      <c r="B40" s="1" t="s">
        <v>469</v>
      </c>
      <c r="C40" s="1" t="s">
        <v>470</v>
      </c>
      <c r="D40" s="1" t="s">
        <v>471</v>
      </c>
      <c r="E40" s="1" t="s">
        <v>472</v>
      </c>
      <c r="F40" s="1" t="s">
        <v>473</v>
      </c>
      <c r="G40" s="1" t="s">
        <v>474</v>
      </c>
      <c r="H40" s="1" t="s">
        <v>475</v>
      </c>
      <c r="I40" s="1" t="s">
        <v>476</v>
      </c>
      <c r="J40" s="1" t="s">
        <v>477</v>
      </c>
      <c r="K40" s="1" t="s">
        <v>478</v>
      </c>
      <c r="L40" s="1" t="s">
        <v>104</v>
      </c>
      <c r="M40" s="1" t="s">
        <v>105</v>
      </c>
      <c r="N40" s="1" t="s">
        <v>106</v>
      </c>
      <c r="O40" s="1" t="s">
        <v>107</v>
      </c>
      <c r="P40" s="1" t="s">
        <v>108</v>
      </c>
      <c r="Q40" s="1" t="s">
        <v>109</v>
      </c>
      <c r="R40" s="1" t="s">
        <v>110</v>
      </c>
      <c r="S40" s="1" t="s">
        <v>111</v>
      </c>
      <c r="T40" s="1" t="s">
        <v>112</v>
      </c>
      <c r="U40" s="1" t="s">
        <v>113</v>
      </c>
      <c r="V40" s="1" t="s">
        <v>114</v>
      </c>
      <c r="W40" s="1" t="s">
        <v>115</v>
      </c>
      <c r="X40" s="1" t="s">
        <v>116</v>
      </c>
      <c r="Y40" s="1" t="s">
        <v>117</v>
      </c>
      <c r="Z40" s="1" t="s">
        <v>118</v>
      </c>
      <c r="AA40" s="1" t="s">
        <v>119</v>
      </c>
    </row>
    <row r="41" spans="1:27" s="3" customFormat="1" x14ac:dyDescent="0.35">
      <c r="A41" s="1" t="s">
        <v>479</v>
      </c>
      <c r="B41" s="19">
        <v>16</v>
      </c>
      <c r="C41" s="19">
        <v>148</v>
      </c>
      <c r="D41" s="19">
        <v>610</v>
      </c>
      <c r="E41" s="19">
        <v>1640</v>
      </c>
      <c r="F41" s="19">
        <v>2762</v>
      </c>
      <c r="G41" s="19">
        <v>3122</v>
      </c>
      <c r="H41" s="19">
        <v>3933</v>
      </c>
      <c r="I41" s="19">
        <v>5264</v>
      </c>
      <c r="J41" s="19">
        <v>6921</v>
      </c>
      <c r="K41" s="19">
        <v>8490</v>
      </c>
      <c r="L41" s="19">
        <v>10711</v>
      </c>
      <c r="M41" s="19">
        <v>14835</v>
      </c>
      <c r="N41" s="19">
        <v>19166</v>
      </c>
      <c r="O41" s="19">
        <v>24509</v>
      </c>
      <c r="P41" s="19">
        <v>34204</v>
      </c>
      <c r="Q41" s="19">
        <v>48077</v>
      </c>
      <c r="R41" s="19">
        <v>61093</v>
      </c>
      <c r="S41" s="19">
        <v>74452</v>
      </c>
      <c r="T41" s="19">
        <v>88988</v>
      </c>
      <c r="U41" s="19">
        <v>107006</v>
      </c>
      <c r="V41" s="19">
        <v>135987</v>
      </c>
      <c r="W41" s="19">
        <v>177866</v>
      </c>
      <c r="X41" s="19">
        <v>232887</v>
      </c>
      <c r="Y41" s="19">
        <v>280522</v>
      </c>
      <c r="Z41" s="19">
        <v>386064</v>
      </c>
      <c r="AA41" s="19">
        <v>469822</v>
      </c>
    </row>
    <row r="42" spans="1:27" s="3" customFormat="1" x14ac:dyDescent="0.35">
      <c r="A42" s="1" t="s">
        <v>515</v>
      </c>
      <c r="B42" s="18">
        <v>4</v>
      </c>
      <c r="C42" s="18">
        <v>34</v>
      </c>
      <c r="D42" s="18">
        <v>134</v>
      </c>
      <c r="E42" s="3">
        <v>291</v>
      </c>
      <c r="F42" s="3">
        <v>656</v>
      </c>
      <c r="G42" s="18">
        <v>799</v>
      </c>
      <c r="H42" s="3">
        <v>993</v>
      </c>
      <c r="I42" s="12">
        <v>1257</v>
      </c>
      <c r="J42" s="12">
        <v>1602</v>
      </c>
      <c r="K42" s="12">
        <v>2039</v>
      </c>
      <c r="L42" s="12">
        <v>2456</v>
      </c>
      <c r="M42" s="12">
        <v>3353</v>
      </c>
      <c r="N42" s="12">
        <v>4270</v>
      </c>
      <c r="O42" s="12">
        <v>5531</v>
      </c>
      <c r="P42" s="12">
        <v>7643</v>
      </c>
      <c r="Q42" s="12">
        <v>10789</v>
      </c>
      <c r="R42" s="12">
        <v>8703</v>
      </c>
      <c r="S42" s="12">
        <v>11686</v>
      </c>
      <c r="T42" s="12">
        <v>15470</v>
      </c>
      <c r="U42" s="12">
        <v>21945</v>
      </c>
      <c r="V42" s="12">
        <v>30103</v>
      </c>
      <c r="W42" s="12">
        <v>40683</v>
      </c>
      <c r="X42" s="12">
        <v>59704</v>
      </c>
      <c r="Y42" s="12">
        <v>74754</v>
      </c>
      <c r="Z42" s="12">
        <v>94240</v>
      </c>
      <c r="AA42" s="12">
        <v>66315</v>
      </c>
    </row>
    <row r="43" spans="1:27"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s="3" customFormat="1" x14ac:dyDescent="0.35">
      <c r="A44" s="1" t="s">
        <v>62</v>
      </c>
      <c r="B44" s="18">
        <v>-6</v>
      </c>
      <c r="C44" s="3">
        <v>-28</v>
      </c>
      <c r="D44" s="3">
        <v>-125</v>
      </c>
      <c r="E44" s="3">
        <v>-720</v>
      </c>
      <c r="F44" s="12">
        <v>-1411</v>
      </c>
      <c r="G44" s="3">
        <v>-567</v>
      </c>
      <c r="H44" s="3">
        <v>-149</v>
      </c>
      <c r="I44" s="3">
        <v>35</v>
      </c>
      <c r="J44" s="3">
        <v>588</v>
      </c>
      <c r="K44" s="3">
        <v>359</v>
      </c>
      <c r="L44" s="3">
        <v>190</v>
      </c>
      <c r="M44" s="3">
        <v>476</v>
      </c>
      <c r="N44" s="3">
        <v>645</v>
      </c>
      <c r="O44" s="3">
        <v>902</v>
      </c>
      <c r="P44" s="12">
        <v>1152</v>
      </c>
      <c r="Q44" s="3">
        <v>631</v>
      </c>
      <c r="R44" s="3">
        <v>-39</v>
      </c>
      <c r="S44" s="3">
        <v>274</v>
      </c>
      <c r="T44" s="3">
        <v>-241</v>
      </c>
      <c r="U44" s="3">
        <v>596</v>
      </c>
      <c r="V44" s="12">
        <v>2371</v>
      </c>
      <c r="W44" s="12">
        <v>3033</v>
      </c>
      <c r="X44" s="12">
        <v>10073</v>
      </c>
      <c r="Y44" s="12">
        <v>11588</v>
      </c>
      <c r="Z44" s="12">
        <v>21331</v>
      </c>
      <c r="AA44" s="12">
        <v>33364</v>
      </c>
    </row>
  </sheetData>
  <conditionalFormatting sqref="B33:AA33">
    <cfRule type="colorScale" priority="2">
      <colorScale>
        <cfvo type="min"/>
        <cfvo type="percentile" val="50"/>
        <cfvo type="max"/>
        <color theme="0"/>
        <color theme="6" tint="0.79998168889431442"/>
        <color rgb="FF63BE7B"/>
      </colorScale>
    </cfRule>
  </conditionalFormatting>
  <conditionalFormatting sqref="B34:AA34">
    <cfRule type="colorScale" priority="3">
      <colorScale>
        <cfvo type="min"/>
        <cfvo type="percentile" val="50"/>
        <cfvo type="max"/>
        <color theme="0"/>
        <color theme="6" tint="0.79998168889431442"/>
        <color rgb="FF63BE7B"/>
      </colorScale>
    </cfRule>
  </conditionalFormatting>
  <conditionalFormatting sqref="B35:AA35">
    <cfRule type="colorScale" priority="1">
      <colorScale>
        <cfvo type="min"/>
        <cfvo type="percentile" val="50"/>
        <cfvo type="max"/>
        <color theme="0"/>
        <color theme="6" tint="0.79998168889431442"/>
        <color rgb="FF63BE7B"/>
      </colorScale>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0"/>
  <sheetViews>
    <sheetView workbookViewId="0"/>
  </sheetViews>
  <sheetFormatPr defaultRowHeight="14.5" x14ac:dyDescent="0.35"/>
  <sheetData>
    <row r="1" spans="1:27" x14ac:dyDescent="0.35">
      <c r="B1" s="1" t="s">
        <v>469</v>
      </c>
      <c r="C1" s="1" t="s">
        <v>470</v>
      </c>
      <c r="D1" s="1" t="s">
        <v>471</v>
      </c>
      <c r="E1" s="1" t="s">
        <v>472</v>
      </c>
      <c r="F1" s="1" t="s">
        <v>473</v>
      </c>
      <c r="G1" s="1" t="s">
        <v>474</v>
      </c>
      <c r="H1" s="1" t="s">
        <v>475</v>
      </c>
      <c r="I1" s="1" t="s">
        <v>476</v>
      </c>
      <c r="J1" s="1" t="s">
        <v>477</v>
      </c>
      <c r="K1" s="1" t="s">
        <v>478</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c r="Z1" s="1" t="s">
        <v>118</v>
      </c>
      <c r="AA1" s="1" t="s">
        <v>119</v>
      </c>
    </row>
    <row r="2" spans="1:27" x14ac:dyDescent="0.35">
      <c r="A2" s="1" t="s">
        <v>910</v>
      </c>
      <c r="B2" t="s">
        <v>911</v>
      </c>
      <c r="C2" t="s">
        <v>912</v>
      </c>
      <c r="D2" t="s">
        <v>913</v>
      </c>
      <c r="E2" t="s">
        <v>914</v>
      </c>
      <c r="F2" t="s">
        <v>915</v>
      </c>
      <c r="G2" t="s">
        <v>623</v>
      </c>
      <c r="H2" t="s">
        <v>916</v>
      </c>
      <c r="I2" t="s">
        <v>917</v>
      </c>
      <c r="J2" t="s">
        <v>918</v>
      </c>
      <c r="K2" t="s">
        <v>919</v>
      </c>
      <c r="L2" t="s">
        <v>920</v>
      </c>
      <c r="M2" t="s">
        <v>921</v>
      </c>
      <c r="N2" t="s">
        <v>922</v>
      </c>
      <c r="O2" t="s">
        <v>923</v>
      </c>
      <c r="P2" t="s">
        <v>924</v>
      </c>
      <c r="Q2" t="s">
        <v>925</v>
      </c>
      <c r="R2" t="s">
        <v>926</v>
      </c>
      <c r="S2" t="s">
        <v>927</v>
      </c>
      <c r="T2" t="s">
        <v>928</v>
      </c>
      <c r="U2" t="s">
        <v>929</v>
      </c>
      <c r="V2" t="s">
        <v>930</v>
      </c>
      <c r="W2" t="s">
        <v>931</v>
      </c>
      <c r="X2" t="s">
        <v>932</v>
      </c>
      <c r="Y2" t="s">
        <v>933</v>
      </c>
      <c r="Z2" t="s">
        <v>934</v>
      </c>
      <c r="AA2" t="s">
        <v>935</v>
      </c>
    </row>
    <row r="3" spans="1:27" x14ac:dyDescent="0.35">
      <c r="A3" s="1" t="s">
        <v>936</v>
      </c>
      <c r="B3" t="s">
        <v>174</v>
      </c>
      <c r="C3" t="s">
        <v>174</v>
      </c>
      <c r="D3" t="s">
        <v>937</v>
      </c>
      <c r="E3" t="s">
        <v>938</v>
      </c>
      <c r="F3" t="s">
        <v>939</v>
      </c>
      <c r="G3" t="s">
        <v>940</v>
      </c>
      <c r="H3" t="s">
        <v>941</v>
      </c>
      <c r="I3" t="s">
        <v>942</v>
      </c>
      <c r="J3" t="s">
        <v>943</v>
      </c>
      <c r="K3" t="s">
        <v>944</v>
      </c>
      <c r="L3" t="s">
        <v>945</v>
      </c>
      <c r="M3" t="s">
        <v>946</v>
      </c>
      <c r="N3" t="s">
        <v>947</v>
      </c>
      <c r="O3" t="s">
        <v>948</v>
      </c>
      <c r="P3" t="s">
        <v>949</v>
      </c>
      <c r="Q3" t="s">
        <v>950</v>
      </c>
      <c r="R3" t="s">
        <v>951</v>
      </c>
      <c r="S3" t="s">
        <v>952</v>
      </c>
      <c r="T3" t="s">
        <v>953</v>
      </c>
      <c r="U3" t="s">
        <v>954</v>
      </c>
      <c r="V3" t="s">
        <v>955</v>
      </c>
      <c r="W3" t="s">
        <v>956</v>
      </c>
      <c r="X3" t="s">
        <v>957</v>
      </c>
      <c r="Y3" t="s">
        <v>958</v>
      </c>
      <c r="Z3" t="s">
        <v>959</v>
      </c>
      <c r="AA3" t="s">
        <v>960</v>
      </c>
    </row>
    <row r="4" spans="1:27" x14ac:dyDescent="0.35">
      <c r="A4" s="1" t="s">
        <v>961</v>
      </c>
      <c r="B4" t="s">
        <v>911</v>
      </c>
      <c r="C4" t="s">
        <v>912</v>
      </c>
      <c r="D4" t="s">
        <v>962</v>
      </c>
      <c r="E4" t="s">
        <v>963</v>
      </c>
      <c r="F4" t="s">
        <v>964</v>
      </c>
      <c r="G4" t="s">
        <v>945</v>
      </c>
      <c r="H4" t="s">
        <v>965</v>
      </c>
      <c r="I4" t="s">
        <v>604</v>
      </c>
      <c r="J4" t="s">
        <v>966</v>
      </c>
      <c r="K4" t="s">
        <v>967</v>
      </c>
      <c r="L4" t="s">
        <v>968</v>
      </c>
      <c r="M4" t="s">
        <v>969</v>
      </c>
      <c r="N4" t="s">
        <v>970</v>
      </c>
      <c r="O4" t="s">
        <v>971</v>
      </c>
      <c r="P4" t="s">
        <v>972</v>
      </c>
      <c r="Q4" t="s">
        <v>973</v>
      </c>
      <c r="R4" t="s">
        <v>974</v>
      </c>
      <c r="S4" t="s">
        <v>975</v>
      </c>
      <c r="T4" t="s">
        <v>976</v>
      </c>
      <c r="U4" t="s">
        <v>977</v>
      </c>
      <c r="V4" t="s">
        <v>978</v>
      </c>
      <c r="W4" t="s">
        <v>979</v>
      </c>
      <c r="X4" t="s">
        <v>980</v>
      </c>
      <c r="Y4" t="s">
        <v>981</v>
      </c>
      <c r="Z4" t="s">
        <v>982</v>
      </c>
      <c r="AA4" t="s">
        <v>983</v>
      </c>
    </row>
    <row r="5" spans="1:27" x14ac:dyDescent="0.35">
      <c r="A5" s="1" t="s">
        <v>984</v>
      </c>
      <c r="B5" t="s">
        <v>174</v>
      </c>
      <c r="C5" t="s">
        <v>174</v>
      </c>
      <c r="D5" t="s">
        <v>174</v>
      </c>
      <c r="E5" t="s">
        <v>174</v>
      </c>
      <c r="F5" t="s">
        <v>174</v>
      </c>
      <c r="G5" t="s">
        <v>174</v>
      </c>
      <c r="H5" t="s">
        <v>985</v>
      </c>
      <c r="I5" t="s">
        <v>986</v>
      </c>
      <c r="J5" t="s">
        <v>987</v>
      </c>
      <c r="K5" t="s">
        <v>317</v>
      </c>
      <c r="L5" t="s">
        <v>988</v>
      </c>
      <c r="M5" t="s">
        <v>989</v>
      </c>
      <c r="N5" t="s">
        <v>990</v>
      </c>
      <c r="O5" t="s">
        <v>991</v>
      </c>
      <c r="P5" t="s">
        <v>992</v>
      </c>
      <c r="Q5" t="s">
        <v>993</v>
      </c>
      <c r="R5" t="s">
        <v>951</v>
      </c>
      <c r="S5" t="s">
        <v>994</v>
      </c>
      <c r="T5" t="s">
        <v>995</v>
      </c>
      <c r="U5" t="s">
        <v>996</v>
      </c>
      <c r="V5" t="s">
        <v>997</v>
      </c>
      <c r="W5" t="s">
        <v>998</v>
      </c>
      <c r="X5" t="s">
        <v>999</v>
      </c>
      <c r="Y5" t="s">
        <v>1000</v>
      </c>
      <c r="Z5" t="s">
        <v>1001</v>
      </c>
      <c r="AA5" t="s">
        <v>1002</v>
      </c>
    </row>
    <row r="6" spans="1:27" x14ac:dyDescent="0.35">
      <c r="A6" s="1" t="s">
        <v>1003</v>
      </c>
      <c r="B6" t="s">
        <v>1004</v>
      </c>
      <c r="C6" t="s">
        <v>594</v>
      </c>
      <c r="D6" t="s">
        <v>1005</v>
      </c>
      <c r="E6" t="s">
        <v>1006</v>
      </c>
      <c r="F6" t="s">
        <v>1007</v>
      </c>
      <c r="G6" t="s">
        <v>1008</v>
      </c>
      <c r="H6" t="s">
        <v>1009</v>
      </c>
      <c r="I6" t="s">
        <v>1010</v>
      </c>
      <c r="J6" t="s">
        <v>1011</v>
      </c>
      <c r="K6" t="s">
        <v>1012</v>
      </c>
      <c r="L6" t="s">
        <v>1013</v>
      </c>
      <c r="M6" t="s">
        <v>1014</v>
      </c>
      <c r="N6" t="s">
        <v>1015</v>
      </c>
      <c r="O6" t="s">
        <v>1016</v>
      </c>
      <c r="P6" t="s">
        <v>1017</v>
      </c>
      <c r="Q6" t="s">
        <v>1018</v>
      </c>
      <c r="R6" t="s">
        <v>1019</v>
      </c>
      <c r="S6" t="s">
        <v>1020</v>
      </c>
      <c r="T6" t="s">
        <v>1021</v>
      </c>
      <c r="U6" t="s">
        <v>1022</v>
      </c>
      <c r="V6" t="s">
        <v>1023</v>
      </c>
      <c r="W6" t="s">
        <v>1024</v>
      </c>
      <c r="X6" t="s">
        <v>1025</v>
      </c>
      <c r="Y6" t="s">
        <v>1026</v>
      </c>
      <c r="Z6" t="s">
        <v>1027</v>
      </c>
      <c r="AA6" t="s">
        <v>1028</v>
      </c>
    </row>
    <row r="7" spans="1:27" x14ac:dyDescent="0.35">
      <c r="A7" s="1" t="s">
        <v>1029</v>
      </c>
      <c r="B7" t="s">
        <v>664</v>
      </c>
      <c r="C7" t="s">
        <v>1030</v>
      </c>
      <c r="D7" t="s">
        <v>1031</v>
      </c>
      <c r="E7" t="s">
        <v>1032</v>
      </c>
      <c r="F7" t="s">
        <v>1033</v>
      </c>
      <c r="G7" t="s">
        <v>1034</v>
      </c>
      <c r="H7" t="s">
        <v>174</v>
      </c>
      <c r="I7" t="s">
        <v>174</v>
      </c>
      <c r="J7" t="s">
        <v>1035</v>
      </c>
      <c r="K7" t="s">
        <v>1036</v>
      </c>
      <c r="L7" t="s">
        <v>708</v>
      </c>
      <c r="M7" t="s">
        <v>1037</v>
      </c>
      <c r="N7" t="s">
        <v>1038</v>
      </c>
      <c r="O7" t="s">
        <v>1039</v>
      </c>
      <c r="P7" t="s">
        <v>1040</v>
      </c>
      <c r="Q7" t="s">
        <v>1041</v>
      </c>
      <c r="R7" t="s">
        <v>1042</v>
      </c>
      <c r="S7" t="s">
        <v>174</v>
      </c>
      <c r="T7" t="s">
        <v>174</v>
      </c>
      <c r="U7" t="s">
        <v>174</v>
      </c>
      <c r="V7" t="s">
        <v>174</v>
      </c>
      <c r="W7" t="s">
        <v>174</v>
      </c>
      <c r="X7" t="s">
        <v>174</v>
      </c>
      <c r="Y7" t="s">
        <v>174</v>
      </c>
      <c r="Z7" t="s">
        <v>174</v>
      </c>
      <c r="AA7" t="s">
        <v>174</v>
      </c>
    </row>
    <row r="8" spans="1:27" x14ac:dyDescent="0.35">
      <c r="A8" s="1" t="s">
        <v>1043</v>
      </c>
      <c r="B8" t="s">
        <v>1044</v>
      </c>
      <c r="C8" t="s">
        <v>1045</v>
      </c>
      <c r="D8" t="s">
        <v>1046</v>
      </c>
      <c r="E8" t="s">
        <v>1047</v>
      </c>
      <c r="F8" t="s">
        <v>1048</v>
      </c>
      <c r="G8" t="s">
        <v>1049</v>
      </c>
      <c r="H8" t="s">
        <v>1050</v>
      </c>
      <c r="I8" t="s">
        <v>1051</v>
      </c>
      <c r="J8" t="s">
        <v>921</v>
      </c>
      <c r="K8" t="s">
        <v>1052</v>
      </c>
      <c r="L8" t="s">
        <v>1053</v>
      </c>
      <c r="M8" t="s">
        <v>1054</v>
      </c>
      <c r="N8" t="s">
        <v>1055</v>
      </c>
      <c r="O8" t="s">
        <v>1056</v>
      </c>
      <c r="P8" t="s">
        <v>1057</v>
      </c>
      <c r="Q8" t="s">
        <v>1058</v>
      </c>
      <c r="R8" t="s">
        <v>1059</v>
      </c>
      <c r="S8" t="s">
        <v>1060</v>
      </c>
      <c r="T8" t="s">
        <v>1061</v>
      </c>
      <c r="U8" t="s">
        <v>1062</v>
      </c>
      <c r="V8" t="s">
        <v>1063</v>
      </c>
      <c r="W8" t="s">
        <v>1064</v>
      </c>
      <c r="X8" t="s">
        <v>1065</v>
      </c>
      <c r="Y8" t="s">
        <v>1066</v>
      </c>
      <c r="Z8" t="s">
        <v>1067</v>
      </c>
      <c r="AA8" t="s">
        <v>1068</v>
      </c>
    </row>
    <row r="9" spans="1:27" x14ac:dyDescent="0.35">
      <c r="A9" s="1" t="s">
        <v>75</v>
      </c>
      <c r="B9" t="s">
        <v>1004</v>
      </c>
      <c r="C9" t="s">
        <v>594</v>
      </c>
      <c r="D9" t="s">
        <v>1005</v>
      </c>
      <c r="E9" t="s">
        <v>1069</v>
      </c>
      <c r="F9" t="s">
        <v>1070</v>
      </c>
      <c r="G9" t="s">
        <v>1039</v>
      </c>
      <c r="H9" t="s">
        <v>1071</v>
      </c>
      <c r="I9" t="s">
        <v>1072</v>
      </c>
      <c r="J9" t="s">
        <v>293</v>
      </c>
      <c r="K9" t="s">
        <v>937</v>
      </c>
      <c r="L9" t="s">
        <v>1073</v>
      </c>
      <c r="M9" t="s">
        <v>1074</v>
      </c>
      <c r="N9" t="s">
        <v>1075</v>
      </c>
      <c r="O9" t="s">
        <v>1076</v>
      </c>
      <c r="P9" t="s">
        <v>1077</v>
      </c>
      <c r="Q9" t="s">
        <v>1078</v>
      </c>
      <c r="R9" t="s">
        <v>1079</v>
      </c>
      <c r="S9" t="s">
        <v>1080</v>
      </c>
      <c r="T9" t="s">
        <v>1081</v>
      </c>
      <c r="U9" t="s">
        <v>1082</v>
      </c>
      <c r="V9" t="s">
        <v>1083</v>
      </c>
      <c r="W9" t="s">
        <v>1084</v>
      </c>
      <c r="X9" t="s">
        <v>1085</v>
      </c>
      <c r="Y9" t="s">
        <v>1086</v>
      </c>
      <c r="Z9" t="s">
        <v>1087</v>
      </c>
      <c r="AA9" t="s">
        <v>1088</v>
      </c>
    </row>
    <row r="10" spans="1:27" x14ac:dyDescent="0.35">
      <c r="A10" s="1" t="s">
        <v>77</v>
      </c>
      <c r="B10" t="s">
        <v>174</v>
      </c>
      <c r="C10" t="s">
        <v>174</v>
      </c>
      <c r="D10" t="s">
        <v>174</v>
      </c>
      <c r="E10" t="s">
        <v>174</v>
      </c>
      <c r="F10" t="s">
        <v>174</v>
      </c>
      <c r="G10" t="s">
        <v>174</v>
      </c>
      <c r="H10" t="s">
        <v>174</v>
      </c>
      <c r="I10" t="s">
        <v>174</v>
      </c>
      <c r="J10" t="s">
        <v>174</v>
      </c>
      <c r="K10" t="s">
        <v>174</v>
      </c>
      <c r="L10" t="s">
        <v>1089</v>
      </c>
      <c r="M10" t="s">
        <v>1090</v>
      </c>
      <c r="N10" t="s">
        <v>1091</v>
      </c>
      <c r="O10" t="s">
        <v>1092</v>
      </c>
      <c r="P10" t="s">
        <v>492</v>
      </c>
      <c r="Q10" t="s">
        <v>1093</v>
      </c>
      <c r="R10" t="s">
        <v>1094</v>
      </c>
      <c r="S10" t="s">
        <v>1095</v>
      </c>
      <c r="T10" t="s">
        <v>1096</v>
      </c>
      <c r="U10" t="s">
        <v>1097</v>
      </c>
      <c r="V10" t="s">
        <v>1098</v>
      </c>
      <c r="W10" t="s">
        <v>1099</v>
      </c>
      <c r="X10" t="s">
        <v>1100</v>
      </c>
      <c r="Y10" t="s">
        <v>1101</v>
      </c>
      <c r="Z10" t="s">
        <v>1102</v>
      </c>
      <c r="AA10" t="s">
        <v>1103</v>
      </c>
    </row>
    <row r="11" spans="1:27" x14ac:dyDescent="0.35">
      <c r="A11" s="1" t="s">
        <v>1104</v>
      </c>
      <c r="B11" t="s">
        <v>174</v>
      </c>
      <c r="C11" t="s">
        <v>174</v>
      </c>
      <c r="D11" t="s">
        <v>1105</v>
      </c>
      <c r="E11" t="s">
        <v>1106</v>
      </c>
      <c r="F11" t="s">
        <v>381</v>
      </c>
      <c r="G11" t="s">
        <v>1107</v>
      </c>
      <c r="H11" t="s">
        <v>1108</v>
      </c>
      <c r="I11" t="s">
        <v>1109</v>
      </c>
      <c r="J11" t="s">
        <v>1110</v>
      </c>
      <c r="K11" t="s">
        <v>672</v>
      </c>
      <c r="L11" t="s">
        <v>1031</v>
      </c>
      <c r="M11" t="s">
        <v>913</v>
      </c>
      <c r="N11" t="s">
        <v>570</v>
      </c>
      <c r="O11" t="s">
        <v>1111</v>
      </c>
      <c r="P11" t="s">
        <v>941</v>
      </c>
      <c r="Q11" t="s">
        <v>1112</v>
      </c>
      <c r="R11" t="s">
        <v>1113</v>
      </c>
      <c r="S11" t="s">
        <v>312</v>
      </c>
      <c r="T11" t="s">
        <v>1114</v>
      </c>
      <c r="U11" t="s">
        <v>1115</v>
      </c>
      <c r="V11" t="s">
        <v>1075</v>
      </c>
      <c r="W11" t="s">
        <v>1116</v>
      </c>
      <c r="X11" t="s">
        <v>1117</v>
      </c>
      <c r="Y11" t="s">
        <v>1118</v>
      </c>
      <c r="Z11" t="s">
        <v>1119</v>
      </c>
      <c r="AA11" t="s">
        <v>1120</v>
      </c>
    </row>
    <row r="12" spans="1:27" x14ac:dyDescent="0.35">
      <c r="A12" s="1" t="s">
        <v>1121</v>
      </c>
      <c r="B12" t="s">
        <v>174</v>
      </c>
      <c r="C12" t="s">
        <v>174</v>
      </c>
      <c r="D12" t="s">
        <v>1105</v>
      </c>
      <c r="E12" t="s">
        <v>1106</v>
      </c>
      <c r="F12" t="s">
        <v>381</v>
      </c>
      <c r="G12" t="s">
        <v>1107</v>
      </c>
      <c r="H12" t="s">
        <v>1108</v>
      </c>
      <c r="I12" t="s">
        <v>1109</v>
      </c>
      <c r="J12" t="s">
        <v>1110</v>
      </c>
      <c r="K12" t="s">
        <v>672</v>
      </c>
      <c r="L12" t="s">
        <v>573</v>
      </c>
      <c r="M12" t="s">
        <v>1122</v>
      </c>
      <c r="N12" t="s">
        <v>1123</v>
      </c>
      <c r="O12" t="s">
        <v>1124</v>
      </c>
      <c r="P12" t="s">
        <v>1125</v>
      </c>
      <c r="Q12" t="s">
        <v>1126</v>
      </c>
      <c r="R12" t="s">
        <v>1127</v>
      </c>
      <c r="S12" t="s">
        <v>1128</v>
      </c>
      <c r="T12" t="s">
        <v>1129</v>
      </c>
      <c r="U12" t="s">
        <v>1130</v>
      </c>
      <c r="V12" t="s">
        <v>1131</v>
      </c>
      <c r="W12" t="s">
        <v>1132</v>
      </c>
      <c r="X12" t="s">
        <v>1133</v>
      </c>
      <c r="Y12" t="s">
        <v>1134</v>
      </c>
      <c r="Z12" t="s">
        <v>1135</v>
      </c>
      <c r="AA12" t="s">
        <v>1136</v>
      </c>
    </row>
    <row r="13" spans="1:27" x14ac:dyDescent="0.35">
      <c r="A13" s="1" t="s">
        <v>1137</v>
      </c>
      <c r="B13" t="s">
        <v>174</v>
      </c>
      <c r="C13" t="s">
        <v>174</v>
      </c>
      <c r="D13" t="s">
        <v>174</v>
      </c>
      <c r="E13" t="s">
        <v>174</v>
      </c>
      <c r="F13" t="s">
        <v>174</v>
      </c>
      <c r="G13" t="s">
        <v>174</v>
      </c>
      <c r="H13" t="s">
        <v>174</v>
      </c>
      <c r="I13" t="s">
        <v>174</v>
      </c>
      <c r="J13" t="s">
        <v>174</v>
      </c>
      <c r="K13" t="s">
        <v>174</v>
      </c>
      <c r="L13" t="s">
        <v>174</v>
      </c>
      <c r="M13" t="s">
        <v>174</v>
      </c>
      <c r="N13" t="s">
        <v>174</v>
      </c>
      <c r="O13" t="s">
        <v>174</v>
      </c>
      <c r="P13" t="s">
        <v>174</v>
      </c>
      <c r="Q13" t="s">
        <v>174</v>
      </c>
      <c r="R13" t="s">
        <v>174</v>
      </c>
      <c r="S13" t="s">
        <v>174</v>
      </c>
      <c r="T13" t="s">
        <v>174</v>
      </c>
      <c r="U13" t="s">
        <v>174</v>
      </c>
      <c r="V13" t="s">
        <v>174</v>
      </c>
      <c r="W13" t="s">
        <v>174</v>
      </c>
      <c r="X13" t="s">
        <v>174</v>
      </c>
      <c r="Y13" t="s">
        <v>174</v>
      </c>
      <c r="Z13" t="s">
        <v>174</v>
      </c>
      <c r="AA13" t="s">
        <v>174</v>
      </c>
    </row>
    <row r="14" spans="1:27" x14ac:dyDescent="0.35">
      <c r="A14" s="1" t="s">
        <v>1138</v>
      </c>
      <c r="B14" t="s">
        <v>174</v>
      </c>
      <c r="C14" t="s">
        <v>174</v>
      </c>
      <c r="D14" t="s">
        <v>174</v>
      </c>
      <c r="E14" t="s">
        <v>174</v>
      </c>
      <c r="F14" t="s">
        <v>174</v>
      </c>
      <c r="G14" t="s">
        <v>174</v>
      </c>
      <c r="H14" t="s">
        <v>174</v>
      </c>
      <c r="I14" t="s">
        <v>174</v>
      </c>
      <c r="J14" t="s">
        <v>724</v>
      </c>
      <c r="K14" t="s">
        <v>1139</v>
      </c>
      <c r="L14" t="s">
        <v>987</v>
      </c>
      <c r="M14" t="s">
        <v>1140</v>
      </c>
      <c r="N14" t="s">
        <v>1141</v>
      </c>
      <c r="O14" t="s">
        <v>1142</v>
      </c>
      <c r="P14" t="s">
        <v>681</v>
      </c>
      <c r="Q14" t="s">
        <v>1143</v>
      </c>
      <c r="R14" t="s">
        <v>647</v>
      </c>
      <c r="S14" t="s">
        <v>174</v>
      </c>
      <c r="T14" t="s">
        <v>174</v>
      </c>
      <c r="U14" t="s">
        <v>174</v>
      </c>
      <c r="V14" t="s">
        <v>174</v>
      </c>
      <c r="W14" t="s">
        <v>174</v>
      </c>
      <c r="X14" t="s">
        <v>174</v>
      </c>
      <c r="Y14" t="s">
        <v>174</v>
      </c>
      <c r="Z14" t="s">
        <v>174</v>
      </c>
      <c r="AA14" t="s">
        <v>174</v>
      </c>
    </row>
    <row r="15" spans="1:27" x14ac:dyDescent="0.35">
      <c r="A15" s="1" t="s">
        <v>1144</v>
      </c>
      <c r="B15" t="s">
        <v>664</v>
      </c>
      <c r="C15" t="s">
        <v>779</v>
      </c>
      <c r="D15" t="s">
        <v>1145</v>
      </c>
      <c r="E15" t="s">
        <v>1146</v>
      </c>
      <c r="F15" t="s">
        <v>1147</v>
      </c>
      <c r="G15" t="s">
        <v>708</v>
      </c>
      <c r="H15" t="s">
        <v>1148</v>
      </c>
      <c r="I15" t="s">
        <v>569</v>
      </c>
      <c r="J15" t="s">
        <v>1149</v>
      </c>
      <c r="K15" t="s">
        <v>1150</v>
      </c>
      <c r="L15" t="s">
        <v>1151</v>
      </c>
      <c r="M15" t="s">
        <v>1152</v>
      </c>
      <c r="N15" t="s">
        <v>1153</v>
      </c>
      <c r="O15" t="s">
        <v>1154</v>
      </c>
      <c r="P15" t="s">
        <v>1155</v>
      </c>
      <c r="Q15" t="s">
        <v>1156</v>
      </c>
      <c r="R15" t="s">
        <v>521</v>
      </c>
      <c r="S15" t="s">
        <v>1157</v>
      </c>
      <c r="T15" t="s">
        <v>1158</v>
      </c>
      <c r="U15" t="s">
        <v>1159</v>
      </c>
      <c r="V15" t="s">
        <v>1160</v>
      </c>
      <c r="W15" t="s">
        <v>1161</v>
      </c>
      <c r="X15" t="s">
        <v>1162</v>
      </c>
      <c r="Y15" t="s">
        <v>1163</v>
      </c>
      <c r="Z15" t="s">
        <v>1164</v>
      </c>
      <c r="AA15" t="s">
        <v>1165</v>
      </c>
    </row>
    <row r="16" spans="1:27" x14ac:dyDescent="0.35">
      <c r="A16" s="1" t="s">
        <v>1166</v>
      </c>
      <c r="B16" t="s">
        <v>1004</v>
      </c>
      <c r="C16" t="s">
        <v>490</v>
      </c>
      <c r="D16" t="s">
        <v>1072</v>
      </c>
      <c r="E16" t="s">
        <v>1167</v>
      </c>
      <c r="F16" t="s">
        <v>1168</v>
      </c>
      <c r="G16" t="s">
        <v>1169</v>
      </c>
      <c r="H16" t="s">
        <v>1170</v>
      </c>
      <c r="I16" t="s">
        <v>1171</v>
      </c>
      <c r="J16" t="s">
        <v>1172</v>
      </c>
      <c r="K16" t="s">
        <v>1173</v>
      </c>
      <c r="L16" t="s">
        <v>1174</v>
      </c>
      <c r="M16" t="s">
        <v>1175</v>
      </c>
      <c r="N16" t="s">
        <v>1176</v>
      </c>
      <c r="O16" t="s">
        <v>1177</v>
      </c>
      <c r="P16" t="s">
        <v>1178</v>
      </c>
      <c r="Q16" t="s">
        <v>1179</v>
      </c>
      <c r="R16" t="s">
        <v>1180</v>
      </c>
      <c r="S16" t="s">
        <v>1181</v>
      </c>
      <c r="T16" t="s">
        <v>1182</v>
      </c>
      <c r="U16" t="s">
        <v>1183</v>
      </c>
      <c r="V16" t="s">
        <v>1184</v>
      </c>
      <c r="W16" t="s">
        <v>1185</v>
      </c>
      <c r="X16" t="s">
        <v>1186</v>
      </c>
      <c r="Y16" t="s">
        <v>1187</v>
      </c>
      <c r="Z16" t="s">
        <v>1188</v>
      </c>
      <c r="AA16" t="s">
        <v>1189</v>
      </c>
    </row>
    <row r="17" spans="1:27" x14ac:dyDescent="0.35">
      <c r="A17" s="1" t="s">
        <v>1190</v>
      </c>
      <c r="B17" t="s">
        <v>174</v>
      </c>
      <c r="C17" t="s">
        <v>174</v>
      </c>
      <c r="D17" t="s">
        <v>174</v>
      </c>
      <c r="E17" t="s">
        <v>174</v>
      </c>
      <c r="F17" t="s">
        <v>174</v>
      </c>
      <c r="G17" t="s">
        <v>174</v>
      </c>
      <c r="H17" t="s">
        <v>174</v>
      </c>
      <c r="I17" t="s">
        <v>174</v>
      </c>
      <c r="J17" t="s">
        <v>174</v>
      </c>
      <c r="K17" t="s">
        <v>174</v>
      </c>
      <c r="L17" t="s">
        <v>174</v>
      </c>
      <c r="M17" t="s">
        <v>174</v>
      </c>
      <c r="N17" t="s">
        <v>174</v>
      </c>
      <c r="O17" t="s">
        <v>174</v>
      </c>
      <c r="P17" t="s">
        <v>174</v>
      </c>
      <c r="Q17" t="s">
        <v>174</v>
      </c>
      <c r="R17" t="s">
        <v>174</v>
      </c>
      <c r="S17" t="s">
        <v>174</v>
      </c>
      <c r="T17" t="s">
        <v>174</v>
      </c>
      <c r="U17" t="s">
        <v>174</v>
      </c>
      <c r="V17" t="s">
        <v>174</v>
      </c>
      <c r="W17" t="s">
        <v>174</v>
      </c>
      <c r="X17" t="s">
        <v>174</v>
      </c>
      <c r="Y17" t="s">
        <v>174</v>
      </c>
      <c r="Z17" t="s">
        <v>174</v>
      </c>
      <c r="AA17" t="s">
        <v>174</v>
      </c>
    </row>
    <row r="18" spans="1:27" x14ac:dyDescent="0.35">
      <c r="A18" s="1" t="s">
        <v>79</v>
      </c>
      <c r="B18" t="s">
        <v>1145</v>
      </c>
      <c r="C18" t="s">
        <v>596</v>
      </c>
      <c r="D18" t="s">
        <v>1191</v>
      </c>
      <c r="E18" t="s">
        <v>1192</v>
      </c>
      <c r="F18" t="s">
        <v>1193</v>
      </c>
      <c r="G18" t="s">
        <v>1194</v>
      </c>
      <c r="H18" t="s">
        <v>1195</v>
      </c>
      <c r="I18" t="s">
        <v>1196</v>
      </c>
      <c r="J18" t="s">
        <v>1197</v>
      </c>
      <c r="K18" t="s">
        <v>1198</v>
      </c>
      <c r="L18" t="s">
        <v>1199</v>
      </c>
      <c r="M18" t="s">
        <v>1200</v>
      </c>
      <c r="N18" t="s">
        <v>1201</v>
      </c>
      <c r="O18" t="s">
        <v>1202</v>
      </c>
      <c r="P18" t="s">
        <v>1203</v>
      </c>
      <c r="Q18" t="s">
        <v>1204</v>
      </c>
      <c r="R18" t="s">
        <v>1205</v>
      </c>
      <c r="S18" t="s">
        <v>1206</v>
      </c>
      <c r="T18" t="s">
        <v>1207</v>
      </c>
      <c r="U18" t="s">
        <v>1208</v>
      </c>
      <c r="V18" t="s">
        <v>1209</v>
      </c>
      <c r="W18" t="s">
        <v>1210</v>
      </c>
      <c r="X18" t="s">
        <v>1211</v>
      </c>
      <c r="Y18" t="s">
        <v>1212</v>
      </c>
      <c r="Z18" t="s">
        <v>1213</v>
      </c>
      <c r="AA18" t="s">
        <v>1214</v>
      </c>
    </row>
    <row r="19" spans="1:27" x14ac:dyDescent="0.35">
      <c r="A19" s="1" t="s">
        <v>1215</v>
      </c>
      <c r="B19" t="s">
        <v>670</v>
      </c>
      <c r="C19" t="s">
        <v>1216</v>
      </c>
      <c r="D19" t="s">
        <v>1217</v>
      </c>
      <c r="E19" t="s">
        <v>1218</v>
      </c>
      <c r="F19" t="s">
        <v>1219</v>
      </c>
      <c r="G19" t="s">
        <v>1220</v>
      </c>
      <c r="H19" t="s">
        <v>1221</v>
      </c>
      <c r="I19" t="s">
        <v>1222</v>
      </c>
      <c r="J19" t="s">
        <v>1223</v>
      </c>
      <c r="K19" t="s">
        <v>1224</v>
      </c>
      <c r="L19" t="s">
        <v>1225</v>
      </c>
      <c r="M19" t="s">
        <v>1226</v>
      </c>
      <c r="N19" t="s">
        <v>1227</v>
      </c>
      <c r="O19" t="s">
        <v>1228</v>
      </c>
      <c r="P19" t="s">
        <v>1229</v>
      </c>
      <c r="Q19" t="s">
        <v>1230</v>
      </c>
      <c r="R19" t="s">
        <v>1231</v>
      </c>
      <c r="S19" t="s">
        <v>1232</v>
      </c>
      <c r="T19" t="s">
        <v>1233</v>
      </c>
      <c r="U19" t="s">
        <v>1234</v>
      </c>
      <c r="V19" t="s">
        <v>1235</v>
      </c>
      <c r="W19" t="s">
        <v>1236</v>
      </c>
      <c r="X19" t="s">
        <v>1237</v>
      </c>
      <c r="Y19" t="s">
        <v>1238</v>
      </c>
      <c r="Z19" t="s">
        <v>1239</v>
      </c>
      <c r="AA19" t="s">
        <v>1240</v>
      </c>
    </row>
    <row r="20" spans="1:27" x14ac:dyDescent="0.35">
      <c r="A20" s="1" t="s">
        <v>1241</v>
      </c>
      <c r="B20" t="s">
        <v>174</v>
      </c>
      <c r="C20" t="s">
        <v>779</v>
      </c>
      <c r="D20" t="s">
        <v>1004</v>
      </c>
      <c r="E20" t="s">
        <v>1242</v>
      </c>
      <c r="F20" t="s">
        <v>1243</v>
      </c>
      <c r="G20" t="s">
        <v>1244</v>
      </c>
      <c r="H20" t="s">
        <v>568</v>
      </c>
      <c r="I20" t="s">
        <v>516</v>
      </c>
      <c r="J20" t="s">
        <v>779</v>
      </c>
      <c r="K20" t="s">
        <v>174</v>
      </c>
      <c r="L20" t="s">
        <v>174</v>
      </c>
      <c r="M20" t="s">
        <v>174</v>
      </c>
      <c r="N20" t="s">
        <v>789</v>
      </c>
      <c r="O20" t="s">
        <v>174</v>
      </c>
      <c r="P20" t="s">
        <v>174</v>
      </c>
      <c r="Q20" t="s">
        <v>174</v>
      </c>
      <c r="R20" t="s">
        <v>174</v>
      </c>
      <c r="S20" t="s">
        <v>174</v>
      </c>
      <c r="T20" t="s">
        <v>174</v>
      </c>
      <c r="U20" t="s">
        <v>174</v>
      </c>
      <c r="V20" t="s">
        <v>174</v>
      </c>
      <c r="W20" t="s">
        <v>174</v>
      </c>
      <c r="X20" t="s">
        <v>174</v>
      </c>
      <c r="Y20" t="s">
        <v>174</v>
      </c>
      <c r="Z20" t="s">
        <v>174</v>
      </c>
      <c r="AA20" t="s">
        <v>174</v>
      </c>
    </row>
    <row r="21" spans="1:27" x14ac:dyDescent="0.35">
      <c r="A21" s="1" t="s">
        <v>1245</v>
      </c>
      <c r="B21" t="s">
        <v>174</v>
      </c>
      <c r="C21" t="s">
        <v>174</v>
      </c>
      <c r="D21" t="s">
        <v>174</v>
      </c>
      <c r="E21" t="s">
        <v>174</v>
      </c>
      <c r="F21" t="s">
        <v>174</v>
      </c>
      <c r="G21" t="s">
        <v>174</v>
      </c>
      <c r="H21" t="s">
        <v>174</v>
      </c>
      <c r="I21" t="s">
        <v>174</v>
      </c>
      <c r="J21" t="s">
        <v>174</v>
      </c>
      <c r="K21" t="s">
        <v>174</v>
      </c>
      <c r="L21" t="s">
        <v>174</v>
      </c>
      <c r="M21" t="s">
        <v>174</v>
      </c>
      <c r="N21" t="s">
        <v>174</v>
      </c>
      <c r="O21" t="s">
        <v>174</v>
      </c>
      <c r="P21" t="s">
        <v>174</v>
      </c>
      <c r="Q21" t="s">
        <v>174</v>
      </c>
      <c r="R21" t="s">
        <v>174</v>
      </c>
      <c r="S21" t="s">
        <v>174</v>
      </c>
      <c r="T21" t="s">
        <v>174</v>
      </c>
      <c r="U21" t="s">
        <v>174</v>
      </c>
      <c r="V21" t="s">
        <v>174</v>
      </c>
      <c r="W21" t="s">
        <v>174</v>
      </c>
      <c r="X21" t="s">
        <v>174</v>
      </c>
      <c r="Y21" t="s">
        <v>174</v>
      </c>
      <c r="Z21" t="s">
        <v>174</v>
      </c>
      <c r="AA21" t="s">
        <v>174</v>
      </c>
    </row>
    <row r="22" spans="1:27" x14ac:dyDescent="0.35">
      <c r="A22" s="1" t="s">
        <v>1246</v>
      </c>
      <c r="B22" t="s">
        <v>174</v>
      </c>
      <c r="C22" t="s">
        <v>174</v>
      </c>
      <c r="D22" t="s">
        <v>174</v>
      </c>
      <c r="E22" t="s">
        <v>174</v>
      </c>
      <c r="F22" t="s">
        <v>174</v>
      </c>
      <c r="G22" t="s">
        <v>174</v>
      </c>
      <c r="H22" t="s">
        <v>174</v>
      </c>
      <c r="I22" t="s">
        <v>174</v>
      </c>
      <c r="J22" t="s">
        <v>174</v>
      </c>
      <c r="K22" t="s">
        <v>174</v>
      </c>
      <c r="L22" t="s">
        <v>174</v>
      </c>
      <c r="M22" t="s">
        <v>174</v>
      </c>
      <c r="N22" t="s">
        <v>174</v>
      </c>
      <c r="O22" t="s">
        <v>174</v>
      </c>
      <c r="P22" t="s">
        <v>174</v>
      </c>
      <c r="Q22" t="s">
        <v>174</v>
      </c>
      <c r="R22" t="s">
        <v>174</v>
      </c>
      <c r="S22" t="s">
        <v>174</v>
      </c>
      <c r="T22" t="s">
        <v>174</v>
      </c>
      <c r="U22" t="s">
        <v>174</v>
      </c>
      <c r="V22" t="s">
        <v>174</v>
      </c>
      <c r="W22" t="s">
        <v>174</v>
      </c>
      <c r="X22" t="s">
        <v>174</v>
      </c>
      <c r="Y22" t="s">
        <v>174</v>
      </c>
      <c r="Z22" t="s">
        <v>174</v>
      </c>
      <c r="AA22" t="s">
        <v>174</v>
      </c>
    </row>
    <row r="23" spans="1:27" x14ac:dyDescent="0.35">
      <c r="A23" s="1" t="s">
        <v>1247</v>
      </c>
      <c r="B23" t="s">
        <v>779</v>
      </c>
      <c r="C23" t="s">
        <v>542</v>
      </c>
      <c r="D23" t="s">
        <v>1248</v>
      </c>
      <c r="E23" t="s">
        <v>1249</v>
      </c>
      <c r="F23" t="s">
        <v>1250</v>
      </c>
      <c r="G23" t="s">
        <v>1251</v>
      </c>
      <c r="H23" t="s">
        <v>1252</v>
      </c>
      <c r="I23" t="s">
        <v>1253</v>
      </c>
      <c r="J23" t="s">
        <v>1254</v>
      </c>
      <c r="K23" t="s">
        <v>941</v>
      </c>
      <c r="L23" t="s">
        <v>1255</v>
      </c>
      <c r="M23" t="s">
        <v>1256</v>
      </c>
      <c r="N23" t="s">
        <v>1257</v>
      </c>
      <c r="O23" t="s">
        <v>1258</v>
      </c>
      <c r="P23" t="s">
        <v>1259</v>
      </c>
      <c r="Q23" t="s">
        <v>1260</v>
      </c>
      <c r="R23" t="s">
        <v>1261</v>
      </c>
      <c r="S23" t="s">
        <v>1262</v>
      </c>
      <c r="T23" t="s">
        <v>1263</v>
      </c>
      <c r="U23" t="s">
        <v>1264</v>
      </c>
      <c r="V23" t="s">
        <v>1265</v>
      </c>
      <c r="W23" t="s">
        <v>1266</v>
      </c>
      <c r="X23" t="s">
        <v>1267</v>
      </c>
      <c r="Y23" t="s">
        <v>1268</v>
      </c>
      <c r="Z23" t="s">
        <v>1269</v>
      </c>
      <c r="AA23" t="s">
        <v>1270</v>
      </c>
    </row>
    <row r="24" spans="1:27" x14ac:dyDescent="0.35">
      <c r="A24" s="1" t="s">
        <v>1271</v>
      </c>
      <c r="B24" t="s">
        <v>665</v>
      </c>
      <c r="C24" t="s">
        <v>1272</v>
      </c>
      <c r="D24" t="s">
        <v>1273</v>
      </c>
      <c r="E24" t="s">
        <v>1274</v>
      </c>
      <c r="F24" t="s">
        <v>1275</v>
      </c>
      <c r="G24" t="s">
        <v>1276</v>
      </c>
      <c r="H24" t="s">
        <v>1277</v>
      </c>
      <c r="I24" t="s">
        <v>1278</v>
      </c>
      <c r="J24" t="s">
        <v>1279</v>
      </c>
      <c r="K24" t="s">
        <v>1280</v>
      </c>
      <c r="L24" t="s">
        <v>1281</v>
      </c>
      <c r="M24" t="s">
        <v>1282</v>
      </c>
      <c r="N24" t="s">
        <v>300</v>
      </c>
      <c r="O24" t="s">
        <v>1283</v>
      </c>
      <c r="P24" t="s">
        <v>1284</v>
      </c>
      <c r="Q24" t="s">
        <v>501</v>
      </c>
      <c r="R24" t="s">
        <v>1285</v>
      </c>
      <c r="S24" t="s">
        <v>1286</v>
      </c>
      <c r="T24" t="s">
        <v>1287</v>
      </c>
      <c r="U24" t="s">
        <v>1288</v>
      </c>
      <c r="V24" t="s">
        <v>1289</v>
      </c>
      <c r="W24" t="s">
        <v>1290</v>
      </c>
      <c r="X24" t="s">
        <v>1291</v>
      </c>
      <c r="Y24" t="s">
        <v>1292</v>
      </c>
      <c r="Z24" t="s">
        <v>1293</v>
      </c>
      <c r="AA24" t="s">
        <v>1294</v>
      </c>
    </row>
    <row r="25" spans="1:27" x14ac:dyDescent="0.35">
      <c r="A25" s="1" t="s">
        <v>1295</v>
      </c>
      <c r="B25" t="s">
        <v>174</v>
      </c>
      <c r="C25" t="s">
        <v>709</v>
      </c>
      <c r="D25" t="s">
        <v>937</v>
      </c>
      <c r="E25" t="s">
        <v>1296</v>
      </c>
      <c r="F25" t="s">
        <v>1297</v>
      </c>
      <c r="G25" t="s">
        <v>1298</v>
      </c>
      <c r="H25" t="s">
        <v>1299</v>
      </c>
      <c r="I25" t="s">
        <v>1300</v>
      </c>
      <c r="J25" t="s">
        <v>1301</v>
      </c>
      <c r="K25" t="s">
        <v>1302</v>
      </c>
      <c r="L25" t="s">
        <v>376</v>
      </c>
      <c r="M25" t="s">
        <v>377</v>
      </c>
      <c r="N25" t="s">
        <v>378</v>
      </c>
      <c r="O25" t="s">
        <v>379</v>
      </c>
      <c r="P25" t="s">
        <v>380</v>
      </c>
      <c r="Q25" t="s">
        <v>381</v>
      </c>
      <c r="R25" t="s">
        <v>382</v>
      </c>
      <c r="S25" t="s">
        <v>383</v>
      </c>
      <c r="T25" t="s">
        <v>384</v>
      </c>
      <c r="U25" t="s">
        <v>385</v>
      </c>
      <c r="V25" t="s">
        <v>386</v>
      </c>
      <c r="W25" t="s">
        <v>387</v>
      </c>
      <c r="X25" t="s">
        <v>388</v>
      </c>
      <c r="Y25" t="s">
        <v>389</v>
      </c>
      <c r="Z25" t="s">
        <v>390</v>
      </c>
      <c r="AA25" t="s">
        <v>391</v>
      </c>
    </row>
    <row r="26" spans="1:27" x14ac:dyDescent="0.35">
      <c r="A26" s="1" t="s">
        <v>1303</v>
      </c>
      <c r="B26" t="s">
        <v>174</v>
      </c>
      <c r="C26" t="s">
        <v>174</v>
      </c>
      <c r="D26" t="s">
        <v>174</v>
      </c>
      <c r="E26" t="s">
        <v>174</v>
      </c>
      <c r="F26" t="s">
        <v>174</v>
      </c>
      <c r="G26" t="s">
        <v>174</v>
      </c>
      <c r="H26" t="s">
        <v>174</v>
      </c>
      <c r="I26" t="s">
        <v>174</v>
      </c>
      <c r="J26" t="s">
        <v>174</v>
      </c>
      <c r="K26" t="s">
        <v>174</v>
      </c>
      <c r="L26" t="s">
        <v>174</v>
      </c>
      <c r="M26" t="s">
        <v>174</v>
      </c>
      <c r="N26" t="s">
        <v>174</v>
      </c>
      <c r="O26" t="s">
        <v>174</v>
      </c>
      <c r="P26" t="s">
        <v>174</v>
      </c>
      <c r="Q26" t="s">
        <v>174</v>
      </c>
      <c r="R26" t="s">
        <v>1304</v>
      </c>
      <c r="S26" t="s">
        <v>1305</v>
      </c>
      <c r="T26" t="s">
        <v>1306</v>
      </c>
      <c r="U26" t="s">
        <v>1307</v>
      </c>
      <c r="V26" t="s">
        <v>1308</v>
      </c>
      <c r="W26" t="s">
        <v>1309</v>
      </c>
      <c r="X26" t="s">
        <v>1310</v>
      </c>
      <c r="Y26" t="s">
        <v>174</v>
      </c>
      <c r="Z26" t="s">
        <v>174</v>
      </c>
      <c r="AA26" t="s">
        <v>174</v>
      </c>
    </row>
    <row r="27" spans="1:27" x14ac:dyDescent="0.35">
      <c r="A27" s="1" t="s">
        <v>1311</v>
      </c>
      <c r="B27" t="s">
        <v>174</v>
      </c>
      <c r="C27" t="s">
        <v>174</v>
      </c>
      <c r="D27" t="s">
        <v>174</v>
      </c>
      <c r="E27" t="s">
        <v>174</v>
      </c>
      <c r="F27" t="s">
        <v>174</v>
      </c>
      <c r="G27" t="s">
        <v>174</v>
      </c>
      <c r="H27" t="s">
        <v>174</v>
      </c>
      <c r="I27" t="s">
        <v>174</v>
      </c>
      <c r="J27" t="s">
        <v>174</v>
      </c>
      <c r="K27" t="s">
        <v>174</v>
      </c>
      <c r="L27" t="s">
        <v>1312</v>
      </c>
      <c r="M27" t="s">
        <v>1313</v>
      </c>
      <c r="N27" t="s">
        <v>1314</v>
      </c>
      <c r="O27" t="s">
        <v>297</v>
      </c>
      <c r="P27" t="s">
        <v>1315</v>
      </c>
      <c r="Q27" t="s">
        <v>1316</v>
      </c>
      <c r="R27" t="s">
        <v>1317</v>
      </c>
      <c r="S27" t="s">
        <v>1318</v>
      </c>
      <c r="T27" t="s">
        <v>1319</v>
      </c>
      <c r="U27" t="s">
        <v>884</v>
      </c>
      <c r="V27" t="s">
        <v>1320</v>
      </c>
      <c r="W27" t="s">
        <v>1321</v>
      </c>
      <c r="X27" t="s">
        <v>1322</v>
      </c>
      <c r="Y27" t="s">
        <v>1323</v>
      </c>
      <c r="Z27" t="s">
        <v>1324</v>
      </c>
      <c r="AA27" t="s">
        <v>1325</v>
      </c>
    </row>
    <row r="28" spans="1:27" x14ac:dyDescent="0.35">
      <c r="A28" s="1" t="s">
        <v>1326</v>
      </c>
      <c r="B28" t="s">
        <v>174</v>
      </c>
      <c r="C28" t="s">
        <v>709</v>
      </c>
      <c r="D28" t="s">
        <v>937</v>
      </c>
      <c r="E28" t="s">
        <v>1296</v>
      </c>
      <c r="F28" t="s">
        <v>1297</v>
      </c>
      <c r="G28" t="s">
        <v>1298</v>
      </c>
      <c r="H28" t="s">
        <v>1299</v>
      </c>
      <c r="I28" t="s">
        <v>1300</v>
      </c>
      <c r="J28" t="s">
        <v>1301</v>
      </c>
      <c r="K28" t="s">
        <v>1302</v>
      </c>
      <c r="L28" t="s">
        <v>1327</v>
      </c>
      <c r="M28" t="s">
        <v>1328</v>
      </c>
      <c r="N28" t="s">
        <v>631</v>
      </c>
      <c r="O28" t="s">
        <v>1329</v>
      </c>
      <c r="P28" t="s">
        <v>1330</v>
      </c>
      <c r="Q28" t="s">
        <v>1331</v>
      </c>
      <c r="R28" t="s">
        <v>1332</v>
      </c>
      <c r="S28" t="s">
        <v>1333</v>
      </c>
      <c r="T28" t="s">
        <v>1334</v>
      </c>
      <c r="U28" t="s">
        <v>1335</v>
      </c>
      <c r="V28" t="s">
        <v>1336</v>
      </c>
      <c r="W28" t="s">
        <v>1337</v>
      </c>
      <c r="X28" t="s">
        <v>1338</v>
      </c>
      <c r="Y28" t="s">
        <v>1339</v>
      </c>
      <c r="Z28" t="s">
        <v>1340</v>
      </c>
      <c r="AA28" t="s">
        <v>1341</v>
      </c>
    </row>
    <row r="29" spans="1:27" x14ac:dyDescent="0.35">
      <c r="A29" s="1" t="s">
        <v>1342</v>
      </c>
      <c r="B29" t="s">
        <v>174</v>
      </c>
      <c r="C29" t="s">
        <v>174</v>
      </c>
      <c r="D29" t="s">
        <v>174</v>
      </c>
      <c r="E29" t="s">
        <v>174</v>
      </c>
      <c r="F29" t="s">
        <v>174</v>
      </c>
      <c r="G29" t="s">
        <v>174</v>
      </c>
      <c r="H29" t="s">
        <v>174</v>
      </c>
      <c r="I29" t="s">
        <v>174</v>
      </c>
      <c r="J29" t="s">
        <v>174</v>
      </c>
      <c r="K29" t="s">
        <v>174</v>
      </c>
      <c r="L29" t="s">
        <v>174</v>
      </c>
      <c r="M29" t="s">
        <v>174</v>
      </c>
      <c r="N29" t="s">
        <v>174</v>
      </c>
      <c r="O29" t="s">
        <v>174</v>
      </c>
      <c r="P29" t="s">
        <v>174</v>
      </c>
      <c r="Q29" t="s">
        <v>174</v>
      </c>
      <c r="R29" t="s">
        <v>174</v>
      </c>
      <c r="S29" t="s">
        <v>174</v>
      </c>
      <c r="T29" t="s">
        <v>174</v>
      </c>
      <c r="U29" t="s">
        <v>174</v>
      </c>
      <c r="V29" t="s">
        <v>174</v>
      </c>
      <c r="W29" t="s">
        <v>174</v>
      </c>
      <c r="X29" t="s">
        <v>174</v>
      </c>
      <c r="Y29" t="s">
        <v>174</v>
      </c>
      <c r="Z29" t="s">
        <v>174</v>
      </c>
      <c r="AA29" t="s">
        <v>174</v>
      </c>
    </row>
    <row r="30" spans="1:27" x14ac:dyDescent="0.35">
      <c r="A30" s="1" t="s">
        <v>1343</v>
      </c>
      <c r="B30" t="s">
        <v>174</v>
      </c>
      <c r="C30" t="s">
        <v>174</v>
      </c>
      <c r="D30" t="s">
        <v>174</v>
      </c>
      <c r="E30" t="s">
        <v>174</v>
      </c>
      <c r="F30" t="s">
        <v>174</v>
      </c>
      <c r="G30" t="s">
        <v>174</v>
      </c>
      <c r="H30" t="s">
        <v>174</v>
      </c>
      <c r="I30" t="s">
        <v>174</v>
      </c>
      <c r="J30" t="s">
        <v>174</v>
      </c>
      <c r="K30" t="s">
        <v>174</v>
      </c>
      <c r="L30" t="s">
        <v>174</v>
      </c>
      <c r="M30" t="s">
        <v>174</v>
      </c>
      <c r="N30" t="s">
        <v>174</v>
      </c>
      <c r="O30" t="s">
        <v>174</v>
      </c>
      <c r="P30" t="s">
        <v>174</v>
      </c>
      <c r="Q30" t="s">
        <v>174</v>
      </c>
      <c r="R30" t="s">
        <v>174</v>
      </c>
      <c r="S30" t="s">
        <v>174</v>
      </c>
      <c r="T30" t="s">
        <v>174</v>
      </c>
      <c r="U30" t="s">
        <v>174</v>
      </c>
      <c r="V30" t="s">
        <v>174</v>
      </c>
      <c r="W30" t="s">
        <v>174</v>
      </c>
      <c r="X30" t="s">
        <v>174</v>
      </c>
      <c r="Y30" t="s">
        <v>174</v>
      </c>
      <c r="Z30" t="s">
        <v>174</v>
      </c>
      <c r="AA30" t="s">
        <v>1344</v>
      </c>
    </row>
    <row r="31" spans="1:27" x14ac:dyDescent="0.35">
      <c r="A31" s="1" t="s">
        <v>89</v>
      </c>
      <c r="B31" t="s">
        <v>665</v>
      </c>
      <c r="C31" t="s">
        <v>729</v>
      </c>
      <c r="D31" t="s">
        <v>1345</v>
      </c>
      <c r="E31" t="s">
        <v>1346</v>
      </c>
      <c r="F31" t="s">
        <v>1347</v>
      </c>
      <c r="G31" t="s">
        <v>1348</v>
      </c>
      <c r="H31" t="s">
        <v>1349</v>
      </c>
      <c r="I31" t="s">
        <v>1350</v>
      </c>
      <c r="J31" t="s">
        <v>1351</v>
      </c>
      <c r="K31" t="s">
        <v>1352</v>
      </c>
      <c r="L31" t="s">
        <v>1353</v>
      </c>
      <c r="M31" t="s">
        <v>1354</v>
      </c>
      <c r="N31" t="s">
        <v>1355</v>
      </c>
      <c r="O31" t="s">
        <v>1356</v>
      </c>
      <c r="P31" t="s">
        <v>1357</v>
      </c>
      <c r="Q31" t="s">
        <v>1358</v>
      </c>
      <c r="R31" t="s">
        <v>1359</v>
      </c>
      <c r="S31" t="s">
        <v>1360</v>
      </c>
      <c r="T31" t="s">
        <v>1361</v>
      </c>
      <c r="U31" t="s">
        <v>1362</v>
      </c>
      <c r="V31" t="s">
        <v>1363</v>
      </c>
      <c r="W31" t="s">
        <v>1364</v>
      </c>
      <c r="X31" t="s">
        <v>1365</v>
      </c>
      <c r="Y31" t="s">
        <v>1366</v>
      </c>
      <c r="Z31" t="s">
        <v>1367</v>
      </c>
      <c r="AA31" t="s">
        <v>1368</v>
      </c>
    </row>
    <row r="32" spans="1:27" x14ac:dyDescent="0.35">
      <c r="A32" s="1" t="s">
        <v>91</v>
      </c>
      <c r="B32" t="s">
        <v>174</v>
      </c>
      <c r="C32" t="s">
        <v>174</v>
      </c>
      <c r="D32" t="s">
        <v>174</v>
      </c>
      <c r="E32" t="s">
        <v>174</v>
      </c>
      <c r="F32" t="s">
        <v>174</v>
      </c>
      <c r="G32" t="s">
        <v>174</v>
      </c>
      <c r="H32" t="s">
        <v>174</v>
      </c>
      <c r="I32" t="s">
        <v>174</v>
      </c>
      <c r="J32" t="s">
        <v>174</v>
      </c>
      <c r="K32" t="s">
        <v>174</v>
      </c>
      <c r="L32" t="s">
        <v>174</v>
      </c>
      <c r="M32" t="s">
        <v>174</v>
      </c>
      <c r="N32" t="s">
        <v>174</v>
      </c>
      <c r="O32" t="s">
        <v>174</v>
      </c>
      <c r="P32" t="s">
        <v>174</v>
      </c>
      <c r="Q32" t="s">
        <v>174</v>
      </c>
      <c r="R32" t="s">
        <v>174</v>
      </c>
      <c r="S32" t="s">
        <v>174</v>
      </c>
      <c r="T32" t="s">
        <v>174</v>
      </c>
      <c r="U32" t="s">
        <v>174</v>
      </c>
      <c r="V32" t="s">
        <v>174</v>
      </c>
      <c r="W32" t="s">
        <v>174</v>
      </c>
      <c r="X32" t="s">
        <v>174</v>
      </c>
      <c r="Y32" t="s">
        <v>174</v>
      </c>
      <c r="Z32" t="s">
        <v>174</v>
      </c>
      <c r="AA32" t="s">
        <v>174</v>
      </c>
    </row>
    <row r="33" spans="1:27" x14ac:dyDescent="0.35">
      <c r="A33" s="1" t="s">
        <v>92</v>
      </c>
      <c r="B33" t="s">
        <v>174</v>
      </c>
      <c r="C33" t="s">
        <v>174</v>
      </c>
      <c r="D33" t="s">
        <v>779</v>
      </c>
      <c r="E33" t="s">
        <v>670</v>
      </c>
      <c r="F33" t="s">
        <v>516</v>
      </c>
      <c r="G33" t="s">
        <v>516</v>
      </c>
      <c r="H33" t="s">
        <v>516</v>
      </c>
      <c r="I33" t="s">
        <v>516</v>
      </c>
      <c r="J33" t="s">
        <v>516</v>
      </c>
      <c r="K33" t="s">
        <v>516</v>
      </c>
      <c r="L33" t="s">
        <v>516</v>
      </c>
      <c r="M33" t="s">
        <v>516</v>
      </c>
      <c r="N33" t="s">
        <v>516</v>
      </c>
      <c r="O33" t="s">
        <v>665</v>
      </c>
      <c r="P33" t="s">
        <v>665</v>
      </c>
      <c r="Q33" t="s">
        <v>665</v>
      </c>
      <c r="R33" t="s">
        <v>665</v>
      </c>
      <c r="S33" t="s">
        <v>665</v>
      </c>
      <c r="T33" t="s">
        <v>665</v>
      </c>
      <c r="U33" t="s">
        <v>665</v>
      </c>
      <c r="V33" t="s">
        <v>665</v>
      </c>
      <c r="W33" t="s">
        <v>665</v>
      </c>
      <c r="X33" t="s">
        <v>665</v>
      </c>
      <c r="Y33" t="s">
        <v>665</v>
      </c>
      <c r="Z33" t="s">
        <v>665</v>
      </c>
      <c r="AA33" t="s">
        <v>665</v>
      </c>
    </row>
    <row r="34" spans="1:27" x14ac:dyDescent="0.35">
      <c r="A34" s="1" t="s">
        <v>1369</v>
      </c>
      <c r="B34" t="s">
        <v>731</v>
      </c>
      <c r="C34" t="s">
        <v>1370</v>
      </c>
      <c r="D34" t="s">
        <v>1371</v>
      </c>
      <c r="E34" t="s">
        <v>1372</v>
      </c>
      <c r="F34" t="s">
        <v>1373</v>
      </c>
      <c r="G34" t="s">
        <v>1374</v>
      </c>
      <c r="H34" t="s">
        <v>1375</v>
      </c>
      <c r="I34" t="s">
        <v>1376</v>
      </c>
      <c r="J34" t="s">
        <v>1377</v>
      </c>
      <c r="K34" t="s">
        <v>1378</v>
      </c>
      <c r="L34" t="s">
        <v>1379</v>
      </c>
      <c r="M34" t="s">
        <v>1380</v>
      </c>
      <c r="N34" t="s">
        <v>1381</v>
      </c>
      <c r="O34" t="s">
        <v>1382</v>
      </c>
      <c r="P34" t="s">
        <v>1383</v>
      </c>
      <c r="Q34" t="s">
        <v>1093</v>
      </c>
      <c r="R34" t="s">
        <v>1384</v>
      </c>
      <c r="S34" t="s">
        <v>1385</v>
      </c>
      <c r="T34" t="s">
        <v>1386</v>
      </c>
      <c r="U34" t="s">
        <v>1387</v>
      </c>
      <c r="V34" t="s">
        <v>1388</v>
      </c>
      <c r="W34" t="s">
        <v>1389</v>
      </c>
      <c r="X34" t="s">
        <v>1390</v>
      </c>
      <c r="Y34" t="s">
        <v>1391</v>
      </c>
      <c r="Z34" t="s">
        <v>1392</v>
      </c>
      <c r="AA34" t="s">
        <v>1393</v>
      </c>
    </row>
    <row r="35" spans="1:27" x14ac:dyDescent="0.35">
      <c r="A35" s="1" t="s">
        <v>1394</v>
      </c>
      <c r="B35" t="s">
        <v>1395</v>
      </c>
      <c r="C35" t="s">
        <v>787</v>
      </c>
      <c r="D35" t="s">
        <v>1396</v>
      </c>
      <c r="E35" t="s">
        <v>1397</v>
      </c>
      <c r="F35" t="s">
        <v>1398</v>
      </c>
      <c r="G35" t="s">
        <v>1399</v>
      </c>
      <c r="H35" t="s">
        <v>670</v>
      </c>
      <c r="I35" t="s">
        <v>860</v>
      </c>
      <c r="J35" t="s">
        <v>1005</v>
      </c>
      <c r="K35" t="s">
        <v>911</v>
      </c>
      <c r="L35" t="s">
        <v>1400</v>
      </c>
      <c r="M35" t="s">
        <v>665</v>
      </c>
      <c r="N35" t="s">
        <v>1401</v>
      </c>
      <c r="O35" t="s">
        <v>1402</v>
      </c>
      <c r="P35" t="s">
        <v>1403</v>
      </c>
      <c r="Q35" t="s">
        <v>1404</v>
      </c>
      <c r="R35" t="s">
        <v>794</v>
      </c>
      <c r="S35" t="s">
        <v>1405</v>
      </c>
      <c r="T35" t="s">
        <v>1406</v>
      </c>
      <c r="U35" t="s">
        <v>1407</v>
      </c>
      <c r="V35" t="s">
        <v>1408</v>
      </c>
      <c r="W35" t="s">
        <v>1409</v>
      </c>
      <c r="X35" t="s">
        <v>1410</v>
      </c>
      <c r="Y35" t="s">
        <v>1411</v>
      </c>
      <c r="Z35" t="s">
        <v>1412</v>
      </c>
      <c r="AA35" t="s">
        <v>1413</v>
      </c>
    </row>
    <row r="36" spans="1:27" x14ac:dyDescent="0.35">
      <c r="A36" s="1" t="s">
        <v>1414</v>
      </c>
      <c r="B36" t="s">
        <v>542</v>
      </c>
      <c r="C36" t="s">
        <v>1415</v>
      </c>
      <c r="D36" t="s">
        <v>1416</v>
      </c>
      <c r="E36" t="s">
        <v>1417</v>
      </c>
      <c r="F36" t="s">
        <v>1418</v>
      </c>
      <c r="G36" t="s">
        <v>1419</v>
      </c>
      <c r="H36" t="s">
        <v>1420</v>
      </c>
      <c r="I36" t="s">
        <v>1421</v>
      </c>
      <c r="J36" t="s">
        <v>1422</v>
      </c>
      <c r="K36" t="s">
        <v>1423</v>
      </c>
      <c r="L36" t="s">
        <v>1424</v>
      </c>
      <c r="M36" t="s">
        <v>1425</v>
      </c>
      <c r="N36" t="s">
        <v>1426</v>
      </c>
      <c r="O36" t="s">
        <v>1427</v>
      </c>
      <c r="P36" t="s">
        <v>1428</v>
      </c>
      <c r="Q36" t="s">
        <v>1429</v>
      </c>
      <c r="R36" t="s">
        <v>1430</v>
      </c>
      <c r="S36" t="s">
        <v>1431</v>
      </c>
      <c r="T36" t="s">
        <v>1432</v>
      </c>
      <c r="U36" t="s">
        <v>1433</v>
      </c>
      <c r="V36" t="s">
        <v>1434</v>
      </c>
      <c r="W36" t="s">
        <v>1435</v>
      </c>
      <c r="X36" t="s">
        <v>1436</v>
      </c>
      <c r="Y36" t="s">
        <v>1437</v>
      </c>
      <c r="Z36" t="s">
        <v>1438</v>
      </c>
      <c r="AA36" t="s">
        <v>1439</v>
      </c>
    </row>
    <row r="37" spans="1:27" x14ac:dyDescent="0.35">
      <c r="A37" s="1" t="s">
        <v>1440</v>
      </c>
      <c r="B37" t="s">
        <v>670</v>
      </c>
      <c r="C37" t="s">
        <v>1441</v>
      </c>
      <c r="D37" t="s">
        <v>1110</v>
      </c>
      <c r="E37" t="s">
        <v>1442</v>
      </c>
      <c r="F37" t="s">
        <v>1443</v>
      </c>
      <c r="G37" t="s">
        <v>1444</v>
      </c>
      <c r="H37" t="s">
        <v>1445</v>
      </c>
      <c r="I37" t="s">
        <v>1446</v>
      </c>
      <c r="J37" t="s">
        <v>1447</v>
      </c>
      <c r="K37" t="s">
        <v>293</v>
      </c>
      <c r="L37" t="s">
        <v>394</v>
      </c>
      <c r="M37" t="s">
        <v>395</v>
      </c>
      <c r="N37" t="s">
        <v>396</v>
      </c>
      <c r="O37" t="s">
        <v>397</v>
      </c>
      <c r="P37" t="s">
        <v>398</v>
      </c>
      <c r="Q37" t="s">
        <v>399</v>
      </c>
      <c r="R37" t="s">
        <v>400</v>
      </c>
      <c r="S37" t="s">
        <v>401</v>
      </c>
      <c r="T37" t="s">
        <v>402</v>
      </c>
      <c r="U37" t="s">
        <v>403</v>
      </c>
      <c r="V37" t="s">
        <v>404</v>
      </c>
      <c r="W37" t="s">
        <v>405</v>
      </c>
      <c r="X37" t="s">
        <v>406</v>
      </c>
      <c r="Y37" t="s">
        <v>407</v>
      </c>
      <c r="Z37" t="s">
        <v>408</v>
      </c>
      <c r="AA37" t="s">
        <v>409</v>
      </c>
    </row>
    <row r="38" spans="1:27" x14ac:dyDescent="0.35">
      <c r="A38" s="1" t="s">
        <v>1448</v>
      </c>
      <c r="B38" t="s">
        <v>1145</v>
      </c>
      <c r="C38" t="s">
        <v>596</v>
      </c>
      <c r="D38" t="s">
        <v>1191</v>
      </c>
      <c r="E38" t="s">
        <v>1192</v>
      </c>
      <c r="F38" t="s">
        <v>1193</v>
      </c>
      <c r="G38" t="s">
        <v>1194</v>
      </c>
      <c r="H38" t="s">
        <v>1195</v>
      </c>
      <c r="I38" t="s">
        <v>1196</v>
      </c>
      <c r="J38" t="s">
        <v>1197</v>
      </c>
      <c r="K38" t="s">
        <v>1198</v>
      </c>
      <c r="L38" t="s">
        <v>1199</v>
      </c>
      <c r="M38" t="s">
        <v>1200</v>
      </c>
      <c r="N38" t="s">
        <v>1201</v>
      </c>
      <c r="O38" t="s">
        <v>1202</v>
      </c>
      <c r="P38" t="s">
        <v>1203</v>
      </c>
      <c r="Q38" t="s">
        <v>1204</v>
      </c>
      <c r="R38" t="s">
        <v>1205</v>
      </c>
      <c r="S38" t="s">
        <v>1206</v>
      </c>
      <c r="T38" t="s">
        <v>1207</v>
      </c>
      <c r="U38" t="s">
        <v>1208</v>
      </c>
      <c r="V38" t="s">
        <v>1209</v>
      </c>
      <c r="W38" t="s">
        <v>1210</v>
      </c>
      <c r="X38" t="s">
        <v>1211</v>
      </c>
      <c r="Y38" t="s">
        <v>1212</v>
      </c>
      <c r="Z38" t="s">
        <v>1213</v>
      </c>
      <c r="AA38" t="s">
        <v>1214</v>
      </c>
    </row>
    <row r="39" spans="1:27" x14ac:dyDescent="0.35">
      <c r="A39" s="1" t="s">
        <v>1449</v>
      </c>
      <c r="B39" t="s">
        <v>174</v>
      </c>
      <c r="C39" t="s">
        <v>174</v>
      </c>
      <c r="D39" t="s">
        <v>174</v>
      </c>
      <c r="E39" t="s">
        <v>174</v>
      </c>
      <c r="F39" t="s">
        <v>174</v>
      </c>
      <c r="G39" t="s">
        <v>174</v>
      </c>
      <c r="H39" t="s">
        <v>174</v>
      </c>
      <c r="I39" t="s">
        <v>174</v>
      </c>
      <c r="J39" t="s">
        <v>174</v>
      </c>
      <c r="K39" t="s">
        <v>174</v>
      </c>
      <c r="L39" t="s">
        <v>174</v>
      </c>
      <c r="M39" t="s">
        <v>174</v>
      </c>
      <c r="N39" t="s">
        <v>174</v>
      </c>
      <c r="O39" t="s">
        <v>174</v>
      </c>
      <c r="P39" t="s">
        <v>174</v>
      </c>
      <c r="Q39" t="s">
        <v>174</v>
      </c>
      <c r="R39" t="s">
        <v>174</v>
      </c>
      <c r="S39" t="s">
        <v>174</v>
      </c>
      <c r="T39" t="s">
        <v>174</v>
      </c>
      <c r="U39" t="s">
        <v>174</v>
      </c>
      <c r="V39" t="s">
        <v>174</v>
      </c>
      <c r="W39" t="s">
        <v>174</v>
      </c>
      <c r="X39" t="s">
        <v>174</v>
      </c>
      <c r="Y39" t="s">
        <v>174</v>
      </c>
      <c r="Z39" t="s">
        <v>174</v>
      </c>
      <c r="AA39" t="s">
        <v>174</v>
      </c>
    </row>
    <row r="40" spans="1:27" x14ac:dyDescent="0.35">
      <c r="A40" s="1" t="s">
        <v>1450</v>
      </c>
      <c r="B40" t="s">
        <v>1145</v>
      </c>
      <c r="C40" t="s">
        <v>596</v>
      </c>
      <c r="D40" t="s">
        <v>1191</v>
      </c>
      <c r="E40" t="s">
        <v>1192</v>
      </c>
      <c r="F40" t="s">
        <v>1193</v>
      </c>
      <c r="G40" t="s">
        <v>1194</v>
      </c>
      <c r="H40" t="s">
        <v>1195</v>
      </c>
      <c r="I40" t="s">
        <v>1196</v>
      </c>
      <c r="J40" t="s">
        <v>1197</v>
      </c>
      <c r="K40" t="s">
        <v>1198</v>
      </c>
      <c r="L40" t="s">
        <v>1199</v>
      </c>
      <c r="M40" t="s">
        <v>1200</v>
      </c>
      <c r="N40" t="s">
        <v>1201</v>
      </c>
      <c r="O40" t="s">
        <v>1202</v>
      </c>
      <c r="P40" t="s">
        <v>1203</v>
      </c>
      <c r="Q40" t="s">
        <v>1204</v>
      </c>
      <c r="R40" t="s">
        <v>1205</v>
      </c>
      <c r="S40" t="s">
        <v>1206</v>
      </c>
      <c r="T40" t="s">
        <v>1207</v>
      </c>
      <c r="U40" t="s">
        <v>1208</v>
      </c>
      <c r="V40" t="s">
        <v>1209</v>
      </c>
      <c r="W40" t="s">
        <v>1210</v>
      </c>
      <c r="X40" t="s">
        <v>1211</v>
      </c>
      <c r="Y40" t="s">
        <v>1212</v>
      </c>
      <c r="Z40" t="s">
        <v>1213</v>
      </c>
      <c r="AA40" t="s">
        <v>1214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9"/>
  <sheetViews>
    <sheetView workbookViewId="0"/>
  </sheetViews>
  <sheetFormatPr defaultRowHeight="14.5" x14ac:dyDescent="0.35"/>
  <sheetData>
    <row r="1" spans="1:27" x14ac:dyDescent="0.35">
      <c r="B1" s="1" t="s">
        <v>469</v>
      </c>
      <c r="C1" s="1" t="s">
        <v>470</v>
      </c>
      <c r="D1" s="1" t="s">
        <v>471</v>
      </c>
      <c r="E1" s="1" t="s">
        <v>472</v>
      </c>
      <c r="F1" s="1" t="s">
        <v>473</v>
      </c>
      <c r="G1" s="1" t="s">
        <v>474</v>
      </c>
      <c r="H1" s="1" t="s">
        <v>475</v>
      </c>
      <c r="I1" s="1" t="s">
        <v>476</v>
      </c>
      <c r="J1" s="1" t="s">
        <v>477</v>
      </c>
      <c r="K1" s="1" t="s">
        <v>478</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c r="Z1" s="1" t="s">
        <v>118</v>
      </c>
      <c r="AA1" s="1" t="s">
        <v>119</v>
      </c>
    </row>
    <row r="2" spans="1:27" x14ac:dyDescent="0.35">
      <c r="A2" s="1" t="s">
        <v>62</v>
      </c>
      <c r="B2" t="s">
        <v>731</v>
      </c>
      <c r="C2" t="s">
        <v>854</v>
      </c>
      <c r="D2" t="s">
        <v>855</v>
      </c>
      <c r="E2" t="s">
        <v>856</v>
      </c>
      <c r="F2" t="s">
        <v>857</v>
      </c>
      <c r="G2" t="s">
        <v>858</v>
      </c>
      <c r="H2" t="s">
        <v>859</v>
      </c>
      <c r="I2" t="s">
        <v>860</v>
      </c>
      <c r="J2" t="s">
        <v>861</v>
      </c>
      <c r="K2" t="s">
        <v>862</v>
      </c>
      <c r="L2" t="s">
        <v>310</v>
      </c>
      <c r="M2" t="s">
        <v>311</v>
      </c>
      <c r="N2" t="s">
        <v>312</v>
      </c>
      <c r="O2" t="s">
        <v>313</v>
      </c>
      <c r="P2" t="s">
        <v>314</v>
      </c>
      <c r="Q2" t="s">
        <v>315</v>
      </c>
      <c r="R2" t="s">
        <v>316</v>
      </c>
      <c r="S2" t="s">
        <v>317</v>
      </c>
      <c r="T2" t="s">
        <v>318</v>
      </c>
      <c r="U2" t="s">
        <v>319</v>
      </c>
      <c r="V2" t="s">
        <v>320</v>
      </c>
      <c r="W2" t="s">
        <v>321</v>
      </c>
      <c r="X2" t="s">
        <v>322</v>
      </c>
      <c r="Y2" t="s">
        <v>323</v>
      </c>
      <c r="Z2" t="s">
        <v>324</v>
      </c>
      <c r="AA2" t="s">
        <v>325</v>
      </c>
    </row>
    <row r="3" spans="1:27" x14ac:dyDescent="0.35">
      <c r="A3" s="1" t="s">
        <v>723</v>
      </c>
      <c r="B3" t="s">
        <v>664</v>
      </c>
      <c r="C3" t="s">
        <v>665</v>
      </c>
      <c r="D3" t="s">
        <v>490</v>
      </c>
      <c r="E3" t="s">
        <v>724</v>
      </c>
      <c r="F3" t="s">
        <v>725</v>
      </c>
      <c r="G3" t="s">
        <v>726</v>
      </c>
      <c r="H3" t="s">
        <v>727</v>
      </c>
      <c r="I3" t="s">
        <v>708</v>
      </c>
      <c r="J3" t="s">
        <v>728</v>
      </c>
      <c r="K3" t="s">
        <v>729</v>
      </c>
      <c r="L3" t="s">
        <v>292</v>
      </c>
      <c r="M3" t="s">
        <v>293</v>
      </c>
      <c r="N3" t="s">
        <v>294</v>
      </c>
      <c r="O3" t="s">
        <v>295</v>
      </c>
      <c r="P3" t="s">
        <v>296</v>
      </c>
      <c r="Q3" t="s">
        <v>297</v>
      </c>
      <c r="R3" t="s">
        <v>298</v>
      </c>
      <c r="S3" t="s">
        <v>299</v>
      </c>
      <c r="T3" t="s">
        <v>300</v>
      </c>
      <c r="U3" t="s">
        <v>301</v>
      </c>
      <c r="V3" t="s">
        <v>302</v>
      </c>
      <c r="W3" t="s">
        <v>303</v>
      </c>
      <c r="X3" t="s">
        <v>304</v>
      </c>
      <c r="Y3" t="s">
        <v>305</v>
      </c>
      <c r="Z3" t="s">
        <v>306</v>
      </c>
      <c r="AA3" t="s">
        <v>307</v>
      </c>
    </row>
    <row r="4" spans="1:27" x14ac:dyDescent="0.35">
      <c r="A4" s="1" t="s">
        <v>1451</v>
      </c>
      <c r="B4" t="s">
        <v>174</v>
      </c>
      <c r="C4" t="s">
        <v>174</v>
      </c>
      <c r="D4" t="s">
        <v>174</v>
      </c>
      <c r="E4" t="s">
        <v>174</v>
      </c>
      <c r="F4" t="s">
        <v>174</v>
      </c>
      <c r="G4" t="s">
        <v>174</v>
      </c>
      <c r="H4" t="s">
        <v>174</v>
      </c>
      <c r="I4" t="s">
        <v>174</v>
      </c>
      <c r="J4" t="s">
        <v>1452</v>
      </c>
      <c r="K4" t="s">
        <v>1109</v>
      </c>
      <c r="L4" t="s">
        <v>681</v>
      </c>
      <c r="M4" t="s">
        <v>1453</v>
      </c>
      <c r="N4" t="s">
        <v>1454</v>
      </c>
      <c r="O4" t="s">
        <v>1035</v>
      </c>
      <c r="P4" t="s">
        <v>516</v>
      </c>
      <c r="Q4" t="s">
        <v>1455</v>
      </c>
      <c r="R4" t="s">
        <v>1456</v>
      </c>
      <c r="S4" t="s">
        <v>1457</v>
      </c>
      <c r="T4" t="s">
        <v>1404</v>
      </c>
      <c r="U4" t="s">
        <v>1035</v>
      </c>
      <c r="V4" t="s">
        <v>1458</v>
      </c>
      <c r="W4" t="s">
        <v>756</v>
      </c>
      <c r="X4" t="s">
        <v>1459</v>
      </c>
      <c r="Y4" t="s">
        <v>1460</v>
      </c>
      <c r="Z4" t="s">
        <v>1461</v>
      </c>
      <c r="AA4" t="s">
        <v>1462</v>
      </c>
    </row>
    <row r="5" spans="1:27" x14ac:dyDescent="0.35">
      <c r="A5" s="1" t="s">
        <v>1463</v>
      </c>
      <c r="B5" t="s">
        <v>174</v>
      </c>
      <c r="C5" t="s">
        <v>174</v>
      </c>
      <c r="D5" t="s">
        <v>174</v>
      </c>
      <c r="E5" t="s">
        <v>174</v>
      </c>
      <c r="F5" t="s">
        <v>174</v>
      </c>
      <c r="G5" t="s">
        <v>174</v>
      </c>
      <c r="H5" t="s">
        <v>174</v>
      </c>
      <c r="I5" t="s">
        <v>174</v>
      </c>
      <c r="J5" t="s">
        <v>174</v>
      </c>
      <c r="K5" t="s">
        <v>174</v>
      </c>
      <c r="L5" t="s">
        <v>621</v>
      </c>
      <c r="M5" t="s">
        <v>1464</v>
      </c>
      <c r="N5" t="s">
        <v>1465</v>
      </c>
      <c r="O5" t="s">
        <v>1171</v>
      </c>
      <c r="P5" t="s">
        <v>1046</v>
      </c>
      <c r="Q5" t="s">
        <v>1466</v>
      </c>
      <c r="R5" t="s">
        <v>1467</v>
      </c>
      <c r="S5" t="s">
        <v>1468</v>
      </c>
      <c r="T5" t="s">
        <v>809</v>
      </c>
      <c r="U5" t="s">
        <v>1469</v>
      </c>
      <c r="V5" t="s">
        <v>1470</v>
      </c>
      <c r="W5" t="s">
        <v>1471</v>
      </c>
      <c r="X5" t="s">
        <v>1472</v>
      </c>
      <c r="Y5" t="s">
        <v>398</v>
      </c>
      <c r="Z5" t="s">
        <v>1473</v>
      </c>
      <c r="AA5" t="s">
        <v>1474</v>
      </c>
    </row>
    <row r="6" spans="1:27" x14ac:dyDescent="0.35">
      <c r="A6" s="1" t="s">
        <v>1475</v>
      </c>
      <c r="B6" t="s">
        <v>516</v>
      </c>
      <c r="C6" t="s">
        <v>913</v>
      </c>
      <c r="D6" t="s">
        <v>792</v>
      </c>
      <c r="E6" t="s">
        <v>1476</v>
      </c>
      <c r="F6" t="s">
        <v>1477</v>
      </c>
      <c r="G6" t="s">
        <v>673</v>
      </c>
      <c r="H6" t="s">
        <v>1478</v>
      </c>
      <c r="I6" t="s">
        <v>1479</v>
      </c>
      <c r="J6" t="s">
        <v>1480</v>
      </c>
      <c r="K6" t="s">
        <v>1312</v>
      </c>
      <c r="L6" t="s">
        <v>1481</v>
      </c>
      <c r="M6" t="s">
        <v>1482</v>
      </c>
      <c r="N6" t="s">
        <v>1483</v>
      </c>
      <c r="O6" t="s">
        <v>1484</v>
      </c>
      <c r="P6" t="s">
        <v>1485</v>
      </c>
      <c r="Q6" t="s">
        <v>1486</v>
      </c>
      <c r="R6" t="s">
        <v>1487</v>
      </c>
      <c r="S6" t="s">
        <v>1173</v>
      </c>
      <c r="T6" t="s">
        <v>1488</v>
      </c>
      <c r="U6" t="s">
        <v>1489</v>
      </c>
      <c r="V6" t="s">
        <v>1490</v>
      </c>
      <c r="W6" t="s">
        <v>1491</v>
      </c>
      <c r="X6" t="s">
        <v>1492</v>
      </c>
      <c r="Y6" t="s">
        <v>1493</v>
      </c>
      <c r="Z6" t="s">
        <v>1494</v>
      </c>
      <c r="AA6" t="s">
        <v>1495</v>
      </c>
    </row>
    <row r="7" spans="1:27" x14ac:dyDescent="0.35">
      <c r="A7" s="1" t="s">
        <v>1496</v>
      </c>
      <c r="B7" t="s">
        <v>174</v>
      </c>
      <c r="C7" t="s">
        <v>174</v>
      </c>
      <c r="D7" t="s">
        <v>174</v>
      </c>
      <c r="E7" t="s">
        <v>174</v>
      </c>
      <c r="F7" t="s">
        <v>174</v>
      </c>
      <c r="G7" t="s">
        <v>174</v>
      </c>
      <c r="H7" t="s">
        <v>174</v>
      </c>
      <c r="I7" t="s">
        <v>174</v>
      </c>
      <c r="J7" t="s">
        <v>174</v>
      </c>
      <c r="K7" t="s">
        <v>174</v>
      </c>
      <c r="L7" t="s">
        <v>1497</v>
      </c>
      <c r="M7" t="s">
        <v>1498</v>
      </c>
      <c r="N7" t="s">
        <v>1499</v>
      </c>
      <c r="O7" t="s">
        <v>1500</v>
      </c>
      <c r="P7" t="s">
        <v>1501</v>
      </c>
      <c r="Q7" t="s">
        <v>1502</v>
      </c>
      <c r="R7" t="s">
        <v>1503</v>
      </c>
      <c r="S7" t="s">
        <v>1504</v>
      </c>
      <c r="T7" t="s">
        <v>1505</v>
      </c>
      <c r="U7" t="s">
        <v>1506</v>
      </c>
      <c r="V7" t="s">
        <v>1507</v>
      </c>
      <c r="W7" t="s">
        <v>1508</v>
      </c>
      <c r="X7" t="s">
        <v>1509</v>
      </c>
      <c r="Y7" t="s">
        <v>1510</v>
      </c>
      <c r="Z7" t="s">
        <v>1511</v>
      </c>
      <c r="AA7" t="s">
        <v>1512</v>
      </c>
    </row>
    <row r="8" spans="1:27" x14ac:dyDescent="0.35">
      <c r="A8" s="1" t="s">
        <v>1003</v>
      </c>
      <c r="B8" t="s">
        <v>1400</v>
      </c>
      <c r="C8" t="s">
        <v>671</v>
      </c>
      <c r="D8" t="s">
        <v>1513</v>
      </c>
      <c r="E8" t="s">
        <v>1514</v>
      </c>
      <c r="F8" t="s">
        <v>595</v>
      </c>
      <c r="G8" t="s">
        <v>1515</v>
      </c>
      <c r="H8" t="s">
        <v>1516</v>
      </c>
      <c r="I8" t="s">
        <v>1517</v>
      </c>
      <c r="J8" t="s">
        <v>1518</v>
      </c>
      <c r="K8" t="s">
        <v>1519</v>
      </c>
      <c r="L8" t="s">
        <v>1520</v>
      </c>
      <c r="M8" t="s">
        <v>1521</v>
      </c>
      <c r="N8" t="s">
        <v>1522</v>
      </c>
      <c r="O8" t="s">
        <v>1523</v>
      </c>
      <c r="P8" t="s">
        <v>1524</v>
      </c>
      <c r="Q8" t="s">
        <v>1525</v>
      </c>
      <c r="R8" t="s">
        <v>1526</v>
      </c>
      <c r="S8" t="s">
        <v>1527</v>
      </c>
      <c r="T8" t="s">
        <v>1528</v>
      </c>
      <c r="U8" t="s">
        <v>1529</v>
      </c>
      <c r="V8" t="s">
        <v>1530</v>
      </c>
      <c r="W8" t="s">
        <v>1531</v>
      </c>
      <c r="X8" t="s">
        <v>1532</v>
      </c>
      <c r="Y8" t="s">
        <v>1533</v>
      </c>
      <c r="Z8" t="s">
        <v>1534</v>
      </c>
      <c r="AA8" t="s">
        <v>1535</v>
      </c>
    </row>
    <row r="9" spans="1:27" x14ac:dyDescent="0.35">
      <c r="A9" s="1" t="s">
        <v>1215</v>
      </c>
      <c r="B9" t="s">
        <v>174</v>
      </c>
      <c r="C9" t="s">
        <v>174</v>
      </c>
      <c r="D9" t="s">
        <v>174</v>
      </c>
      <c r="E9" t="s">
        <v>174</v>
      </c>
      <c r="F9" t="s">
        <v>174</v>
      </c>
      <c r="G9" t="s">
        <v>174</v>
      </c>
      <c r="H9" t="s">
        <v>174</v>
      </c>
      <c r="I9" t="s">
        <v>174</v>
      </c>
      <c r="J9" t="s">
        <v>174</v>
      </c>
      <c r="K9" t="s">
        <v>174</v>
      </c>
      <c r="L9" t="s">
        <v>1536</v>
      </c>
      <c r="M9" t="s">
        <v>1537</v>
      </c>
      <c r="N9" t="s">
        <v>1538</v>
      </c>
      <c r="O9" t="s">
        <v>1539</v>
      </c>
      <c r="P9" t="s">
        <v>1540</v>
      </c>
      <c r="Q9" t="s">
        <v>1541</v>
      </c>
      <c r="R9" t="s">
        <v>745</v>
      </c>
      <c r="S9" t="s">
        <v>1542</v>
      </c>
      <c r="T9" t="s">
        <v>1258</v>
      </c>
      <c r="U9" t="s">
        <v>1543</v>
      </c>
      <c r="V9" t="s">
        <v>1544</v>
      </c>
      <c r="W9" t="s">
        <v>1545</v>
      </c>
      <c r="X9" t="s">
        <v>1546</v>
      </c>
      <c r="Y9" t="s">
        <v>1547</v>
      </c>
      <c r="Z9" t="s">
        <v>1548</v>
      </c>
      <c r="AA9" t="s">
        <v>1549</v>
      </c>
    </row>
    <row r="10" spans="1:27" x14ac:dyDescent="0.35">
      <c r="A10" s="1" t="s">
        <v>1550</v>
      </c>
      <c r="B10" t="s">
        <v>779</v>
      </c>
      <c r="C10" t="s">
        <v>779</v>
      </c>
      <c r="D10" t="s">
        <v>622</v>
      </c>
      <c r="E10" t="s">
        <v>648</v>
      </c>
      <c r="F10" t="s">
        <v>1551</v>
      </c>
      <c r="G10" t="s">
        <v>1552</v>
      </c>
      <c r="H10" t="s">
        <v>294</v>
      </c>
      <c r="I10" t="s">
        <v>1553</v>
      </c>
      <c r="J10" t="s">
        <v>296</v>
      </c>
      <c r="K10" t="s">
        <v>1256</v>
      </c>
      <c r="L10" t="s">
        <v>913</v>
      </c>
      <c r="M10" t="s">
        <v>1216</v>
      </c>
      <c r="N10" t="s">
        <v>1554</v>
      </c>
      <c r="O10" t="s">
        <v>1555</v>
      </c>
      <c r="P10" t="s">
        <v>1499</v>
      </c>
      <c r="Q10" t="s">
        <v>1478</v>
      </c>
      <c r="R10" t="s">
        <v>1465</v>
      </c>
      <c r="S10" t="s">
        <v>988</v>
      </c>
      <c r="T10" t="s">
        <v>1156</v>
      </c>
      <c r="U10" t="s">
        <v>1556</v>
      </c>
      <c r="V10" t="s">
        <v>1093</v>
      </c>
      <c r="W10" t="s">
        <v>916</v>
      </c>
      <c r="X10" t="s">
        <v>1557</v>
      </c>
      <c r="Y10" t="s">
        <v>1558</v>
      </c>
      <c r="Z10" t="s">
        <v>1559</v>
      </c>
      <c r="AA10" t="s">
        <v>369</v>
      </c>
    </row>
    <row r="11" spans="1:27" x14ac:dyDescent="0.35">
      <c r="A11" s="1" t="s">
        <v>1560</v>
      </c>
      <c r="B11" t="s">
        <v>664</v>
      </c>
      <c r="C11" t="s">
        <v>664</v>
      </c>
      <c r="D11" t="s">
        <v>710</v>
      </c>
      <c r="E11" t="s">
        <v>914</v>
      </c>
      <c r="F11" t="s">
        <v>1561</v>
      </c>
      <c r="G11" t="s">
        <v>1562</v>
      </c>
      <c r="H11" t="s">
        <v>1563</v>
      </c>
      <c r="I11" t="s">
        <v>1006</v>
      </c>
      <c r="J11" t="s">
        <v>1564</v>
      </c>
      <c r="K11" t="s">
        <v>1005</v>
      </c>
      <c r="L11" t="s">
        <v>1565</v>
      </c>
      <c r="M11" t="s">
        <v>1566</v>
      </c>
      <c r="N11" t="s">
        <v>1567</v>
      </c>
      <c r="O11" t="s">
        <v>1513</v>
      </c>
      <c r="P11" t="s">
        <v>1568</v>
      </c>
      <c r="Q11" t="s">
        <v>790</v>
      </c>
      <c r="R11" t="s">
        <v>1569</v>
      </c>
      <c r="S11" t="s">
        <v>1570</v>
      </c>
      <c r="T11" t="s">
        <v>1571</v>
      </c>
      <c r="U11" t="s">
        <v>1477</v>
      </c>
      <c r="V11" t="s">
        <v>1572</v>
      </c>
      <c r="W11" t="s">
        <v>1573</v>
      </c>
      <c r="X11" t="s">
        <v>1574</v>
      </c>
      <c r="Y11" t="s">
        <v>786</v>
      </c>
      <c r="Z11" t="s">
        <v>1575</v>
      </c>
      <c r="AA11" t="s">
        <v>1576</v>
      </c>
    </row>
    <row r="12" spans="1:27" x14ac:dyDescent="0.35">
      <c r="A12" s="1" t="s">
        <v>1577</v>
      </c>
      <c r="B12" t="s">
        <v>1578</v>
      </c>
      <c r="C12" t="s">
        <v>516</v>
      </c>
      <c r="D12" t="s">
        <v>1515</v>
      </c>
      <c r="E12" t="s">
        <v>1579</v>
      </c>
      <c r="F12" t="s">
        <v>1580</v>
      </c>
      <c r="G12" t="s">
        <v>1581</v>
      </c>
      <c r="H12" t="s">
        <v>1582</v>
      </c>
      <c r="I12" t="s">
        <v>1583</v>
      </c>
      <c r="J12" t="s">
        <v>1111</v>
      </c>
      <c r="K12" t="s">
        <v>1584</v>
      </c>
      <c r="L12" t="s">
        <v>1155</v>
      </c>
      <c r="M12" t="s">
        <v>1585</v>
      </c>
      <c r="N12" t="s">
        <v>1586</v>
      </c>
      <c r="O12" t="s">
        <v>1587</v>
      </c>
      <c r="P12" t="s">
        <v>1588</v>
      </c>
      <c r="Q12" t="s">
        <v>1589</v>
      </c>
      <c r="R12" t="s">
        <v>1590</v>
      </c>
      <c r="S12" t="s">
        <v>1591</v>
      </c>
      <c r="T12" t="s">
        <v>1592</v>
      </c>
      <c r="U12" t="s">
        <v>1593</v>
      </c>
      <c r="V12" t="s">
        <v>1594</v>
      </c>
      <c r="W12" t="s">
        <v>1595</v>
      </c>
      <c r="X12" t="s">
        <v>1596</v>
      </c>
      <c r="Y12" t="s">
        <v>1597</v>
      </c>
      <c r="Z12" t="s">
        <v>1598</v>
      </c>
      <c r="AA12" t="s">
        <v>1599</v>
      </c>
    </row>
    <row r="13" spans="1:27" x14ac:dyDescent="0.35">
      <c r="A13" s="1" t="s">
        <v>1600</v>
      </c>
      <c r="B13" t="s">
        <v>1400</v>
      </c>
      <c r="C13" t="s">
        <v>1601</v>
      </c>
      <c r="D13" t="s">
        <v>854</v>
      </c>
      <c r="E13" t="s">
        <v>1602</v>
      </c>
      <c r="F13" t="s">
        <v>1603</v>
      </c>
      <c r="G13" t="s">
        <v>780</v>
      </c>
      <c r="H13" t="s">
        <v>316</v>
      </c>
      <c r="I13" t="s">
        <v>1604</v>
      </c>
      <c r="J13" t="s">
        <v>1605</v>
      </c>
      <c r="K13" t="s">
        <v>1606</v>
      </c>
      <c r="L13" t="s">
        <v>783</v>
      </c>
      <c r="M13" t="s">
        <v>1607</v>
      </c>
      <c r="N13" t="s">
        <v>1608</v>
      </c>
      <c r="O13" t="s">
        <v>1609</v>
      </c>
      <c r="P13" t="s">
        <v>1610</v>
      </c>
      <c r="Q13" t="s">
        <v>1611</v>
      </c>
      <c r="R13" t="s">
        <v>1612</v>
      </c>
      <c r="S13" t="s">
        <v>1613</v>
      </c>
      <c r="T13" t="s">
        <v>1614</v>
      </c>
      <c r="U13" t="s">
        <v>1615</v>
      </c>
      <c r="V13" t="s">
        <v>1616</v>
      </c>
      <c r="W13" t="s">
        <v>1617</v>
      </c>
      <c r="X13" t="s">
        <v>1618</v>
      </c>
      <c r="Y13" t="s">
        <v>1619</v>
      </c>
      <c r="Z13" t="s">
        <v>1620</v>
      </c>
      <c r="AA13" t="s">
        <v>1621</v>
      </c>
    </row>
    <row r="14" spans="1:27" x14ac:dyDescent="0.35">
      <c r="A14" s="1" t="s">
        <v>1622</v>
      </c>
      <c r="B14" t="s">
        <v>174</v>
      </c>
      <c r="C14" t="s">
        <v>174</v>
      </c>
      <c r="D14" t="s">
        <v>1623</v>
      </c>
      <c r="E14" t="s">
        <v>1624</v>
      </c>
      <c r="F14" t="s">
        <v>174</v>
      </c>
      <c r="G14" t="s">
        <v>174</v>
      </c>
      <c r="H14" t="s">
        <v>174</v>
      </c>
      <c r="I14" t="s">
        <v>174</v>
      </c>
      <c r="J14" t="s">
        <v>1625</v>
      </c>
      <c r="K14" t="s">
        <v>1626</v>
      </c>
      <c r="L14" t="s">
        <v>1627</v>
      </c>
      <c r="M14" t="s">
        <v>678</v>
      </c>
      <c r="N14" t="s">
        <v>1628</v>
      </c>
      <c r="O14" t="s">
        <v>1629</v>
      </c>
      <c r="P14" t="s">
        <v>1630</v>
      </c>
      <c r="Q14" t="s">
        <v>1631</v>
      </c>
      <c r="R14" t="s">
        <v>1632</v>
      </c>
      <c r="S14" t="s">
        <v>1633</v>
      </c>
      <c r="T14" t="s">
        <v>1610</v>
      </c>
      <c r="U14" t="s">
        <v>1634</v>
      </c>
      <c r="V14" t="s">
        <v>1635</v>
      </c>
      <c r="W14" t="s">
        <v>1636</v>
      </c>
      <c r="X14" t="s">
        <v>1637</v>
      </c>
      <c r="Y14" t="s">
        <v>1638</v>
      </c>
      <c r="Z14" t="s">
        <v>1639</v>
      </c>
      <c r="AA14" t="s">
        <v>1640</v>
      </c>
    </row>
    <row r="15" spans="1:27" x14ac:dyDescent="0.35">
      <c r="A15" s="1" t="s">
        <v>1641</v>
      </c>
      <c r="B15" t="s">
        <v>174</v>
      </c>
      <c r="C15" t="s">
        <v>1513</v>
      </c>
      <c r="D15" t="s">
        <v>1642</v>
      </c>
      <c r="E15" t="s">
        <v>1643</v>
      </c>
      <c r="F15" t="s">
        <v>1644</v>
      </c>
      <c r="G15" t="s">
        <v>858</v>
      </c>
      <c r="H15" t="s">
        <v>1645</v>
      </c>
      <c r="I15" t="s">
        <v>1646</v>
      </c>
      <c r="J15" t="s">
        <v>1647</v>
      </c>
      <c r="K15" t="s">
        <v>1648</v>
      </c>
      <c r="L15" t="s">
        <v>1649</v>
      </c>
      <c r="M15" t="s">
        <v>1650</v>
      </c>
      <c r="N15" t="s">
        <v>1651</v>
      </c>
      <c r="O15" t="s">
        <v>1652</v>
      </c>
      <c r="P15" t="s">
        <v>1653</v>
      </c>
      <c r="Q15" t="s">
        <v>1654</v>
      </c>
      <c r="R15" t="s">
        <v>1655</v>
      </c>
      <c r="S15" t="s">
        <v>1656</v>
      </c>
      <c r="T15" t="s">
        <v>1657</v>
      </c>
      <c r="U15" t="s">
        <v>1658</v>
      </c>
      <c r="V15" t="s">
        <v>1659</v>
      </c>
      <c r="W15" t="s">
        <v>1660</v>
      </c>
      <c r="X15" t="s">
        <v>1661</v>
      </c>
      <c r="Y15" t="s">
        <v>1662</v>
      </c>
      <c r="Z15" t="s">
        <v>1663</v>
      </c>
      <c r="AA15" t="s">
        <v>1664</v>
      </c>
    </row>
    <row r="16" spans="1:27" x14ac:dyDescent="0.35">
      <c r="A16" s="1" t="s">
        <v>1665</v>
      </c>
      <c r="B16" t="s">
        <v>174</v>
      </c>
      <c r="C16" t="s">
        <v>665</v>
      </c>
      <c r="D16" t="s">
        <v>1666</v>
      </c>
      <c r="E16" t="s">
        <v>1667</v>
      </c>
      <c r="F16" t="s">
        <v>1668</v>
      </c>
      <c r="G16" t="s">
        <v>1669</v>
      </c>
      <c r="H16" t="s">
        <v>1670</v>
      </c>
      <c r="I16" t="s">
        <v>1671</v>
      </c>
      <c r="J16" t="s">
        <v>1672</v>
      </c>
      <c r="K16" t="s">
        <v>1673</v>
      </c>
      <c r="L16" t="s">
        <v>1674</v>
      </c>
      <c r="M16" t="s">
        <v>1675</v>
      </c>
      <c r="N16" t="s">
        <v>1676</v>
      </c>
      <c r="O16" t="s">
        <v>1677</v>
      </c>
      <c r="P16" t="s">
        <v>1678</v>
      </c>
      <c r="Q16" t="s">
        <v>1679</v>
      </c>
      <c r="R16" t="s">
        <v>1680</v>
      </c>
      <c r="S16" t="s">
        <v>1681</v>
      </c>
      <c r="T16" t="s">
        <v>1682</v>
      </c>
      <c r="U16" t="s">
        <v>1683</v>
      </c>
      <c r="V16" t="s">
        <v>1684</v>
      </c>
      <c r="W16" t="s">
        <v>1685</v>
      </c>
      <c r="X16" t="s">
        <v>886</v>
      </c>
      <c r="Y16" t="s">
        <v>1686</v>
      </c>
      <c r="Z16" t="s">
        <v>1687</v>
      </c>
      <c r="AA16" t="s">
        <v>1688</v>
      </c>
    </row>
    <row r="17" spans="1:27" x14ac:dyDescent="0.35">
      <c r="A17" s="1" t="s">
        <v>1689</v>
      </c>
      <c r="B17" t="s">
        <v>174</v>
      </c>
      <c r="C17" t="s">
        <v>174</v>
      </c>
      <c r="D17" t="s">
        <v>174</v>
      </c>
      <c r="E17" t="s">
        <v>174</v>
      </c>
      <c r="F17" t="s">
        <v>1690</v>
      </c>
      <c r="G17" t="s">
        <v>731</v>
      </c>
      <c r="H17" t="s">
        <v>174</v>
      </c>
      <c r="I17" t="s">
        <v>665</v>
      </c>
      <c r="J17" t="s">
        <v>174</v>
      </c>
      <c r="K17" t="s">
        <v>174</v>
      </c>
      <c r="L17" t="s">
        <v>174</v>
      </c>
      <c r="M17" t="s">
        <v>174</v>
      </c>
      <c r="N17" t="s">
        <v>174</v>
      </c>
      <c r="O17" t="s">
        <v>174</v>
      </c>
      <c r="P17" t="s">
        <v>174</v>
      </c>
      <c r="Q17" t="s">
        <v>174</v>
      </c>
      <c r="R17" t="s">
        <v>174</v>
      </c>
      <c r="S17" t="s">
        <v>174</v>
      </c>
      <c r="T17" t="s">
        <v>174</v>
      </c>
      <c r="U17" t="s">
        <v>174</v>
      </c>
      <c r="V17" t="s">
        <v>174</v>
      </c>
      <c r="W17" t="s">
        <v>1691</v>
      </c>
      <c r="X17" t="s">
        <v>1692</v>
      </c>
      <c r="Y17" t="s">
        <v>1693</v>
      </c>
      <c r="Z17" t="s">
        <v>1694</v>
      </c>
      <c r="AA17" t="s">
        <v>1695</v>
      </c>
    </row>
    <row r="18" spans="1:27" x14ac:dyDescent="0.35">
      <c r="A18" s="1" t="s">
        <v>1696</v>
      </c>
      <c r="B18" t="s">
        <v>1400</v>
      </c>
      <c r="C18" t="s">
        <v>732</v>
      </c>
      <c r="D18" t="s">
        <v>1697</v>
      </c>
      <c r="E18" t="s">
        <v>1698</v>
      </c>
      <c r="F18" t="s">
        <v>1699</v>
      </c>
      <c r="G18" t="s">
        <v>1700</v>
      </c>
      <c r="H18" t="s">
        <v>1701</v>
      </c>
      <c r="I18" t="s">
        <v>1702</v>
      </c>
      <c r="J18" t="s">
        <v>1703</v>
      </c>
      <c r="K18" t="s">
        <v>1704</v>
      </c>
      <c r="L18" t="s">
        <v>1608</v>
      </c>
      <c r="M18" t="s">
        <v>1149</v>
      </c>
      <c r="N18" t="s">
        <v>1705</v>
      </c>
      <c r="O18" t="s">
        <v>1706</v>
      </c>
      <c r="P18" t="s">
        <v>1707</v>
      </c>
      <c r="Q18" t="s">
        <v>1649</v>
      </c>
      <c r="R18" t="s">
        <v>1708</v>
      </c>
      <c r="S18" t="s">
        <v>1709</v>
      </c>
      <c r="T18" t="s">
        <v>1710</v>
      </c>
      <c r="U18" t="s">
        <v>1711</v>
      </c>
      <c r="V18" t="s">
        <v>1712</v>
      </c>
      <c r="W18" t="s">
        <v>1713</v>
      </c>
      <c r="X18" t="s">
        <v>1714</v>
      </c>
      <c r="Y18" t="s">
        <v>1715</v>
      </c>
      <c r="Z18" t="s">
        <v>1716</v>
      </c>
      <c r="AA18" t="s">
        <v>1717</v>
      </c>
    </row>
    <row r="19" spans="1:27" x14ac:dyDescent="0.35">
      <c r="A19" s="1" t="s">
        <v>1718</v>
      </c>
      <c r="B19" t="s">
        <v>174</v>
      </c>
      <c r="C19" t="s">
        <v>174</v>
      </c>
      <c r="D19" t="s">
        <v>174</v>
      </c>
      <c r="E19" t="s">
        <v>174</v>
      </c>
      <c r="F19" t="s">
        <v>174</v>
      </c>
      <c r="G19" t="s">
        <v>174</v>
      </c>
      <c r="H19" t="s">
        <v>174</v>
      </c>
      <c r="I19" t="s">
        <v>174</v>
      </c>
      <c r="J19" t="s">
        <v>174</v>
      </c>
      <c r="K19" t="s">
        <v>174</v>
      </c>
      <c r="L19" t="s">
        <v>1719</v>
      </c>
      <c r="M19" t="s">
        <v>1720</v>
      </c>
      <c r="N19" t="s">
        <v>1721</v>
      </c>
      <c r="O19" t="s">
        <v>1722</v>
      </c>
      <c r="P19" t="s">
        <v>1723</v>
      </c>
      <c r="Q19" t="s">
        <v>1724</v>
      </c>
      <c r="R19" t="s">
        <v>1725</v>
      </c>
      <c r="S19" t="s">
        <v>1726</v>
      </c>
      <c r="T19" t="s">
        <v>1727</v>
      </c>
      <c r="U19" t="s">
        <v>1728</v>
      </c>
      <c r="V19" t="s">
        <v>1729</v>
      </c>
      <c r="W19" t="s">
        <v>1730</v>
      </c>
      <c r="X19" t="s">
        <v>1731</v>
      </c>
      <c r="Y19" t="s">
        <v>1732</v>
      </c>
      <c r="Z19" t="s">
        <v>1733</v>
      </c>
      <c r="AA19" t="s">
        <v>1734</v>
      </c>
    </row>
    <row r="20" spans="1:27" x14ac:dyDescent="0.35">
      <c r="A20" s="1" t="s">
        <v>1735</v>
      </c>
      <c r="B20" t="s">
        <v>1145</v>
      </c>
      <c r="C20" t="s">
        <v>666</v>
      </c>
      <c r="D20" t="s">
        <v>1242</v>
      </c>
      <c r="E20" t="s">
        <v>760</v>
      </c>
      <c r="F20" t="s">
        <v>1736</v>
      </c>
      <c r="G20" t="s">
        <v>1737</v>
      </c>
      <c r="H20" t="s">
        <v>1738</v>
      </c>
      <c r="I20" t="s">
        <v>1739</v>
      </c>
      <c r="J20" t="s">
        <v>1740</v>
      </c>
      <c r="K20" t="s">
        <v>1415</v>
      </c>
      <c r="L20" t="s">
        <v>174</v>
      </c>
      <c r="M20" t="s">
        <v>174</v>
      </c>
      <c r="N20" t="s">
        <v>174</v>
      </c>
      <c r="O20" t="s">
        <v>174</v>
      </c>
      <c r="P20" t="s">
        <v>174</v>
      </c>
      <c r="Q20" t="s">
        <v>174</v>
      </c>
      <c r="R20" t="s">
        <v>174</v>
      </c>
      <c r="S20" t="s">
        <v>174</v>
      </c>
      <c r="T20" t="s">
        <v>174</v>
      </c>
      <c r="U20" t="s">
        <v>174</v>
      </c>
      <c r="V20" t="s">
        <v>174</v>
      </c>
      <c r="W20" t="s">
        <v>174</v>
      </c>
      <c r="X20" t="s">
        <v>174</v>
      </c>
      <c r="Y20" t="s">
        <v>174</v>
      </c>
      <c r="Z20" t="s">
        <v>174</v>
      </c>
      <c r="AA20" t="s">
        <v>174</v>
      </c>
    </row>
    <row r="21" spans="1:27" x14ac:dyDescent="0.35">
      <c r="A21" s="1" t="s">
        <v>1741</v>
      </c>
      <c r="B21" t="s">
        <v>174</v>
      </c>
      <c r="C21" t="s">
        <v>174</v>
      </c>
      <c r="D21" t="s">
        <v>174</v>
      </c>
      <c r="E21" t="s">
        <v>174</v>
      </c>
      <c r="F21" t="s">
        <v>174</v>
      </c>
      <c r="G21" t="s">
        <v>174</v>
      </c>
      <c r="H21" t="s">
        <v>174</v>
      </c>
      <c r="I21" t="s">
        <v>174</v>
      </c>
      <c r="J21" t="s">
        <v>174</v>
      </c>
      <c r="K21" t="s">
        <v>174</v>
      </c>
      <c r="L21" t="s">
        <v>1742</v>
      </c>
      <c r="M21" t="s">
        <v>1743</v>
      </c>
      <c r="N21" t="s">
        <v>1565</v>
      </c>
      <c r="O21" t="s">
        <v>174</v>
      </c>
      <c r="P21" t="s">
        <v>174</v>
      </c>
      <c r="Q21" t="s">
        <v>1744</v>
      </c>
      <c r="R21" t="s">
        <v>1745</v>
      </c>
      <c r="S21" t="s">
        <v>174</v>
      </c>
      <c r="T21" t="s">
        <v>174</v>
      </c>
      <c r="U21" t="s">
        <v>174</v>
      </c>
      <c r="V21" t="s">
        <v>174</v>
      </c>
      <c r="W21" t="s">
        <v>174</v>
      </c>
      <c r="X21" t="s">
        <v>174</v>
      </c>
      <c r="Y21" t="s">
        <v>174</v>
      </c>
      <c r="Z21" t="s">
        <v>174</v>
      </c>
      <c r="AA21" t="s">
        <v>174</v>
      </c>
    </row>
    <row r="22" spans="1:27" x14ac:dyDescent="0.35">
      <c r="A22" s="1" t="s">
        <v>1746</v>
      </c>
      <c r="B22" t="s">
        <v>174</v>
      </c>
      <c r="C22" t="s">
        <v>174</v>
      </c>
      <c r="D22" t="s">
        <v>174</v>
      </c>
      <c r="E22" t="s">
        <v>174</v>
      </c>
      <c r="F22" t="s">
        <v>174</v>
      </c>
      <c r="G22" t="s">
        <v>174</v>
      </c>
      <c r="H22" t="s">
        <v>174</v>
      </c>
      <c r="I22" t="s">
        <v>174</v>
      </c>
      <c r="J22" t="s">
        <v>174</v>
      </c>
      <c r="K22" t="s">
        <v>174</v>
      </c>
      <c r="L22" t="s">
        <v>174</v>
      </c>
      <c r="M22" t="s">
        <v>174</v>
      </c>
      <c r="N22" t="s">
        <v>174</v>
      </c>
      <c r="O22" t="s">
        <v>174</v>
      </c>
      <c r="P22" t="s">
        <v>174</v>
      </c>
      <c r="Q22" t="s">
        <v>174</v>
      </c>
      <c r="R22" t="s">
        <v>174</v>
      </c>
      <c r="S22" t="s">
        <v>174</v>
      </c>
      <c r="T22" t="s">
        <v>174</v>
      </c>
      <c r="U22" t="s">
        <v>174</v>
      </c>
      <c r="V22" t="s">
        <v>174</v>
      </c>
      <c r="W22" t="s">
        <v>174</v>
      </c>
      <c r="X22" t="s">
        <v>174</v>
      </c>
      <c r="Y22" t="s">
        <v>174</v>
      </c>
      <c r="Z22" t="s">
        <v>174</v>
      </c>
      <c r="AA22" t="s">
        <v>174</v>
      </c>
    </row>
    <row r="23" spans="1:27" x14ac:dyDescent="0.35">
      <c r="A23" s="1" t="s">
        <v>1747</v>
      </c>
      <c r="B23" t="s">
        <v>174</v>
      </c>
      <c r="C23" t="s">
        <v>1086</v>
      </c>
      <c r="D23" t="s">
        <v>1748</v>
      </c>
      <c r="E23" t="s">
        <v>1749</v>
      </c>
      <c r="F23" t="s">
        <v>1191</v>
      </c>
      <c r="G23" t="s">
        <v>1750</v>
      </c>
      <c r="H23" t="s">
        <v>1751</v>
      </c>
      <c r="I23" t="s">
        <v>1752</v>
      </c>
      <c r="J23" t="s">
        <v>1753</v>
      </c>
      <c r="K23" t="s">
        <v>1754</v>
      </c>
      <c r="L23" t="s">
        <v>1755</v>
      </c>
      <c r="M23" t="s">
        <v>1756</v>
      </c>
      <c r="N23" t="s">
        <v>1757</v>
      </c>
      <c r="O23" t="s">
        <v>1758</v>
      </c>
      <c r="P23" t="s">
        <v>1536</v>
      </c>
      <c r="Q23" t="s">
        <v>1071</v>
      </c>
      <c r="R23" t="s">
        <v>1759</v>
      </c>
      <c r="S23" t="s">
        <v>1760</v>
      </c>
      <c r="T23" t="s">
        <v>1761</v>
      </c>
      <c r="U23" t="s">
        <v>1760</v>
      </c>
      <c r="V23" t="s">
        <v>359</v>
      </c>
      <c r="W23" t="s">
        <v>1762</v>
      </c>
      <c r="X23" t="s">
        <v>1763</v>
      </c>
      <c r="Y23" t="s">
        <v>1764</v>
      </c>
      <c r="Z23" t="s">
        <v>1765</v>
      </c>
      <c r="AA23" t="s">
        <v>1766</v>
      </c>
    </row>
    <row r="24" spans="1:27" x14ac:dyDescent="0.35">
      <c r="A24" s="1" t="s">
        <v>1767</v>
      </c>
      <c r="B24" t="s">
        <v>1145</v>
      </c>
      <c r="C24" t="s">
        <v>647</v>
      </c>
      <c r="D24" t="s">
        <v>1768</v>
      </c>
      <c r="E24" t="s">
        <v>1769</v>
      </c>
      <c r="F24" t="s">
        <v>1770</v>
      </c>
      <c r="G24" t="s">
        <v>1771</v>
      </c>
      <c r="H24" t="s">
        <v>1771</v>
      </c>
      <c r="I24" t="s">
        <v>1772</v>
      </c>
      <c r="J24" t="s">
        <v>1773</v>
      </c>
      <c r="K24" t="s">
        <v>1774</v>
      </c>
      <c r="L24" t="s">
        <v>1775</v>
      </c>
      <c r="M24" t="s">
        <v>666</v>
      </c>
      <c r="N24" t="s">
        <v>1776</v>
      </c>
      <c r="O24" t="s">
        <v>1777</v>
      </c>
      <c r="P24" t="s">
        <v>669</v>
      </c>
      <c r="Q24" t="s">
        <v>1778</v>
      </c>
      <c r="R24" t="s">
        <v>1779</v>
      </c>
      <c r="S24" t="s">
        <v>1780</v>
      </c>
      <c r="T24" t="s">
        <v>1781</v>
      </c>
      <c r="U24" t="s">
        <v>1782</v>
      </c>
      <c r="V24" t="s">
        <v>1783</v>
      </c>
      <c r="W24" t="s">
        <v>901</v>
      </c>
      <c r="X24" t="s">
        <v>1784</v>
      </c>
      <c r="Y24" t="s">
        <v>1785</v>
      </c>
      <c r="Z24" t="s">
        <v>1786</v>
      </c>
      <c r="AA24" t="s">
        <v>1787</v>
      </c>
    </row>
    <row r="25" spans="1:27" x14ac:dyDescent="0.35">
      <c r="A25" s="1" t="s">
        <v>1788</v>
      </c>
      <c r="B25" t="s">
        <v>174</v>
      </c>
      <c r="C25" t="s">
        <v>174</v>
      </c>
      <c r="D25" t="s">
        <v>1395</v>
      </c>
      <c r="E25" t="s">
        <v>664</v>
      </c>
      <c r="F25" t="s">
        <v>1789</v>
      </c>
      <c r="G25" t="s">
        <v>1790</v>
      </c>
      <c r="H25" t="s">
        <v>1791</v>
      </c>
      <c r="I25" t="s">
        <v>1792</v>
      </c>
      <c r="J25" t="s">
        <v>1793</v>
      </c>
      <c r="K25" t="s">
        <v>1794</v>
      </c>
      <c r="L25" t="s">
        <v>1795</v>
      </c>
      <c r="M25" t="s">
        <v>1796</v>
      </c>
      <c r="N25" t="s">
        <v>1797</v>
      </c>
      <c r="O25" t="s">
        <v>1400</v>
      </c>
      <c r="P25" t="s">
        <v>1243</v>
      </c>
      <c r="Q25" t="s">
        <v>1004</v>
      </c>
      <c r="R25" t="s">
        <v>756</v>
      </c>
      <c r="S25" t="s">
        <v>1798</v>
      </c>
      <c r="T25" t="s">
        <v>1462</v>
      </c>
      <c r="U25" t="s">
        <v>1799</v>
      </c>
      <c r="V25" t="s">
        <v>1800</v>
      </c>
      <c r="W25" t="s">
        <v>1801</v>
      </c>
      <c r="X25" t="s">
        <v>1802</v>
      </c>
      <c r="Y25" t="s">
        <v>1109</v>
      </c>
      <c r="Z25" t="s">
        <v>1221</v>
      </c>
      <c r="AA25" t="s">
        <v>1803</v>
      </c>
    </row>
    <row r="26" spans="1:27" x14ac:dyDescent="0.35">
      <c r="A26" s="1" t="s">
        <v>1804</v>
      </c>
      <c r="B26" t="s">
        <v>1145</v>
      </c>
      <c r="C26" t="s">
        <v>647</v>
      </c>
      <c r="D26" t="s">
        <v>1805</v>
      </c>
      <c r="E26" t="s">
        <v>791</v>
      </c>
      <c r="F26" t="s">
        <v>1806</v>
      </c>
      <c r="G26" t="s">
        <v>1520</v>
      </c>
      <c r="H26" t="s">
        <v>1807</v>
      </c>
      <c r="I26" t="s">
        <v>1808</v>
      </c>
      <c r="J26" t="s">
        <v>1809</v>
      </c>
      <c r="K26" t="s">
        <v>1810</v>
      </c>
      <c r="L26" t="s">
        <v>594</v>
      </c>
      <c r="M26" t="s">
        <v>1811</v>
      </c>
      <c r="N26" t="s">
        <v>1476</v>
      </c>
      <c r="O26" t="s">
        <v>1812</v>
      </c>
      <c r="P26" t="s">
        <v>1813</v>
      </c>
      <c r="Q26" t="s">
        <v>1814</v>
      </c>
      <c r="R26" t="s">
        <v>1815</v>
      </c>
      <c r="S26" t="s">
        <v>1816</v>
      </c>
      <c r="T26" t="s">
        <v>1817</v>
      </c>
      <c r="U26" t="s">
        <v>1818</v>
      </c>
      <c r="V26" t="s">
        <v>923</v>
      </c>
      <c r="W26" t="s">
        <v>1819</v>
      </c>
      <c r="X26" t="s">
        <v>1820</v>
      </c>
      <c r="Y26" t="s">
        <v>1680</v>
      </c>
      <c r="Z26" t="s">
        <v>1821</v>
      </c>
      <c r="AA26" t="s">
        <v>1822</v>
      </c>
    </row>
    <row r="27" spans="1:27" x14ac:dyDescent="0.35">
      <c r="A27" s="1" t="s">
        <v>1823</v>
      </c>
      <c r="B27" t="s">
        <v>174</v>
      </c>
      <c r="C27" t="s">
        <v>174</v>
      </c>
      <c r="D27" t="s">
        <v>913</v>
      </c>
      <c r="E27" t="s">
        <v>914</v>
      </c>
      <c r="F27" t="s">
        <v>915</v>
      </c>
      <c r="G27" t="s">
        <v>623</v>
      </c>
      <c r="H27" t="s">
        <v>916</v>
      </c>
      <c r="I27" t="s">
        <v>917</v>
      </c>
      <c r="J27" t="s">
        <v>918</v>
      </c>
      <c r="K27" t="s">
        <v>919</v>
      </c>
      <c r="L27" t="s">
        <v>920</v>
      </c>
      <c r="M27" t="s">
        <v>921</v>
      </c>
      <c r="N27" t="s">
        <v>922</v>
      </c>
      <c r="O27" t="s">
        <v>923</v>
      </c>
      <c r="P27" t="s">
        <v>924</v>
      </c>
      <c r="Q27" t="s">
        <v>925</v>
      </c>
      <c r="R27" t="s">
        <v>926</v>
      </c>
      <c r="S27" t="s">
        <v>927</v>
      </c>
      <c r="T27" t="s">
        <v>928</v>
      </c>
      <c r="U27" t="s">
        <v>929</v>
      </c>
      <c r="V27" t="s">
        <v>930</v>
      </c>
      <c r="W27" t="s">
        <v>931</v>
      </c>
      <c r="X27" t="s">
        <v>1824</v>
      </c>
      <c r="Y27" t="s">
        <v>1825</v>
      </c>
      <c r="Z27" t="s">
        <v>1826</v>
      </c>
      <c r="AA27" t="s">
        <v>1827</v>
      </c>
    </row>
    <row r="28" spans="1:27" x14ac:dyDescent="0.35">
      <c r="A28" s="1" t="s">
        <v>1828</v>
      </c>
      <c r="B28" t="s">
        <v>1004</v>
      </c>
      <c r="C28" t="s">
        <v>911</v>
      </c>
      <c r="D28" t="s">
        <v>779</v>
      </c>
      <c r="E28" t="s">
        <v>913</v>
      </c>
      <c r="F28" t="s">
        <v>642</v>
      </c>
      <c r="G28" t="s">
        <v>915</v>
      </c>
      <c r="H28" t="s">
        <v>623</v>
      </c>
      <c r="I28" t="s">
        <v>916</v>
      </c>
      <c r="J28" t="s">
        <v>917</v>
      </c>
      <c r="K28" t="s">
        <v>918</v>
      </c>
      <c r="L28" t="s">
        <v>919</v>
      </c>
      <c r="M28" t="s">
        <v>920</v>
      </c>
      <c r="N28" t="s">
        <v>921</v>
      </c>
      <c r="O28" t="s">
        <v>922</v>
      </c>
      <c r="P28" t="s">
        <v>923</v>
      </c>
      <c r="Q28" t="s">
        <v>924</v>
      </c>
      <c r="R28" t="s">
        <v>925</v>
      </c>
      <c r="S28" t="s">
        <v>926</v>
      </c>
      <c r="T28" t="s">
        <v>927</v>
      </c>
      <c r="U28" t="s">
        <v>928</v>
      </c>
      <c r="V28" t="s">
        <v>929</v>
      </c>
      <c r="W28" t="s">
        <v>930</v>
      </c>
      <c r="X28" t="s">
        <v>1829</v>
      </c>
      <c r="Y28" t="s">
        <v>1824</v>
      </c>
      <c r="Z28" t="s">
        <v>1825</v>
      </c>
      <c r="AA28" t="s">
        <v>1826</v>
      </c>
    </row>
    <row r="29" spans="1:27" x14ac:dyDescent="0.35">
      <c r="A29" s="1" t="s">
        <v>1830</v>
      </c>
      <c r="B29" t="s">
        <v>1831</v>
      </c>
      <c r="C29" t="s">
        <v>787</v>
      </c>
      <c r="D29" t="s">
        <v>670</v>
      </c>
      <c r="E29" t="s">
        <v>1832</v>
      </c>
      <c r="F29" t="s">
        <v>1456</v>
      </c>
      <c r="G29" t="s">
        <v>1833</v>
      </c>
      <c r="H29" t="s">
        <v>1834</v>
      </c>
      <c r="I29" t="s">
        <v>1835</v>
      </c>
      <c r="J29" t="s">
        <v>943</v>
      </c>
      <c r="K29" t="s">
        <v>1836</v>
      </c>
      <c r="L29" t="s">
        <v>1837</v>
      </c>
      <c r="M29" t="s">
        <v>1838</v>
      </c>
      <c r="N29" t="s">
        <v>1839</v>
      </c>
      <c r="O29" t="s">
        <v>1840</v>
      </c>
      <c r="P29" t="s">
        <v>1841</v>
      </c>
      <c r="Q29" t="s">
        <v>1842</v>
      </c>
      <c r="R29" t="s">
        <v>1843</v>
      </c>
      <c r="S29" t="s">
        <v>1844</v>
      </c>
      <c r="T29" t="s">
        <v>1386</v>
      </c>
      <c r="U29" t="s">
        <v>1845</v>
      </c>
      <c r="V29" t="s">
        <v>1846</v>
      </c>
      <c r="W29" t="s">
        <v>1847</v>
      </c>
      <c r="X29" t="s">
        <v>1848</v>
      </c>
      <c r="Y29" t="s">
        <v>1849</v>
      </c>
      <c r="Z29" t="s">
        <v>1850</v>
      </c>
      <c r="AA29" t="s">
        <v>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2022-08-17T19:15:34Z</dcterms:created>
  <dcterms:modified xsi:type="dcterms:W3CDTF">2023-09-20T06:00:15Z</dcterms:modified>
</cp:coreProperties>
</file>