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Company Models CloudSave/RDW/"/>
    </mc:Choice>
  </mc:AlternateContent>
  <xr:revisionPtr revIDLastSave="1589" documentId="8_{9D7C6FB3-E889-4C6A-A4F2-1ECF6CB88BB2}" xr6:coauthVersionLast="47" xr6:coauthVersionMax="47" xr10:uidLastSave="{8094587F-0A64-417A-B62D-4E684A755C4D}"/>
  <bookViews>
    <workbookView xWindow="18920" yWindow="5710" windowWidth="19450" windowHeight="13050" activeTab="2" xr2:uid="{C970BFA8-84D0-4F74-AB89-871C65EF2168}"/>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2" i="1" l="1"/>
  <c r="Q122" i="1"/>
  <c r="R122" i="1"/>
  <c r="P122" i="1"/>
  <c r="Q36" i="1"/>
  <c r="I91" i="1"/>
  <c r="J91" i="1"/>
  <c r="K91" i="1"/>
  <c r="L91" i="1"/>
  <c r="M91" i="1"/>
  <c r="N91" i="1"/>
  <c r="O91" i="1"/>
  <c r="P91" i="1"/>
  <c r="Q91" i="1"/>
  <c r="R91" i="1"/>
  <c r="H91" i="1"/>
  <c r="I89" i="1"/>
  <c r="J89" i="1"/>
  <c r="K89" i="1"/>
  <c r="L89" i="1"/>
  <c r="M89" i="1"/>
  <c r="N89" i="1"/>
  <c r="O89" i="1"/>
  <c r="P89" i="1"/>
  <c r="Q89" i="1"/>
  <c r="I90" i="1"/>
  <c r="J90" i="1"/>
  <c r="K90" i="1"/>
  <c r="L90" i="1"/>
  <c r="M90" i="1"/>
  <c r="N90" i="1"/>
  <c r="O90" i="1"/>
  <c r="P90" i="1"/>
  <c r="Q90" i="1"/>
  <c r="H90" i="1"/>
  <c r="H89" i="1"/>
  <c r="R90" i="1"/>
  <c r="R89" i="1"/>
  <c r="B30" i="2"/>
  <c r="C30" i="2"/>
  <c r="N30" i="2"/>
  <c r="O30" i="2"/>
  <c r="N29" i="2"/>
  <c r="O29" i="2"/>
  <c r="C29" i="2"/>
  <c r="B29" i="2"/>
  <c r="D26" i="2"/>
  <c r="E26" i="2" s="1"/>
  <c r="F26" i="2" s="1"/>
  <c r="G26" i="2" s="1"/>
  <c r="H26" i="2" s="1"/>
  <c r="I26" i="2" s="1"/>
  <c r="J26" i="2" s="1"/>
  <c r="K26" i="2" s="1"/>
  <c r="L26" i="2" s="1"/>
  <c r="M26" i="2" s="1"/>
  <c r="N26" i="2" s="1"/>
  <c r="O26" i="2" s="1"/>
  <c r="P26" i="2" s="1"/>
  <c r="Q26" i="2" s="1"/>
  <c r="R26" i="2" s="1"/>
  <c r="S26" i="2" s="1"/>
  <c r="T26" i="2" s="1"/>
  <c r="U26" i="2" s="1"/>
  <c r="V26" i="2" s="1"/>
  <c r="W26" i="2" s="1"/>
  <c r="X26" i="2" s="1"/>
  <c r="Y26" i="2" s="1"/>
  <c r="Z26" i="2" s="1"/>
  <c r="G113" i="1"/>
  <c r="H113" i="1"/>
  <c r="I113" i="1"/>
  <c r="J113" i="1"/>
  <c r="K113" i="1"/>
  <c r="M113" i="1"/>
  <c r="N113" i="1"/>
  <c r="O113" i="1"/>
  <c r="Q113" i="1"/>
  <c r="F113" i="1"/>
  <c r="R113" i="1"/>
  <c r="AC114" i="1"/>
  <c r="AD113" i="1"/>
  <c r="AE113" i="1"/>
  <c r="AF113" i="1"/>
  <c r="AG113" i="1"/>
  <c r="AH113" i="1"/>
  <c r="AC113" i="1"/>
  <c r="AI113" i="1"/>
  <c r="N104" i="1"/>
  <c r="G105" i="1"/>
  <c r="G104" i="1" s="1"/>
  <c r="H105" i="1"/>
  <c r="H104" i="1" s="1"/>
  <c r="I105" i="1"/>
  <c r="I104" i="1" s="1"/>
  <c r="J105" i="1"/>
  <c r="J104" i="1" s="1"/>
  <c r="K105" i="1"/>
  <c r="K104" i="1" s="1"/>
  <c r="L105" i="1"/>
  <c r="L104" i="1" s="1"/>
  <c r="M105" i="1"/>
  <c r="M104" i="1" s="1"/>
  <c r="N105" i="1"/>
  <c r="O105" i="1"/>
  <c r="O104" i="1" s="1"/>
  <c r="P105" i="1"/>
  <c r="P104" i="1" s="1"/>
  <c r="Q105" i="1"/>
  <c r="Q104" i="1" s="1"/>
  <c r="R105" i="1"/>
  <c r="R104" i="1" s="1"/>
  <c r="F105" i="1"/>
  <c r="F104" i="1" s="1"/>
  <c r="AD105" i="1"/>
  <c r="AD104" i="1" s="1"/>
  <c r="AE105" i="1"/>
  <c r="AE104" i="1" s="1"/>
  <c r="AF105" i="1"/>
  <c r="AF104" i="1" s="1"/>
  <c r="AG105" i="1"/>
  <c r="AG104" i="1" s="1"/>
  <c r="AG106" i="1" s="1"/>
  <c r="AH105" i="1"/>
  <c r="AH104" i="1" s="1"/>
  <c r="AH106" i="1" s="1"/>
  <c r="AC105" i="1"/>
  <c r="AC104" i="1" s="1"/>
  <c r="AI105" i="1"/>
  <c r="AI104" i="1" s="1"/>
  <c r="B6" i="3"/>
  <c r="B3" i="3" a="1"/>
  <c r="B3" i="3" s="1"/>
  <c r="B2" i="3" a="1"/>
  <c r="B2" i="3" s="1"/>
  <c r="AI106" i="1" l="1"/>
  <c r="J106" i="1"/>
  <c r="I106" i="1"/>
  <c r="H106" i="1"/>
  <c r="G106" i="1"/>
  <c r="AC107" i="1"/>
  <c r="AC106" i="1"/>
  <c r="AC108" i="1"/>
  <c r="F106" i="1"/>
  <c r="K106" i="1"/>
  <c r="AF106" i="1"/>
  <c r="AE106" i="1"/>
  <c r="AD106" i="1"/>
  <c r="B4" i="3"/>
  <c r="B7" i="3" s="1"/>
  <c r="H41" i="1" l="1"/>
  <c r="H47" i="1" s="1"/>
  <c r="L93" i="1"/>
  <c r="L31" i="1"/>
  <c r="L29" i="1"/>
  <c r="L27" i="1"/>
  <c r="L26" i="1"/>
  <c r="L22" i="1"/>
  <c r="L21" i="1"/>
  <c r="L20" i="1"/>
  <c r="L19" i="1"/>
  <c r="L18" i="1"/>
  <c r="L15" i="1"/>
  <c r="L14" i="1"/>
  <c r="L113" i="1" s="1"/>
  <c r="P31" i="1"/>
  <c r="P29" i="1"/>
  <c r="P27" i="1"/>
  <c r="P26" i="1"/>
  <c r="P22" i="1"/>
  <c r="P21" i="1"/>
  <c r="P20" i="1"/>
  <c r="P19" i="1"/>
  <c r="P18" i="1"/>
  <c r="P15" i="1"/>
  <c r="P14" i="1"/>
  <c r="K94" i="1"/>
  <c r="K95" i="1" s="1"/>
  <c r="P97" i="1"/>
  <c r="N93" i="1"/>
  <c r="O93" i="1" s="1"/>
  <c r="P93" i="1" s="1"/>
  <c r="Q94" i="1"/>
  <c r="R94" i="1"/>
  <c r="M94" i="1"/>
  <c r="M95" i="1" s="1"/>
  <c r="Q95" i="1"/>
  <c r="Q115" i="1" s="1"/>
  <c r="R93" i="1"/>
  <c r="R23" i="1"/>
  <c r="R16" i="1"/>
  <c r="R84" i="1"/>
  <c r="R86" i="1" s="1"/>
  <c r="R74" i="1"/>
  <c r="R66" i="1"/>
  <c r="R55" i="1"/>
  <c r="G16" i="1"/>
  <c r="H16" i="1"/>
  <c r="I16" i="1"/>
  <c r="J16" i="1"/>
  <c r="K16" i="1"/>
  <c r="M16" i="1"/>
  <c r="M24" i="1" s="1"/>
  <c r="M28" i="1" s="1"/>
  <c r="M30" i="1" s="1"/>
  <c r="M32" i="1" s="1"/>
  <c r="N16" i="1"/>
  <c r="O16" i="1"/>
  <c r="Q16" i="1"/>
  <c r="G23" i="1"/>
  <c r="H23" i="1"/>
  <c r="I23" i="1"/>
  <c r="J23" i="1"/>
  <c r="K23" i="1"/>
  <c r="M23" i="1"/>
  <c r="N23" i="1"/>
  <c r="O23" i="1"/>
  <c r="Q23" i="1"/>
  <c r="G47" i="1"/>
  <c r="I47" i="1"/>
  <c r="J47" i="1"/>
  <c r="K47" i="1"/>
  <c r="L47" i="1"/>
  <c r="M47" i="1"/>
  <c r="N47" i="1"/>
  <c r="O47" i="1"/>
  <c r="P47" i="1"/>
  <c r="Q47" i="1"/>
  <c r="G55" i="1"/>
  <c r="H55" i="1"/>
  <c r="I55" i="1"/>
  <c r="J55" i="1"/>
  <c r="K55" i="1"/>
  <c r="L55" i="1"/>
  <c r="M55" i="1"/>
  <c r="N55" i="1"/>
  <c r="O55" i="1"/>
  <c r="P55" i="1"/>
  <c r="Q55" i="1"/>
  <c r="J56" i="1"/>
  <c r="G66" i="1"/>
  <c r="H66" i="1"/>
  <c r="I66" i="1"/>
  <c r="J66" i="1"/>
  <c r="K66" i="1"/>
  <c r="L66" i="1"/>
  <c r="M66" i="1"/>
  <c r="N66" i="1"/>
  <c r="O66" i="1"/>
  <c r="P66" i="1"/>
  <c r="Q66" i="1"/>
  <c r="G74" i="1"/>
  <c r="H74" i="1"/>
  <c r="I74" i="1"/>
  <c r="J74" i="1"/>
  <c r="K74" i="1"/>
  <c r="L74" i="1"/>
  <c r="M74" i="1"/>
  <c r="N74" i="1"/>
  <c r="O74" i="1"/>
  <c r="P74" i="1"/>
  <c r="Q74" i="1"/>
  <c r="G84" i="1"/>
  <c r="G86" i="1" s="1"/>
  <c r="H84" i="1"/>
  <c r="H86" i="1" s="1"/>
  <c r="H108" i="1" s="1"/>
  <c r="I84" i="1"/>
  <c r="I86" i="1" s="1"/>
  <c r="J84" i="1"/>
  <c r="J86" i="1" s="1"/>
  <c r="K84" i="1"/>
  <c r="K86" i="1" s="1"/>
  <c r="K108" i="1" s="1"/>
  <c r="L84" i="1"/>
  <c r="L86" i="1" s="1"/>
  <c r="L108" i="1" s="1"/>
  <c r="M84" i="1"/>
  <c r="M86" i="1" s="1"/>
  <c r="M108" i="1" s="1"/>
  <c r="N84" i="1"/>
  <c r="N86" i="1" s="1"/>
  <c r="N108" i="1" s="1"/>
  <c r="O84" i="1"/>
  <c r="O86" i="1" s="1"/>
  <c r="O108" i="1" s="1"/>
  <c r="P84" i="1"/>
  <c r="P86" i="1" s="1"/>
  <c r="P108" i="1" s="1"/>
  <c r="Q84" i="1"/>
  <c r="Q86" i="1" s="1"/>
  <c r="Q108" i="1" s="1"/>
  <c r="G95" i="1"/>
  <c r="G115" i="1" s="1"/>
  <c r="H95" i="1"/>
  <c r="H115" i="1" s="1"/>
  <c r="I95" i="1"/>
  <c r="I115" i="1" s="1"/>
  <c r="J95" i="1"/>
  <c r="F95" i="1"/>
  <c r="F115" i="1" s="1"/>
  <c r="F84" i="1"/>
  <c r="F86" i="1" s="1"/>
  <c r="F108" i="1" s="1"/>
  <c r="F74" i="1"/>
  <c r="F66" i="1"/>
  <c r="F55" i="1"/>
  <c r="F47" i="1"/>
  <c r="F23" i="1"/>
  <c r="F16" i="1"/>
  <c r="F24" i="1" s="1"/>
  <c r="F28" i="1" s="1"/>
  <c r="F30" i="1" s="1"/>
  <c r="F32" i="1" s="1"/>
  <c r="R47" i="1"/>
  <c r="AG41" i="1"/>
  <c r="AG47" i="1" s="1"/>
  <c r="AG16" i="1"/>
  <c r="AG23" i="1"/>
  <c r="AG55" i="1"/>
  <c r="AG66" i="1"/>
  <c r="AG74" i="1"/>
  <c r="AG84" i="1"/>
  <c r="AG86" i="1" s="1"/>
  <c r="AG108" i="1" s="1"/>
  <c r="AH16" i="1"/>
  <c r="AH24" i="1" s="1"/>
  <c r="AH28" i="1" s="1"/>
  <c r="AH30" i="1" s="1"/>
  <c r="AH32" i="1" s="1"/>
  <c r="AI16" i="1"/>
  <c r="AH23" i="1"/>
  <c r="AI23" i="1"/>
  <c r="AI24" i="1"/>
  <c r="AI28" i="1"/>
  <c r="AI30" i="1"/>
  <c r="AI32" i="1" s="1"/>
  <c r="AH47" i="1"/>
  <c r="AI47" i="1"/>
  <c r="AH55" i="1"/>
  <c r="AH56" i="1" s="1"/>
  <c r="AI55" i="1"/>
  <c r="AI56" i="1" s="1"/>
  <c r="AH66" i="1"/>
  <c r="AI66" i="1"/>
  <c r="AH74" i="1"/>
  <c r="AI74" i="1"/>
  <c r="AI75" i="1" s="1"/>
  <c r="AH75" i="1"/>
  <c r="AH84" i="1"/>
  <c r="AH86" i="1" s="1"/>
  <c r="AH108" i="1" s="1"/>
  <c r="AI84" i="1"/>
  <c r="AI86" i="1"/>
  <c r="AI108" i="1" s="1"/>
  <c r="AE84" i="1"/>
  <c r="AE86" i="1" s="1"/>
  <c r="AF84" i="1"/>
  <c r="AF86" i="1" s="1"/>
  <c r="AD84" i="1"/>
  <c r="AD86" i="1" s="1"/>
  <c r="AE74" i="1"/>
  <c r="AF74" i="1"/>
  <c r="AD74" i="1"/>
  <c r="AE66" i="1"/>
  <c r="AE75" i="1" s="1"/>
  <c r="AF66" i="1"/>
  <c r="AF75" i="1" s="1"/>
  <c r="AD66" i="1"/>
  <c r="AE55" i="1"/>
  <c r="AF55" i="1"/>
  <c r="AD55" i="1"/>
  <c r="AE47" i="1"/>
  <c r="AE56" i="1" s="1"/>
  <c r="AF47" i="1"/>
  <c r="AD47" i="1"/>
  <c r="AE23" i="1"/>
  <c r="AF23" i="1"/>
  <c r="AD23" i="1"/>
  <c r="AE16" i="1"/>
  <c r="AE24" i="1" s="1"/>
  <c r="AE28" i="1" s="1"/>
  <c r="AE30" i="1" s="1"/>
  <c r="AE32" i="1" s="1"/>
  <c r="AF16" i="1"/>
  <c r="AF24" i="1" s="1"/>
  <c r="AF28" i="1" s="1"/>
  <c r="AF30" i="1" s="1"/>
  <c r="AF32" i="1" s="1"/>
  <c r="AF114" i="1" s="1"/>
  <c r="AD16" i="1"/>
  <c r="AD24" i="1" s="1"/>
  <c r="AD28" i="1" s="1"/>
  <c r="AD30" i="1" s="1"/>
  <c r="AD32" i="1" s="1"/>
  <c r="AD114" i="1" s="1"/>
  <c r="AA95" i="1"/>
  <c r="AB95" i="1"/>
  <c r="AC95" i="1"/>
  <c r="AD95" i="1"/>
  <c r="AE95" i="1"/>
  <c r="AF95" i="1"/>
  <c r="AG95" i="1"/>
  <c r="AH95" i="1"/>
  <c r="Z95" i="1"/>
  <c r="AI95" i="1"/>
  <c r="AH87" i="1" l="1"/>
  <c r="AF56" i="1"/>
  <c r="AH107" i="1"/>
  <c r="J115" i="1"/>
  <c r="AE114" i="1"/>
  <c r="I75" i="1"/>
  <c r="AD75" i="1"/>
  <c r="AD87" i="1" s="1"/>
  <c r="K115" i="1"/>
  <c r="AD109" i="1"/>
  <c r="AD115" i="1"/>
  <c r="M115" i="1"/>
  <c r="M34" i="1"/>
  <c r="M110" i="1"/>
  <c r="P113" i="1"/>
  <c r="AC109" i="1"/>
  <c r="AC115" i="1"/>
  <c r="J75" i="1"/>
  <c r="AI114" i="1"/>
  <c r="F56" i="1"/>
  <c r="AG109" i="1"/>
  <c r="AG115" i="1"/>
  <c r="P56" i="1"/>
  <c r="AI109" i="1"/>
  <c r="AI115" i="1"/>
  <c r="AH109" i="1"/>
  <c r="AH115" i="1"/>
  <c r="AF109" i="1"/>
  <c r="AF115" i="1"/>
  <c r="R56" i="1"/>
  <c r="F110" i="1"/>
  <c r="F114" i="1"/>
  <c r="AE109" i="1"/>
  <c r="AE115" i="1"/>
  <c r="AD108" i="1"/>
  <c r="AE107" i="1"/>
  <c r="AE34" i="1"/>
  <c r="AF107" i="1"/>
  <c r="AF34" i="1"/>
  <c r="AF108" i="1"/>
  <c r="AF87" i="1"/>
  <c r="AI107" i="1"/>
  <c r="AI34" i="1"/>
  <c r="AD107" i="1"/>
  <c r="AD34" i="1"/>
  <c r="AE108" i="1"/>
  <c r="AE87" i="1"/>
  <c r="G87" i="1"/>
  <c r="G108" i="1"/>
  <c r="J87" i="1"/>
  <c r="J108" i="1"/>
  <c r="G75" i="1"/>
  <c r="N94" i="1"/>
  <c r="F107" i="1"/>
  <c r="P106" i="1"/>
  <c r="Q106" i="1"/>
  <c r="R106" i="1"/>
  <c r="I87" i="1"/>
  <c r="I108" i="1"/>
  <c r="I56" i="1"/>
  <c r="F34" i="1"/>
  <c r="K109" i="1"/>
  <c r="L75" i="1"/>
  <c r="L87" i="1" s="1"/>
  <c r="L94" i="1"/>
  <c r="L95" i="1" s="1"/>
  <c r="L115" i="1" s="1"/>
  <c r="P75" i="1"/>
  <c r="P87" i="1" s="1"/>
  <c r="G56" i="1"/>
  <c r="F109" i="1"/>
  <c r="G109" i="1"/>
  <c r="H109" i="1"/>
  <c r="I109" i="1"/>
  <c r="J109" i="1"/>
  <c r="J24" i="1"/>
  <c r="J28" i="1" s="1"/>
  <c r="J30" i="1" s="1"/>
  <c r="J32" i="1" s="1"/>
  <c r="R75" i="1"/>
  <c r="R87" i="1"/>
  <c r="R108" i="1"/>
  <c r="AH34" i="1"/>
  <c r="F75" i="1"/>
  <c r="F87" i="1" s="1"/>
  <c r="AD56" i="1"/>
  <c r="AI87" i="1"/>
  <c r="H24" i="1"/>
  <c r="H28" i="1" s="1"/>
  <c r="H30" i="1" s="1"/>
  <c r="H32" i="1" s="1"/>
  <c r="N106" i="1"/>
  <c r="L106" i="1"/>
  <c r="O106" i="1"/>
  <c r="M106" i="1"/>
  <c r="G24" i="1"/>
  <c r="G28" i="1" s="1"/>
  <c r="G30" i="1" s="1"/>
  <c r="G32" i="1" s="1"/>
  <c r="K75" i="1"/>
  <c r="K87" i="1" s="1"/>
  <c r="K56" i="1"/>
  <c r="H75" i="1"/>
  <c r="H87" i="1" s="1"/>
  <c r="H56" i="1"/>
  <c r="AG24" i="1"/>
  <c r="AG28" i="1" s="1"/>
  <c r="L23" i="1"/>
  <c r="L16" i="1"/>
  <c r="P23" i="1"/>
  <c r="P16" i="1"/>
  <c r="I24" i="1"/>
  <c r="I28" i="1" s="1"/>
  <c r="I30" i="1" s="1"/>
  <c r="I32" i="1" s="1"/>
  <c r="M114" i="1" s="1"/>
  <c r="M75" i="1"/>
  <c r="M87" i="1" s="1"/>
  <c r="L56" i="1"/>
  <c r="M56" i="1"/>
  <c r="N75" i="1"/>
  <c r="N87" i="1" s="1"/>
  <c r="N56" i="1"/>
  <c r="O75" i="1"/>
  <c r="O87" i="1" s="1"/>
  <c r="O56" i="1"/>
  <c r="K24" i="1"/>
  <c r="K28" i="1" s="1"/>
  <c r="K30" i="1" s="1"/>
  <c r="K32" i="1" s="1"/>
  <c r="O24" i="1"/>
  <c r="O28" i="1" s="1"/>
  <c r="O30" i="1" s="1"/>
  <c r="O32" i="1" s="1"/>
  <c r="R95" i="1"/>
  <c r="Q24" i="1"/>
  <c r="Q28" i="1" s="1"/>
  <c r="Q30" i="1" s="1"/>
  <c r="Q32" i="1" s="1"/>
  <c r="Q75" i="1"/>
  <c r="Q87" i="1" s="1"/>
  <c r="Q56" i="1"/>
  <c r="N24" i="1"/>
  <c r="N28" i="1" s="1"/>
  <c r="N30" i="1" s="1"/>
  <c r="N32" i="1" s="1"/>
  <c r="R24" i="1"/>
  <c r="R28" i="1" s="1"/>
  <c r="R30" i="1" s="1"/>
  <c r="R32" i="1" s="1"/>
  <c r="AG75" i="1"/>
  <c r="AG87" i="1" s="1"/>
  <c r="AG56" i="1"/>
  <c r="M109" i="1" l="1"/>
  <c r="N110" i="1"/>
  <c r="N114" i="1"/>
  <c r="O110" i="1"/>
  <c r="O114" i="1"/>
  <c r="J114" i="1"/>
  <c r="J110" i="1"/>
  <c r="I114" i="1"/>
  <c r="I110" i="1"/>
  <c r="Q110" i="1"/>
  <c r="Q114" i="1"/>
  <c r="H107" i="1"/>
  <c r="G114" i="1"/>
  <c r="G110" i="1"/>
  <c r="R110" i="1"/>
  <c r="R114" i="1"/>
  <c r="K114" i="1"/>
  <c r="K110" i="1"/>
  <c r="H114" i="1"/>
  <c r="H110" i="1"/>
  <c r="I107" i="1"/>
  <c r="N34" i="1"/>
  <c r="I34" i="1"/>
  <c r="G107" i="1"/>
  <c r="J34" i="1"/>
  <c r="G34" i="1"/>
  <c r="J107" i="1"/>
  <c r="K107" i="1"/>
  <c r="H34" i="1"/>
  <c r="N95" i="1"/>
  <c r="N115" i="1" s="1"/>
  <c r="O94" i="1"/>
  <c r="R107" i="1"/>
  <c r="O34" i="1"/>
  <c r="K34" i="1"/>
  <c r="AG30" i="1"/>
  <c r="AG32" i="1" s="1"/>
  <c r="L109" i="1"/>
  <c r="L24" i="1"/>
  <c r="L28" i="1" s="1"/>
  <c r="L30" i="1" s="1"/>
  <c r="L32" i="1" s="1"/>
  <c r="P24" i="1"/>
  <c r="P28" i="1" s="1"/>
  <c r="P30" i="1" s="1"/>
  <c r="P32" i="1" s="1"/>
  <c r="R115" i="1" l="1"/>
  <c r="P110" i="1"/>
  <c r="P114" i="1"/>
  <c r="N107" i="1"/>
  <c r="L114" i="1"/>
  <c r="L110" i="1"/>
  <c r="AG114" i="1"/>
  <c r="AH114" i="1"/>
  <c r="AG34" i="1"/>
  <c r="AG107" i="1"/>
  <c r="N109" i="1"/>
  <c r="M107" i="1"/>
  <c r="P94" i="1"/>
  <c r="P95" i="1" s="1"/>
  <c r="P115" i="1" s="1"/>
  <c r="O95" i="1"/>
  <c r="P34" i="1"/>
  <c r="P107" i="1"/>
  <c r="L34" i="1"/>
  <c r="O107" i="1"/>
  <c r="L107" i="1"/>
  <c r="Q107" i="1"/>
  <c r="O115" i="1" l="1"/>
  <c r="R109" i="1"/>
  <c r="P109" i="1"/>
  <c r="O109" i="1"/>
  <c r="Q1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 authorId="0" shapeId="0" xr:uid="{8A037AE9-E2FE-4D9E-B7D8-6CA1D62AF130}">
      <text>
        <r>
          <rPr>
            <b/>
            <sz val="9"/>
            <color indexed="81"/>
            <rFont val="Tahoma"/>
            <family val="2"/>
          </rPr>
          <t>William:</t>
        </r>
        <r>
          <rPr>
            <sz val="9"/>
            <color indexed="81"/>
            <rFont val="Tahoma"/>
            <family val="2"/>
          </rPr>
          <t xml:space="preserve">
Includes: 
- short-term debt
- short-term operating lease liabilities
-long-term debt
- long-term operating lease liabilities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R32" authorId="0" shapeId="0" xr:uid="{B37BDC9E-2373-400E-9FE8-CF958749802D}">
      <text>
        <r>
          <rPr>
            <b/>
            <sz val="9"/>
            <color indexed="81"/>
            <rFont val="Tahoma"/>
            <family val="2"/>
          </rPr>
          <t>William:</t>
        </r>
        <r>
          <rPr>
            <sz val="9"/>
            <color indexed="81"/>
            <rFont val="Tahoma"/>
            <family val="2"/>
          </rPr>
          <t xml:space="preserve">
Includes "dividends on Convertible Preferred Stock"</t>
        </r>
      </text>
    </comment>
    <comment ref="H41" authorId="0" shapeId="0" xr:uid="{337E12CB-572A-4628-B675-143D5244E369}">
      <text>
        <r>
          <rPr>
            <b/>
            <sz val="9"/>
            <color indexed="81"/>
            <rFont val="Tahoma"/>
            <family val="2"/>
          </rPr>
          <t>William:</t>
        </r>
        <r>
          <rPr>
            <sz val="9"/>
            <color indexed="81"/>
            <rFont val="Tahoma"/>
            <family val="2"/>
          </rPr>
          <t xml:space="preserve">
Includes "Related party recievable"</t>
        </r>
      </text>
    </comment>
    <comment ref="AG41" authorId="0" shapeId="0" xr:uid="{62E24F91-3BF0-4850-B48F-8F9F5CD85DDD}">
      <text>
        <r>
          <rPr>
            <b/>
            <sz val="9"/>
            <color indexed="81"/>
            <rFont val="Tahoma"/>
            <family val="2"/>
          </rPr>
          <t>William:</t>
        </r>
        <r>
          <rPr>
            <sz val="9"/>
            <color indexed="81"/>
            <rFont val="Tahoma"/>
            <family val="2"/>
          </rPr>
          <t xml:space="preserve">
Includes "Related party recievable"</t>
        </r>
      </text>
    </comment>
    <comment ref="P99" authorId="0" shapeId="0" xr:uid="{13737764-E9A8-48E2-838F-F7998194BDBE}">
      <text>
        <r>
          <rPr>
            <b/>
            <sz val="9"/>
            <color indexed="81"/>
            <rFont val="Tahoma"/>
            <family val="2"/>
          </rPr>
          <t>William:
- "Shares repurchased for setllement of employee tax witholdings on share-based awards."</t>
        </r>
      </text>
    </comment>
    <comment ref="AI99" authorId="0" shapeId="0" xr:uid="{B7CD0959-F111-4047-8F12-1F33BF675B36}">
      <text>
        <r>
          <rPr>
            <b/>
            <sz val="9"/>
            <color indexed="81"/>
            <rFont val="Tahoma"/>
            <family val="2"/>
          </rPr>
          <t>William:
- "Shares repurchased for setllement of employee tax witholdings on share-based awards."</t>
        </r>
      </text>
    </comment>
    <comment ref="R100" authorId="0" shapeId="0" xr:uid="{1A3996DE-62BA-43A6-B770-E00E7EAD569A}">
      <text>
        <r>
          <rPr>
            <b/>
            <sz val="9"/>
            <color indexed="81"/>
            <rFont val="Tahoma"/>
            <family val="2"/>
          </rPr>
          <t>William:</t>
        </r>
        <r>
          <rPr>
            <sz val="9"/>
            <color indexed="81"/>
            <rFont val="Tahoma"/>
            <family val="2"/>
          </rPr>
          <t xml:space="preserve">
Dividends for only "Preferred Convertible" stock. Can be found at the bottom of the income statement.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<sst xmlns="http://schemas.openxmlformats.org/spreadsheetml/2006/main" count="217" uniqueCount="201">
  <si>
    <t>Quarter</t>
  </si>
  <si>
    <t>Filing Date</t>
  </si>
  <si>
    <t>Period of Report</t>
  </si>
  <si>
    <t>Stock Prices</t>
  </si>
  <si>
    <t>Income Statement</t>
  </si>
  <si>
    <t>Balance Sheet *in thousands, USD</t>
  </si>
  <si>
    <t>Current Assets</t>
  </si>
  <si>
    <t>Cash &amp; cash equivalents</t>
  </si>
  <si>
    <t>AR</t>
  </si>
  <si>
    <t>Contract assets</t>
  </si>
  <si>
    <t>Inventory</t>
  </si>
  <si>
    <t>Income taxes receivable</t>
  </si>
  <si>
    <t>Prepaid insurance</t>
  </si>
  <si>
    <t>Prepaid expenses, and other current assets</t>
  </si>
  <si>
    <t>Total Current Assets</t>
  </si>
  <si>
    <t>Non-current Assets</t>
  </si>
  <si>
    <t>Right-of-use assets</t>
  </si>
  <si>
    <t>Intangible assets, net</t>
  </si>
  <si>
    <t>Goodwill</t>
  </si>
  <si>
    <t>Equity method investments</t>
  </si>
  <si>
    <t>Other non-current assets</t>
  </si>
  <si>
    <t>Total Non-current Assets</t>
  </si>
  <si>
    <t>Total Assets</t>
  </si>
  <si>
    <t>Current Liabilities</t>
  </si>
  <si>
    <t>AP</t>
  </si>
  <si>
    <t>Notes payable to sellers</t>
  </si>
  <si>
    <t>Short-term debt. Including current portion of long-term debt</t>
  </si>
  <si>
    <t>Short-term operating lease liabilities</t>
  </si>
  <si>
    <t>Short-term finance lease liabilities</t>
  </si>
  <si>
    <t>Accrued expenses</t>
  </si>
  <si>
    <t>Deferred revenue</t>
  </si>
  <si>
    <t>Other current liabilities</t>
  </si>
  <si>
    <t>Total Current Liabilities</t>
  </si>
  <si>
    <t>Non-current Liabilities</t>
  </si>
  <si>
    <t>Long-term debt</t>
  </si>
  <si>
    <t>Long-term operating leases liabilities</t>
  </si>
  <si>
    <t>Warrant liabilities</t>
  </si>
  <si>
    <t>Deferred tax liabilities</t>
  </si>
  <si>
    <t>Other non-current liabilities</t>
  </si>
  <si>
    <t>Total Non-current Liabilities</t>
  </si>
  <si>
    <t>Total Liabilities</t>
  </si>
  <si>
    <t xml:space="preserve">Equity   </t>
  </si>
  <si>
    <t>Convertible preferred stock</t>
  </si>
  <si>
    <t>Preferred stock</t>
  </si>
  <si>
    <t>Common stock</t>
  </si>
  <si>
    <t>Treasury stock</t>
  </si>
  <si>
    <t>Additional paid-in capital</t>
  </si>
  <si>
    <t>Accumulated deficit</t>
  </si>
  <si>
    <t>Accumulated other comprehensive income (loss)</t>
  </si>
  <si>
    <t>Total Shareholder's equity</t>
  </si>
  <si>
    <t>Noncontrolling interests</t>
  </si>
  <si>
    <t>Total Equity</t>
  </si>
  <si>
    <t>Total Equity &amp; Liabilities</t>
  </si>
  <si>
    <t>Revenues</t>
  </si>
  <si>
    <t>COGs</t>
  </si>
  <si>
    <t>Gross Profit</t>
  </si>
  <si>
    <t>Operating Expenses</t>
  </si>
  <si>
    <t>SG&amp;A</t>
  </si>
  <si>
    <t>Contingent earnout expense</t>
  </si>
  <si>
    <t>Transaction expenses</t>
  </si>
  <si>
    <t>Impairment expense</t>
  </si>
  <si>
    <t>R&amp;D</t>
  </si>
  <si>
    <t>Total Operating Expenses</t>
  </si>
  <si>
    <t>Operating Income</t>
  </si>
  <si>
    <t>Other (income)/expense</t>
  </si>
  <si>
    <t>Interest expense</t>
  </si>
  <si>
    <t>Other (income) expense</t>
  </si>
  <si>
    <t>Income before Taxes</t>
  </si>
  <si>
    <t>Taxes (benefit)</t>
  </si>
  <si>
    <t>Net Income, Including Noncontrolling interests</t>
  </si>
  <si>
    <t>Net income attributable to Noncontrolling interests</t>
  </si>
  <si>
    <t>Net Income Attributable to Redwire Corporation</t>
  </si>
  <si>
    <t>EPS</t>
  </si>
  <si>
    <t>EPS - Basic &amp; Diluted</t>
  </si>
  <si>
    <t>Cash Flow *thousands</t>
  </si>
  <si>
    <t>CFFO</t>
  </si>
  <si>
    <t>CapEx</t>
  </si>
  <si>
    <t>FCF</t>
  </si>
  <si>
    <t>SBI</t>
  </si>
  <si>
    <t>SBC</t>
  </si>
  <si>
    <t>SBB</t>
  </si>
  <si>
    <t>Dividends</t>
  </si>
  <si>
    <t>PP&amp;E</t>
  </si>
  <si>
    <t>Shares</t>
  </si>
  <si>
    <t>Long-term finance lease liabilities</t>
  </si>
  <si>
    <t>RDW</t>
  </si>
  <si>
    <t>Price</t>
  </si>
  <si>
    <t>MC</t>
  </si>
  <si>
    <t>Cash</t>
  </si>
  <si>
    <t>Debt</t>
  </si>
  <si>
    <t>EV</t>
  </si>
  <si>
    <t>Company Name</t>
  </si>
  <si>
    <t>Ticker</t>
  </si>
  <si>
    <t>Country</t>
  </si>
  <si>
    <t>Sector</t>
  </si>
  <si>
    <t>Industry</t>
  </si>
  <si>
    <t xml:space="preserve">Redwire Corporation </t>
  </si>
  <si>
    <t>USA</t>
  </si>
  <si>
    <t>Industrials</t>
  </si>
  <si>
    <t>Aerospace &amp; Defense</t>
  </si>
  <si>
    <t>Stock Statistics</t>
  </si>
  <si>
    <t>High</t>
  </si>
  <si>
    <t xml:space="preserve">Low </t>
  </si>
  <si>
    <t>Average</t>
  </si>
  <si>
    <t>Marketcap</t>
  </si>
  <si>
    <t>P/S</t>
  </si>
  <si>
    <t>P/E</t>
  </si>
  <si>
    <t>P/B</t>
  </si>
  <si>
    <t>P/FCF</t>
  </si>
  <si>
    <t>Q422</t>
  </si>
  <si>
    <t>Q322</t>
  </si>
  <si>
    <t>Q122</t>
  </si>
  <si>
    <t>Q222</t>
  </si>
  <si>
    <t>Q421</t>
  </si>
  <si>
    <t>Q321</t>
  </si>
  <si>
    <t>Q221</t>
  </si>
  <si>
    <t>Q121</t>
  </si>
  <si>
    <t>Q420</t>
  </si>
  <si>
    <t>Q320</t>
  </si>
  <si>
    <t>Q123</t>
  </si>
  <si>
    <t>Q223</t>
  </si>
  <si>
    <t>Growth</t>
  </si>
  <si>
    <t>Revenue</t>
  </si>
  <si>
    <t>Earnings</t>
  </si>
  <si>
    <t>Info</t>
  </si>
  <si>
    <t>- It provides critical space solutions and reliability components for solar power generation, in-space 3D printing and manufacturing, avionics, critical components, sensors, digital engineering, and space-based biotechnology.</t>
  </si>
  <si>
    <t>- Redwire Corporation operates as a space infrastructure company in the United States, Netherlands, Luxemburg, the United Kingdom, Italy, Germany, Spain, South Korea, Poland, and internationally.</t>
  </si>
  <si>
    <t>- The company's product portfolio includes antennas, boom deployers, data modules, deorbit devices, deployable radiator, engineering services and solutions, heat pipes, in-space manufacturing, power solutions, robotics software, solar arrays, space cameras, space-based research, star tracker, sensors and shades, and thermal energy storage. In addition, it offers space domain awareness and resiliency including sensor systems for on-orbit monitoring, advanced modeling &amp; simulation, cyber resiliency, asset hardening, robotics, and full satellite solutions; and digitally engaged spacecraft technology includes software and hardware-in-the-loop configurations, to enable next generation space architectures and solutions, such as advanced artificial intelligence, machine learning, and cyber technologies. </t>
  </si>
  <si>
    <t>- It also provides low-earth orbit commercialization, which includes in-space additive manufacturing, space-based biotechnology applications, space plant and animal science, in-space advanced material manufacturing and support of human exploration, habitation, and commercial activities in space. Redwire Corporation is headquartered in Jacksonville, Florida.</t>
  </si>
  <si>
    <t>HQ</t>
  </si>
  <si>
    <t>Jacksonville Florida</t>
  </si>
  <si>
    <t>Redwire Navigation</t>
  </si>
  <si>
    <t>Redwire Camera System</t>
  </si>
  <si>
    <t>NOTES: Redwire’s high performance space camera systems for human and robotic spacecraft can support multiple commercial, civil space and defense mission applications including machine vision, optical navigation, science, remote sensing, photogrammetry, inspection, video monitoring and mission documentation. Redwire cameras are also being utilized for a NASA Commercial Lunar Payload Services mission.</t>
  </si>
  <si>
    <t>- NASA's Double Asteroid Redirection Test (DART)</t>
  </si>
  <si>
    <t>- IRIS</t>
  </si>
  <si>
    <t>- Parker Solar Probe</t>
  </si>
  <si>
    <t>- MESSENGER to Mercury</t>
  </si>
  <si>
    <t>- Magellan to Venus</t>
  </si>
  <si>
    <t>- STEREO</t>
  </si>
  <si>
    <t>- Cassini-Huygens mission to Saturn</t>
  </si>
  <si>
    <t>- Mars Pathfinder</t>
  </si>
  <si>
    <t>- NASA's Artemis 1 Mission</t>
  </si>
  <si>
    <t>Redwire Digital Sun Sensor</t>
  </si>
  <si>
    <t>- Mars Exploration Rovers A &amp; B</t>
  </si>
  <si>
    <t>- Mars 2020 Perserverance</t>
  </si>
  <si>
    <t>- Cassini-Huygens</t>
  </si>
  <si>
    <t>Operating Profit</t>
  </si>
  <si>
    <t>Operating Margin</t>
  </si>
  <si>
    <t>AeroSpace Industry Sales *in billions, USD</t>
  </si>
  <si>
    <t>FORECAST</t>
  </si>
  <si>
    <t>Total Cash</t>
  </si>
  <si>
    <t>Total Debt</t>
  </si>
  <si>
    <t>Net Cash</t>
  </si>
  <si>
    <t>- Mars Science Lander Curiosity</t>
  </si>
  <si>
    <t xml:space="preserve">- International Space Station </t>
  </si>
  <si>
    <t xml:space="preserve">Missions by Body </t>
  </si>
  <si>
    <t>Sun</t>
  </si>
  <si>
    <t>Equipment</t>
  </si>
  <si>
    <t>Subsidiaries</t>
  </si>
  <si>
    <t>Adcole Space</t>
  </si>
  <si>
    <t>specializes in the design, manufacturing, integration and testing of spacecraft components for application in the commercial, research and military sectors.</t>
  </si>
  <si>
    <t>Deep Space Systems</t>
  </si>
  <si>
    <r>
      <t>is focused on </t>
    </r>
    <r>
      <rPr>
        <sz val="11"/>
        <color rgb="FF3366CC"/>
        <rFont val="Arial"/>
        <family val="2"/>
      </rPr>
      <t>systems engineering</t>
    </r>
    <r>
      <rPr>
        <sz val="11"/>
        <color rgb="FF202122"/>
        <rFont val="Arial"/>
        <family val="2"/>
      </rPr>
      <t>, </t>
    </r>
    <r>
      <rPr>
        <sz val="11"/>
        <color rgb="FF3366CC"/>
        <rFont val="Arial"/>
        <family val="2"/>
      </rPr>
      <t>spacecraft design</t>
    </r>
    <r>
      <rPr>
        <sz val="11"/>
        <color rgb="FF202122"/>
        <rFont val="Arial"/>
        <family val="2"/>
      </rPr>
      <t>, development, integration and testing, deep space mission operations, and high-definition space-qualified cameras. DSS was incorporated in 2001, and was a founding component of Redwire, after its merger on June 1, 2020 with Adcole Space.</t>
    </r>
    <r>
      <rPr>
        <vertAlign val="superscript"/>
        <sz val="11"/>
        <color rgb="FF3366CC"/>
        <rFont val="Arial"/>
        <family val="2"/>
      </rPr>
      <t>[13]</t>
    </r>
  </si>
  <si>
    <t>Deployable Space Systems</t>
  </si>
  <si>
    <t>specializes in the development of deployable technologies for space applications.</t>
  </si>
  <si>
    <t>LoadPath</t>
  </si>
  <si>
    <t>Made In Space, Inc.</t>
  </si>
  <si>
    <t>specializes in mechanical, structural, and thermal technologies for satellite and space launch applications. </t>
  </si>
  <si>
    <r>
      <t>specializes in the development and manufacturing of </t>
    </r>
    <r>
      <rPr>
        <sz val="11"/>
        <color rgb="FF3366CC"/>
        <rFont val="Arial"/>
        <family val="2"/>
      </rPr>
      <t>three-dimensional printers</t>
    </r>
    <r>
      <rPr>
        <sz val="11"/>
        <color rgb="FF202122"/>
        <rFont val="Arial"/>
        <family val="2"/>
      </rPr>
      <t> for use in </t>
    </r>
    <r>
      <rPr>
        <sz val="11"/>
        <color rgb="FF3366CC"/>
        <rFont val="Arial"/>
        <family val="2"/>
      </rPr>
      <t>microgravity</t>
    </r>
    <r>
      <rPr>
        <sz val="11"/>
        <color rgb="FF202122"/>
        <rFont val="Arial"/>
        <family val="2"/>
      </rPr>
      <t>. </t>
    </r>
  </si>
  <si>
    <t>Oakman Aerospace</t>
  </si>
  <si>
    <r>
      <t>OAI has the capability and capacity to simultaneously design, assemble, integrate, and test programs or perform multiple technology test and evaluation efforts. The assembly and test laboratories are equipped with regularly calibrated measuring and test equipment. The laboratories have six independent workstations equipped with modern assembly equipment and tools. The facility is in full compliance with all OSHA and State safety requirements. OAI laboratory space has the ability to host flight components using clean room level laminar flow benches with individual temperature and humidity controls. Oakman is building a satellite ground station with 5.5 m dish at </t>
    </r>
    <r>
      <rPr>
        <sz val="11"/>
        <color rgb="FF3366CC"/>
        <rFont val="Arial"/>
        <family val="2"/>
      </rPr>
      <t>Chippewa County International Airport</t>
    </r>
    <r>
      <rPr>
        <sz val="11"/>
        <color rgb="FF202122"/>
        <rFont val="Arial"/>
        <family val="2"/>
      </rPr>
      <t>.</t>
    </r>
    <r>
      <rPr>
        <vertAlign val="superscript"/>
        <sz val="11"/>
        <color rgb="FF3366CC"/>
        <rFont val="Arial"/>
        <family val="2"/>
      </rPr>
      <t>[20]</t>
    </r>
  </si>
  <si>
    <t>Roccor</t>
  </si>
  <si>
    <t>Space NV</t>
  </si>
  <si>
    <t>Roccor is a manufacturer of solar panels, antennas, and deployable booms.</t>
  </si>
  <si>
    <t>Redwire acquired Belgium-based satellite design and development company Space NV for £28m. Prior to the acquisition, Space NV had worked with civil and commercial space agency's such as the European Space Agency and the Belgian Science Policy Office</t>
  </si>
  <si>
    <t>Mercury</t>
  </si>
  <si>
    <t>Venus</t>
  </si>
  <si>
    <t>Earth - LEO</t>
  </si>
  <si>
    <t>Earth - GEO</t>
  </si>
  <si>
    <t>Earth - Beyond GEO</t>
  </si>
  <si>
    <t>Earth - MEO</t>
  </si>
  <si>
    <t>ISS</t>
  </si>
  <si>
    <t>Moon</t>
  </si>
  <si>
    <t>Mars</t>
  </si>
  <si>
    <t>Asteroids</t>
  </si>
  <si>
    <t>Jupiter</t>
  </si>
  <si>
    <t>Saturn</t>
  </si>
  <si>
    <t>Pluto</t>
  </si>
  <si>
    <t>New Horizons</t>
  </si>
  <si>
    <t>Parket Solar Probe</t>
  </si>
  <si>
    <t>Cassini-Huygens</t>
  </si>
  <si>
    <t xml:space="preserve">Galileo </t>
  </si>
  <si>
    <t>Juno</t>
  </si>
  <si>
    <t>Redwire Rollout Solar Array (ROSA)</t>
  </si>
  <si>
    <t>Analyst Estimates</t>
  </si>
  <si>
    <t>EPS - Actual</t>
  </si>
  <si>
    <t>EPS - Forecast</t>
  </si>
  <si>
    <t>Surprise %</t>
  </si>
  <si>
    <t>Notes</t>
  </si>
  <si>
    <t>- First FCF positive quarter Q223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</si>
</sst>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quot;$&quot;#,##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sz val="11"/>
      <color rgb="FF232A31"/>
      <name val="Arial"/>
      <family val="2"/>
    </font>
    <font>
      <sz val="11"/>
      <color rgb="FF202122"/>
      <name val="Arial"/>
      <family val="2"/>
    </font>
    <font>
      <sz val="11"/>
      <color rgb="FF3366CC"/>
      <name val="Arial"/>
      <family val="2"/>
    </font>
    <font>
      <vertAlign val="superscript"/>
      <sz val="11"/>
      <color rgb="FF3366CC"/>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3" fillId="2" borderId="0" xfId="0" applyFont="1" applyFill="1"/>
    <xf numFmtId="0" fontId="1" fillId="2" borderId="0" xfId="0" applyFont="1" applyFill="1"/>
    <xf numFmtId="14" fontId="0" fillId="0" borderId="0" xfId="0" applyNumberFormat="1"/>
    <xf numFmtId="0" fontId="4" fillId="3" borderId="0" xfId="0" applyFont="1" applyFill="1"/>
    <xf numFmtId="0" fontId="2" fillId="0" borderId="0" xfId="0" applyFont="1"/>
    <xf numFmtId="0" fontId="0" fillId="0" borderId="0" xfId="0" quotePrefix="1"/>
    <xf numFmtId="3" fontId="0" fillId="0" borderId="0" xfId="0" applyNumberFormat="1"/>
    <xf numFmtId="3" fontId="0" fillId="0" borderId="1" xfId="0" applyNumberFormat="1" applyBorder="1"/>
    <xf numFmtId="3" fontId="2" fillId="0" borderId="0" xfId="0" applyNumberFormat="1" applyFont="1"/>
    <xf numFmtId="3" fontId="4" fillId="3" borderId="0" xfId="0" applyNumberFormat="1" applyFont="1" applyFill="1"/>
    <xf numFmtId="3" fontId="0" fillId="0" borderId="2" xfId="0" applyNumberFormat="1" applyBorder="1"/>
    <xf numFmtId="3" fontId="0" fillId="3" borderId="0" xfId="0" applyNumberFormat="1" applyFill="1"/>
    <xf numFmtId="3" fontId="1" fillId="2" borderId="0" xfId="0" applyNumberFormat="1" applyFont="1" applyFill="1"/>
    <xf numFmtId="3" fontId="0" fillId="0" borderId="0" xfId="0" quotePrefix="1" applyNumberFormat="1"/>
    <xf numFmtId="3" fontId="2" fillId="0" borderId="2" xfId="0" applyNumberFormat="1" applyFont="1" applyBorder="1"/>
    <xf numFmtId="4" fontId="0" fillId="0" borderId="0" xfId="0" applyNumberFormat="1"/>
    <xf numFmtId="0" fontId="0" fillId="0" borderId="3" xfId="0" applyBorder="1"/>
    <xf numFmtId="14" fontId="0" fillId="0" borderId="3" xfId="0" applyNumberFormat="1" applyBorder="1"/>
    <xf numFmtId="0" fontId="1" fillId="2" borderId="3" xfId="0" applyFont="1" applyFill="1" applyBorder="1"/>
    <xf numFmtId="0" fontId="4" fillId="3" borderId="3" xfId="0" applyFont="1" applyFill="1" applyBorder="1"/>
    <xf numFmtId="3" fontId="0" fillId="0" borderId="3" xfId="0" applyNumberFormat="1" applyBorder="1"/>
    <xf numFmtId="3" fontId="0" fillId="0" borderId="4" xfId="0" applyNumberFormat="1" applyBorder="1"/>
    <xf numFmtId="3" fontId="2" fillId="0" borderId="3" xfId="0" applyNumberFormat="1" applyFont="1" applyBorder="1"/>
    <xf numFmtId="3" fontId="4" fillId="3" borderId="3" xfId="0" applyNumberFormat="1" applyFont="1" applyFill="1" applyBorder="1"/>
    <xf numFmtId="3" fontId="0" fillId="0" borderId="5" xfId="0" applyNumberFormat="1" applyBorder="1"/>
    <xf numFmtId="3" fontId="0" fillId="3" borderId="3" xfId="0" applyNumberFormat="1" applyFill="1" applyBorder="1"/>
    <xf numFmtId="4" fontId="0" fillId="0" borderId="3" xfId="0" applyNumberFormat="1" applyBorder="1"/>
    <xf numFmtId="3" fontId="1" fillId="2" borderId="3" xfId="0" applyNumberFormat="1" applyFont="1" applyFill="1" applyBorder="1"/>
    <xf numFmtId="3" fontId="2" fillId="0" borderId="5" xfId="0" applyNumberFormat="1" applyFont="1" applyBorder="1"/>
    <xf numFmtId="0" fontId="2" fillId="0" borderId="6" xfId="0" applyFont="1" applyBorder="1" applyAlignment="1">
      <alignment horizontal="center" vertical="top"/>
    </xf>
    <xf numFmtId="164" fontId="0" fillId="0" borderId="0" xfId="0" applyNumberFormat="1"/>
    <xf numFmtId="37" fontId="0" fillId="0" borderId="0" xfId="0" applyNumberFormat="1"/>
    <xf numFmtId="0" fontId="2" fillId="0" borderId="3" xfId="0" applyFont="1" applyBorder="1"/>
    <xf numFmtId="2" fontId="0" fillId="0" borderId="0" xfId="0" applyNumberFormat="1"/>
    <xf numFmtId="2" fontId="0" fillId="0" borderId="3" xfId="0" applyNumberFormat="1" applyBorder="1"/>
    <xf numFmtId="165" fontId="0" fillId="0" borderId="0" xfId="0" applyNumberFormat="1"/>
    <xf numFmtId="165" fontId="0" fillId="0" borderId="3" xfId="0" applyNumberFormat="1" applyBorder="1"/>
    <xf numFmtId="165" fontId="2" fillId="0" borderId="0" xfId="0" applyNumberFormat="1" applyFont="1"/>
    <xf numFmtId="165" fontId="2" fillId="0" borderId="3" xfId="0" applyNumberFormat="1" applyFont="1" applyBorder="1"/>
    <xf numFmtId="2" fontId="4" fillId="3" borderId="0" xfId="0" applyNumberFormat="1" applyFont="1" applyFill="1"/>
    <xf numFmtId="2" fontId="4" fillId="3" borderId="3" xfId="0" applyNumberFormat="1" applyFont="1" applyFill="1" applyBorder="1"/>
    <xf numFmtId="10" fontId="0" fillId="0" borderId="0" xfId="0" applyNumberFormat="1"/>
    <xf numFmtId="10" fontId="0" fillId="0" borderId="3" xfId="0" applyNumberFormat="1" applyBorder="1"/>
    <xf numFmtId="166" fontId="2" fillId="0" borderId="0" xfId="0" applyNumberFormat="1" applyFont="1"/>
    <xf numFmtId="166" fontId="2" fillId="0" borderId="3" xfId="0" applyNumberFormat="1" applyFont="1" applyBorder="1"/>
    <xf numFmtId="0" fontId="7" fillId="0" borderId="0" xfId="0" applyFont="1"/>
    <xf numFmtId="0" fontId="7" fillId="0" borderId="0" xfId="0" quotePrefix="1" applyFont="1"/>
    <xf numFmtId="0" fontId="8" fillId="0" borderId="0" xfId="0" applyFont="1"/>
    <xf numFmtId="10" fontId="4" fillId="3" borderId="0" xfId="0" applyNumberFormat="1" applyFont="1" applyFill="1"/>
    <xf numFmtId="10" fontId="4" fillId="3" borderId="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https://www.bing.com/financeapi/forcetrigger?t=bxe2w7&amp;q=XNYS%3aRDW&amp;form=skydnc</v>
    <v>Learn more on Bing</v>
  </rv>
  <rv s="1">
    <v>en-US</v>
    <v>bxe2w7</v>
    <v>268435456</v>
    <v>1</v>
    <v>Powered by Refinitiv</v>
    <v>0</v>
    <v>REDWIRE CORPORATION (XNYS:RDW)</v>
    <v>2</v>
    <v>3</v>
    <v>Finance</v>
    <v>4</v>
    <v>4.58</v>
    <v>1.67</v>
    <v>1.522</v>
    <v>0.06</v>
    <v>2.3820999999999998E-2</v>
    <v>1.8182E-2</v>
    <v>7.9799999999999996E-2</v>
    <v>USD</v>
    <v>Redwire Corporation develops and manufactures mission-critical space solutions and high-reliability components for the space economy, with intellectual property for solar power generation, in-space 3D printing and manufacturing, avionics, critical components, sensors, digital engineering and space-based biotechnology.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software-as-a-service (SaaS) business model. Its technologies include roll out solar array (ROSA) systems; human-rated camera systems; in-space servicing, assembly and manufacturing (ISAM) products, and advanced payload adapters.</v>
    <v>700</v>
    <v>New York Stock Exchange</v>
    <v>XNYS</v>
    <v>XNYS</v>
    <v>8226 Philips Highway, Suite 101, Suite 101, JACKSONVILLE, FL, 32256 US</v>
    <v>3.7</v>
    <v>Aerospace &amp; Defense</v>
    <v>Stock</v>
    <v>45187.996062279686</v>
    <v>0</v>
    <v>3.32</v>
    <v>217612180</v>
    <v>REDWIRE CORPORATION</v>
    <v>REDWIRE CORPORATION</v>
    <v>3.4</v>
    <v>3.3</v>
    <v>3.36</v>
    <v>3.4298000000000002</v>
    <v>64765530</v>
    <v>RDW</v>
    <v>REDWIRE CORPORATION (XNYS:RDW)</v>
    <v>702896</v>
    <v>218141</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_([$$-en-US]* #,##0.00_);_([$$-en-US]* (#,##0.00);_([$$-en-US]* "-"??_);_(@_)</rpv>
    </rSty>
    <rSty dxfid="5">
      <rpv i="0">#,##0.00</rpv>
    </rSty>
    <rSty>
      <rpv i="1">1</rpv>
    </rSty>
    <rSty dxfid="3">
      <rpv i="0">#,##0</rpv>
    </rSty>
    <rSty dxfid="2"/>
    <rSty dxfid="4">
      <rpv i="0">_([$$-en-US]* #,##0_);_([$$-en-US]* (#,##0);_([$$-en-US]*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0BA7-A564-46F1-9574-0FAA5750F1B7}">
  <dimension ref="A1:B13"/>
  <sheetViews>
    <sheetView topLeftCell="A10" workbookViewId="0">
      <selection activeCell="G15" sqref="G15"/>
    </sheetView>
  </sheetViews>
  <sheetFormatPr defaultRowHeight="14.5" x14ac:dyDescent="0.35"/>
  <cols>
    <col min="1" max="1" width="9.453125" bestFit="1" customWidth="1"/>
  </cols>
  <sheetData>
    <row r="1" spans="1:2" x14ac:dyDescent="0.35">
      <c r="A1" t="e" vm="1">
        <v>#VALUE!</v>
      </c>
    </row>
    <row r="2" spans="1:2" x14ac:dyDescent="0.35">
      <c r="A2" s="30" t="s">
        <v>86</v>
      </c>
      <c r="B2" s="31">
        <f t="array" ref="B2">_FV(A1,"Price")</f>
        <v>3.36</v>
      </c>
    </row>
    <row r="3" spans="1:2" x14ac:dyDescent="0.35">
      <c r="A3" s="30" t="s">
        <v>83</v>
      </c>
      <c r="B3" s="7" cm="1">
        <f t="array" ref="B3">_FV(A1,"Shares outstanding",TRUE)/1000</f>
        <v>64765.53</v>
      </c>
    </row>
    <row r="4" spans="1:2" x14ac:dyDescent="0.35">
      <c r="A4" s="30" t="s">
        <v>87</v>
      </c>
      <c r="B4" s="32">
        <f>B2*B3</f>
        <v>217612.1808</v>
      </c>
    </row>
    <row r="5" spans="1:2" x14ac:dyDescent="0.35">
      <c r="A5" s="30" t="s">
        <v>88</v>
      </c>
      <c r="B5" s="7">
        <v>11231</v>
      </c>
    </row>
    <row r="6" spans="1:2" x14ac:dyDescent="0.35">
      <c r="A6" s="30" t="s">
        <v>89</v>
      </c>
      <c r="B6" s="7">
        <f>780+75046+14069+3614</f>
        <v>93509</v>
      </c>
    </row>
    <row r="7" spans="1:2" x14ac:dyDescent="0.35">
      <c r="A7" s="30" t="s">
        <v>90</v>
      </c>
      <c r="B7" s="32">
        <f>B4-B5+B6</f>
        <v>299890.18079999997</v>
      </c>
    </row>
    <row r="12" spans="1:2" s="2" customFormat="1" x14ac:dyDescent="0.35">
      <c r="A12" s="2" t="s">
        <v>199</v>
      </c>
    </row>
    <row r="13" spans="1:2" x14ac:dyDescent="0.35">
      <c r="A13" s="3">
        <v>45187</v>
      </c>
      <c r="B13" s="6" t="s">
        <v>200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A6D6-505A-4492-A841-10B7B7365E80}">
  <dimension ref="A1:Z111"/>
  <sheetViews>
    <sheetView workbookViewId="0">
      <selection sqref="A1:A6"/>
    </sheetView>
  </sheetViews>
  <sheetFormatPr defaultRowHeight="14.5" x14ac:dyDescent="0.35"/>
  <cols>
    <col min="1" max="1" width="22" customWidth="1"/>
    <col min="21" max="21" width="9.7265625" bestFit="1" customWidth="1"/>
  </cols>
  <sheetData>
    <row r="1" spans="1:2" x14ac:dyDescent="0.35">
      <c r="A1" t="s">
        <v>91</v>
      </c>
      <c r="B1" t="s">
        <v>96</v>
      </c>
    </row>
    <row r="2" spans="1:2" x14ac:dyDescent="0.35">
      <c r="A2" t="s">
        <v>92</v>
      </c>
      <c r="B2" t="s">
        <v>85</v>
      </c>
    </row>
    <row r="3" spans="1:2" x14ac:dyDescent="0.35">
      <c r="A3" t="s">
        <v>93</v>
      </c>
      <c r="B3" t="s">
        <v>97</v>
      </c>
    </row>
    <row r="4" spans="1:2" x14ac:dyDescent="0.35">
      <c r="A4" t="s">
        <v>94</v>
      </c>
      <c r="B4" t="s">
        <v>98</v>
      </c>
    </row>
    <row r="5" spans="1:2" x14ac:dyDescent="0.35">
      <c r="A5" t="s">
        <v>95</v>
      </c>
      <c r="B5" t="s">
        <v>99</v>
      </c>
    </row>
    <row r="6" spans="1:2" x14ac:dyDescent="0.35">
      <c r="A6" t="s">
        <v>129</v>
      </c>
      <c r="B6" t="s">
        <v>130</v>
      </c>
    </row>
    <row r="10" spans="1:2" s="2" customFormat="1" x14ac:dyDescent="0.35">
      <c r="A10" s="2" t="s">
        <v>124</v>
      </c>
    </row>
    <row r="11" spans="1:2" x14ac:dyDescent="0.35">
      <c r="A11" s="47" t="s">
        <v>126</v>
      </c>
    </row>
    <row r="12" spans="1:2" x14ac:dyDescent="0.35">
      <c r="A12" s="47" t="s">
        <v>125</v>
      </c>
    </row>
    <row r="13" spans="1:2" x14ac:dyDescent="0.35">
      <c r="A13" s="47" t="s">
        <v>127</v>
      </c>
    </row>
    <row r="14" spans="1:2" x14ac:dyDescent="0.35">
      <c r="A14" s="47" t="s">
        <v>128</v>
      </c>
    </row>
    <row r="16" spans="1:2" s="2" customFormat="1" x14ac:dyDescent="0.35">
      <c r="A16" s="2" t="s">
        <v>159</v>
      </c>
    </row>
    <row r="17" spans="1:26" x14ac:dyDescent="0.35">
      <c r="A17" s="46" t="s">
        <v>160</v>
      </c>
      <c r="B17" s="48" t="s">
        <v>161</v>
      </c>
    </row>
    <row r="18" spans="1:26" ht="17" x14ac:dyDescent="0.35">
      <c r="A18" t="s">
        <v>162</v>
      </c>
      <c r="B18" s="48" t="s">
        <v>163</v>
      </c>
    </row>
    <row r="19" spans="1:26" x14ac:dyDescent="0.35">
      <c r="A19" t="s">
        <v>164</v>
      </c>
      <c r="B19" s="48" t="s">
        <v>165</v>
      </c>
    </row>
    <row r="20" spans="1:26" x14ac:dyDescent="0.35">
      <c r="A20" t="s">
        <v>166</v>
      </c>
      <c r="B20" s="48" t="s">
        <v>168</v>
      </c>
      <c r="P20" t="s">
        <v>150</v>
      </c>
      <c r="Q20" t="s">
        <v>150</v>
      </c>
      <c r="R20" t="s">
        <v>150</v>
      </c>
      <c r="S20" t="s">
        <v>150</v>
      </c>
      <c r="T20" t="s">
        <v>150</v>
      </c>
      <c r="U20" t="s">
        <v>150</v>
      </c>
      <c r="V20" t="s">
        <v>150</v>
      </c>
      <c r="W20" t="s">
        <v>150</v>
      </c>
      <c r="X20" t="s">
        <v>150</v>
      </c>
    </row>
    <row r="21" spans="1:26" x14ac:dyDescent="0.35">
      <c r="A21" t="s">
        <v>167</v>
      </c>
      <c r="B21" s="48" t="s">
        <v>169</v>
      </c>
    </row>
    <row r="22" spans="1:26" ht="17" x14ac:dyDescent="0.35">
      <c r="A22" t="s">
        <v>170</v>
      </c>
      <c r="B22" s="48" t="s">
        <v>171</v>
      </c>
    </row>
    <row r="23" spans="1:26" x14ac:dyDescent="0.35">
      <c r="A23" t="s">
        <v>172</v>
      </c>
      <c r="B23" t="s">
        <v>174</v>
      </c>
    </row>
    <row r="24" spans="1:26" x14ac:dyDescent="0.35">
      <c r="A24" t="s">
        <v>173</v>
      </c>
      <c r="B24" s="48" t="s">
        <v>175</v>
      </c>
    </row>
    <row r="26" spans="1:26" s="2" customFormat="1" x14ac:dyDescent="0.35">
      <c r="A26" s="2" t="s">
        <v>149</v>
      </c>
      <c r="B26" s="2">
        <v>2009</v>
      </c>
      <c r="C26" s="2">
        <v>2010</v>
      </c>
      <c r="D26" s="2">
        <f>C26+1</f>
        <v>2011</v>
      </c>
      <c r="E26" s="2">
        <f t="shared" ref="E26:Z26" si="0">D26+1</f>
        <v>2012</v>
      </c>
      <c r="F26" s="2">
        <f t="shared" si="0"/>
        <v>2013</v>
      </c>
      <c r="G26" s="2">
        <f t="shared" si="0"/>
        <v>2014</v>
      </c>
      <c r="H26" s="2">
        <f t="shared" si="0"/>
        <v>2015</v>
      </c>
      <c r="I26" s="2">
        <f t="shared" si="0"/>
        <v>2016</v>
      </c>
      <c r="J26" s="2">
        <f t="shared" si="0"/>
        <v>2017</v>
      </c>
      <c r="K26" s="2">
        <f t="shared" si="0"/>
        <v>2018</v>
      </c>
      <c r="L26" s="2">
        <f t="shared" si="0"/>
        <v>2019</v>
      </c>
      <c r="M26" s="2">
        <f t="shared" si="0"/>
        <v>2020</v>
      </c>
      <c r="N26" s="2">
        <f t="shared" si="0"/>
        <v>2021</v>
      </c>
      <c r="O26" s="2">
        <f t="shared" si="0"/>
        <v>2022</v>
      </c>
      <c r="P26" s="2">
        <f t="shared" si="0"/>
        <v>2023</v>
      </c>
      <c r="Q26" s="2">
        <f t="shared" si="0"/>
        <v>2024</v>
      </c>
      <c r="R26" s="2">
        <f t="shared" si="0"/>
        <v>2025</v>
      </c>
      <c r="S26" s="2">
        <f t="shared" si="0"/>
        <v>2026</v>
      </c>
      <c r="T26" s="2">
        <f t="shared" si="0"/>
        <v>2027</v>
      </c>
      <c r="U26" s="2">
        <f t="shared" si="0"/>
        <v>2028</v>
      </c>
      <c r="V26" s="2">
        <f t="shared" si="0"/>
        <v>2029</v>
      </c>
      <c r="W26" s="2">
        <f t="shared" si="0"/>
        <v>2030</v>
      </c>
      <c r="X26" s="2">
        <f t="shared" si="0"/>
        <v>2031</v>
      </c>
      <c r="Y26" s="2">
        <f t="shared" si="0"/>
        <v>2032</v>
      </c>
      <c r="Z26" s="2">
        <f t="shared" si="0"/>
        <v>2033</v>
      </c>
    </row>
    <row r="27" spans="1:26" s="7" customFormat="1" x14ac:dyDescent="0.35">
      <c r="A27" s="7" t="s">
        <v>122</v>
      </c>
      <c r="B27" s="7">
        <v>635017</v>
      </c>
      <c r="C27" s="7">
        <v>645805</v>
      </c>
      <c r="N27" s="7">
        <v>714000</v>
      </c>
      <c r="O27" s="7">
        <v>741000</v>
      </c>
      <c r="U27" s="7">
        <v>1055200</v>
      </c>
      <c r="W27" s="7">
        <v>1233240</v>
      </c>
    </row>
    <row r="28" spans="1:26" s="7" customFormat="1" x14ac:dyDescent="0.35">
      <c r="A28" s="7" t="s">
        <v>147</v>
      </c>
      <c r="B28" s="7">
        <v>49299</v>
      </c>
      <c r="C28" s="7">
        <v>58422</v>
      </c>
      <c r="N28" s="7">
        <v>62000</v>
      </c>
      <c r="O28" s="7">
        <v>67000</v>
      </c>
    </row>
    <row r="29" spans="1:26" s="42" customFormat="1" x14ac:dyDescent="0.35">
      <c r="A29" s="42" t="s">
        <v>148</v>
      </c>
      <c r="B29" s="42">
        <f>B28/B27</f>
        <v>7.7634142078086096E-2</v>
      </c>
      <c r="C29" s="42">
        <f>C28/C27</f>
        <v>9.04638397039354E-2</v>
      </c>
      <c r="N29" s="42">
        <f>N28/N27</f>
        <v>8.683473389355742E-2</v>
      </c>
      <c r="O29" s="42">
        <f>O28/O27</f>
        <v>9.041835357624832E-2</v>
      </c>
    </row>
    <row r="30" spans="1:26" s="42" customFormat="1" x14ac:dyDescent="0.35">
      <c r="A30" s="42" t="s">
        <v>121</v>
      </c>
      <c r="B30" s="42" t="e">
        <f>B27/A27-1</f>
        <v>#VALUE!</v>
      </c>
      <c r="C30" s="42">
        <f>C27/B27-1</f>
        <v>1.6988521567139037E-2</v>
      </c>
      <c r="N30" s="42" t="e">
        <f>N27/M27-1</f>
        <v>#DIV/0!</v>
      </c>
      <c r="O30" s="42">
        <f>O27/N27-1</f>
        <v>3.7815126050420256E-2</v>
      </c>
    </row>
    <row r="32" spans="1:26" s="1" customFormat="1" x14ac:dyDescent="0.35">
      <c r="A32" s="2" t="s">
        <v>132</v>
      </c>
    </row>
    <row r="33" spans="1:1" x14ac:dyDescent="0.35">
      <c r="A33" t="s">
        <v>133</v>
      </c>
    </row>
    <row r="37" spans="1:1" s="2" customFormat="1" x14ac:dyDescent="0.35">
      <c r="A37" s="2" t="s">
        <v>131</v>
      </c>
    </row>
    <row r="38" spans="1:1" x14ac:dyDescent="0.35">
      <c r="A38" s="6" t="s">
        <v>134</v>
      </c>
    </row>
    <row r="39" spans="1:1" x14ac:dyDescent="0.35">
      <c r="A39" s="6" t="s">
        <v>135</v>
      </c>
    </row>
    <row r="40" spans="1:1" x14ac:dyDescent="0.35">
      <c r="A40" s="6" t="s">
        <v>136</v>
      </c>
    </row>
    <row r="41" spans="1:1" x14ac:dyDescent="0.35">
      <c r="A41" s="6" t="s">
        <v>137</v>
      </c>
    </row>
    <row r="42" spans="1:1" x14ac:dyDescent="0.35">
      <c r="A42" s="6" t="s">
        <v>138</v>
      </c>
    </row>
    <row r="43" spans="1:1" x14ac:dyDescent="0.35">
      <c r="A43" s="6" t="s">
        <v>139</v>
      </c>
    </row>
    <row r="44" spans="1:1" x14ac:dyDescent="0.35">
      <c r="A44" s="6" t="s">
        <v>140</v>
      </c>
    </row>
    <row r="45" spans="1:1" x14ac:dyDescent="0.35">
      <c r="A45" s="6" t="s">
        <v>141</v>
      </c>
    </row>
    <row r="46" spans="1:1" x14ac:dyDescent="0.35">
      <c r="A46" s="6" t="s">
        <v>142</v>
      </c>
    </row>
    <row r="48" spans="1:1" s="2" customFormat="1" x14ac:dyDescent="0.35">
      <c r="A48" s="2" t="s">
        <v>143</v>
      </c>
    </row>
    <row r="49" spans="1:2" x14ac:dyDescent="0.35">
      <c r="A49" s="6" t="s">
        <v>144</v>
      </c>
    </row>
    <row r="50" spans="1:2" x14ac:dyDescent="0.35">
      <c r="A50" s="6" t="s">
        <v>154</v>
      </c>
    </row>
    <row r="51" spans="1:2" x14ac:dyDescent="0.35">
      <c r="A51" s="6" t="s">
        <v>145</v>
      </c>
    </row>
    <row r="52" spans="1:2" x14ac:dyDescent="0.35">
      <c r="A52" s="6" t="s">
        <v>135</v>
      </c>
    </row>
    <row r="53" spans="1:2" x14ac:dyDescent="0.35">
      <c r="A53" s="6" t="s">
        <v>146</v>
      </c>
    </row>
    <row r="55" spans="1:2" s="2" customFormat="1" x14ac:dyDescent="0.35">
      <c r="A55" s="2" t="s">
        <v>194</v>
      </c>
    </row>
    <row r="56" spans="1:2" x14ac:dyDescent="0.35">
      <c r="A56" s="6" t="s">
        <v>134</v>
      </c>
    </row>
    <row r="57" spans="1:2" x14ac:dyDescent="0.35">
      <c r="A57" s="6" t="s">
        <v>155</v>
      </c>
    </row>
    <row r="60" spans="1:2" s="2" customFormat="1" x14ac:dyDescent="0.35">
      <c r="A60" s="2" t="s">
        <v>156</v>
      </c>
      <c r="B60" s="2" t="s">
        <v>158</v>
      </c>
    </row>
    <row r="61" spans="1:2" s="4" customFormat="1" x14ac:dyDescent="0.35">
      <c r="A61" s="4" t="s">
        <v>157</v>
      </c>
    </row>
    <row r="62" spans="1:2" x14ac:dyDescent="0.35">
      <c r="A62" t="s">
        <v>190</v>
      </c>
    </row>
    <row r="64" spans="1:2" s="4" customFormat="1" x14ac:dyDescent="0.35">
      <c r="A64" s="4" t="s">
        <v>176</v>
      </c>
    </row>
    <row r="68" spans="1:1" s="4" customFormat="1" x14ac:dyDescent="0.35">
      <c r="A68" s="4" t="s">
        <v>177</v>
      </c>
    </row>
    <row r="72" spans="1:1" s="4" customFormat="1" x14ac:dyDescent="0.35">
      <c r="A72" s="4" t="s">
        <v>178</v>
      </c>
    </row>
    <row r="76" spans="1:1" s="4" customFormat="1" x14ac:dyDescent="0.35">
      <c r="A76" s="4" t="s">
        <v>179</v>
      </c>
    </row>
    <row r="79" spans="1:1" s="4" customFormat="1" x14ac:dyDescent="0.35">
      <c r="A79" s="4" t="s">
        <v>181</v>
      </c>
    </row>
    <row r="83" spans="1:1" s="4" customFormat="1" x14ac:dyDescent="0.35">
      <c r="A83" s="4" t="s">
        <v>180</v>
      </c>
    </row>
    <row r="86" spans="1:1" s="4" customFormat="1" x14ac:dyDescent="0.35">
      <c r="A86" s="4" t="s">
        <v>182</v>
      </c>
    </row>
    <row r="89" spans="1:1" s="4" customFormat="1" x14ac:dyDescent="0.35">
      <c r="A89" s="4" t="s">
        <v>183</v>
      </c>
    </row>
    <row r="95" spans="1:1" s="4" customFormat="1" x14ac:dyDescent="0.35">
      <c r="A95" s="4" t="s">
        <v>184</v>
      </c>
    </row>
    <row r="100" spans="1:1" s="4" customFormat="1" x14ac:dyDescent="0.35">
      <c r="A100" s="4" t="s">
        <v>185</v>
      </c>
    </row>
    <row r="105" spans="1:1" s="4" customFormat="1" x14ac:dyDescent="0.35">
      <c r="A105" s="4" t="s">
        <v>186</v>
      </c>
    </row>
    <row r="106" spans="1:1" x14ac:dyDescent="0.35">
      <c r="A106" t="s">
        <v>192</v>
      </c>
    </row>
    <row r="107" spans="1:1" x14ac:dyDescent="0.35">
      <c r="A107" t="s">
        <v>193</v>
      </c>
    </row>
    <row r="108" spans="1:1" s="4" customFormat="1" x14ac:dyDescent="0.35">
      <c r="A108" s="4" t="s">
        <v>187</v>
      </c>
    </row>
    <row r="109" spans="1:1" x14ac:dyDescent="0.35">
      <c r="A109" t="s">
        <v>191</v>
      </c>
    </row>
    <row r="110" spans="1:1" s="4" customFormat="1" x14ac:dyDescent="0.35">
      <c r="A110" s="4" t="s">
        <v>188</v>
      </c>
    </row>
    <row r="111" spans="1:1" x14ac:dyDescent="0.35">
      <c r="A111"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0126-BCEC-4955-9E0E-CDA1E5117D90}">
  <dimension ref="B1:AI122"/>
  <sheetViews>
    <sheetView tabSelected="1" workbookViewId="0">
      <pane xSplit="2" ySplit="7" topLeftCell="J89" activePane="bottomRight" state="frozen"/>
      <selection pane="topRight" activeCell="C1" sqref="C1"/>
      <selection pane="bottomLeft" activeCell="A6" sqref="A6"/>
      <selection pane="bottomRight" activeCell="S96" sqref="S96"/>
    </sheetView>
  </sheetViews>
  <sheetFormatPr defaultRowHeight="14.5" x14ac:dyDescent="0.35"/>
  <cols>
    <col min="2" max="2" width="24.36328125" customWidth="1"/>
    <col min="7" max="7" width="9.453125" bestFit="1" customWidth="1"/>
    <col min="8" max="8" width="10.453125" bestFit="1" customWidth="1"/>
    <col min="9" max="9" width="9.453125" style="17" bestFit="1" customWidth="1"/>
    <col min="10" max="11" width="9.453125" bestFit="1" customWidth="1"/>
    <col min="12" max="12" width="10.453125" bestFit="1" customWidth="1"/>
    <col min="13" max="13" width="9.453125" style="17" bestFit="1" customWidth="1"/>
    <col min="14" max="14" width="9.453125" bestFit="1" customWidth="1"/>
    <col min="15" max="16" width="10.453125" bestFit="1" customWidth="1"/>
    <col min="17" max="17" width="9.453125" style="17" bestFit="1" customWidth="1"/>
    <col min="18" max="18" width="9.453125" bestFit="1" customWidth="1"/>
    <col min="33" max="35" width="10.453125" bestFit="1" customWidth="1"/>
  </cols>
  <sheetData>
    <row r="1" spans="2:35" s="5" customFormat="1" x14ac:dyDescent="0.35">
      <c r="B1" s="5" t="s">
        <v>0</v>
      </c>
      <c r="G1" s="5" t="s">
        <v>118</v>
      </c>
      <c r="H1" s="5" t="s">
        <v>117</v>
      </c>
      <c r="I1" s="33" t="s">
        <v>116</v>
      </c>
      <c r="J1" s="5" t="s">
        <v>115</v>
      </c>
      <c r="K1" s="5" t="s">
        <v>114</v>
      </c>
      <c r="L1" s="5" t="s">
        <v>113</v>
      </c>
      <c r="M1" s="33" t="s">
        <v>111</v>
      </c>
      <c r="N1" s="5" t="s">
        <v>112</v>
      </c>
      <c r="O1" s="5" t="s">
        <v>110</v>
      </c>
      <c r="P1" s="5" t="s">
        <v>109</v>
      </c>
      <c r="Q1" s="33" t="s">
        <v>119</v>
      </c>
      <c r="R1" s="5" t="s">
        <v>120</v>
      </c>
    </row>
    <row r="2" spans="2:35" x14ac:dyDescent="0.35">
      <c r="B2" t="s">
        <v>1</v>
      </c>
      <c r="I2" s="18">
        <v>44340</v>
      </c>
      <c r="J2" s="3">
        <v>44421</v>
      </c>
      <c r="K2" s="3">
        <v>44652</v>
      </c>
      <c r="L2" s="3">
        <v>44662</v>
      </c>
      <c r="M2" s="18">
        <v>44694</v>
      </c>
      <c r="N2" s="3">
        <v>44788</v>
      </c>
      <c r="O2" s="3">
        <v>44879</v>
      </c>
      <c r="P2" s="3">
        <v>45016</v>
      </c>
      <c r="Q2" s="18">
        <v>45058</v>
      </c>
      <c r="R2" s="3">
        <v>45147</v>
      </c>
      <c r="AG2" s="3">
        <v>44284</v>
      </c>
      <c r="AH2" s="3">
        <v>44662</v>
      </c>
      <c r="AI2" s="3">
        <v>45016</v>
      </c>
    </row>
    <row r="3" spans="2:35" x14ac:dyDescent="0.35">
      <c r="B3" t="s">
        <v>2</v>
      </c>
      <c r="G3" s="3">
        <v>44104</v>
      </c>
      <c r="H3" s="3">
        <v>44196</v>
      </c>
      <c r="I3" s="18">
        <v>44286</v>
      </c>
      <c r="J3" s="3">
        <v>44377</v>
      </c>
      <c r="K3" s="3">
        <v>44469</v>
      </c>
      <c r="L3" s="3">
        <v>44561</v>
      </c>
      <c r="M3" s="18">
        <v>44651</v>
      </c>
      <c r="N3" s="3">
        <v>44742</v>
      </c>
      <c r="O3" s="3">
        <v>44834</v>
      </c>
      <c r="P3" s="3">
        <v>44926</v>
      </c>
      <c r="Q3" s="18">
        <v>45016</v>
      </c>
      <c r="R3" s="3">
        <v>45107</v>
      </c>
      <c r="AG3" s="3">
        <v>44196</v>
      </c>
      <c r="AH3" s="3">
        <v>44561</v>
      </c>
      <c r="AI3" s="3">
        <v>44926</v>
      </c>
    </row>
    <row r="4" spans="2:35" s="2" customFormat="1" x14ac:dyDescent="0.35">
      <c r="B4" s="2" t="s">
        <v>3</v>
      </c>
      <c r="I4" s="19"/>
      <c r="M4" s="19"/>
      <c r="Q4" s="19"/>
    </row>
    <row r="5" spans="2:35" s="36" customFormat="1" x14ac:dyDescent="0.35">
      <c r="B5" s="36" t="s">
        <v>101</v>
      </c>
      <c r="I5" s="37">
        <v>11.75</v>
      </c>
      <c r="J5" s="36">
        <v>11.39</v>
      </c>
      <c r="K5" s="36">
        <v>13.34</v>
      </c>
      <c r="L5" s="36">
        <v>16.98</v>
      </c>
      <c r="M5" s="37">
        <v>8.3699999999999992</v>
      </c>
      <c r="N5" s="36">
        <v>7.15</v>
      </c>
      <c r="O5" s="36">
        <v>3.98</v>
      </c>
      <c r="P5" s="36">
        <v>2.95</v>
      </c>
      <c r="Q5" s="37">
        <v>4.58</v>
      </c>
      <c r="R5" s="36">
        <v>3.3</v>
      </c>
      <c r="AG5" s="36">
        <v>16.98</v>
      </c>
      <c r="AH5" s="36">
        <v>8.7799999999999994</v>
      </c>
      <c r="AI5" s="36">
        <v>4.58</v>
      </c>
    </row>
    <row r="6" spans="2:35" s="36" customFormat="1" x14ac:dyDescent="0.35">
      <c r="B6" s="36" t="s">
        <v>102</v>
      </c>
      <c r="I6" s="37">
        <v>9.76</v>
      </c>
      <c r="J6" s="36">
        <v>9.98</v>
      </c>
      <c r="K6" s="36">
        <v>9.8000000000000007</v>
      </c>
      <c r="L6" s="36">
        <v>6.44</v>
      </c>
      <c r="M6" s="37">
        <v>4.25</v>
      </c>
      <c r="N6" s="36">
        <v>2.82</v>
      </c>
      <c r="O6" s="36">
        <v>2.29</v>
      </c>
      <c r="P6" s="36">
        <v>1.67</v>
      </c>
      <c r="Q6" s="37">
        <v>1.92</v>
      </c>
      <c r="R6" s="36">
        <v>2.35</v>
      </c>
      <c r="AG6" s="36">
        <v>6.44</v>
      </c>
      <c r="AH6" s="36">
        <v>1.67</v>
      </c>
      <c r="AI6" s="36">
        <v>1.92</v>
      </c>
    </row>
    <row r="7" spans="2:35" s="38" customFormat="1" x14ac:dyDescent="0.35">
      <c r="B7" s="38" t="s">
        <v>103</v>
      </c>
      <c r="I7" s="39">
        <v>10.4</v>
      </c>
      <c r="J7" s="38">
        <v>10.14</v>
      </c>
      <c r="K7" s="38">
        <v>10.43</v>
      </c>
      <c r="L7" s="38">
        <v>9.68</v>
      </c>
      <c r="M7" s="39">
        <v>6.06</v>
      </c>
      <c r="N7" s="38">
        <v>4.84</v>
      </c>
      <c r="O7" s="38">
        <v>3.1</v>
      </c>
      <c r="P7" s="38">
        <v>2.2999999999999998</v>
      </c>
      <c r="Q7" s="39">
        <v>2.95</v>
      </c>
      <c r="R7" s="38">
        <v>2.73</v>
      </c>
      <c r="AG7" s="38">
        <v>10.15</v>
      </c>
      <c r="AH7" s="38">
        <v>4.0599999999999996</v>
      </c>
      <c r="AI7" s="38">
        <v>2.96</v>
      </c>
    </row>
    <row r="12" spans="2:35" s="2" customFormat="1" x14ac:dyDescent="0.35">
      <c r="B12" s="2" t="s">
        <v>4</v>
      </c>
      <c r="I12" s="19"/>
      <c r="M12" s="19"/>
      <c r="Q12" s="19"/>
    </row>
    <row r="13" spans="2:35" s="4" customFormat="1" x14ac:dyDescent="0.35">
      <c r="B13" s="4" t="s">
        <v>53</v>
      </c>
      <c r="I13" s="20"/>
      <c r="M13" s="20"/>
      <c r="Q13" s="20"/>
    </row>
    <row r="14" spans="2:35" s="7" customFormat="1" x14ac:dyDescent="0.35">
      <c r="B14" s="7" t="s">
        <v>53</v>
      </c>
      <c r="G14" s="7">
        <v>12485</v>
      </c>
      <c r="I14" s="21">
        <v>31698</v>
      </c>
      <c r="J14" s="7">
        <v>32148</v>
      </c>
      <c r="K14" s="7">
        <v>32680</v>
      </c>
      <c r="L14" s="7">
        <f>AH14-K14-J14-I14</f>
        <v>41075</v>
      </c>
      <c r="M14" s="21">
        <v>32867</v>
      </c>
      <c r="N14" s="7">
        <v>36728</v>
      </c>
      <c r="O14" s="7">
        <v>37249</v>
      </c>
      <c r="P14" s="7">
        <f>AI14-O14-N14-M14</f>
        <v>53705</v>
      </c>
      <c r="Q14" s="21">
        <v>57605</v>
      </c>
      <c r="R14" s="7">
        <v>60098</v>
      </c>
      <c r="AG14" s="7">
        <v>40785</v>
      </c>
      <c r="AH14" s="7">
        <v>137601</v>
      </c>
      <c r="AI14" s="7">
        <v>160549</v>
      </c>
    </row>
    <row r="15" spans="2:35" s="8" customFormat="1" x14ac:dyDescent="0.35">
      <c r="B15" s="8" t="s">
        <v>54</v>
      </c>
      <c r="G15" s="8">
        <v>10546</v>
      </c>
      <c r="I15" s="22">
        <v>24221</v>
      </c>
      <c r="J15" s="8">
        <v>23534</v>
      </c>
      <c r="K15" s="8">
        <v>26786</v>
      </c>
      <c r="L15" s="8">
        <f>AH15-K15-J15-I15</f>
        <v>33683</v>
      </c>
      <c r="M15" s="22">
        <v>27696</v>
      </c>
      <c r="N15" s="8">
        <v>29746</v>
      </c>
      <c r="O15" s="8">
        <v>29300</v>
      </c>
      <c r="P15" s="8">
        <f>AI15-O15-N15-M15</f>
        <v>45112</v>
      </c>
      <c r="Q15" s="22">
        <v>43388</v>
      </c>
      <c r="R15" s="8">
        <v>44194</v>
      </c>
      <c r="AG15" s="8">
        <v>32676</v>
      </c>
      <c r="AH15" s="8">
        <v>108224</v>
      </c>
      <c r="AI15" s="8">
        <v>131854</v>
      </c>
    </row>
    <row r="16" spans="2:35" s="9" customFormat="1" x14ac:dyDescent="0.35">
      <c r="B16" s="9" t="s">
        <v>55</v>
      </c>
      <c r="F16" s="9">
        <f>F14-F15</f>
        <v>0</v>
      </c>
      <c r="G16" s="9">
        <f t="shared" ref="G16:R16" si="0">G14-G15</f>
        <v>1939</v>
      </c>
      <c r="H16" s="9">
        <f t="shared" si="0"/>
        <v>0</v>
      </c>
      <c r="I16" s="23">
        <f t="shared" si="0"/>
        <v>7477</v>
      </c>
      <c r="J16" s="9">
        <f t="shared" si="0"/>
        <v>8614</v>
      </c>
      <c r="K16" s="9">
        <f t="shared" si="0"/>
        <v>5894</v>
      </c>
      <c r="L16" s="9">
        <f t="shared" si="0"/>
        <v>7392</v>
      </c>
      <c r="M16" s="23">
        <f t="shared" si="0"/>
        <v>5171</v>
      </c>
      <c r="N16" s="9">
        <f t="shared" si="0"/>
        <v>6982</v>
      </c>
      <c r="O16" s="9">
        <f t="shared" si="0"/>
        <v>7949</v>
      </c>
      <c r="P16" s="9">
        <f t="shared" si="0"/>
        <v>8593</v>
      </c>
      <c r="Q16" s="23">
        <f t="shared" si="0"/>
        <v>14217</v>
      </c>
      <c r="R16" s="9">
        <f t="shared" si="0"/>
        <v>15904</v>
      </c>
      <c r="AD16" s="9">
        <f>AD14-AD15</f>
        <v>0</v>
      </c>
      <c r="AE16" s="9">
        <f t="shared" ref="AE16:AG16" si="1">AE14-AE15</f>
        <v>0</v>
      </c>
      <c r="AF16" s="9">
        <f t="shared" si="1"/>
        <v>0</v>
      </c>
      <c r="AG16" s="9">
        <f t="shared" si="1"/>
        <v>8109</v>
      </c>
      <c r="AH16" s="9">
        <f t="shared" ref="AH16" si="2">AH14-AH15</f>
        <v>29377</v>
      </c>
      <c r="AI16" s="9">
        <f>AI14-AI15</f>
        <v>28695</v>
      </c>
    </row>
    <row r="17" spans="2:35" s="10" customFormat="1" x14ac:dyDescent="0.35">
      <c r="B17" s="10" t="s">
        <v>56</v>
      </c>
      <c r="I17" s="24"/>
      <c r="M17" s="24"/>
      <c r="Q17" s="24"/>
    </row>
    <row r="18" spans="2:35" s="7" customFormat="1" x14ac:dyDescent="0.35">
      <c r="B18" s="7" t="s">
        <v>57</v>
      </c>
      <c r="G18" s="7">
        <v>3520</v>
      </c>
      <c r="I18" s="21">
        <v>11256</v>
      </c>
      <c r="J18" s="7">
        <v>12143</v>
      </c>
      <c r="K18" s="7">
        <v>34333</v>
      </c>
      <c r="L18" s="7">
        <f>AH18-K18-J18-I18</f>
        <v>20963</v>
      </c>
      <c r="M18" s="21">
        <v>20951</v>
      </c>
      <c r="N18" s="7">
        <v>17562</v>
      </c>
      <c r="O18" s="7">
        <v>15312</v>
      </c>
      <c r="P18" s="7">
        <f>AI18-O18-N18-M18</f>
        <v>16517</v>
      </c>
      <c r="Q18" s="21">
        <v>16038</v>
      </c>
      <c r="R18" s="7">
        <v>17686</v>
      </c>
      <c r="AG18" s="7">
        <v>13103</v>
      </c>
      <c r="AH18" s="7">
        <v>78695</v>
      </c>
      <c r="AI18" s="7">
        <v>70342</v>
      </c>
    </row>
    <row r="19" spans="2:35" s="7" customFormat="1" x14ac:dyDescent="0.35">
      <c r="B19" s="7" t="s">
        <v>58</v>
      </c>
      <c r="G19" s="7">
        <v>0</v>
      </c>
      <c r="I19" s="21">
        <v>2417</v>
      </c>
      <c r="J19" s="7">
        <v>11114</v>
      </c>
      <c r="K19" s="7">
        <v>113</v>
      </c>
      <c r="L19" s="7">
        <f>AH19-K19-J19-I19</f>
        <v>-2307</v>
      </c>
      <c r="M19" s="21">
        <v>46</v>
      </c>
      <c r="N19" s="7">
        <v>0</v>
      </c>
      <c r="O19" s="7">
        <v>0</v>
      </c>
      <c r="P19" s="7">
        <f>AI19-O19-N19-M19</f>
        <v>-46</v>
      </c>
      <c r="Q19" s="21">
        <v>9</v>
      </c>
      <c r="R19" s="7">
        <v>4</v>
      </c>
      <c r="AG19" s="7">
        <v>0</v>
      </c>
      <c r="AH19" s="7">
        <v>11337</v>
      </c>
      <c r="AI19" s="7">
        <v>0</v>
      </c>
    </row>
    <row r="20" spans="2:35" s="7" customFormat="1" x14ac:dyDescent="0.35">
      <c r="B20" s="7" t="s">
        <v>59</v>
      </c>
      <c r="G20" s="7">
        <v>500</v>
      </c>
      <c r="I20" s="21">
        <v>0</v>
      </c>
      <c r="J20" s="7">
        <v>2</v>
      </c>
      <c r="K20" s="7">
        <v>1128</v>
      </c>
      <c r="L20" s="7">
        <f>AH20-K20-J20-I20</f>
        <v>3886</v>
      </c>
      <c r="M20" s="21">
        <v>0</v>
      </c>
      <c r="N20" s="7">
        <v>48</v>
      </c>
      <c r="O20" s="7">
        <v>1819</v>
      </c>
      <c r="P20" s="7">
        <f>AI20-O20-N20-M20</f>
        <v>1370</v>
      </c>
      <c r="Q20" s="21">
        <v>0</v>
      </c>
      <c r="R20" s="7">
        <v>0</v>
      </c>
      <c r="AG20" s="7">
        <v>9944</v>
      </c>
      <c r="AH20" s="7">
        <v>5016</v>
      </c>
      <c r="AI20" s="7">
        <v>3237</v>
      </c>
    </row>
    <row r="21" spans="2:35" s="7" customFormat="1" x14ac:dyDescent="0.35">
      <c r="B21" s="7" t="s">
        <v>60</v>
      </c>
      <c r="G21" s="7">
        <v>0</v>
      </c>
      <c r="I21" s="21">
        <v>0</v>
      </c>
      <c r="J21" s="7">
        <v>0</v>
      </c>
      <c r="K21" s="7">
        <v>0</v>
      </c>
      <c r="L21" s="7">
        <f>AH21-K21-J21-I21</f>
        <v>0</v>
      </c>
      <c r="M21" s="21">
        <v>0</v>
      </c>
      <c r="N21" s="7">
        <v>80462</v>
      </c>
      <c r="O21" s="7">
        <v>0</v>
      </c>
      <c r="P21" s="7">
        <f>AI21-O21-N21-M21</f>
        <v>16161</v>
      </c>
      <c r="Q21" s="21">
        <v>0</v>
      </c>
      <c r="R21" s="7">
        <v>0</v>
      </c>
      <c r="AG21" s="7">
        <v>0</v>
      </c>
      <c r="AH21" s="7">
        <v>0</v>
      </c>
      <c r="AI21" s="7">
        <v>96623</v>
      </c>
    </row>
    <row r="22" spans="2:35" s="8" customFormat="1" x14ac:dyDescent="0.35">
      <c r="B22" s="8" t="s">
        <v>61</v>
      </c>
      <c r="G22" s="8">
        <v>776</v>
      </c>
      <c r="I22" s="22">
        <v>996</v>
      </c>
      <c r="J22" s="8">
        <v>958</v>
      </c>
      <c r="K22" s="8">
        <v>1371</v>
      </c>
      <c r="L22" s="7">
        <f>AH22-K22-J22-I22</f>
        <v>1191</v>
      </c>
      <c r="M22" s="22">
        <v>1724</v>
      </c>
      <c r="N22" s="8">
        <v>1708</v>
      </c>
      <c r="O22" s="8">
        <v>1133</v>
      </c>
      <c r="P22" s="7">
        <f>AI22-O22-N22-M22</f>
        <v>376</v>
      </c>
      <c r="Q22" s="22">
        <v>388</v>
      </c>
      <c r="R22" s="8">
        <v>2070</v>
      </c>
      <c r="AG22" s="8">
        <v>2008</v>
      </c>
      <c r="AH22" s="8">
        <v>4516</v>
      </c>
      <c r="AI22" s="8">
        <v>4941</v>
      </c>
    </row>
    <row r="23" spans="2:35" s="11" customFormat="1" x14ac:dyDescent="0.35">
      <c r="B23" s="11" t="s">
        <v>62</v>
      </c>
      <c r="F23" s="11">
        <f>SUM(F18:F22)</f>
        <v>0</v>
      </c>
      <c r="G23" s="11">
        <f t="shared" ref="G23:R23" si="3">SUM(G18:G22)</f>
        <v>4796</v>
      </c>
      <c r="H23" s="11">
        <f t="shared" si="3"/>
        <v>0</v>
      </c>
      <c r="I23" s="25">
        <f t="shared" si="3"/>
        <v>14669</v>
      </c>
      <c r="J23" s="11">
        <f t="shared" si="3"/>
        <v>24217</v>
      </c>
      <c r="K23" s="11">
        <f t="shared" si="3"/>
        <v>36945</v>
      </c>
      <c r="L23" s="11">
        <f t="shared" si="3"/>
        <v>23733</v>
      </c>
      <c r="M23" s="25">
        <f t="shared" si="3"/>
        <v>22721</v>
      </c>
      <c r="N23" s="11">
        <f t="shared" si="3"/>
        <v>99780</v>
      </c>
      <c r="O23" s="11">
        <f t="shared" si="3"/>
        <v>18264</v>
      </c>
      <c r="P23" s="11">
        <f t="shared" si="3"/>
        <v>34378</v>
      </c>
      <c r="Q23" s="25">
        <f t="shared" si="3"/>
        <v>16435</v>
      </c>
      <c r="R23" s="11">
        <f t="shared" si="3"/>
        <v>19760</v>
      </c>
      <c r="AD23" s="11">
        <f>SUM(AD18:AD22)</f>
        <v>0</v>
      </c>
      <c r="AE23" s="11">
        <f t="shared" ref="AE23:AG23" si="4">SUM(AE18:AE22)</f>
        <v>0</v>
      </c>
      <c r="AF23" s="11">
        <f t="shared" si="4"/>
        <v>0</v>
      </c>
      <c r="AG23" s="11">
        <f t="shared" si="4"/>
        <v>25055</v>
      </c>
      <c r="AH23" s="11">
        <f t="shared" ref="AH23" si="5">SUM(AH18:AH22)</f>
        <v>99564</v>
      </c>
      <c r="AI23" s="11">
        <f>SUM(AI18:AI22)</f>
        <v>175143</v>
      </c>
    </row>
    <row r="24" spans="2:35" s="9" customFormat="1" x14ac:dyDescent="0.35">
      <c r="B24" s="9" t="s">
        <v>63</v>
      </c>
      <c r="F24" s="9">
        <f>F16-F23</f>
        <v>0</v>
      </c>
      <c r="G24" s="9">
        <f t="shared" ref="G24:R24" si="6">G16-G23</f>
        <v>-2857</v>
      </c>
      <c r="H24" s="9">
        <f t="shared" si="6"/>
        <v>0</v>
      </c>
      <c r="I24" s="23">
        <f t="shared" si="6"/>
        <v>-7192</v>
      </c>
      <c r="J24" s="9">
        <f t="shared" si="6"/>
        <v>-15603</v>
      </c>
      <c r="K24" s="9">
        <f t="shared" si="6"/>
        <v>-31051</v>
      </c>
      <c r="L24" s="9">
        <f t="shared" si="6"/>
        <v>-16341</v>
      </c>
      <c r="M24" s="23">
        <f t="shared" si="6"/>
        <v>-17550</v>
      </c>
      <c r="N24" s="9">
        <f t="shared" si="6"/>
        <v>-92798</v>
      </c>
      <c r="O24" s="9">
        <f t="shared" si="6"/>
        <v>-10315</v>
      </c>
      <c r="P24" s="9">
        <f t="shared" si="6"/>
        <v>-25785</v>
      </c>
      <c r="Q24" s="23">
        <f t="shared" si="6"/>
        <v>-2218</v>
      </c>
      <c r="R24" s="9">
        <f t="shared" si="6"/>
        <v>-3856</v>
      </c>
      <c r="AD24" s="9">
        <f>AD16-AD23</f>
        <v>0</v>
      </c>
      <c r="AE24" s="9">
        <f t="shared" ref="AE24:AG24" si="7">AE16-AE23</f>
        <v>0</v>
      </c>
      <c r="AF24" s="9">
        <f t="shared" si="7"/>
        <v>0</v>
      </c>
      <c r="AG24" s="9">
        <f t="shared" si="7"/>
        <v>-16946</v>
      </c>
      <c r="AH24" s="9">
        <f t="shared" ref="AH24" si="8">AH16-AH23</f>
        <v>-70187</v>
      </c>
      <c r="AI24" s="9">
        <f>AI16-AI23</f>
        <v>-146448</v>
      </c>
    </row>
    <row r="25" spans="2:35" s="12" customFormat="1" x14ac:dyDescent="0.35">
      <c r="B25" s="12" t="s">
        <v>64</v>
      </c>
      <c r="I25" s="26"/>
      <c r="M25" s="26"/>
      <c r="Q25" s="26"/>
    </row>
    <row r="26" spans="2:35" s="7" customFormat="1" x14ac:dyDescent="0.35">
      <c r="B26" s="7" t="s">
        <v>65</v>
      </c>
      <c r="G26" s="7">
        <v>82</v>
      </c>
      <c r="I26" s="21">
        <v>1421</v>
      </c>
      <c r="J26" s="7">
        <v>1770</v>
      </c>
      <c r="K26" s="7">
        <v>1740</v>
      </c>
      <c r="L26" s="7">
        <f>AH26-K26-J26-I26</f>
        <v>1525</v>
      </c>
      <c r="M26" s="21">
        <v>1452</v>
      </c>
      <c r="N26" s="7">
        <v>1670</v>
      </c>
      <c r="O26" s="7">
        <v>2401</v>
      </c>
      <c r="P26" s="7">
        <f>AI26-O26-N26-M26</f>
        <v>2696</v>
      </c>
      <c r="Q26" s="21">
        <v>2644</v>
      </c>
      <c r="R26" s="7">
        <v>2664</v>
      </c>
      <c r="AG26" s="7">
        <v>1072</v>
      </c>
      <c r="AH26" s="7">
        <v>6456</v>
      </c>
      <c r="AI26" s="7">
        <v>8219</v>
      </c>
    </row>
    <row r="27" spans="2:35" s="8" customFormat="1" x14ac:dyDescent="0.35">
      <c r="B27" s="8" t="s">
        <v>66</v>
      </c>
      <c r="G27" s="8">
        <v>8</v>
      </c>
      <c r="I27" s="22">
        <v>87</v>
      </c>
      <c r="J27" s="8">
        <v>-110</v>
      </c>
      <c r="K27" s="8">
        <v>-2957</v>
      </c>
      <c r="L27" s="8">
        <f>AH27-K27-J27-I27</f>
        <v>-857</v>
      </c>
      <c r="M27" s="22">
        <v>1180</v>
      </c>
      <c r="N27" s="8">
        <v>-15515</v>
      </c>
      <c r="O27" s="8">
        <v>-158</v>
      </c>
      <c r="P27" s="8">
        <f>AI27-O27-N27-M27</f>
        <v>-1582</v>
      </c>
      <c r="Q27" s="22">
        <v>2427</v>
      </c>
      <c r="R27" s="8">
        <v>-970</v>
      </c>
      <c r="AG27" s="8">
        <v>15</v>
      </c>
      <c r="AH27" s="8">
        <v>-3837</v>
      </c>
      <c r="AI27" s="8">
        <v>-16075</v>
      </c>
    </row>
    <row r="28" spans="2:35" s="7" customFormat="1" x14ac:dyDescent="0.35">
      <c r="B28" s="7" t="s">
        <v>67</v>
      </c>
      <c r="F28" s="7">
        <f>F24-F26-F27</f>
        <v>0</v>
      </c>
      <c r="G28" s="7">
        <f t="shared" ref="G28:R28" si="9">G24-G26-G27</f>
        <v>-2947</v>
      </c>
      <c r="H28" s="7">
        <f t="shared" si="9"/>
        <v>0</v>
      </c>
      <c r="I28" s="21">
        <f t="shared" si="9"/>
        <v>-8700</v>
      </c>
      <c r="J28" s="7">
        <f t="shared" si="9"/>
        <v>-17263</v>
      </c>
      <c r="K28" s="7">
        <f t="shared" si="9"/>
        <v>-29834</v>
      </c>
      <c r="L28" s="7">
        <f t="shared" si="9"/>
        <v>-17009</v>
      </c>
      <c r="M28" s="21">
        <f t="shared" si="9"/>
        <v>-20182</v>
      </c>
      <c r="N28" s="7">
        <f t="shared" si="9"/>
        <v>-78953</v>
      </c>
      <c r="O28" s="7">
        <f t="shared" si="9"/>
        <v>-12558</v>
      </c>
      <c r="P28" s="7">
        <f t="shared" si="9"/>
        <v>-26899</v>
      </c>
      <c r="Q28" s="21">
        <f t="shared" si="9"/>
        <v>-7289</v>
      </c>
      <c r="R28" s="7">
        <f t="shared" si="9"/>
        <v>-5550</v>
      </c>
      <c r="AD28" s="7">
        <f>AD24-AD26-AD27</f>
        <v>0</v>
      </c>
      <c r="AE28" s="7">
        <f t="shared" ref="AE28:AG28" si="10">AE24-AE26-AE27</f>
        <v>0</v>
      </c>
      <c r="AF28" s="7">
        <f t="shared" si="10"/>
        <v>0</v>
      </c>
      <c r="AG28" s="7">
        <f t="shared" si="10"/>
        <v>-18033</v>
      </c>
      <c r="AH28" s="7">
        <f t="shared" ref="AH28" si="11">AH24-AH26-AH27</f>
        <v>-72806</v>
      </c>
      <c r="AI28" s="7">
        <f>AI24-AI26-AI27</f>
        <v>-138592</v>
      </c>
    </row>
    <row r="29" spans="2:35" s="8" customFormat="1" x14ac:dyDescent="0.35">
      <c r="B29" s="8" t="s">
        <v>68</v>
      </c>
      <c r="G29" s="8">
        <v>-611</v>
      </c>
      <c r="I29" s="22">
        <v>-1026</v>
      </c>
      <c r="J29" s="8">
        <v>-1362</v>
      </c>
      <c r="K29" s="8">
        <v>-5582</v>
      </c>
      <c r="L29" s="8">
        <f>AH29-K29-J29-I29</f>
        <v>-3299</v>
      </c>
      <c r="M29" s="22">
        <v>-2889</v>
      </c>
      <c r="N29" s="8">
        <v>-1925</v>
      </c>
      <c r="O29" s="8">
        <v>-2135</v>
      </c>
      <c r="P29" s="8">
        <f>AI29-O29-N29-M29</f>
        <v>-1023</v>
      </c>
      <c r="Q29" s="22">
        <v>-31</v>
      </c>
      <c r="R29" s="8">
        <v>-85</v>
      </c>
      <c r="AG29" s="8">
        <v>-3659</v>
      </c>
      <c r="AH29" s="8">
        <v>-11269</v>
      </c>
      <c r="AI29" s="8">
        <v>-7972</v>
      </c>
    </row>
    <row r="30" spans="2:35" s="7" customFormat="1" x14ac:dyDescent="0.35">
      <c r="B30" s="7" t="s">
        <v>69</v>
      </c>
      <c r="F30" s="7">
        <f>F28-F29</f>
        <v>0</v>
      </c>
      <c r="G30" s="7">
        <f t="shared" ref="G30:R30" si="12">G28-G29</f>
        <v>-2336</v>
      </c>
      <c r="H30" s="7">
        <f t="shared" si="12"/>
        <v>0</v>
      </c>
      <c r="I30" s="21">
        <f t="shared" si="12"/>
        <v>-7674</v>
      </c>
      <c r="J30" s="7">
        <f t="shared" si="12"/>
        <v>-15901</v>
      </c>
      <c r="K30" s="7">
        <f t="shared" si="12"/>
        <v>-24252</v>
      </c>
      <c r="L30" s="7">
        <f t="shared" si="12"/>
        <v>-13710</v>
      </c>
      <c r="M30" s="21">
        <f t="shared" si="12"/>
        <v>-17293</v>
      </c>
      <c r="N30" s="7">
        <f t="shared" si="12"/>
        <v>-77028</v>
      </c>
      <c r="O30" s="7">
        <f t="shared" si="12"/>
        <v>-10423</v>
      </c>
      <c r="P30" s="7">
        <f t="shared" si="12"/>
        <v>-25876</v>
      </c>
      <c r="Q30" s="21">
        <f t="shared" si="12"/>
        <v>-7258</v>
      </c>
      <c r="R30" s="7">
        <f t="shared" si="12"/>
        <v>-5465</v>
      </c>
      <c r="AD30" s="7">
        <f>AD28-AD29</f>
        <v>0</v>
      </c>
      <c r="AE30" s="7">
        <f t="shared" ref="AE30:AG30" si="13">AE28-AE29</f>
        <v>0</v>
      </c>
      <c r="AF30" s="7">
        <f t="shared" si="13"/>
        <v>0</v>
      </c>
      <c r="AG30" s="7">
        <f t="shared" si="13"/>
        <v>-14374</v>
      </c>
      <c r="AH30" s="7">
        <f t="shared" ref="AH30" si="14">AH28-AH29</f>
        <v>-61537</v>
      </c>
      <c r="AI30" s="7">
        <f>AI28-AI29</f>
        <v>-130620</v>
      </c>
    </row>
    <row r="31" spans="2:35" s="8" customFormat="1" x14ac:dyDescent="0.35">
      <c r="B31" s="8" t="s">
        <v>70</v>
      </c>
      <c r="G31" s="8">
        <v>0</v>
      </c>
      <c r="I31" s="22">
        <v>0</v>
      </c>
      <c r="J31" s="8">
        <v>0</v>
      </c>
      <c r="K31" s="8">
        <v>0</v>
      </c>
      <c r="L31" s="8">
        <f>AH31-K31-J31-I31</f>
        <v>0</v>
      </c>
      <c r="M31" s="22">
        <v>0</v>
      </c>
      <c r="N31" s="8">
        <v>0</v>
      </c>
      <c r="O31" s="8">
        <v>0</v>
      </c>
      <c r="P31" s="8">
        <f>AI31-O31-N31-M31</f>
        <v>-3</v>
      </c>
      <c r="Q31" s="22">
        <v>0</v>
      </c>
      <c r="R31" s="8">
        <v>-1</v>
      </c>
      <c r="AG31" s="8">
        <v>0</v>
      </c>
      <c r="AH31" s="8">
        <v>0</v>
      </c>
      <c r="AI31" s="8">
        <v>-3</v>
      </c>
    </row>
    <row r="32" spans="2:35" s="9" customFormat="1" x14ac:dyDescent="0.35">
      <c r="B32" s="9" t="s">
        <v>71</v>
      </c>
      <c r="F32" s="9">
        <f>F30-F31</f>
        <v>0</v>
      </c>
      <c r="G32" s="9">
        <f t="shared" ref="G32:Q32" si="15">G30-G31</f>
        <v>-2336</v>
      </c>
      <c r="H32" s="9">
        <f t="shared" si="15"/>
        <v>0</v>
      </c>
      <c r="I32" s="23">
        <f t="shared" si="15"/>
        <v>-7674</v>
      </c>
      <c r="J32" s="9">
        <f t="shared" si="15"/>
        <v>-15901</v>
      </c>
      <c r="K32" s="9">
        <f t="shared" si="15"/>
        <v>-24252</v>
      </c>
      <c r="L32" s="9">
        <f t="shared" si="15"/>
        <v>-13710</v>
      </c>
      <c r="M32" s="23">
        <f t="shared" si="15"/>
        <v>-17293</v>
      </c>
      <c r="N32" s="9">
        <f t="shared" si="15"/>
        <v>-77028</v>
      </c>
      <c r="O32" s="9">
        <f t="shared" si="15"/>
        <v>-10423</v>
      </c>
      <c r="P32" s="9">
        <f t="shared" si="15"/>
        <v>-25873</v>
      </c>
      <c r="Q32" s="23">
        <f t="shared" si="15"/>
        <v>-7258</v>
      </c>
      <c r="R32" s="9">
        <f>R30-R31-4800</f>
        <v>-10264</v>
      </c>
      <c r="AD32" s="9">
        <f>AD30-AD31</f>
        <v>0</v>
      </c>
      <c r="AE32" s="9">
        <f t="shared" ref="AE32:AG32" si="16">AE30-AE31</f>
        <v>0</v>
      </c>
      <c r="AF32" s="9">
        <f t="shared" si="16"/>
        <v>0</v>
      </c>
      <c r="AG32" s="9">
        <f t="shared" si="16"/>
        <v>-14374</v>
      </c>
      <c r="AH32" s="9">
        <f t="shared" ref="AH32" si="17">AH30-AH31</f>
        <v>-61537</v>
      </c>
      <c r="AI32" s="9">
        <f>AI30-AI31</f>
        <v>-130617</v>
      </c>
    </row>
    <row r="33" spans="2:35" s="7" customFormat="1" x14ac:dyDescent="0.35">
      <c r="I33" s="21"/>
      <c r="M33" s="21"/>
      <c r="Q33" s="21"/>
    </row>
    <row r="34" spans="2:35" s="16" customFormat="1" x14ac:dyDescent="0.35">
      <c r="B34" s="16" t="s">
        <v>73</v>
      </c>
      <c r="F34" s="16" t="e">
        <f>F32/F35</f>
        <v>#DIV/0!</v>
      </c>
      <c r="G34" s="16">
        <f t="shared" ref="G34:L34" si="18">G32/G35</f>
        <v>-6.2795698924731178E-2</v>
      </c>
      <c r="H34" s="16">
        <f t="shared" si="18"/>
        <v>0</v>
      </c>
      <c r="I34" s="27">
        <f t="shared" si="18"/>
        <v>-0.20629032258064517</v>
      </c>
      <c r="J34" s="16">
        <f t="shared" si="18"/>
        <v>-0.42744623655913977</v>
      </c>
      <c r="K34" s="16">
        <f t="shared" si="18"/>
        <v>-0.55072546703345371</v>
      </c>
      <c r="L34" s="16">
        <f t="shared" si="18"/>
        <v>-0.21869167823132507</v>
      </c>
      <c r="M34" s="27">
        <f>M32/M35</f>
        <v>-0.27584559403698805</v>
      </c>
      <c r="N34" s="16">
        <f>N32/N35</f>
        <v>-1.2228131325063158</v>
      </c>
      <c r="O34" s="16">
        <f>O32/O35</f>
        <v>-0.16424382986923508</v>
      </c>
      <c r="P34" s="16">
        <f>P32/P35</f>
        <v>-0.40249840543862103</v>
      </c>
      <c r="Q34" s="27">
        <v>-0.18</v>
      </c>
      <c r="R34" s="16">
        <v>-0.16</v>
      </c>
      <c r="AD34" s="16" t="e">
        <f>AD32/AD35</f>
        <v>#DIV/0!</v>
      </c>
      <c r="AE34" s="16" t="e">
        <f t="shared" ref="AE34:AH34" si="19">AE32/AE35</f>
        <v>#DIV/0!</v>
      </c>
      <c r="AF34" s="16" t="e">
        <f t="shared" si="19"/>
        <v>#DIV/0!</v>
      </c>
      <c r="AG34" s="16">
        <f t="shared" si="19"/>
        <v>-0.38639784946236561</v>
      </c>
      <c r="AH34" s="16">
        <f t="shared" si="19"/>
        <v>-0.98159430522489644</v>
      </c>
      <c r="AI34" s="16">
        <f>AI32/AI35</f>
        <v>-2.0319806754852796</v>
      </c>
    </row>
    <row r="35" spans="2:35" s="7" customFormat="1" x14ac:dyDescent="0.35">
      <c r="B35" s="7" t="s">
        <v>83</v>
      </c>
      <c r="G35" s="7">
        <v>37200</v>
      </c>
      <c r="H35" s="7">
        <v>37200</v>
      </c>
      <c r="I35" s="21">
        <v>37200</v>
      </c>
      <c r="J35" s="7">
        <v>37200</v>
      </c>
      <c r="K35" s="7">
        <v>44036.46</v>
      </c>
      <c r="L35" s="7">
        <v>62691</v>
      </c>
      <c r="M35" s="21">
        <v>62690.868999999999</v>
      </c>
      <c r="N35" s="7">
        <v>62992.453999999998</v>
      </c>
      <c r="O35" s="7">
        <v>63460.527000000002</v>
      </c>
      <c r="P35" s="7">
        <v>64281</v>
      </c>
      <c r="Q35" s="21">
        <v>64280.631000000001</v>
      </c>
      <c r="R35" s="7">
        <v>64765.529000000002</v>
      </c>
      <c r="AG35" s="7">
        <v>37200</v>
      </c>
      <c r="AH35" s="7">
        <v>62690.868999999999</v>
      </c>
      <c r="AI35" s="7">
        <v>64280.631000000001</v>
      </c>
    </row>
    <row r="36" spans="2:35" s="7" customFormat="1" x14ac:dyDescent="0.35">
      <c r="I36" s="21"/>
      <c r="M36" s="21"/>
      <c r="Q36" s="21">
        <f>Q32/Q35</f>
        <v>-0.11291115048326143</v>
      </c>
    </row>
    <row r="37" spans="2:35" s="7" customFormat="1" x14ac:dyDescent="0.35">
      <c r="I37" s="21"/>
      <c r="M37" s="21"/>
      <c r="Q37" s="21"/>
    </row>
    <row r="38" spans="2:35" s="13" customFormat="1" x14ac:dyDescent="0.35">
      <c r="B38" s="13" t="s">
        <v>5</v>
      </c>
      <c r="I38" s="28"/>
      <c r="M38" s="28"/>
      <c r="Q38" s="28"/>
    </row>
    <row r="39" spans="2:35" s="10" customFormat="1" x14ac:dyDescent="0.35">
      <c r="B39" s="10" t="s">
        <v>6</v>
      </c>
      <c r="I39" s="24"/>
      <c r="M39" s="24"/>
      <c r="Q39" s="24"/>
    </row>
    <row r="40" spans="2:35" s="7" customFormat="1" x14ac:dyDescent="0.35">
      <c r="B40" s="7" t="s">
        <v>7</v>
      </c>
      <c r="H40" s="7">
        <v>22076</v>
      </c>
      <c r="I40" s="21"/>
      <c r="K40" s="7">
        <v>27258</v>
      </c>
      <c r="L40" s="7">
        <v>20523</v>
      </c>
      <c r="M40" s="21">
        <v>5938</v>
      </c>
      <c r="N40" s="7">
        <v>10879</v>
      </c>
      <c r="O40" s="7">
        <v>7031</v>
      </c>
      <c r="P40" s="7">
        <v>28316</v>
      </c>
      <c r="Q40" s="21">
        <v>11273</v>
      </c>
      <c r="R40" s="7">
        <v>11231</v>
      </c>
      <c r="AG40" s="7">
        <v>22076</v>
      </c>
      <c r="AH40" s="7">
        <v>20523</v>
      </c>
      <c r="AI40" s="7">
        <v>28316</v>
      </c>
    </row>
    <row r="41" spans="2:35" s="7" customFormat="1" x14ac:dyDescent="0.35">
      <c r="B41" s="7" t="s">
        <v>8</v>
      </c>
      <c r="H41" s="7">
        <f>6057+4874</f>
        <v>10931</v>
      </c>
      <c r="I41" s="21"/>
      <c r="K41" s="7">
        <v>10396</v>
      </c>
      <c r="L41" s="7">
        <v>16262</v>
      </c>
      <c r="M41" s="21">
        <v>11984</v>
      </c>
      <c r="N41" s="7">
        <v>12702</v>
      </c>
      <c r="O41" s="7">
        <v>16521</v>
      </c>
      <c r="P41" s="7">
        <v>26726</v>
      </c>
      <c r="Q41" s="21">
        <v>23481</v>
      </c>
      <c r="R41" s="7">
        <v>25492</v>
      </c>
      <c r="AG41" s="7">
        <f>6057+4874</f>
        <v>10931</v>
      </c>
      <c r="AH41" s="7">
        <v>16262</v>
      </c>
      <c r="AI41" s="7">
        <v>26726</v>
      </c>
    </row>
    <row r="42" spans="2:35" s="7" customFormat="1" x14ac:dyDescent="0.35">
      <c r="B42" s="7" t="s">
        <v>9</v>
      </c>
      <c r="H42" s="7">
        <v>4172</v>
      </c>
      <c r="I42" s="21"/>
      <c r="K42" s="7">
        <v>9364</v>
      </c>
      <c r="L42" s="7">
        <v>11748</v>
      </c>
      <c r="M42" s="21">
        <v>17492</v>
      </c>
      <c r="N42" s="7">
        <v>14747</v>
      </c>
      <c r="O42" s="7">
        <v>16319</v>
      </c>
      <c r="P42" s="7">
        <v>31041</v>
      </c>
      <c r="Q42" s="21">
        <v>40741</v>
      </c>
      <c r="R42" s="7">
        <v>43290</v>
      </c>
      <c r="AG42" s="7">
        <v>4172</v>
      </c>
      <c r="AH42" s="7">
        <v>11748</v>
      </c>
      <c r="AI42" s="7">
        <v>31041</v>
      </c>
    </row>
    <row r="43" spans="2:35" s="7" customFormat="1" x14ac:dyDescent="0.35">
      <c r="B43" s="7" t="s">
        <v>10</v>
      </c>
      <c r="H43" s="7">
        <v>330</v>
      </c>
      <c r="I43" s="21"/>
      <c r="K43" s="7">
        <v>607</v>
      </c>
      <c r="L43" s="7">
        <v>688</v>
      </c>
      <c r="M43" s="21">
        <v>1022</v>
      </c>
      <c r="N43" s="7">
        <v>1681</v>
      </c>
      <c r="O43" s="7">
        <v>2029</v>
      </c>
      <c r="P43" s="7">
        <v>1469</v>
      </c>
      <c r="Q43" s="21">
        <v>1452</v>
      </c>
      <c r="R43" s="7">
        <v>1281</v>
      </c>
      <c r="AG43" s="7">
        <v>330</v>
      </c>
      <c r="AH43" s="7">
        <v>688</v>
      </c>
      <c r="AI43" s="7">
        <v>1469</v>
      </c>
    </row>
    <row r="44" spans="2:35" s="7" customFormat="1" x14ac:dyDescent="0.35">
      <c r="B44" s="7" t="s">
        <v>11</v>
      </c>
      <c r="H44" s="7">
        <v>688</v>
      </c>
      <c r="I44" s="21"/>
      <c r="K44" s="7">
        <v>688</v>
      </c>
      <c r="L44" s="7">
        <v>688</v>
      </c>
      <c r="M44" s="21">
        <v>688</v>
      </c>
      <c r="N44" s="7">
        <v>688</v>
      </c>
      <c r="O44" s="7">
        <v>688</v>
      </c>
      <c r="P44" s="7">
        <v>688</v>
      </c>
      <c r="Q44" s="21">
        <v>688</v>
      </c>
      <c r="R44" s="7">
        <v>688</v>
      </c>
      <c r="AG44" s="7">
        <v>688</v>
      </c>
      <c r="AH44" s="7">
        <v>688</v>
      </c>
      <c r="AI44" s="7">
        <v>688</v>
      </c>
    </row>
    <row r="45" spans="2:35" s="7" customFormat="1" x14ac:dyDescent="0.35">
      <c r="B45" s="7" t="s">
        <v>12</v>
      </c>
      <c r="H45" s="7">
        <v>0</v>
      </c>
      <c r="I45" s="21"/>
      <c r="K45" s="7">
        <v>3806</v>
      </c>
      <c r="L45" s="7">
        <v>2819</v>
      </c>
      <c r="M45" s="21">
        <v>1752</v>
      </c>
      <c r="N45" s="7">
        <v>692</v>
      </c>
      <c r="O45" s="7">
        <v>3046</v>
      </c>
      <c r="P45" s="7">
        <v>2240</v>
      </c>
      <c r="Q45" s="21">
        <v>1413</v>
      </c>
      <c r="R45" s="7">
        <v>636</v>
      </c>
      <c r="AG45" s="7">
        <v>0</v>
      </c>
      <c r="AH45" s="7">
        <v>2819</v>
      </c>
      <c r="AI45" s="7">
        <v>2240</v>
      </c>
    </row>
    <row r="46" spans="2:35" s="8" customFormat="1" x14ac:dyDescent="0.35">
      <c r="B46" s="8" t="s">
        <v>13</v>
      </c>
      <c r="H46" s="8">
        <v>1109</v>
      </c>
      <c r="I46" s="22"/>
      <c r="K46" s="8">
        <v>1855</v>
      </c>
      <c r="L46" s="8">
        <v>2488</v>
      </c>
      <c r="M46" s="22">
        <v>4593</v>
      </c>
      <c r="N46" s="8">
        <v>4073</v>
      </c>
      <c r="O46" s="8">
        <v>3725</v>
      </c>
      <c r="P46" s="8">
        <v>5687</v>
      </c>
      <c r="Q46" s="22">
        <v>5704</v>
      </c>
      <c r="R46" s="8">
        <v>6545</v>
      </c>
      <c r="AG46" s="8">
        <v>1109</v>
      </c>
      <c r="AH46" s="8">
        <v>2488</v>
      </c>
      <c r="AI46" s="8">
        <v>5687</v>
      </c>
    </row>
    <row r="47" spans="2:35" s="9" customFormat="1" x14ac:dyDescent="0.35">
      <c r="B47" s="9" t="s">
        <v>14</v>
      </c>
      <c r="F47" s="9">
        <f>SUM(F40:F46)</f>
        <v>0</v>
      </c>
      <c r="G47" s="9">
        <f t="shared" ref="G47:Q47" si="20">SUM(G40:G46)</f>
        <v>0</v>
      </c>
      <c r="H47" s="9">
        <f t="shared" si="20"/>
        <v>39306</v>
      </c>
      <c r="I47" s="23">
        <f t="shared" si="20"/>
        <v>0</v>
      </c>
      <c r="J47" s="9">
        <f t="shared" si="20"/>
        <v>0</v>
      </c>
      <c r="K47" s="9">
        <f t="shared" si="20"/>
        <v>53974</v>
      </c>
      <c r="L47" s="9">
        <f t="shared" si="20"/>
        <v>55216</v>
      </c>
      <c r="M47" s="23">
        <f t="shared" si="20"/>
        <v>43469</v>
      </c>
      <c r="N47" s="9">
        <f t="shared" si="20"/>
        <v>45462</v>
      </c>
      <c r="O47" s="9">
        <f t="shared" si="20"/>
        <v>49359</v>
      </c>
      <c r="P47" s="9">
        <f t="shared" si="20"/>
        <v>96167</v>
      </c>
      <c r="Q47" s="23">
        <f t="shared" si="20"/>
        <v>84752</v>
      </c>
      <c r="R47" s="9">
        <f>SUM(R40:R46)</f>
        <v>89163</v>
      </c>
      <c r="AD47" s="9">
        <f>SUM(AD40:AD46)</f>
        <v>0</v>
      </c>
      <c r="AE47" s="9">
        <f t="shared" ref="AE47:AG47" si="21">SUM(AE40:AE46)</f>
        <v>0</v>
      </c>
      <c r="AF47" s="9">
        <f t="shared" si="21"/>
        <v>0</v>
      </c>
      <c r="AG47" s="9">
        <f t="shared" si="21"/>
        <v>39306</v>
      </c>
      <c r="AH47" s="9">
        <f t="shared" ref="AH47" si="22">SUM(AH40:AH46)</f>
        <v>55216</v>
      </c>
      <c r="AI47" s="9">
        <f>SUM(AI40:AI46)</f>
        <v>96167</v>
      </c>
    </row>
    <row r="48" spans="2:35" s="10" customFormat="1" x14ac:dyDescent="0.35">
      <c r="B48" s="10" t="s">
        <v>15</v>
      </c>
      <c r="I48" s="24"/>
      <c r="M48" s="24"/>
      <c r="Q48" s="24"/>
    </row>
    <row r="49" spans="2:35" s="7" customFormat="1" x14ac:dyDescent="0.35">
      <c r="B49" s="14" t="s">
        <v>82</v>
      </c>
      <c r="H49" s="7">
        <v>3362</v>
      </c>
      <c r="I49" s="21"/>
      <c r="K49" s="7">
        <v>4830</v>
      </c>
      <c r="L49" s="7">
        <v>19384</v>
      </c>
      <c r="M49" s="21">
        <v>18786</v>
      </c>
      <c r="N49" s="7">
        <v>5824</v>
      </c>
      <c r="O49" s="7">
        <v>6697</v>
      </c>
      <c r="P49" s="7">
        <v>12761</v>
      </c>
      <c r="Q49" s="21">
        <v>12915</v>
      </c>
      <c r="R49" s="7">
        <v>13874</v>
      </c>
      <c r="AG49" s="7">
        <v>3262</v>
      </c>
      <c r="AH49" s="7">
        <v>19384</v>
      </c>
      <c r="AI49" s="7">
        <v>12761</v>
      </c>
    </row>
    <row r="50" spans="2:35" s="7" customFormat="1" x14ac:dyDescent="0.35">
      <c r="B50" s="7" t="s">
        <v>16</v>
      </c>
      <c r="H50" s="7">
        <v>0</v>
      </c>
      <c r="I50" s="21"/>
      <c r="K50" s="7">
        <v>0</v>
      </c>
      <c r="L50" s="7">
        <v>0</v>
      </c>
      <c r="M50" s="21">
        <v>12985</v>
      </c>
      <c r="N50" s="7">
        <v>12080</v>
      </c>
      <c r="O50" s="7">
        <v>14783</v>
      </c>
      <c r="P50" s="7">
        <v>13103</v>
      </c>
      <c r="Q50" s="21">
        <v>12956</v>
      </c>
      <c r="R50" s="7">
        <v>14892</v>
      </c>
      <c r="AG50" s="7">
        <v>0</v>
      </c>
      <c r="AH50" s="7">
        <v>0</v>
      </c>
      <c r="AI50" s="7">
        <v>13103</v>
      </c>
    </row>
    <row r="51" spans="2:35" s="7" customFormat="1" x14ac:dyDescent="0.35">
      <c r="B51" s="7" t="s">
        <v>17</v>
      </c>
      <c r="H51" s="7">
        <v>60961</v>
      </c>
      <c r="I51" s="21"/>
      <c r="K51" s="7">
        <v>87453</v>
      </c>
      <c r="L51" s="7">
        <v>90842</v>
      </c>
      <c r="M51" s="21">
        <v>88352</v>
      </c>
      <c r="N51" s="7">
        <v>57724</v>
      </c>
      <c r="O51" s="7">
        <v>56207</v>
      </c>
      <c r="P51" s="7">
        <v>66871</v>
      </c>
      <c r="Q51" s="21">
        <v>65333</v>
      </c>
      <c r="R51" s="7">
        <v>64409</v>
      </c>
      <c r="AG51" s="7">
        <v>60961</v>
      </c>
      <c r="AH51" s="7">
        <v>90842</v>
      </c>
      <c r="AI51" s="7">
        <v>66871</v>
      </c>
    </row>
    <row r="52" spans="2:35" s="7" customFormat="1" x14ac:dyDescent="0.35">
      <c r="B52" s="7" t="s">
        <v>18</v>
      </c>
      <c r="H52" s="7">
        <v>52711</v>
      </c>
      <c r="I52" s="21"/>
      <c r="K52" s="7">
        <v>69625</v>
      </c>
      <c r="L52" s="7">
        <v>96314</v>
      </c>
      <c r="M52" s="21">
        <v>96230</v>
      </c>
      <c r="N52" s="7">
        <v>56752</v>
      </c>
      <c r="O52" s="7">
        <v>56710</v>
      </c>
      <c r="P52" s="7">
        <v>64618</v>
      </c>
      <c r="Q52" s="21">
        <v>64910</v>
      </c>
      <c r="R52" s="7">
        <v>64994</v>
      </c>
      <c r="AG52" s="7">
        <v>52711</v>
      </c>
      <c r="AH52" s="7">
        <v>96314</v>
      </c>
      <c r="AI52" s="7">
        <v>64618</v>
      </c>
    </row>
    <row r="53" spans="2:35" s="7" customFormat="1" x14ac:dyDescent="0.35">
      <c r="B53" s="7" t="s">
        <v>19</v>
      </c>
      <c r="H53" s="7">
        <v>0</v>
      </c>
      <c r="I53" s="21"/>
      <c r="K53" s="7">
        <v>0</v>
      </c>
      <c r="L53" s="7">
        <v>0</v>
      </c>
      <c r="M53" s="21">
        <v>0</v>
      </c>
      <c r="N53" s="7">
        <v>0</v>
      </c>
      <c r="O53" s="7">
        <v>0</v>
      </c>
      <c r="P53" s="7">
        <v>3269</v>
      </c>
      <c r="Q53" s="21">
        <v>3259</v>
      </c>
      <c r="R53" s="7">
        <v>3495</v>
      </c>
      <c r="AG53" s="7">
        <v>0</v>
      </c>
      <c r="AH53" s="7">
        <v>0</v>
      </c>
      <c r="AI53" s="7">
        <v>3269</v>
      </c>
    </row>
    <row r="54" spans="2:35" s="8" customFormat="1" x14ac:dyDescent="0.35">
      <c r="B54" s="8" t="s">
        <v>20</v>
      </c>
      <c r="H54" s="8">
        <v>534</v>
      </c>
      <c r="I54" s="22"/>
      <c r="K54" s="8">
        <v>125</v>
      </c>
      <c r="L54" s="8">
        <v>0</v>
      </c>
      <c r="M54" s="22">
        <v>0</v>
      </c>
      <c r="N54" s="8">
        <v>756</v>
      </c>
      <c r="O54" s="8">
        <v>616</v>
      </c>
      <c r="P54" s="8">
        <v>909</v>
      </c>
      <c r="Q54" s="22">
        <v>953</v>
      </c>
      <c r="R54" s="8">
        <v>570</v>
      </c>
      <c r="AG54" s="8">
        <v>534</v>
      </c>
      <c r="AH54" s="8">
        <v>0</v>
      </c>
      <c r="AI54" s="8">
        <v>909</v>
      </c>
    </row>
    <row r="55" spans="2:35" s="11" customFormat="1" x14ac:dyDescent="0.35">
      <c r="B55" s="11" t="s">
        <v>21</v>
      </c>
      <c r="F55" s="11">
        <f>SUM(F49:F54)</f>
        <v>0</v>
      </c>
      <c r="G55" s="11">
        <f t="shared" ref="G55:R55" si="23">SUM(G49:G54)</f>
        <v>0</v>
      </c>
      <c r="H55" s="11">
        <f t="shared" si="23"/>
        <v>117568</v>
      </c>
      <c r="I55" s="25">
        <f t="shared" si="23"/>
        <v>0</v>
      </c>
      <c r="J55" s="11">
        <f t="shared" si="23"/>
        <v>0</v>
      </c>
      <c r="K55" s="11">
        <f t="shared" si="23"/>
        <v>162033</v>
      </c>
      <c r="L55" s="11">
        <f t="shared" si="23"/>
        <v>206540</v>
      </c>
      <c r="M55" s="25">
        <f t="shared" si="23"/>
        <v>216353</v>
      </c>
      <c r="N55" s="11">
        <f t="shared" si="23"/>
        <v>133136</v>
      </c>
      <c r="O55" s="11">
        <f t="shared" si="23"/>
        <v>135013</v>
      </c>
      <c r="P55" s="11">
        <f t="shared" si="23"/>
        <v>161531</v>
      </c>
      <c r="Q55" s="25">
        <f t="shared" si="23"/>
        <v>160326</v>
      </c>
      <c r="R55" s="11">
        <f t="shared" si="23"/>
        <v>162234</v>
      </c>
      <c r="AD55" s="11">
        <f>SUM(AD49:AD54)</f>
        <v>0</v>
      </c>
      <c r="AE55" s="11">
        <f t="shared" ref="AE55:AG55" si="24">SUM(AE49:AE54)</f>
        <v>0</v>
      </c>
      <c r="AF55" s="11">
        <f t="shared" si="24"/>
        <v>0</v>
      </c>
      <c r="AG55" s="11">
        <f t="shared" si="24"/>
        <v>117468</v>
      </c>
      <c r="AH55" s="11">
        <f t="shared" ref="AH55" si="25">SUM(AH49:AH54)</f>
        <v>206540</v>
      </c>
      <c r="AI55" s="11">
        <f>SUM(AI49:AI54)</f>
        <v>161531</v>
      </c>
    </row>
    <row r="56" spans="2:35" s="9" customFormat="1" x14ac:dyDescent="0.35">
      <c r="B56" s="9" t="s">
        <v>22</v>
      </c>
      <c r="F56" s="9">
        <f>F55+F47</f>
        <v>0</v>
      </c>
      <c r="G56" s="9">
        <f t="shared" ref="G56:R56" si="26">G55+G47</f>
        <v>0</v>
      </c>
      <c r="H56" s="9">
        <f t="shared" si="26"/>
        <v>156874</v>
      </c>
      <c r="I56" s="23">
        <f t="shared" si="26"/>
        <v>0</v>
      </c>
      <c r="J56" s="9">
        <f t="shared" si="26"/>
        <v>0</v>
      </c>
      <c r="K56" s="9">
        <f t="shared" si="26"/>
        <v>216007</v>
      </c>
      <c r="L56" s="9">
        <f t="shared" si="26"/>
        <v>261756</v>
      </c>
      <c r="M56" s="23">
        <f t="shared" si="26"/>
        <v>259822</v>
      </c>
      <c r="N56" s="9">
        <f t="shared" si="26"/>
        <v>178598</v>
      </c>
      <c r="O56" s="9">
        <f t="shared" si="26"/>
        <v>184372</v>
      </c>
      <c r="P56" s="9">
        <f t="shared" si="26"/>
        <v>257698</v>
      </c>
      <c r="Q56" s="23">
        <f t="shared" si="26"/>
        <v>245078</v>
      </c>
      <c r="R56" s="9">
        <f t="shared" si="26"/>
        <v>251397</v>
      </c>
      <c r="AD56" s="9">
        <f>AD55+AD47</f>
        <v>0</v>
      </c>
      <c r="AE56" s="9">
        <f t="shared" ref="AE56:AG56" si="27">AE55+AE47</f>
        <v>0</v>
      </c>
      <c r="AF56" s="9">
        <f t="shared" si="27"/>
        <v>0</v>
      </c>
      <c r="AG56" s="9">
        <f t="shared" si="27"/>
        <v>156774</v>
      </c>
      <c r="AH56" s="9">
        <f t="shared" ref="AH56" si="28">AH55+AH47</f>
        <v>261756</v>
      </c>
      <c r="AI56" s="9">
        <f>AI55+AI47</f>
        <v>257698</v>
      </c>
    </row>
    <row r="57" spans="2:35" s="10" customFormat="1" x14ac:dyDescent="0.35">
      <c r="B57" s="10" t="s">
        <v>23</v>
      </c>
      <c r="I57" s="24"/>
      <c r="M57" s="24"/>
      <c r="Q57" s="24"/>
    </row>
    <row r="58" spans="2:35" s="7" customFormat="1" x14ac:dyDescent="0.35">
      <c r="B58" s="7" t="s">
        <v>24</v>
      </c>
      <c r="H58" s="7">
        <v>7158</v>
      </c>
      <c r="I58" s="21"/>
      <c r="K58" s="7">
        <v>7390</v>
      </c>
      <c r="L58" s="7">
        <v>13131</v>
      </c>
      <c r="M58" s="21">
        <v>13905</v>
      </c>
      <c r="N58" s="7">
        <v>18408</v>
      </c>
      <c r="O58" s="7">
        <v>17595</v>
      </c>
      <c r="P58" s="7">
        <v>17584</v>
      </c>
      <c r="Q58" s="21">
        <v>14063</v>
      </c>
      <c r="R58" s="7">
        <v>16890</v>
      </c>
      <c r="AG58" s="7">
        <v>7158</v>
      </c>
      <c r="AH58" s="7">
        <v>13131</v>
      </c>
      <c r="AI58" s="7">
        <v>17584</v>
      </c>
    </row>
    <row r="59" spans="2:35" s="7" customFormat="1" x14ac:dyDescent="0.35">
      <c r="B59" s="7" t="s">
        <v>25</v>
      </c>
      <c r="H59" s="7">
        <v>1827</v>
      </c>
      <c r="I59" s="21"/>
      <c r="K59" s="7">
        <v>888</v>
      </c>
      <c r="L59" s="7">
        <v>1000</v>
      </c>
      <c r="M59" s="21">
        <v>1000</v>
      </c>
      <c r="N59" s="7">
        <v>1000</v>
      </c>
      <c r="O59" s="7">
        <v>1000</v>
      </c>
      <c r="P59" s="7">
        <v>1000</v>
      </c>
      <c r="Q59" s="21">
        <v>0</v>
      </c>
      <c r="R59" s="7">
        <v>0</v>
      </c>
      <c r="AG59" s="7">
        <v>1827</v>
      </c>
      <c r="AH59" s="7">
        <v>1000</v>
      </c>
      <c r="AI59" s="7">
        <v>1000</v>
      </c>
    </row>
    <row r="60" spans="2:35" s="7" customFormat="1" x14ac:dyDescent="0.35">
      <c r="B60" s="7" t="s">
        <v>26</v>
      </c>
      <c r="H60" s="7">
        <v>1074</v>
      </c>
      <c r="I60" s="21"/>
      <c r="K60" s="7">
        <v>3827</v>
      </c>
      <c r="L60" s="7">
        <v>2684</v>
      </c>
      <c r="M60" s="21">
        <v>1542</v>
      </c>
      <c r="N60" s="7">
        <v>780</v>
      </c>
      <c r="O60" s="7">
        <v>3476</v>
      </c>
      <c r="P60" s="7">
        <v>2578</v>
      </c>
      <c r="Q60" s="21">
        <v>1679</v>
      </c>
      <c r="R60" s="7">
        <v>780</v>
      </c>
      <c r="AG60" s="7">
        <v>1074</v>
      </c>
      <c r="AH60" s="7">
        <v>2684</v>
      </c>
      <c r="AI60" s="7">
        <v>2578</v>
      </c>
    </row>
    <row r="61" spans="2:35" s="7" customFormat="1" x14ac:dyDescent="0.35">
      <c r="B61" s="7" t="s">
        <v>27</v>
      </c>
      <c r="H61" s="7">
        <v>0</v>
      </c>
      <c r="I61" s="21"/>
      <c r="K61" s="7">
        <v>0</v>
      </c>
      <c r="L61" s="7">
        <v>0</v>
      </c>
      <c r="M61" s="21">
        <v>2871</v>
      </c>
      <c r="N61" s="7">
        <v>2904</v>
      </c>
      <c r="O61" s="7">
        <v>3484</v>
      </c>
      <c r="P61" s="7">
        <v>3214</v>
      </c>
      <c r="Q61" s="21">
        <v>3345</v>
      </c>
      <c r="R61" s="7">
        <v>3614</v>
      </c>
      <c r="AG61" s="7">
        <v>0</v>
      </c>
      <c r="AH61" s="7">
        <v>0</v>
      </c>
      <c r="AI61" s="7">
        <v>3214</v>
      </c>
    </row>
    <row r="62" spans="2:35" s="7" customFormat="1" x14ac:dyDescent="0.35">
      <c r="B62" s="7" t="s">
        <v>28</v>
      </c>
      <c r="H62" s="7">
        <v>0</v>
      </c>
      <c r="I62" s="21"/>
      <c r="K62" s="7">
        <v>0</v>
      </c>
      <c r="L62" s="7">
        <v>0</v>
      </c>
      <c r="M62" s="21">
        <v>0</v>
      </c>
      <c r="N62" s="7">
        <v>0</v>
      </c>
      <c r="O62" s="7">
        <v>0</v>
      </c>
      <c r="P62" s="7">
        <v>299</v>
      </c>
      <c r="Q62" s="21">
        <v>356</v>
      </c>
      <c r="R62" s="7">
        <v>382</v>
      </c>
      <c r="AG62" s="7">
        <v>0</v>
      </c>
      <c r="AH62" s="7">
        <v>0</v>
      </c>
      <c r="AI62" s="7">
        <v>299</v>
      </c>
    </row>
    <row r="63" spans="2:35" s="7" customFormat="1" x14ac:dyDescent="0.35">
      <c r="B63" s="7" t="s">
        <v>29</v>
      </c>
      <c r="H63" s="7">
        <v>7462</v>
      </c>
      <c r="I63" s="21"/>
      <c r="K63" s="7">
        <v>12841</v>
      </c>
      <c r="L63" s="7">
        <v>17118</v>
      </c>
      <c r="M63" s="21">
        <v>19323</v>
      </c>
      <c r="N63" s="7">
        <v>14588</v>
      </c>
      <c r="O63" s="7">
        <v>18909</v>
      </c>
      <c r="P63" s="7">
        <v>36581</v>
      </c>
      <c r="Q63" s="21">
        <v>36275</v>
      </c>
      <c r="R63" s="7">
        <v>34307</v>
      </c>
      <c r="AG63" s="7">
        <v>7462</v>
      </c>
      <c r="AH63" s="7">
        <v>17118</v>
      </c>
      <c r="AI63" s="7">
        <v>36581</v>
      </c>
    </row>
    <row r="64" spans="2:35" s="7" customFormat="1" x14ac:dyDescent="0.35">
      <c r="B64" s="7" t="s">
        <v>30</v>
      </c>
      <c r="H64" s="7">
        <v>15665</v>
      </c>
      <c r="I64" s="21"/>
      <c r="K64" s="7">
        <v>11737</v>
      </c>
      <c r="L64" s="7">
        <v>15734</v>
      </c>
      <c r="M64" s="21">
        <v>13929</v>
      </c>
      <c r="N64" s="7">
        <v>15823</v>
      </c>
      <c r="O64" s="7">
        <v>17373</v>
      </c>
      <c r="P64" s="7">
        <v>29817</v>
      </c>
      <c r="Q64" s="21">
        <v>24999</v>
      </c>
      <c r="R64" s="7">
        <v>33905</v>
      </c>
      <c r="AG64" s="7">
        <v>15665</v>
      </c>
      <c r="AH64" s="7">
        <v>15734</v>
      </c>
      <c r="AI64" s="7">
        <v>29817</v>
      </c>
    </row>
    <row r="65" spans="2:35" s="8" customFormat="1" x14ac:dyDescent="0.35">
      <c r="B65" s="8" t="s">
        <v>31</v>
      </c>
      <c r="H65" s="8">
        <v>378</v>
      </c>
      <c r="I65" s="22"/>
      <c r="K65" s="8">
        <v>823</v>
      </c>
      <c r="L65" s="8">
        <v>1571</v>
      </c>
      <c r="M65" s="22">
        <v>1309</v>
      </c>
      <c r="N65" s="8">
        <v>1829</v>
      </c>
      <c r="O65" s="8">
        <v>1786</v>
      </c>
      <c r="P65" s="8">
        <v>3666</v>
      </c>
      <c r="Q65" s="22">
        <v>3506</v>
      </c>
      <c r="R65" s="8">
        <v>3344</v>
      </c>
      <c r="AG65" s="8">
        <v>378</v>
      </c>
      <c r="AH65" s="8">
        <v>1571</v>
      </c>
      <c r="AI65" s="8">
        <v>3666</v>
      </c>
    </row>
    <row r="66" spans="2:35" s="9" customFormat="1" x14ac:dyDescent="0.35">
      <c r="B66" s="9" t="s">
        <v>32</v>
      </c>
      <c r="F66" s="9">
        <f>SUM(F58:F65)</f>
        <v>0</v>
      </c>
      <c r="G66" s="9">
        <f t="shared" ref="G66:R66" si="29">SUM(G58:G65)</f>
        <v>0</v>
      </c>
      <c r="H66" s="9">
        <f t="shared" si="29"/>
        <v>33564</v>
      </c>
      <c r="I66" s="23">
        <f t="shared" si="29"/>
        <v>0</v>
      </c>
      <c r="J66" s="9">
        <f t="shared" si="29"/>
        <v>0</v>
      </c>
      <c r="K66" s="9">
        <f t="shared" si="29"/>
        <v>37506</v>
      </c>
      <c r="L66" s="9">
        <f t="shared" si="29"/>
        <v>51238</v>
      </c>
      <c r="M66" s="23">
        <f t="shared" si="29"/>
        <v>53879</v>
      </c>
      <c r="N66" s="9">
        <f t="shared" si="29"/>
        <v>55332</v>
      </c>
      <c r="O66" s="9">
        <f t="shared" si="29"/>
        <v>63623</v>
      </c>
      <c r="P66" s="9">
        <f t="shared" si="29"/>
        <v>94739</v>
      </c>
      <c r="Q66" s="23">
        <f t="shared" si="29"/>
        <v>84223</v>
      </c>
      <c r="R66" s="9">
        <f t="shared" si="29"/>
        <v>93222</v>
      </c>
      <c r="AD66" s="9">
        <f>SUM(AD58:AD65)</f>
        <v>0</v>
      </c>
      <c r="AE66" s="9">
        <f t="shared" ref="AE66:AG66" si="30">SUM(AE58:AE65)</f>
        <v>0</v>
      </c>
      <c r="AF66" s="9">
        <f t="shared" si="30"/>
        <v>0</v>
      </c>
      <c r="AG66" s="9">
        <f t="shared" si="30"/>
        <v>33564</v>
      </c>
      <c r="AH66" s="9">
        <f t="shared" ref="AH66" si="31">SUM(AH58:AH65)</f>
        <v>51238</v>
      </c>
      <c r="AI66" s="9">
        <f>SUM(AI58:AI65)</f>
        <v>94739</v>
      </c>
    </row>
    <row r="67" spans="2:35" s="10" customFormat="1" x14ac:dyDescent="0.35">
      <c r="B67" s="10" t="s">
        <v>33</v>
      </c>
      <c r="I67" s="24"/>
      <c r="M67" s="24"/>
      <c r="Q67" s="24"/>
    </row>
    <row r="68" spans="2:35" s="7" customFormat="1" x14ac:dyDescent="0.35">
      <c r="B68" s="7" t="s">
        <v>34</v>
      </c>
      <c r="H68" s="7">
        <v>76642</v>
      </c>
      <c r="I68" s="21"/>
      <c r="K68" s="7">
        <v>74989</v>
      </c>
      <c r="L68" s="7">
        <v>74867</v>
      </c>
      <c r="M68" s="21">
        <v>74745</v>
      </c>
      <c r="N68" s="7">
        <v>84625</v>
      </c>
      <c r="O68" s="7">
        <v>89512</v>
      </c>
      <c r="P68" s="7">
        <v>74745</v>
      </c>
      <c r="Q68" s="21">
        <v>75019</v>
      </c>
      <c r="R68" s="7">
        <v>75046</v>
      </c>
      <c r="AG68" s="7">
        <v>76642</v>
      </c>
      <c r="AH68" s="7">
        <v>74867</v>
      </c>
      <c r="AI68" s="7">
        <v>74745</v>
      </c>
    </row>
    <row r="69" spans="2:35" s="7" customFormat="1" x14ac:dyDescent="0.35">
      <c r="B69" s="7" t="s">
        <v>35</v>
      </c>
      <c r="H69" s="7">
        <v>0</v>
      </c>
      <c r="I69" s="21"/>
      <c r="K69" s="7">
        <v>0</v>
      </c>
      <c r="L69" s="7">
        <v>0</v>
      </c>
      <c r="M69" s="21">
        <v>10373</v>
      </c>
      <c r="N69" s="7">
        <v>9503</v>
      </c>
      <c r="O69" s="7">
        <v>11379</v>
      </c>
      <c r="P69" s="7">
        <v>12670</v>
      </c>
      <c r="Q69" s="21">
        <v>12415</v>
      </c>
      <c r="R69" s="7">
        <v>14049</v>
      </c>
      <c r="AG69" s="7">
        <v>0</v>
      </c>
      <c r="AH69" s="7">
        <v>0</v>
      </c>
      <c r="AI69" s="7">
        <v>12670</v>
      </c>
    </row>
    <row r="70" spans="2:35" s="7" customFormat="1" x14ac:dyDescent="0.35">
      <c r="B70" s="7" t="s">
        <v>84</v>
      </c>
      <c r="H70" s="7">
        <v>0</v>
      </c>
      <c r="I70" s="21"/>
      <c r="K70" s="7">
        <v>0</v>
      </c>
      <c r="L70" s="7">
        <v>0</v>
      </c>
      <c r="M70" s="21">
        <v>0</v>
      </c>
      <c r="N70" s="7">
        <v>0</v>
      </c>
      <c r="O70" s="7">
        <v>0</v>
      </c>
      <c r="P70" s="7">
        <v>579</v>
      </c>
      <c r="Q70" s="21">
        <v>759</v>
      </c>
      <c r="R70" s="7">
        <v>806</v>
      </c>
      <c r="AG70" s="7">
        <v>0</v>
      </c>
      <c r="AH70" s="7">
        <v>0</v>
      </c>
      <c r="AI70" s="7">
        <v>579</v>
      </c>
    </row>
    <row r="71" spans="2:35" s="7" customFormat="1" x14ac:dyDescent="0.35">
      <c r="B71" s="7" t="s">
        <v>36</v>
      </c>
      <c r="H71" s="7">
        <v>0</v>
      </c>
      <c r="I71" s="21"/>
      <c r="K71" s="7">
        <v>18789</v>
      </c>
      <c r="L71" s="7">
        <v>19098</v>
      </c>
      <c r="M71" s="21">
        <v>20336</v>
      </c>
      <c r="N71" s="7">
        <v>3943</v>
      </c>
      <c r="O71" s="7">
        <v>3093</v>
      </c>
      <c r="P71" s="7">
        <v>1314</v>
      </c>
      <c r="Q71" s="21">
        <v>4098</v>
      </c>
      <c r="R71" s="7">
        <v>3325</v>
      </c>
      <c r="AG71" s="7">
        <v>0</v>
      </c>
      <c r="AH71" s="7">
        <v>19098</v>
      </c>
      <c r="AI71" s="7">
        <v>1314</v>
      </c>
    </row>
    <row r="72" spans="2:35" s="7" customFormat="1" x14ac:dyDescent="0.35">
      <c r="B72" s="7" t="s">
        <v>37</v>
      </c>
      <c r="H72" s="7">
        <v>7367</v>
      </c>
      <c r="I72" s="21"/>
      <c r="K72" s="7">
        <v>6415</v>
      </c>
      <c r="L72" s="7">
        <v>8601</v>
      </c>
      <c r="M72" s="21">
        <v>5668</v>
      </c>
      <c r="N72" s="7">
        <v>3772</v>
      </c>
      <c r="O72" s="7">
        <v>1637</v>
      </c>
      <c r="P72" s="7">
        <v>3255</v>
      </c>
      <c r="Q72" s="21">
        <v>3172</v>
      </c>
      <c r="R72" s="7">
        <v>2985</v>
      </c>
      <c r="AG72" s="7">
        <v>7367</v>
      </c>
      <c r="AH72" s="7">
        <v>8601</v>
      </c>
      <c r="AI72" s="7">
        <v>3255</v>
      </c>
    </row>
    <row r="73" spans="2:35" s="8" customFormat="1" x14ac:dyDescent="0.35">
      <c r="B73" s="8" t="s">
        <v>38</v>
      </c>
      <c r="H73" s="8">
        <v>6</v>
      </c>
      <c r="I73" s="22"/>
      <c r="K73" s="8">
        <v>0</v>
      </c>
      <c r="L73" s="8">
        <v>730</v>
      </c>
      <c r="M73" s="22">
        <v>609</v>
      </c>
      <c r="N73" s="8">
        <v>325</v>
      </c>
      <c r="O73" s="8">
        <v>325</v>
      </c>
      <c r="P73" s="8">
        <v>506</v>
      </c>
      <c r="Q73" s="22">
        <v>384</v>
      </c>
      <c r="R73" s="8">
        <v>375</v>
      </c>
      <c r="AG73" s="8">
        <v>6</v>
      </c>
      <c r="AH73" s="8">
        <v>730</v>
      </c>
      <c r="AI73" s="8">
        <v>506</v>
      </c>
    </row>
    <row r="74" spans="2:35" s="11" customFormat="1" x14ac:dyDescent="0.35">
      <c r="B74" s="11" t="s">
        <v>39</v>
      </c>
      <c r="F74" s="11">
        <f>SUM(F68:F73)</f>
        <v>0</v>
      </c>
      <c r="G74" s="11">
        <f t="shared" ref="G74:R74" si="32">SUM(G68:G73)</f>
        <v>0</v>
      </c>
      <c r="H74" s="11">
        <f t="shared" si="32"/>
        <v>84015</v>
      </c>
      <c r="I74" s="25">
        <f t="shared" si="32"/>
        <v>0</v>
      </c>
      <c r="J74" s="11">
        <f t="shared" si="32"/>
        <v>0</v>
      </c>
      <c r="K74" s="11">
        <f t="shared" si="32"/>
        <v>100193</v>
      </c>
      <c r="L74" s="11">
        <f t="shared" si="32"/>
        <v>103296</v>
      </c>
      <c r="M74" s="25">
        <f t="shared" si="32"/>
        <v>111731</v>
      </c>
      <c r="N74" s="11">
        <f t="shared" si="32"/>
        <v>102168</v>
      </c>
      <c r="O74" s="11">
        <f t="shared" si="32"/>
        <v>105946</v>
      </c>
      <c r="P74" s="11">
        <f t="shared" si="32"/>
        <v>93069</v>
      </c>
      <c r="Q74" s="25">
        <f t="shared" si="32"/>
        <v>95847</v>
      </c>
      <c r="R74" s="11">
        <f t="shared" si="32"/>
        <v>96586</v>
      </c>
      <c r="AD74" s="11">
        <f>SUM(AD68:AD73)</f>
        <v>0</v>
      </c>
      <c r="AE74" s="11">
        <f t="shared" ref="AE74:AG74" si="33">SUM(AE68:AE73)</f>
        <v>0</v>
      </c>
      <c r="AF74" s="11">
        <f t="shared" si="33"/>
        <v>0</v>
      </c>
      <c r="AG74" s="11">
        <f t="shared" si="33"/>
        <v>84015</v>
      </c>
      <c r="AH74" s="11">
        <f t="shared" ref="AH74" si="34">SUM(AH68:AH73)</f>
        <v>103296</v>
      </c>
      <c r="AI74" s="11">
        <f>SUM(AI68:AI73)</f>
        <v>93069</v>
      </c>
    </row>
    <row r="75" spans="2:35" s="9" customFormat="1" x14ac:dyDescent="0.35">
      <c r="B75" s="9" t="s">
        <v>40</v>
      </c>
      <c r="F75" s="9">
        <f>F74+F66</f>
        <v>0</v>
      </c>
      <c r="G75" s="9">
        <f t="shared" ref="G75:R75" si="35">G74+G66</f>
        <v>0</v>
      </c>
      <c r="H75" s="9">
        <f t="shared" si="35"/>
        <v>117579</v>
      </c>
      <c r="I75" s="23">
        <f t="shared" si="35"/>
        <v>0</v>
      </c>
      <c r="J75" s="9">
        <f t="shared" si="35"/>
        <v>0</v>
      </c>
      <c r="K75" s="9">
        <f t="shared" si="35"/>
        <v>137699</v>
      </c>
      <c r="L75" s="9">
        <f t="shared" si="35"/>
        <v>154534</v>
      </c>
      <c r="M75" s="23">
        <f t="shared" si="35"/>
        <v>165610</v>
      </c>
      <c r="N75" s="9">
        <f t="shared" si="35"/>
        <v>157500</v>
      </c>
      <c r="O75" s="9">
        <f t="shared" si="35"/>
        <v>169569</v>
      </c>
      <c r="P75" s="9">
        <f t="shared" si="35"/>
        <v>187808</v>
      </c>
      <c r="Q75" s="23">
        <f t="shared" si="35"/>
        <v>180070</v>
      </c>
      <c r="R75" s="9">
        <f t="shared" si="35"/>
        <v>189808</v>
      </c>
      <c r="AD75" s="9">
        <f>AD74+AD66</f>
        <v>0</v>
      </c>
      <c r="AE75" s="9">
        <f t="shared" ref="AE75:AG75" si="36">AE74+AE66</f>
        <v>0</v>
      </c>
      <c r="AF75" s="9">
        <f t="shared" si="36"/>
        <v>0</v>
      </c>
      <c r="AG75" s="9">
        <f t="shared" si="36"/>
        <v>117579</v>
      </c>
      <c r="AH75" s="9">
        <f t="shared" ref="AH75" si="37">AH74+AH66</f>
        <v>154534</v>
      </c>
      <c r="AI75" s="9">
        <f>AI74+AI66</f>
        <v>187808</v>
      </c>
    </row>
    <row r="76" spans="2:35" s="10" customFormat="1" x14ac:dyDescent="0.35">
      <c r="B76" s="10" t="s">
        <v>41</v>
      </c>
      <c r="I76" s="24"/>
      <c r="M76" s="24"/>
      <c r="Q76" s="24"/>
    </row>
    <row r="77" spans="2:35" s="7" customFormat="1" x14ac:dyDescent="0.35">
      <c r="B77" s="7" t="s">
        <v>42</v>
      </c>
      <c r="H77" s="7">
        <v>0</v>
      </c>
      <c r="I77" s="21"/>
      <c r="K77" s="7">
        <v>0</v>
      </c>
      <c r="L77" s="7">
        <v>0</v>
      </c>
      <c r="M77" s="21">
        <v>0</v>
      </c>
      <c r="N77" s="7">
        <v>0</v>
      </c>
      <c r="O77" s="7">
        <v>0</v>
      </c>
      <c r="P77" s="7">
        <v>76365</v>
      </c>
      <c r="Q77" s="21">
        <v>76365</v>
      </c>
      <c r="R77" s="7">
        <v>85395</v>
      </c>
      <c r="AG77" s="7">
        <v>0</v>
      </c>
      <c r="AH77" s="7">
        <v>0</v>
      </c>
      <c r="AI77" s="7">
        <v>76365</v>
      </c>
    </row>
    <row r="78" spans="2:35" s="7" customFormat="1" x14ac:dyDescent="0.35">
      <c r="B78" s="7" t="s">
        <v>43</v>
      </c>
      <c r="H78" s="7">
        <v>0</v>
      </c>
      <c r="I78" s="21"/>
      <c r="K78" s="7">
        <v>0</v>
      </c>
      <c r="L78" s="7">
        <v>0</v>
      </c>
      <c r="M78" s="21">
        <v>0</v>
      </c>
      <c r="N78" s="7">
        <v>0</v>
      </c>
      <c r="O78" s="7">
        <v>0</v>
      </c>
      <c r="P78" s="7">
        <v>0</v>
      </c>
      <c r="Q78" s="21">
        <v>0</v>
      </c>
      <c r="R78" s="7">
        <v>0</v>
      </c>
      <c r="AG78" s="7">
        <v>0</v>
      </c>
      <c r="AH78" s="7">
        <v>0</v>
      </c>
      <c r="AI78" s="7">
        <v>0</v>
      </c>
    </row>
    <row r="79" spans="2:35" s="7" customFormat="1" x14ac:dyDescent="0.35">
      <c r="B79" s="7" t="s">
        <v>44</v>
      </c>
      <c r="H79" s="7">
        <v>4</v>
      </c>
      <c r="I79" s="21"/>
      <c r="K79" s="7">
        <v>6</v>
      </c>
      <c r="L79" s="7">
        <v>6</v>
      </c>
      <c r="M79" s="21">
        <v>6</v>
      </c>
      <c r="N79" s="7">
        <v>6</v>
      </c>
      <c r="O79" s="7">
        <v>6</v>
      </c>
      <c r="P79" s="7">
        <v>6</v>
      </c>
      <c r="Q79" s="21">
        <v>6</v>
      </c>
      <c r="R79" s="7">
        <v>6</v>
      </c>
      <c r="AG79" s="7">
        <v>4</v>
      </c>
      <c r="AH79" s="7">
        <v>6</v>
      </c>
      <c r="AI79" s="7">
        <v>6</v>
      </c>
    </row>
    <row r="80" spans="2:35" s="7" customFormat="1" x14ac:dyDescent="0.35">
      <c r="B80" s="7" t="s">
        <v>45</v>
      </c>
      <c r="H80" s="7">
        <v>0</v>
      </c>
      <c r="I80" s="21"/>
      <c r="K80" s="7">
        <v>0</v>
      </c>
      <c r="L80" s="7">
        <v>0</v>
      </c>
      <c r="M80" s="21">
        <v>0</v>
      </c>
      <c r="N80" s="7">
        <v>0</v>
      </c>
      <c r="O80" s="7">
        <v>0</v>
      </c>
      <c r="P80" s="7">
        <v>-381</v>
      </c>
      <c r="Q80" s="21">
        <v>-381</v>
      </c>
      <c r="R80" s="7">
        <v>-381</v>
      </c>
      <c r="AG80" s="7">
        <v>0</v>
      </c>
      <c r="AH80" s="7">
        <v>0</v>
      </c>
      <c r="AI80" s="7">
        <v>-381</v>
      </c>
    </row>
    <row r="81" spans="2:35" s="7" customFormat="1" x14ac:dyDescent="0.35">
      <c r="B81" s="7" t="s">
        <v>46</v>
      </c>
      <c r="H81" s="7">
        <v>53059</v>
      </c>
      <c r="I81" s="21"/>
      <c r="K81" s="7">
        <v>140295</v>
      </c>
      <c r="L81" s="7">
        <v>183024</v>
      </c>
      <c r="M81" s="21">
        <v>187435</v>
      </c>
      <c r="N81" s="7">
        <v>191707</v>
      </c>
      <c r="O81" s="7">
        <v>196012</v>
      </c>
      <c r="P81" s="7">
        <v>198126</v>
      </c>
      <c r="Q81" s="21">
        <v>200084</v>
      </c>
      <c r="R81" s="7">
        <v>192962</v>
      </c>
      <c r="AG81" s="7">
        <v>53059</v>
      </c>
      <c r="AH81" s="7">
        <v>183024</v>
      </c>
      <c r="AI81" s="7">
        <v>198126</v>
      </c>
    </row>
    <row r="82" spans="2:35" s="7" customFormat="1" x14ac:dyDescent="0.35">
      <c r="B82" s="7" t="s">
        <v>47</v>
      </c>
      <c r="H82" s="7">
        <v>-14374</v>
      </c>
      <c r="I82" s="21"/>
      <c r="K82" s="7">
        <v>-62201</v>
      </c>
      <c r="L82" s="7">
        <v>-75911</v>
      </c>
      <c r="M82" s="21">
        <v>-93204</v>
      </c>
      <c r="N82" s="7">
        <v>-170232</v>
      </c>
      <c r="O82" s="7">
        <v>-180655</v>
      </c>
      <c r="P82" s="7">
        <v>-206528</v>
      </c>
      <c r="Q82" s="21">
        <v>-213786</v>
      </c>
      <c r="R82" s="7">
        <v>-219250</v>
      </c>
      <c r="AG82" s="7">
        <v>-14374</v>
      </c>
      <c r="AH82" s="7">
        <v>-75911</v>
      </c>
      <c r="AI82" s="7">
        <v>-206528</v>
      </c>
    </row>
    <row r="83" spans="2:35" s="8" customFormat="1" x14ac:dyDescent="0.35">
      <c r="B83" s="8" t="s">
        <v>48</v>
      </c>
      <c r="H83" s="8">
        <v>506</v>
      </c>
      <c r="I83" s="22"/>
      <c r="K83" s="8">
        <v>208</v>
      </c>
      <c r="L83" s="8">
        <v>103</v>
      </c>
      <c r="M83" s="22">
        <v>-25</v>
      </c>
      <c r="N83" s="8">
        <v>-383</v>
      </c>
      <c r="O83" s="8">
        <v>-560</v>
      </c>
      <c r="P83" s="8">
        <v>2076</v>
      </c>
      <c r="Q83" s="22">
        <v>2492</v>
      </c>
      <c r="R83" s="8">
        <v>2629</v>
      </c>
      <c r="AG83" s="8">
        <v>506</v>
      </c>
      <c r="AH83" s="8">
        <v>103</v>
      </c>
      <c r="AI83" s="8">
        <v>2076</v>
      </c>
    </row>
    <row r="84" spans="2:35" s="7" customFormat="1" x14ac:dyDescent="0.35">
      <c r="B84" s="7" t="s">
        <v>49</v>
      </c>
      <c r="F84" s="7">
        <f>SUM(F78:F83)</f>
        <v>0</v>
      </c>
      <c r="G84" s="7">
        <f t="shared" ref="G84:R84" si="38">SUM(G78:G83)</f>
        <v>0</v>
      </c>
      <c r="H84" s="7">
        <f t="shared" si="38"/>
        <v>39195</v>
      </c>
      <c r="I84" s="21">
        <f t="shared" si="38"/>
        <v>0</v>
      </c>
      <c r="J84" s="7">
        <f t="shared" si="38"/>
        <v>0</v>
      </c>
      <c r="K84" s="7">
        <f t="shared" si="38"/>
        <v>78308</v>
      </c>
      <c r="L84" s="7">
        <f t="shared" si="38"/>
        <v>107222</v>
      </c>
      <c r="M84" s="21">
        <f t="shared" si="38"/>
        <v>94212</v>
      </c>
      <c r="N84" s="7">
        <f t="shared" si="38"/>
        <v>21098</v>
      </c>
      <c r="O84" s="7">
        <f t="shared" si="38"/>
        <v>14803</v>
      </c>
      <c r="P84" s="7">
        <f t="shared" si="38"/>
        <v>-6701</v>
      </c>
      <c r="Q84" s="21">
        <f t="shared" si="38"/>
        <v>-11585</v>
      </c>
      <c r="R84" s="7">
        <f t="shared" si="38"/>
        <v>-24034</v>
      </c>
      <c r="AD84" s="7">
        <f>SUM(AD78:AD83)</f>
        <v>0</v>
      </c>
      <c r="AE84" s="7">
        <f t="shared" ref="AE84:AG84" si="39">SUM(AE78:AE83)</f>
        <v>0</v>
      </c>
      <c r="AF84" s="7">
        <f t="shared" si="39"/>
        <v>0</v>
      </c>
      <c r="AG84" s="7">
        <f t="shared" si="39"/>
        <v>39195</v>
      </c>
      <c r="AH84" s="7">
        <f t="shared" ref="AH84" si="40">SUM(AH78:AH83)</f>
        <v>107222</v>
      </c>
      <c r="AI84" s="7">
        <f>SUM(AI78:AI83)</f>
        <v>-6701</v>
      </c>
    </row>
    <row r="85" spans="2:35" s="8" customFormat="1" x14ac:dyDescent="0.35">
      <c r="B85" s="8" t="s">
        <v>50</v>
      </c>
      <c r="H85" s="8">
        <v>0</v>
      </c>
      <c r="I85" s="22"/>
      <c r="K85" s="8">
        <v>0</v>
      </c>
      <c r="L85" s="8">
        <v>0</v>
      </c>
      <c r="M85" s="22"/>
      <c r="N85" s="8">
        <v>0</v>
      </c>
      <c r="O85" s="8">
        <v>0</v>
      </c>
      <c r="P85" s="8">
        <v>226</v>
      </c>
      <c r="Q85" s="22">
        <v>228</v>
      </c>
      <c r="R85" s="8">
        <v>228</v>
      </c>
      <c r="AG85" s="8">
        <v>0</v>
      </c>
      <c r="AH85" s="8">
        <v>0</v>
      </c>
      <c r="AI85" s="8">
        <v>226</v>
      </c>
    </row>
    <row r="86" spans="2:35" s="15" customFormat="1" x14ac:dyDescent="0.35">
      <c r="B86" s="15" t="s">
        <v>51</v>
      </c>
      <c r="F86" s="15">
        <f>SUM(F84:F85)</f>
        <v>0</v>
      </c>
      <c r="G86" s="15">
        <f t="shared" ref="G86:R86" si="41">SUM(G84:G85)</f>
        <v>0</v>
      </c>
      <c r="H86" s="15">
        <f t="shared" si="41"/>
        <v>39195</v>
      </c>
      <c r="I86" s="29">
        <f t="shared" si="41"/>
        <v>0</v>
      </c>
      <c r="J86" s="15">
        <f t="shared" si="41"/>
        <v>0</v>
      </c>
      <c r="K86" s="15">
        <f t="shared" si="41"/>
        <v>78308</v>
      </c>
      <c r="L86" s="15">
        <f t="shared" si="41"/>
        <v>107222</v>
      </c>
      <c r="M86" s="29">
        <f t="shared" si="41"/>
        <v>94212</v>
      </c>
      <c r="N86" s="15">
        <f t="shared" si="41"/>
        <v>21098</v>
      </c>
      <c r="O86" s="15">
        <f t="shared" si="41"/>
        <v>14803</v>
      </c>
      <c r="P86" s="15">
        <f t="shared" si="41"/>
        <v>-6475</v>
      </c>
      <c r="Q86" s="29">
        <f t="shared" si="41"/>
        <v>-11357</v>
      </c>
      <c r="R86" s="15">
        <f t="shared" si="41"/>
        <v>-23806</v>
      </c>
      <c r="AD86" s="15">
        <f>SUM(AD84:AD85)</f>
        <v>0</v>
      </c>
      <c r="AE86" s="15">
        <f t="shared" ref="AE86:AG86" si="42">SUM(AE84:AE85)</f>
        <v>0</v>
      </c>
      <c r="AF86" s="15">
        <f t="shared" si="42"/>
        <v>0</v>
      </c>
      <c r="AG86" s="15">
        <f t="shared" si="42"/>
        <v>39195</v>
      </c>
      <c r="AH86" s="15">
        <f t="shared" ref="AH86" si="43">SUM(AH84:AH85)</f>
        <v>107222</v>
      </c>
      <c r="AI86" s="15">
        <f>SUM(AI84:AI85)</f>
        <v>-6475</v>
      </c>
    </row>
    <row r="87" spans="2:35" s="9" customFormat="1" x14ac:dyDescent="0.35">
      <c r="B87" s="9" t="s">
        <v>52</v>
      </c>
      <c r="F87" s="9">
        <f>F86+F75+F77</f>
        <v>0</v>
      </c>
      <c r="G87" s="9">
        <f t="shared" ref="G87:R87" si="44">G86+G75+G77</f>
        <v>0</v>
      </c>
      <c r="H87" s="9">
        <f t="shared" si="44"/>
        <v>156774</v>
      </c>
      <c r="I87" s="23">
        <f t="shared" si="44"/>
        <v>0</v>
      </c>
      <c r="J87" s="9">
        <f t="shared" si="44"/>
        <v>0</v>
      </c>
      <c r="K87" s="9">
        <f t="shared" si="44"/>
        <v>216007</v>
      </c>
      <c r="L87" s="9">
        <f t="shared" si="44"/>
        <v>261756</v>
      </c>
      <c r="M87" s="23">
        <f t="shared" si="44"/>
        <v>259822</v>
      </c>
      <c r="N87" s="9">
        <f t="shared" si="44"/>
        <v>178598</v>
      </c>
      <c r="O87" s="9">
        <f t="shared" si="44"/>
        <v>184372</v>
      </c>
      <c r="P87" s="9">
        <f t="shared" si="44"/>
        <v>257698</v>
      </c>
      <c r="Q87" s="23">
        <f t="shared" si="44"/>
        <v>245078</v>
      </c>
      <c r="R87" s="9">
        <f t="shared" si="44"/>
        <v>251397</v>
      </c>
      <c r="AD87" s="9">
        <f>AD86+AD75+AD77</f>
        <v>0</v>
      </c>
      <c r="AE87" s="9">
        <f t="shared" ref="AE87:AG87" si="45">AE86+AE75+AE77</f>
        <v>0</v>
      </c>
      <c r="AF87" s="9">
        <f t="shared" si="45"/>
        <v>0</v>
      </c>
      <c r="AG87" s="9">
        <f t="shared" si="45"/>
        <v>156774</v>
      </c>
      <c r="AH87" s="9">
        <f t="shared" ref="AH87" si="46">AH86+AH75+AH77</f>
        <v>261756</v>
      </c>
      <c r="AI87" s="9">
        <f>AI86+AI75+AI77</f>
        <v>257698</v>
      </c>
    </row>
    <row r="88" spans="2:35" s="7" customFormat="1" x14ac:dyDescent="0.35">
      <c r="I88" s="21"/>
      <c r="M88" s="21"/>
      <c r="Q88" s="21"/>
    </row>
    <row r="89" spans="2:35" s="7" customFormat="1" x14ac:dyDescent="0.35">
      <c r="B89" s="7" t="s">
        <v>151</v>
      </c>
      <c r="H89" s="7">
        <f>H40</f>
        <v>22076</v>
      </c>
      <c r="I89" s="21">
        <f t="shared" ref="I89:Q89" si="47">I40</f>
        <v>0</v>
      </c>
      <c r="J89" s="7">
        <f t="shared" si="47"/>
        <v>0</v>
      </c>
      <c r="K89" s="7">
        <f t="shared" si="47"/>
        <v>27258</v>
      </c>
      <c r="L89" s="7">
        <f t="shared" si="47"/>
        <v>20523</v>
      </c>
      <c r="M89" s="21">
        <f t="shared" si="47"/>
        <v>5938</v>
      </c>
      <c r="N89" s="7">
        <f t="shared" si="47"/>
        <v>10879</v>
      </c>
      <c r="O89" s="7">
        <f t="shared" si="47"/>
        <v>7031</v>
      </c>
      <c r="P89" s="7">
        <f t="shared" si="47"/>
        <v>28316</v>
      </c>
      <c r="Q89" s="21">
        <f t="shared" si="47"/>
        <v>11273</v>
      </c>
      <c r="R89" s="7">
        <f>R40</f>
        <v>11231</v>
      </c>
    </row>
    <row r="90" spans="2:35" s="7" customFormat="1" x14ac:dyDescent="0.35">
      <c r="B90" s="7" t="s">
        <v>152</v>
      </c>
      <c r="H90" s="7">
        <f>H60+H61+H68+H69</f>
        <v>77716</v>
      </c>
      <c r="I90" s="21">
        <f t="shared" ref="I90:Q90" si="48">I60+I61+I68+I69</f>
        <v>0</v>
      </c>
      <c r="J90" s="7">
        <f t="shared" si="48"/>
        <v>0</v>
      </c>
      <c r="K90" s="7">
        <f t="shared" si="48"/>
        <v>78816</v>
      </c>
      <c r="L90" s="7">
        <f t="shared" si="48"/>
        <v>77551</v>
      </c>
      <c r="M90" s="21">
        <f t="shared" si="48"/>
        <v>89531</v>
      </c>
      <c r="N90" s="7">
        <f t="shared" si="48"/>
        <v>97812</v>
      </c>
      <c r="O90" s="7">
        <f t="shared" si="48"/>
        <v>107851</v>
      </c>
      <c r="P90" s="7">
        <f t="shared" si="48"/>
        <v>93207</v>
      </c>
      <c r="Q90" s="21">
        <f t="shared" si="48"/>
        <v>92458</v>
      </c>
      <c r="R90" s="7">
        <f>R60+R61+R68+R69</f>
        <v>93489</v>
      </c>
    </row>
    <row r="91" spans="2:35" s="7" customFormat="1" x14ac:dyDescent="0.35">
      <c r="B91" s="7" t="s">
        <v>153</v>
      </c>
      <c r="H91" s="7">
        <f>H89-H90</f>
        <v>-55640</v>
      </c>
      <c r="I91" s="21">
        <f t="shared" ref="I91:R91" si="49">I89-I90</f>
        <v>0</v>
      </c>
      <c r="J91" s="7">
        <f t="shared" si="49"/>
        <v>0</v>
      </c>
      <c r="K91" s="7">
        <f t="shared" si="49"/>
        <v>-51558</v>
      </c>
      <c r="L91" s="7">
        <f t="shared" si="49"/>
        <v>-57028</v>
      </c>
      <c r="M91" s="21">
        <f t="shared" si="49"/>
        <v>-83593</v>
      </c>
      <c r="N91" s="7">
        <f t="shared" si="49"/>
        <v>-86933</v>
      </c>
      <c r="O91" s="7">
        <f t="shared" si="49"/>
        <v>-100820</v>
      </c>
      <c r="P91" s="7">
        <f t="shared" si="49"/>
        <v>-64891</v>
      </c>
      <c r="Q91" s="21">
        <f t="shared" si="49"/>
        <v>-81185</v>
      </c>
      <c r="R91" s="7">
        <f t="shared" si="49"/>
        <v>-82258</v>
      </c>
    </row>
    <row r="92" spans="2:35" s="13" customFormat="1" x14ac:dyDescent="0.35">
      <c r="B92" s="13" t="s">
        <v>74</v>
      </c>
      <c r="I92" s="28"/>
      <c r="M92" s="28"/>
      <c r="Q92" s="28"/>
    </row>
    <row r="93" spans="2:35" s="7" customFormat="1" x14ac:dyDescent="0.35">
      <c r="B93" s="7" t="s">
        <v>75</v>
      </c>
      <c r="I93" s="21"/>
      <c r="K93" s="7">
        <v>-34325</v>
      </c>
      <c r="L93" s="7">
        <f>AH93-K93-J93-I93</f>
        <v>-3033</v>
      </c>
      <c r="M93" s="21">
        <v>-11446</v>
      </c>
      <c r="N93" s="7">
        <f>-15584-M93</f>
        <v>-4138</v>
      </c>
      <c r="O93" s="7">
        <f>-26829-N93-M93</f>
        <v>-11245</v>
      </c>
      <c r="P93" s="7">
        <f>AI93-O93-N93-M93</f>
        <v>-4828</v>
      </c>
      <c r="Q93" s="21">
        <v>-14048</v>
      </c>
      <c r="R93" s="7">
        <f>-11204-Q93</f>
        <v>2844</v>
      </c>
      <c r="AG93" s="7">
        <v>-15650</v>
      </c>
      <c r="AH93" s="7">
        <v>-37358</v>
      </c>
      <c r="AI93" s="7">
        <v>-31657</v>
      </c>
    </row>
    <row r="94" spans="2:35" s="8" customFormat="1" x14ac:dyDescent="0.35">
      <c r="B94" s="8" t="s">
        <v>76</v>
      </c>
      <c r="I94" s="22"/>
      <c r="K94" s="8">
        <f>-1840-389</f>
        <v>-2229</v>
      </c>
      <c r="L94" s="8">
        <f>AH94-K94-J94-I94</f>
        <v>135</v>
      </c>
      <c r="M94" s="22">
        <f>-892-122</f>
        <v>-1014</v>
      </c>
      <c r="N94" s="8">
        <f>-1898-175-M94</f>
        <v>-1059</v>
      </c>
      <c r="O94" s="8">
        <f>-2793-639-N94-M94</f>
        <v>-1359</v>
      </c>
      <c r="P94" s="8">
        <f>AI94-O94-N94-M94</f>
        <v>-194</v>
      </c>
      <c r="Q94" s="22">
        <f>-787-12</f>
        <v>-799</v>
      </c>
      <c r="R94" s="8">
        <f>-2223-325-Q94</f>
        <v>-1749</v>
      </c>
      <c r="AG94" s="8">
        <v>-917</v>
      </c>
      <c r="AH94" s="8">
        <v>-2094</v>
      </c>
      <c r="AI94" s="8">
        <v>-3626</v>
      </c>
    </row>
    <row r="95" spans="2:35" s="7" customFormat="1" x14ac:dyDescent="0.35">
      <c r="B95" s="7" t="s">
        <v>77</v>
      </c>
      <c r="F95" s="7">
        <f t="shared" ref="F95" si="50">SUM(F93:F94)</f>
        <v>0</v>
      </c>
      <c r="G95" s="7">
        <f t="shared" ref="G95" si="51">SUM(G93:G94)</f>
        <v>0</v>
      </c>
      <c r="H95" s="7">
        <f t="shared" ref="H95" si="52">SUM(H93:H94)</f>
        <v>0</v>
      </c>
      <c r="I95" s="21">
        <f t="shared" ref="I95" si="53">SUM(I93:I94)</f>
        <v>0</v>
      </c>
      <c r="J95" s="7">
        <f t="shared" ref="J95" si="54">SUM(J93:J94)</f>
        <v>0</v>
      </c>
      <c r="K95" s="7">
        <f t="shared" ref="K95" si="55">SUM(K93:K94)</f>
        <v>-36554</v>
      </c>
      <c r="L95" s="7">
        <f t="shared" ref="L95" si="56">SUM(L93:L94)</f>
        <v>-2898</v>
      </c>
      <c r="M95" s="21">
        <f t="shared" ref="M95" si="57">SUM(M93:M94)</f>
        <v>-12460</v>
      </c>
      <c r="N95" s="7">
        <f t="shared" ref="N95" si="58">SUM(N93:N94)</f>
        <v>-5197</v>
      </c>
      <c r="O95" s="7">
        <f t="shared" ref="O95" si="59">SUM(O93:O94)</f>
        <v>-12604</v>
      </c>
      <c r="P95" s="7">
        <f t="shared" ref="P95" si="60">SUM(P93:P94)</f>
        <v>-5022</v>
      </c>
      <c r="Q95" s="21">
        <f t="shared" ref="Q95:R95" si="61">SUM(Q93:Q94)</f>
        <v>-14847</v>
      </c>
      <c r="R95" s="7">
        <f t="shared" si="61"/>
        <v>1095</v>
      </c>
      <c r="Z95" s="7">
        <f>SUM(Z93:Z94)</f>
        <v>0</v>
      </c>
      <c r="AA95" s="7">
        <f t="shared" ref="AA95:AH95" si="62">SUM(AA93:AA94)</f>
        <v>0</v>
      </c>
      <c r="AB95" s="7">
        <f t="shared" si="62"/>
        <v>0</v>
      </c>
      <c r="AC95" s="7">
        <f t="shared" si="62"/>
        <v>0</v>
      </c>
      <c r="AD95" s="7">
        <f t="shared" si="62"/>
        <v>0</v>
      </c>
      <c r="AE95" s="7">
        <f t="shared" si="62"/>
        <v>0</v>
      </c>
      <c r="AF95" s="7">
        <f t="shared" si="62"/>
        <v>0</v>
      </c>
      <c r="AG95" s="7">
        <f t="shared" si="62"/>
        <v>-16567</v>
      </c>
      <c r="AH95" s="7">
        <f t="shared" si="62"/>
        <v>-39452</v>
      </c>
      <c r="AI95" s="7">
        <f>SUM(AI93:AI94)</f>
        <v>-35283</v>
      </c>
    </row>
    <row r="96" spans="2:35" s="7" customFormat="1" x14ac:dyDescent="0.35">
      <c r="I96" s="21"/>
      <c r="M96" s="21"/>
      <c r="Q96" s="21"/>
    </row>
    <row r="97" spans="2:35" s="7" customFormat="1" x14ac:dyDescent="0.35">
      <c r="B97" s="7" t="s">
        <v>78</v>
      </c>
      <c r="F97" s="7">
        <v>0</v>
      </c>
      <c r="G97" s="7">
        <v>0</v>
      </c>
      <c r="H97" s="7">
        <v>0</v>
      </c>
      <c r="I97" s="21">
        <v>0</v>
      </c>
      <c r="J97" s="7">
        <v>0</v>
      </c>
      <c r="K97" s="7">
        <v>0</v>
      </c>
      <c r="L97" s="7">
        <v>0</v>
      </c>
      <c r="M97" s="21">
        <v>0</v>
      </c>
      <c r="N97" s="7">
        <v>1222</v>
      </c>
      <c r="O97" s="7">
        <v>0</v>
      </c>
      <c r="P97" s="7">
        <f>2956-O97-N97-M97</f>
        <v>1734</v>
      </c>
      <c r="Q97" s="21">
        <v>0</v>
      </c>
      <c r="R97" s="7">
        <v>0</v>
      </c>
      <c r="AC97" s="7">
        <v>0</v>
      </c>
      <c r="AD97" s="7">
        <v>0</v>
      </c>
      <c r="AE97" s="7">
        <v>0</v>
      </c>
      <c r="AF97" s="7">
        <v>0</v>
      </c>
      <c r="AG97" s="7">
        <v>0</v>
      </c>
      <c r="AH97" s="7">
        <v>0</v>
      </c>
      <c r="AI97" s="7">
        <v>2956</v>
      </c>
    </row>
    <row r="98" spans="2:35" s="7" customFormat="1" x14ac:dyDescent="0.35">
      <c r="B98" s="7" t="s">
        <v>79</v>
      </c>
      <c r="F98" s="7">
        <v>0</v>
      </c>
      <c r="G98" s="7">
        <v>0</v>
      </c>
      <c r="H98" s="7">
        <v>0</v>
      </c>
      <c r="I98" s="21">
        <v>0</v>
      </c>
      <c r="J98" s="7">
        <v>0</v>
      </c>
      <c r="K98" s="7">
        <v>0</v>
      </c>
      <c r="L98" s="7">
        <v>0</v>
      </c>
      <c r="M98" s="21">
        <v>0</v>
      </c>
      <c r="N98" s="7">
        <v>6154</v>
      </c>
      <c r="O98" s="7">
        <v>0</v>
      </c>
      <c r="P98" s="7">
        <v>0</v>
      </c>
      <c r="Q98" s="21">
        <v>0</v>
      </c>
      <c r="R98" s="7">
        <v>3866</v>
      </c>
      <c r="AC98" s="7">
        <v>0</v>
      </c>
      <c r="AD98" s="7">
        <v>0</v>
      </c>
      <c r="AE98" s="7">
        <v>0</v>
      </c>
      <c r="AF98" s="7">
        <v>0</v>
      </c>
      <c r="AG98" s="7">
        <v>0</v>
      </c>
      <c r="AH98" s="7">
        <v>0</v>
      </c>
      <c r="AI98" s="7">
        <v>0</v>
      </c>
    </row>
    <row r="99" spans="2:35" s="7" customFormat="1" x14ac:dyDescent="0.35">
      <c r="B99" s="7" t="s">
        <v>80</v>
      </c>
      <c r="F99" s="7">
        <v>0</v>
      </c>
      <c r="G99" s="7">
        <v>0</v>
      </c>
      <c r="H99" s="7">
        <v>0</v>
      </c>
      <c r="I99" s="21">
        <v>0</v>
      </c>
      <c r="J99" s="7">
        <v>0</v>
      </c>
      <c r="K99" s="7">
        <v>0</v>
      </c>
      <c r="L99" s="7">
        <v>0</v>
      </c>
      <c r="M99" s="21">
        <v>0</v>
      </c>
      <c r="N99" s="7">
        <v>0</v>
      </c>
      <c r="O99" s="7">
        <v>0</v>
      </c>
      <c r="P99" s="7">
        <v>-381</v>
      </c>
      <c r="Q99" s="21">
        <v>0</v>
      </c>
      <c r="R99" s="7">
        <v>0</v>
      </c>
      <c r="AC99" s="7">
        <v>0</v>
      </c>
      <c r="AD99" s="7">
        <v>0</v>
      </c>
      <c r="AE99" s="7">
        <v>0</v>
      </c>
      <c r="AF99" s="7">
        <v>0</v>
      </c>
      <c r="AG99" s="7">
        <v>0</v>
      </c>
      <c r="AH99" s="7">
        <v>0</v>
      </c>
      <c r="AI99" s="7">
        <v>-381</v>
      </c>
    </row>
    <row r="100" spans="2:35" s="7" customFormat="1" x14ac:dyDescent="0.35">
      <c r="B100" s="7" t="s">
        <v>81</v>
      </c>
      <c r="I100" s="21"/>
      <c r="M100" s="21">
        <v>0</v>
      </c>
      <c r="N100" s="7">
        <v>0</v>
      </c>
      <c r="O100" s="7">
        <v>0</v>
      </c>
      <c r="Q100" s="21">
        <v>0</v>
      </c>
      <c r="R100" s="7">
        <v>4800</v>
      </c>
    </row>
    <row r="101" spans="2:35" s="7" customFormat="1" x14ac:dyDescent="0.35">
      <c r="I101" s="21"/>
      <c r="M101" s="21"/>
      <c r="Q101" s="21"/>
    </row>
    <row r="102" spans="2:35" s="7" customFormat="1" x14ac:dyDescent="0.35">
      <c r="I102" s="21"/>
      <c r="M102" s="21"/>
      <c r="Q102" s="21"/>
    </row>
    <row r="103" spans="2:35" s="13" customFormat="1" x14ac:dyDescent="0.35">
      <c r="B103" s="13" t="s">
        <v>100</v>
      </c>
      <c r="I103" s="28"/>
      <c r="M103" s="28"/>
      <c r="Q103" s="28"/>
    </row>
    <row r="104" spans="2:35" s="44" customFormat="1" x14ac:dyDescent="0.35">
      <c r="B104" s="44" t="s">
        <v>104</v>
      </c>
      <c r="F104" s="44">
        <f t="shared" ref="F104" si="63">F7*F105</f>
        <v>0</v>
      </c>
      <c r="G104" s="44">
        <f t="shared" ref="G104" si="64">G7*G105</f>
        <v>0</v>
      </c>
      <c r="H104" s="44">
        <f t="shared" ref="H104" si="65">H7*H105</f>
        <v>0</v>
      </c>
      <c r="I104" s="45">
        <f t="shared" ref="I104" si="66">I7*I105</f>
        <v>386880</v>
      </c>
      <c r="J104" s="44">
        <f t="shared" ref="J104" si="67">J7*J105</f>
        <v>377208</v>
      </c>
      <c r="K104" s="44">
        <f t="shared" ref="K104" si="68">K7*K105</f>
        <v>459300.27779999998</v>
      </c>
      <c r="L104" s="44">
        <f t="shared" ref="L104" si="69">L7*L105</f>
        <v>606848.88</v>
      </c>
      <c r="M104" s="45">
        <f t="shared" ref="M104" si="70">M7*M105</f>
        <v>379906.66613999999</v>
      </c>
      <c r="N104" s="44">
        <f t="shared" ref="N104" si="71">N7*N105</f>
        <v>304883.47735999996</v>
      </c>
      <c r="O104" s="44">
        <f t="shared" ref="O104" si="72">O7*O105</f>
        <v>196727.63370000001</v>
      </c>
      <c r="P104" s="44">
        <f t="shared" ref="P104" si="73">P7*P105</f>
        <v>147846.29999999999</v>
      </c>
      <c r="Q104" s="45">
        <f t="shared" ref="Q104" si="74">Q7*Q105</f>
        <v>189627.86145000003</v>
      </c>
      <c r="R104" s="44">
        <f t="shared" ref="R104" si="75">R7*R105</f>
        <v>176809.89417000001</v>
      </c>
      <c r="AC104" s="44">
        <f>AC7*AC105</f>
        <v>0</v>
      </c>
      <c r="AD104" s="44">
        <f t="shared" ref="AD104:AH104" si="76">AD7*AD105</f>
        <v>0</v>
      </c>
      <c r="AE104" s="44">
        <f t="shared" si="76"/>
        <v>0</v>
      </c>
      <c r="AF104" s="44">
        <f t="shared" si="76"/>
        <v>0</v>
      </c>
      <c r="AG104" s="44">
        <f t="shared" si="76"/>
        <v>377580</v>
      </c>
      <c r="AH104" s="44">
        <f t="shared" si="76"/>
        <v>254524.92813999997</v>
      </c>
      <c r="AI104" s="44">
        <f>AI7*AI105</f>
        <v>190270.66776000001</v>
      </c>
    </row>
    <row r="105" spans="2:35" x14ac:dyDescent="0.35">
      <c r="B105" s="7" t="s">
        <v>83</v>
      </c>
      <c r="F105" s="7">
        <f>F35</f>
        <v>0</v>
      </c>
      <c r="G105" s="7">
        <f t="shared" ref="G105:R105" si="77">G35</f>
        <v>37200</v>
      </c>
      <c r="H105" s="7">
        <f t="shared" si="77"/>
        <v>37200</v>
      </c>
      <c r="I105" s="21">
        <f t="shared" si="77"/>
        <v>37200</v>
      </c>
      <c r="J105" s="7">
        <f t="shared" si="77"/>
        <v>37200</v>
      </c>
      <c r="K105" s="7">
        <f t="shared" si="77"/>
        <v>44036.46</v>
      </c>
      <c r="L105" s="7">
        <f t="shared" si="77"/>
        <v>62691</v>
      </c>
      <c r="M105" s="21">
        <f t="shared" si="77"/>
        <v>62690.868999999999</v>
      </c>
      <c r="N105" s="7">
        <f t="shared" si="77"/>
        <v>62992.453999999998</v>
      </c>
      <c r="O105" s="7">
        <f t="shared" si="77"/>
        <v>63460.527000000002</v>
      </c>
      <c r="P105" s="7">
        <f t="shared" si="77"/>
        <v>64281</v>
      </c>
      <c r="Q105" s="21">
        <f t="shared" si="77"/>
        <v>64280.631000000001</v>
      </c>
      <c r="R105" s="7">
        <f t="shared" si="77"/>
        <v>64765.529000000002</v>
      </c>
      <c r="AC105" s="7">
        <f>AC35</f>
        <v>0</v>
      </c>
      <c r="AD105" s="7">
        <f t="shared" ref="AD105:AH105" si="78">AD35</f>
        <v>0</v>
      </c>
      <c r="AE105" s="7">
        <f t="shared" si="78"/>
        <v>0</v>
      </c>
      <c r="AF105" s="7">
        <f t="shared" si="78"/>
        <v>0</v>
      </c>
      <c r="AG105" s="7">
        <f t="shared" si="78"/>
        <v>37200</v>
      </c>
      <c r="AH105" s="7">
        <f t="shared" si="78"/>
        <v>62690.868999999999</v>
      </c>
      <c r="AI105" s="7">
        <f>AI35</f>
        <v>64280.631000000001</v>
      </c>
    </row>
    <row r="106" spans="2:35" s="34" customFormat="1" x14ac:dyDescent="0.35">
      <c r="B106" s="34" t="s">
        <v>105</v>
      </c>
      <c r="F106" s="34" t="e">
        <f>F104/SUM(C14:F14)</f>
        <v>#DIV/0!</v>
      </c>
      <c r="G106" s="34">
        <f t="shared" ref="G106:Q106" si="79">G104/SUM(D14:G14)</f>
        <v>0</v>
      </c>
      <c r="H106" s="34">
        <f t="shared" si="79"/>
        <v>0</v>
      </c>
      <c r="I106" s="35">
        <f t="shared" si="79"/>
        <v>8.756308987619672</v>
      </c>
      <c r="J106" s="34">
        <f t="shared" si="79"/>
        <v>4.9417405772228848</v>
      </c>
      <c r="K106" s="34">
        <f t="shared" si="79"/>
        <v>4.7583063402606554</v>
      </c>
      <c r="L106" s="34">
        <f t="shared" si="79"/>
        <v>4.4102069025661148</v>
      </c>
      <c r="M106" s="35">
        <f t="shared" si="79"/>
        <v>2.7376714429631765</v>
      </c>
      <c r="N106" s="34">
        <f t="shared" si="79"/>
        <v>2.1268467203348447</v>
      </c>
      <c r="O106" s="34">
        <f t="shared" si="79"/>
        <v>1.3299686564944329</v>
      </c>
      <c r="P106" s="34">
        <f t="shared" si="79"/>
        <v>0.92087960684899928</v>
      </c>
      <c r="Q106" s="35">
        <f t="shared" si="79"/>
        <v>1.0234277712413717</v>
      </c>
      <c r="R106" s="34">
        <f>R104/SUM(O14:R14)</f>
        <v>0.84737101640491341</v>
      </c>
      <c r="AC106" s="34" t="e">
        <f>AC104/AC14</f>
        <v>#DIV/0!</v>
      </c>
      <c r="AD106" s="34" t="e">
        <f t="shared" ref="AD106:AH106" si="80">AD104/AD14</f>
        <v>#DIV/0!</v>
      </c>
      <c r="AE106" s="34" t="e">
        <f t="shared" si="80"/>
        <v>#DIV/0!</v>
      </c>
      <c r="AF106" s="34" t="e">
        <f t="shared" si="80"/>
        <v>#DIV/0!</v>
      </c>
      <c r="AG106" s="34">
        <f t="shared" si="80"/>
        <v>9.2578153732990067</v>
      </c>
      <c r="AH106" s="34">
        <f t="shared" si="80"/>
        <v>1.8497316744791097</v>
      </c>
      <c r="AI106" s="34">
        <f>AI104/AI14</f>
        <v>1.1851252126142175</v>
      </c>
    </row>
    <row r="107" spans="2:35" s="34" customFormat="1" x14ac:dyDescent="0.35">
      <c r="B107" s="34" t="s">
        <v>106</v>
      </c>
      <c r="F107" s="34" t="e">
        <f>F104/SUM(C32:F32)</f>
        <v>#DIV/0!</v>
      </c>
      <c r="G107" s="34">
        <f t="shared" ref="G107:Q107" si="81">G104/SUM(D32:G32)</f>
        <v>0</v>
      </c>
      <c r="H107" s="34">
        <f t="shared" si="81"/>
        <v>0</v>
      </c>
      <c r="I107" s="35">
        <f t="shared" si="81"/>
        <v>-38.649350649350652</v>
      </c>
      <c r="J107" s="34">
        <f t="shared" si="81"/>
        <v>-14.557832580757207</v>
      </c>
      <c r="K107" s="34">
        <f t="shared" si="81"/>
        <v>-9.6033679260668663</v>
      </c>
      <c r="L107" s="34">
        <f t="shared" si="81"/>
        <v>-9.8615285113021436</v>
      </c>
      <c r="M107" s="35">
        <f t="shared" si="81"/>
        <v>-5.3390672064196973</v>
      </c>
      <c r="N107" s="34">
        <f t="shared" si="81"/>
        <v>-2.3047820004082156</v>
      </c>
      <c r="O107" s="34">
        <f t="shared" si="81"/>
        <v>-1.6607935038073851</v>
      </c>
      <c r="P107" s="34">
        <f t="shared" si="81"/>
        <v>-1.1319070258848387</v>
      </c>
      <c r="Q107" s="35">
        <f t="shared" si="81"/>
        <v>-1.5726050442852169</v>
      </c>
      <c r="R107" s="34">
        <f>R104/SUM(O32:R32)</f>
        <v>-3.2853300785982387</v>
      </c>
      <c r="AC107" s="34" t="e">
        <f>AC104/AC32</f>
        <v>#DIV/0!</v>
      </c>
      <c r="AD107" s="34" t="e">
        <f t="shared" ref="AD107:AH107" si="82">AD104/AD32</f>
        <v>#DIV/0!</v>
      </c>
      <c r="AE107" s="34" t="e">
        <f t="shared" si="82"/>
        <v>#DIV/0!</v>
      </c>
      <c r="AF107" s="34" t="e">
        <f t="shared" si="82"/>
        <v>#DIV/0!</v>
      </c>
      <c r="AG107" s="34">
        <f t="shared" si="82"/>
        <v>-26.268262139974954</v>
      </c>
      <c r="AH107" s="34">
        <f t="shared" si="82"/>
        <v>-4.1361283153224884</v>
      </c>
      <c r="AI107" s="34">
        <f>AI104/AI32</f>
        <v>-1.456706766806771</v>
      </c>
    </row>
    <row r="108" spans="2:35" s="34" customFormat="1" x14ac:dyDescent="0.35">
      <c r="B108" s="34" t="s">
        <v>107</v>
      </c>
      <c r="F108" s="34" t="e">
        <f>F104/F86</f>
        <v>#DIV/0!</v>
      </c>
      <c r="G108" s="34" t="e">
        <f t="shared" ref="G108:Q108" si="83">G104/G86</f>
        <v>#DIV/0!</v>
      </c>
      <c r="H108" s="34">
        <f t="shared" si="83"/>
        <v>0</v>
      </c>
      <c r="I108" s="35" t="e">
        <f t="shared" si="83"/>
        <v>#DIV/0!</v>
      </c>
      <c r="J108" s="34" t="e">
        <f t="shared" si="83"/>
        <v>#DIV/0!</v>
      </c>
      <c r="K108" s="34">
        <f t="shared" si="83"/>
        <v>5.8653046661899166</v>
      </c>
      <c r="L108" s="34">
        <f t="shared" si="83"/>
        <v>5.6597422170823153</v>
      </c>
      <c r="M108" s="35">
        <f t="shared" si="83"/>
        <v>4.0324657807922559</v>
      </c>
      <c r="N108" s="34">
        <f t="shared" si="83"/>
        <v>14.450823649635035</v>
      </c>
      <c r="O108" s="34">
        <f t="shared" si="83"/>
        <v>13.289713821522664</v>
      </c>
      <c r="P108" s="34">
        <f t="shared" si="83"/>
        <v>-22.833405405405404</v>
      </c>
      <c r="Q108" s="35">
        <f t="shared" si="83"/>
        <v>-16.697002857268647</v>
      </c>
      <c r="R108" s="34">
        <f>R104/R86</f>
        <v>-7.4271147681256835</v>
      </c>
      <c r="AC108" s="34" t="e">
        <f>AC104/AC86</f>
        <v>#DIV/0!</v>
      </c>
      <c r="AD108" s="34" t="e">
        <f t="shared" ref="AD108:AH108" si="84">AD104/AD86</f>
        <v>#DIV/0!</v>
      </c>
      <c r="AE108" s="34" t="e">
        <f t="shared" si="84"/>
        <v>#DIV/0!</v>
      </c>
      <c r="AF108" s="34" t="e">
        <f t="shared" si="84"/>
        <v>#DIV/0!</v>
      </c>
      <c r="AG108" s="34">
        <f t="shared" si="84"/>
        <v>9.6333716035208568</v>
      </c>
      <c r="AH108" s="34">
        <f t="shared" si="84"/>
        <v>2.3738125397772842</v>
      </c>
      <c r="AI108" s="34">
        <f>AI104/AI86</f>
        <v>-29.385431314285714</v>
      </c>
    </row>
    <row r="109" spans="2:35" s="34" customFormat="1" x14ac:dyDescent="0.35">
      <c r="B109" s="34" t="s">
        <v>108</v>
      </c>
      <c r="F109" s="34" t="e">
        <f>F104/SUM(C95:F95)</f>
        <v>#DIV/0!</v>
      </c>
      <c r="G109" s="34" t="e">
        <f t="shared" ref="G109:Q109" si="85">G104/SUM(D95:G95)</f>
        <v>#DIV/0!</v>
      </c>
      <c r="H109" s="34" t="e">
        <f t="shared" si="85"/>
        <v>#DIV/0!</v>
      </c>
      <c r="I109" s="35" t="e">
        <f t="shared" si="85"/>
        <v>#DIV/0!</v>
      </c>
      <c r="J109" s="34" t="e">
        <f t="shared" si="85"/>
        <v>#DIV/0!</v>
      </c>
      <c r="K109" s="34">
        <f t="shared" si="85"/>
        <v>-12.564979969360397</v>
      </c>
      <c r="L109" s="34">
        <f t="shared" si="85"/>
        <v>-15.381954780492752</v>
      </c>
      <c r="M109" s="35">
        <f t="shared" si="85"/>
        <v>-7.3182822110494676</v>
      </c>
      <c r="N109" s="34">
        <f t="shared" si="85"/>
        <v>-5.3386239885131932</v>
      </c>
      <c r="O109" s="34">
        <f t="shared" si="85"/>
        <v>-5.9328578575952235</v>
      </c>
      <c r="P109" s="34">
        <f t="shared" si="85"/>
        <v>-4.190298444009863</v>
      </c>
      <c r="Q109" s="35">
        <f t="shared" si="85"/>
        <v>-5.0339225232280338</v>
      </c>
      <c r="R109" s="34">
        <f>R104/SUM(O95:R95)</f>
        <v>-5.6348363238574803</v>
      </c>
      <c r="AC109" s="34" t="e">
        <f>AC104/AC95</f>
        <v>#DIV/0!</v>
      </c>
      <c r="AD109" s="34" t="e">
        <f t="shared" ref="AD109:AH109" si="86">AD104/AD95</f>
        <v>#DIV/0!</v>
      </c>
      <c r="AE109" s="34" t="e">
        <f t="shared" si="86"/>
        <v>#DIV/0!</v>
      </c>
      <c r="AF109" s="34" t="e">
        <f t="shared" si="86"/>
        <v>#DIV/0!</v>
      </c>
      <c r="AG109" s="34">
        <f t="shared" si="86"/>
        <v>-22.791090722520675</v>
      </c>
      <c r="AH109" s="34">
        <f t="shared" si="86"/>
        <v>-6.4515088750887148</v>
      </c>
      <c r="AI109" s="34">
        <f>AI104/AI95</f>
        <v>-5.3927009540005102</v>
      </c>
    </row>
    <row r="110" spans="2:35" s="34" customFormat="1" x14ac:dyDescent="0.35">
      <c r="B110" s="34" t="s">
        <v>72</v>
      </c>
      <c r="F110" s="34" t="e">
        <f>F32/F35</f>
        <v>#DIV/0!</v>
      </c>
      <c r="G110" s="34">
        <f t="shared" ref="G110:Q110" si="87">G32/G35</f>
        <v>-6.2795698924731178E-2</v>
      </c>
      <c r="H110" s="34">
        <f t="shared" si="87"/>
        <v>0</v>
      </c>
      <c r="I110" s="35">
        <f t="shared" si="87"/>
        <v>-0.20629032258064517</v>
      </c>
      <c r="J110" s="34">
        <f t="shared" si="87"/>
        <v>-0.42744623655913977</v>
      </c>
      <c r="K110" s="34">
        <f t="shared" si="87"/>
        <v>-0.55072546703345371</v>
      </c>
      <c r="L110" s="34">
        <f t="shared" si="87"/>
        <v>-0.21869167823132507</v>
      </c>
      <c r="M110" s="35">
        <f t="shared" si="87"/>
        <v>-0.27584559403698805</v>
      </c>
      <c r="N110" s="34">
        <f t="shared" si="87"/>
        <v>-1.2228131325063158</v>
      </c>
      <c r="O110" s="34">
        <f t="shared" si="87"/>
        <v>-0.16424382986923508</v>
      </c>
      <c r="P110" s="34">
        <f t="shared" si="87"/>
        <v>-0.40249840543862103</v>
      </c>
      <c r="Q110" s="35">
        <f t="shared" si="87"/>
        <v>-0.11291115048326143</v>
      </c>
      <c r="R110" s="34">
        <f>R32/R35</f>
        <v>-0.1584793663925759</v>
      </c>
    </row>
    <row r="111" spans="2:35" s="34" customFormat="1" x14ac:dyDescent="0.35">
      <c r="I111" s="35"/>
      <c r="M111" s="35"/>
      <c r="Q111" s="35"/>
    </row>
    <row r="112" spans="2:35" s="40" customFormat="1" x14ac:dyDescent="0.35">
      <c r="B112" s="40" t="s">
        <v>121</v>
      </c>
      <c r="I112" s="41"/>
      <c r="M112" s="41"/>
      <c r="Q112" s="41"/>
    </row>
    <row r="113" spans="2:35" s="42" customFormat="1" x14ac:dyDescent="0.35">
      <c r="B113" s="42" t="s">
        <v>122</v>
      </c>
      <c r="F113" s="42" t="e">
        <f>(F14-B14)/ABS(B14)</f>
        <v>#VALUE!</v>
      </c>
      <c r="G113" s="42" t="e">
        <f t="shared" ref="G113:Q113" si="88">(G14-C14)/ABS(C14)</f>
        <v>#DIV/0!</v>
      </c>
      <c r="H113" s="42" t="e">
        <f t="shared" si="88"/>
        <v>#DIV/0!</v>
      </c>
      <c r="I113" s="43" t="e">
        <f t="shared" si="88"/>
        <v>#DIV/0!</v>
      </c>
      <c r="J113" s="42" t="e">
        <f t="shared" si="88"/>
        <v>#DIV/0!</v>
      </c>
      <c r="K113" s="42">
        <f t="shared" si="88"/>
        <v>1.6175410492591109</v>
      </c>
      <c r="L113" s="42" t="e">
        <f t="shared" si="88"/>
        <v>#DIV/0!</v>
      </c>
      <c r="M113" s="43">
        <f t="shared" si="88"/>
        <v>3.6879298378446591E-2</v>
      </c>
      <c r="N113" s="42">
        <f t="shared" si="88"/>
        <v>0.14246609431379867</v>
      </c>
      <c r="O113" s="42">
        <f t="shared" si="88"/>
        <v>0.13981028151774785</v>
      </c>
      <c r="P113" s="42">
        <f t="shared" si="88"/>
        <v>0.30748630553864881</v>
      </c>
      <c r="Q113" s="43">
        <f t="shared" si="88"/>
        <v>0.75266985121854746</v>
      </c>
      <c r="R113" s="42">
        <f>(R14-N14)/ABS(N14)</f>
        <v>0.63629928120235246</v>
      </c>
      <c r="AC113" s="42" t="e">
        <f>(AC14-AB14)/ABS(AB14)</f>
        <v>#DIV/0!</v>
      </c>
      <c r="AD113" s="42" t="e">
        <f t="shared" ref="AD113:AH113" si="89">(AD14-AC14)/ABS(AC14)</f>
        <v>#DIV/0!</v>
      </c>
      <c r="AE113" s="42" t="e">
        <f t="shared" si="89"/>
        <v>#DIV/0!</v>
      </c>
      <c r="AF113" s="42" t="e">
        <f t="shared" si="89"/>
        <v>#DIV/0!</v>
      </c>
      <c r="AG113" s="42" t="e">
        <f t="shared" si="89"/>
        <v>#DIV/0!</v>
      </c>
      <c r="AH113" s="42">
        <f t="shared" si="89"/>
        <v>2.3738139021699154</v>
      </c>
      <c r="AI113" s="42">
        <f>(AI14-AH14)/ABS(AH14)</f>
        <v>0.16677204380782115</v>
      </c>
    </row>
    <row r="114" spans="2:35" s="42" customFormat="1" x14ac:dyDescent="0.35">
      <c r="B114" s="42" t="s">
        <v>123</v>
      </c>
      <c r="F114" s="42" t="e">
        <f>(F32-B32)/ABS(B32)</f>
        <v>#VALUE!</v>
      </c>
      <c r="G114" s="42" t="e">
        <f t="shared" ref="G114:Q114" si="90">(G32-C32)/ABS(C32)</f>
        <v>#DIV/0!</v>
      </c>
      <c r="H114" s="42" t="e">
        <f t="shared" si="90"/>
        <v>#DIV/0!</v>
      </c>
      <c r="I114" s="43" t="e">
        <f t="shared" si="90"/>
        <v>#DIV/0!</v>
      </c>
      <c r="J114" s="42" t="e">
        <f t="shared" si="90"/>
        <v>#DIV/0!</v>
      </c>
      <c r="K114" s="42">
        <f t="shared" si="90"/>
        <v>-9.381849315068493</v>
      </c>
      <c r="L114" s="42" t="e">
        <f t="shared" si="90"/>
        <v>#DIV/0!</v>
      </c>
      <c r="M114" s="43">
        <f t="shared" si="90"/>
        <v>-1.2534532186604117</v>
      </c>
      <c r="N114" s="42">
        <f t="shared" si="90"/>
        <v>-3.8442236337337272</v>
      </c>
      <c r="O114" s="42">
        <f t="shared" si="90"/>
        <v>0.57022101269998349</v>
      </c>
      <c r="P114" s="42">
        <f t="shared" si="90"/>
        <v>-0.88716265499635305</v>
      </c>
      <c r="Q114" s="43">
        <f t="shared" si="90"/>
        <v>0.58029260394379234</v>
      </c>
      <c r="R114" s="42">
        <f>(R32-N32)/ABS(N32)</f>
        <v>0.8667497533364491</v>
      </c>
      <c r="AC114" s="42" t="e">
        <f>(AC32-AB32)/ABS(AB32)</f>
        <v>#DIV/0!</v>
      </c>
      <c r="AD114" s="42" t="e">
        <f t="shared" ref="AD114:AH114" si="91">(AD32-AC32)/ABS(AC32)</f>
        <v>#DIV/0!</v>
      </c>
      <c r="AE114" s="42" t="e">
        <f t="shared" si="91"/>
        <v>#DIV/0!</v>
      </c>
      <c r="AF114" s="42" t="e">
        <f t="shared" si="91"/>
        <v>#DIV/0!</v>
      </c>
      <c r="AG114" s="42" t="e">
        <f t="shared" si="91"/>
        <v>#DIV/0!</v>
      </c>
      <c r="AH114" s="42">
        <f t="shared" si="91"/>
        <v>-3.2811326005287325</v>
      </c>
      <c r="AI114" s="42">
        <f>(AI32-AH32)/ABS(AH32)</f>
        <v>-1.1225766611957033</v>
      </c>
    </row>
    <row r="115" spans="2:35" s="42" customFormat="1" x14ac:dyDescent="0.35">
      <c r="B115" s="42" t="s">
        <v>77</v>
      </c>
      <c r="F115" s="42" t="e">
        <f>(F95-B95)/ABS(B95)</f>
        <v>#VALUE!</v>
      </c>
      <c r="G115" s="42" t="e">
        <f t="shared" ref="G115:Q115" si="92">(G95-C95)/ABS(C95)</f>
        <v>#DIV/0!</v>
      </c>
      <c r="H115" s="42" t="e">
        <f t="shared" si="92"/>
        <v>#DIV/0!</v>
      </c>
      <c r="I115" s="43" t="e">
        <f t="shared" si="92"/>
        <v>#DIV/0!</v>
      </c>
      <c r="J115" s="42" t="e">
        <f t="shared" si="92"/>
        <v>#DIV/0!</v>
      </c>
      <c r="K115" s="42" t="e">
        <f t="shared" si="92"/>
        <v>#DIV/0!</v>
      </c>
      <c r="L115" s="42" t="e">
        <f t="shared" si="92"/>
        <v>#DIV/0!</v>
      </c>
      <c r="M115" s="43" t="e">
        <f t="shared" si="92"/>
        <v>#DIV/0!</v>
      </c>
      <c r="N115" s="42" t="e">
        <f t="shared" si="92"/>
        <v>#DIV/0!</v>
      </c>
      <c r="O115" s="42">
        <f t="shared" si="92"/>
        <v>0.6551950538928708</v>
      </c>
      <c r="P115" s="42">
        <f t="shared" si="92"/>
        <v>-0.73291925465838514</v>
      </c>
      <c r="Q115" s="43">
        <f t="shared" si="92"/>
        <v>-0.19157303370786516</v>
      </c>
      <c r="R115" s="42">
        <f>(R95-N95)/ABS(N95)</f>
        <v>1.2106984798922455</v>
      </c>
      <c r="AC115" s="42" t="e">
        <f>(AC95-AB95)/ABS(AB95)</f>
        <v>#DIV/0!</v>
      </c>
      <c r="AD115" s="42" t="e">
        <f t="shared" ref="AD115:AH115" si="93">(AD95-AC95)/ABS(AC95)</f>
        <v>#DIV/0!</v>
      </c>
      <c r="AE115" s="42" t="e">
        <f t="shared" si="93"/>
        <v>#DIV/0!</v>
      </c>
      <c r="AF115" s="42" t="e">
        <f t="shared" si="93"/>
        <v>#DIV/0!</v>
      </c>
      <c r="AG115" s="42" t="e">
        <f t="shared" si="93"/>
        <v>#DIV/0!</v>
      </c>
      <c r="AH115" s="42">
        <f t="shared" si="93"/>
        <v>-1.3813605360053118</v>
      </c>
      <c r="AI115" s="42">
        <f>(AI95-AH95)/ABS(AH95)</f>
        <v>0.10567271621210585</v>
      </c>
    </row>
    <row r="116" spans="2:35" s="42" customFormat="1" x14ac:dyDescent="0.35">
      <c r="I116" s="43"/>
      <c r="M116" s="43"/>
      <c r="Q116" s="43"/>
    </row>
    <row r="117" spans="2:35" s="42" customFormat="1" x14ac:dyDescent="0.35">
      <c r="I117" s="43"/>
      <c r="M117" s="43"/>
      <c r="Q117" s="43"/>
    </row>
    <row r="118" spans="2:35" s="42" customFormat="1" x14ac:dyDescent="0.35">
      <c r="I118" s="43"/>
      <c r="M118" s="43"/>
      <c r="Q118" s="43"/>
    </row>
    <row r="119" spans="2:35" s="49" customFormat="1" x14ac:dyDescent="0.35">
      <c r="B119" s="49" t="s">
        <v>195</v>
      </c>
      <c r="I119" s="50"/>
      <c r="M119" s="50"/>
      <c r="Q119" s="50"/>
    </row>
    <row r="120" spans="2:35" x14ac:dyDescent="0.35">
      <c r="B120" t="s">
        <v>196</v>
      </c>
      <c r="O120">
        <v>-0.12</v>
      </c>
      <c r="P120">
        <v>-0.13</v>
      </c>
      <c r="Q120" s="17">
        <v>-0.18</v>
      </c>
      <c r="R120">
        <v>-0.16</v>
      </c>
    </row>
    <row r="121" spans="2:35" x14ac:dyDescent="0.35">
      <c r="B121" t="s">
        <v>197</v>
      </c>
      <c r="O121">
        <v>-0.16</v>
      </c>
      <c r="P121">
        <v>-0.43</v>
      </c>
      <c r="Q121" s="17">
        <v>-0.18</v>
      </c>
      <c r="R121">
        <v>-0.16</v>
      </c>
    </row>
    <row r="122" spans="2:35" s="42" customFormat="1" x14ac:dyDescent="0.35">
      <c r="B122" s="42" t="s">
        <v>198</v>
      </c>
      <c r="I122" s="43"/>
      <c r="M122" s="43"/>
      <c r="O122" s="42">
        <f>(O121-O120)/ABS(O120)</f>
        <v>-0.33333333333333343</v>
      </c>
      <c r="P122" s="42">
        <f>(P121-P120)/ABS(P120)</f>
        <v>-2.3076923076923075</v>
      </c>
      <c r="Q122" s="43">
        <f>(Q121-Q120)/ABS(Q120)</f>
        <v>0</v>
      </c>
      <c r="R122" s="42">
        <f>(R121-R120)/ABS(R120)</f>
        <v>0</v>
      </c>
    </row>
  </sheetData>
  <pageMargins left="0.7" right="0.7" top="0.75" bottom="0.75" header="0.3" footer="0.3"/>
  <ignoredErrors>
    <ignoredError sqref="AH84:AI84 R84:T84 R86:T87 S85:T85 L84:Q84 I106:K106" formulaRange="1"/>
    <ignoredError sqref="L30:P31 L28:P28"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2023-09-17T18:28:44Z</dcterms:created>
  <dcterms:modified xsi:type="dcterms:W3CDTF">2023-09-19T06:16:44Z</dcterms:modified>
</cp:coreProperties>
</file>