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2195" documentId="11_F25DC773A252ABDACC10487F99996F625BDE58E4" xr6:coauthVersionLast="47" xr6:coauthVersionMax="47" xr10:uidLastSave="{EC6548F6-6AA6-46F6-B88D-50707EB21840}"/>
  <bookViews>
    <workbookView xWindow="-110" yWindow="-110" windowWidth="38620" windowHeight="21820" activeTab="3" xr2:uid="{00000000-000D-0000-FFFF-FFFF00000000}"/>
  </bookViews>
  <sheets>
    <sheet name="Main" sheetId="3" r:id="rId1"/>
    <sheet name="Info" sheetId="2" r:id="rId2"/>
    <sheet name="Model" sheetId="1" r:id="rId3"/>
    <sheet name="New Mode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34" i="4" l="1"/>
  <c r="AV35" i="4"/>
  <c r="AT28" i="4"/>
  <c r="AU28" i="4" s="1"/>
  <c r="AV28" i="4" s="1"/>
  <c r="AW28" i="4" s="1"/>
  <c r="AX28" i="4" s="1"/>
  <c r="AY28" i="4" s="1"/>
  <c r="AZ28" i="4" s="1"/>
  <c r="BA28" i="4" s="1"/>
  <c r="BB28" i="4" s="1"/>
  <c r="BC28" i="4" s="1"/>
  <c r="BD28" i="4" s="1"/>
  <c r="BE28" i="4" s="1"/>
  <c r="BF28" i="4" s="1"/>
  <c r="BG28" i="4" s="1"/>
  <c r="BH28" i="4" s="1"/>
  <c r="BI28" i="4" s="1"/>
  <c r="BJ28" i="4" s="1"/>
  <c r="BK28" i="4" s="1"/>
  <c r="BL28" i="4" s="1"/>
  <c r="BM28" i="4" s="1"/>
  <c r="BN28" i="4" s="1"/>
  <c r="BO28" i="4" s="1"/>
  <c r="BP28" i="4" s="1"/>
  <c r="BQ28" i="4" s="1"/>
  <c r="BR28" i="4" s="1"/>
  <c r="BS28" i="4" s="1"/>
  <c r="BT28" i="4" s="1"/>
  <c r="BU28" i="4" s="1"/>
  <c r="BV28" i="4" s="1"/>
  <c r="BW28" i="4" s="1"/>
  <c r="BX28" i="4" s="1"/>
  <c r="BY28" i="4" s="1"/>
  <c r="BZ28" i="4" s="1"/>
  <c r="CA28" i="4" s="1"/>
  <c r="CB28" i="4" s="1"/>
  <c r="CC28" i="4" s="1"/>
  <c r="CD28" i="4" s="1"/>
  <c r="CE28" i="4" s="1"/>
  <c r="CF28" i="4" s="1"/>
  <c r="CG28" i="4" s="1"/>
  <c r="CH28" i="4" s="1"/>
  <c r="CI28" i="4" s="1"/>
  <c r="CJ28" i="4" s="1"/>
  <c r="CK28" i="4" s="1"/>
  <c r="CL28" i="4" s="1"/>
  <c r="CM28" i="4" s="1"/>
  <c r="CN28" i="4" s="1"/>
  <c r="CO28" i="4" s="1"/>
  <c r="CP28" i="4" s="1"/>
  <c r="CQ28" i="4" s="1"/>
  <c r="CR28" i="4" s="1"/>
  <c r="CS28" i="4" s="1"/>
  <c r="AS28" i="4"/>
  <c r="AH26" i="4"/>
  <c r="AI26" i="4"/>
  <c r="AJ26" i="4"/>
  <c r="AK26" i="4"/>
  <c r="AL26" i="4"/>
  <c r="AM26" i="4"/>
  <c r="AN26" i="4"/>
  <c r="AO26" i="4"/>
  <c r="AP26" i="4"/>
  <c r="AQ26" i="4"/>
  <c r="AR26" i="4"/>
  <c r="AG26" i="4"/>
  <c r="S44" i="4"/>
  <c r="T44" i="4"/>
  <c r="U44" i="4"/>
  <c r="V44" i="4"/>
  <c r="W44" i="4"/>
  <c r="X44" i="4"/>
  <c r="Y44" i="4"/>
  <c r="Z44" i="4"/>
  <c r="AA44" i="4"/>
  <c r="AB44" i="4"/>
  <c r="AC44" i="4"/>
  <c r="AD44" i="4"/>
  <c r="AE44" i="4"/>
  <c r="R44" i="4"/>
  <c r="AF44" i="4"/>
  <c r="AH18" i="4"/>
  <c r="AI18" i="4"/>
  <c r="AJ18" i="4"/>
  <c r="AK18" i="4"/>
  <c r="AL18" i="4"/>
  <c r="AM18" i="4"/>
  <c r="AN18" i="4"/>
  <c r="AO18" i="4"/>
  <c r="AP18" i="4"/>
  <c r="AQ18" i="4"/>
  <c r="AR18" i="4"/>
  <c r="AG18" i="4"/>
  <c r="AH16" i="4"/>
  <c r="AI16" i="4"/>
  <c r="AJ16" i="4" s="1"/>
  <c r="AG16" i="4"/>
  <c r="S47" i="4"/>
  <c r="T47" i="4"/>
  <c r="U47" i="4"/>
  <c r="V47" i="4"/>
  <c r="W47" i="4"/>
  <c r="X47" i="4"/>
  <c r="Y47" i="4"/>
  <c r="Z47" i="4"/>
  <c r="AA47" i="4"/>
  <c r="AB47" i="4"/>
  <c r="AC47" i="4"/>
  <c r="AD47" i="4"/>
  <c r="AE47" i="4"/>
  <c r="S48" i="4"/>
  <c r="T48" i="4"/>
  <c r="U48" i="4"/>
  <c r="V48" i="4"/>
  <c r="W48" i="4"/>
  <c r="X48" i="4"/>
  <c r="Y48" i="4"/>
  <c r="Z48" i="4"/>
  <c r="AA48" i="4"/>
  <c r="AB48" i="4"/>
  <c r="AC48" i="4"/>
  <c r="AD48" i="4"/>
  <c r="AE48" i="4"/>
  <c r="S49" i="4"/>
  <c r="T49" i="4"/>
  <c r="U49" i="4"/>
  <c r="V49" i="4"/>
  <c r="W49" i="4"/>
  <c r="X49" i="4"/>
  <c r="Y49" i="4"/>
  <c r="Z49" i="4"/>
  <c r="AA49" i="4"/>
  <c r="AB49" i="4"/>
  <c r="AC49" i="4"/>
  <c r="AD49" i="4"/>
  <c r="AE49" i="4"/>
  <c r="S50" i="4"/>
  <c r="T50" i="4"/>
  <c r="U50" i="4"/>
  <c r="V50" i="4"/>
  <c r="W50" i="4"/>
  <c r="X50" i="4"/>
  <c r="Y50" i="4"/>
  <c r="Z50" i="4"/>
  <c r="AA50" i="4"/>
  <c r="AB50" i="4"/>
  <c r="AC50" i="4"/>
  <c r="AD50" i="4"/>
  <c r="AE50" i="4"/>
  <c r="R50" i="4"/>
  <c r="R49" i="4"/>
  <c r="R48" i="4"/>
  <c r="R47" i="4"/>
  <c r="AF50" i="4"/>
  <c r="AF49" i="4"/>
  <c r="AF48" i="4"/>
  <c r="AF47" i="4"/>
  <c r="AH1" i="4"/>
  <c r="AI1" i="4"/>
  <c r="AJ1" i="4" s="1"/>
  <c r="AK1" i="4" s="1"/>
  <c r="AL1" i="4" s="1"/>
  <c r="AM1" i="4" s="1"/>
  <c r="AN1" i="4" s="1"/>
  <c r="AO1" i="4" s="1"/>
  <c r="AP1" i="4" s="1"/>
  <c r="AQ1" i="4" s="1"/>
  <c r="AR1" i="4" s="1"/>
  <c r="AG1" i="4"/>
  <c r="S41" i="4"/>
  <c r="T41" i="4"/>
  <c r="U41" i="4"/>
  <c r="V41" i="4"/>
  <c r="W41" i="4"/>
  <c r="X41" i="4"/>
  <c r="Y41" i="4"/>
  <c r="Z41" i="4"/>
  <c r="AA41" i="4"/>
  <c r="AB41" i="4"/>
  <c r="AC41" i="4"/>
  <c r="AD41" i="4"/>
  <c r="AE41" i="4"/>
  <c r="S42" i="4"/>
  <c r="T42" i="4"/>
  <c r="U42" i="4"/>
  <c r="V42" i="4"/>
  <c r="W42" i="4"/>
  <c r="X42" i="4"/>
  <c r="Y42" i="4"/>
  <c r="Z42" i="4"/>
  <c r="AA42" i="4"/>
  <c r="AB42" i="4"/>
  <c r="AC42" i="4"/>
  <c r="AD42" i="4"/>
  <c r="AE42" i="4"/>
  <c r="S43" i="4"/>
  <c r="T43" i="4"/>
  <c r="U43" i="4"/>
  <c r="V43" i="4"/>
  <c r="W43" i="4"/>
  <c r="X43" i="4"/>
  <c r="Y43" i="4"/>
  <c r="Z43" i="4"/>
  <c r="AA43" i="4"/>
  <c r="AB43" i="4"/>
  <c r="AC43" i="4"/>
  <c r="AD43" i="4"/>
  <c r="AE43" i="4"/>
  <c r="R43" i="4"/>
  <c r="R42" i="4"/>
  <c r="R41" i="4"/>
  <c r="AF43" i="4"/>
  <c r="AF42" i="4"/>
  <c r="AF41" i="4"/>
  <c r="AA20" i="4"/>
  <c r="AB20" i="4"/>
  <c r="AC20" i="4"/>
  <c r="S12" i="4"/>
  <c r="T12" i="4"/>
  <c r="U12" i="4"/>
  <c r="V12" i="4"/>
  <c r="W12" i="4"/>
  <c r="X12" i="4"/>
  <c r="Y12" i="4"/>
  <c r="Z12" i="4"/>
  <c r="AA12" i="4"/>
  <c r="AB12" i="4"/>
  <c r="AC12" i="4"/>
  <c r="AD12" i="4"/>
  <c r="AE12" i="4"/>
  <c r="AF12" i="4"/>
  <c r="AG12" i="4"/>
  <c r="AH12" i="4"/>
  <c r="AI12" i="4"/>
  <c r="AJ12" i="4"/>
  <c r="AK12" i="4"/>
  <c r="AL12" i="4"/>
  <c r="AM12" i="4"/>
  <c r="AN12" i="4"/>
  <c r="AO12" i="4"/>
  <c r="AP12" i="4"/>
  <c r="AQ12" i="4"/>
  <c r="AR12" i="4"/>
  <c r="S13" i="4"/>
  <c r="T13" i="4"/>
  <c r="U13" i="4"/>
  <c r="V13" i="4"/>
  <c r="W13" i="4"/>
  <c r="X13" i="4"/>
  <c r="Y13" i="4"/>
  <c r="Z13" i="4"/>
  <c r="AA13" i="4"/>
  <c r="AB13" i="4"/>
  <c r="AC13" i="4"/>
  <c r="AD13" i="4"/>
  <c r="AE13" i="4"/>
  <c r="AF13" i="4"/>
  <c r="AG13" i="4"/>
  <c r="AH13" i="4"/>
  <c r="AI13" i="4"/>
  <c r="AJ13" i="4"/>
  <c r="AK13" i="4"/>
  <c r="AL13" i="4"/>
  <c r="AM13" i="4"/>
  <c r="AN13" i="4"/>
  <c r="AO13" i="4"/>
  <c r="AP13" i="4"/>
  <c r="AQ13" i="4"/>
  <c r="AR13" i="4"/>
  <c r="S14" i="4"/>
  <c r="T14" i="4"/>
  <c r="U14" i="4"/>
  <c r="V14" i="4"/>
  <c r="W14" i="4"/>
  <c r="X14" i="4"/>
  <c r="Y14" i="4"/>
  <c r="Z14" i="4"/>
  <c r="AD14" i="4"/>
  <c r="AE14" i="4"/>
  <c r="AF14" i="4"/>
  <c r="AG14" i="4"/>
  <c r="AH14" i="4"/>
  <c r="AI14" i="4"/>
  <c r="AJ14" i="4"/>
  <c r="AK14" i="4"/>
  <c r="AL14" i="4"/>
  <c r="AM14" i="4"/>
  <c r="AN14" i="4"/>
  <c r="AO14" i="4"/>
  <c r="AP14" i="4"/>
  <c r="AQ14" i="4"/>
  <c r="AR14" i="4"/>
  <c r="R14" i="4"/>
  <c r="R13" i="4"/>
  <c r="R12" i="4"/>
  <c r="S9" i="4"/>
  <c r="T9" i="4"/>
  <c r="U9" i="4"/>
  <c r="V9" i="4"/>
  <c r="W9" i="4"/>
  <c r="X9" i="4"/>
  <c r="Y9" i="4"/>
  <c r="Z9" i="4"/>
  <c r="AA9" i="4"/>
  <c r="AA14" i="4" s="1"/>
  <c r="AB9" i="4"/>
  <c r="AC9" i="4"/>
  <c r="AD9" i="4"/>
  <c r="AE9" i="4"/>
  <c r="AF9" i="4"/>
  <c r="AG9" i="4"/>
  <c r="AH9" i="4"/>
  <c r="AI9" i="4"/>
  <c r="AJ9" i="4"/>
  <c r="AK9" i="4"/>
  <c r="AL9" i="4"/>
  <c r="AM9" i="4"/>
  <c r="AN9" i="4"/>
  <c r="AO9" i="4"/>
  <c r="AP9" i="4"/>
  <c r="AQ9" i="4"/>
  <c r="AR9" i="4"/>
  <c r="R9" i="4"/>
  <c r="AD20" i="4"/>
  <c r="AD21" i="4" s="1"/>
  <c r="AE20" i="4"/>
  <c r="AE21" i="4" s="1"/>
  <c r="S21" i="4"/>
  <c r="T21" i="4"/>
  <c r="U21" i="4"/>
  <c r="V21" i="4"/>
  <c r="W21" i="4"/>
  <c r="X21" i="4"/>
  <c r="Y21" i="4"/>
  <c r="Z21" i="4"/>
  <c r="AA21" i="4"/>
  <c r="AB21" i="4"/>
  <c r="AC21" i="4"/>
  <c r="AG21" i="4"/>
  <c r="AH21" i="4"/>
  <c r="AI21" i="4"/>
  <c r="AJ21" i="4"/>
  <c r="AK21" i="4"/>
  <c r="AL21" i="4"/>
  <c r="AM21" i="4"/>
  <c r="AN21" i="4"/>
  <c r="AO21" i="4"/>
  <c r="AP21" i="4"/>
  <c r="AQ21" i="4"/>
  <c r="AR21" i="4"/>
  <c r="R21" i="4"/>
  <c r="AF20" i="4"/>
  <c r="AF21" i="4" s="1"/>
  <c r="S18" i="4"/>
  <c r="T18" i="4"/>
  <c r="U18" i="4"/>
  <c r="V18" i="4"/>
  <c r="W18" i="4"/>
  <c r="W22" i="4" s="1"/>
  <c r="W25" i="4" s="1"/>
  <c r="W28" i="4" s="1"/>
  <c r="W30" i="4" s="1"/>
  <c r="X18" i="4"/>
  <c r="Y18" i="4"/>
  <c r="Z18" i="4"/>
  <c r="AA18" i="4"/>
  <c r="AB18" i="4"/>
  <c r="AC18" i="4"/>
  <c r="AD18" i="4"/>
  <c r="AE18" i="4"/>
  <c r="AF18" i="4"/>
  <c r="R18" i="4"/>
  <c r="R22" i="4" s="1"/>
  <c r="R25" i="4" s="1"/>
  <c r="R28" i="4" s="1"/>
  <c r="R30" i="4" s="1"/>
  <c r="AE1" i="4"/>
  <c r="AD1" i="4" s="1"/>
  <c r="AC1" i="4" s="1"/>
  <c r="AB1" i="4" s="1"/>
  <c r="AA1" i="4" s="1"/>
  <c r="Z1" i="4" s="1"/>
  <c r="AE3" i="4"/>
  <c r="AD3" i="4" s="1"/>
  <c r="AC3" i="4" s="1"/>
  <c r="AB3" i="4" s="1"/>
  <c r="AA3" i="4" s="1"/>
  <c r="Z3" i="4" s="1"/>
  <c r="O135" i="1"/>
  <c r="P135" i="1"/>
  <c r="Q135" i="1"/>
  <c r="R135" i="1"/>
  <c r="S135" i="1"/>
  <c r="T135" i="1"/>
  <c r="U135" i="1"/>
  <c r="V135" i="1"/>
  <c r="W135" i="1"/>
  <c r="X135" i="1"/>
  <c r="Y135" i="1"/>
  <c r="Z135" i="1"/>
  <c r="AA135" i="1"/>
  <c r="AB135" i="1"/>
  <c r="AC135" i="1"/>
  <c r="AD135" i="1"/>
  <c r="O136" i="1"/>
  <c r="P136" i="1"/>
  <c r="Q136" i="1"/>
  <c r="R136" i="1"/>
  <c r="S136" i="1"/>
  <c r="T136" i="1"/>
  <c r="U136" i="1"/>
  <c r="V136" i="1"/>
  <c r="W136" i="1"/>
  <c r="X136" i="1"/>
  <c r="Y136" i="1"/>
  <c r="Z136" i="1"/>
  <c r="AA136" i="1"/>
  <c r="AB136" i="1"/>
  <c r="AC136" i="1"/>
  <c r="AD136" i="1"/>
  <c r="O137" i="1"/>
  <c r="P137" i="1"/>
  <c r="Q137" i="1"/>
  <c r="R137" i="1"/>
  <c r="S137" i="1"/>
  <c r="T137" i="1"/>
  <c r="U137" i="1"/>
  <c r="V137" i="1"/>
  <c r="W137" i="1"/>
  <c r="X137" i="1"/>
  <c r="Y137" i="1"/>
  <c r="Z137" i="1"/>
  <c r="AA137" i="1"/>
  <c r="AB137" i="1"/>
  <c r="AC137" i="1"/>
  <c r="AD137" i="1"/>
  <c r="N137" i="1"/>
  <c r="N136" i="1"/>
  <c r="N135" i="1"/>
  <c r="N128" i="1"/>
  <c r="N127" i="1" s="1"/>
  <c r="N129" i="1" s="1"/>
  <c r="O128" i="1"/>
  <c r="O127" i="1" s="1"/>
  <c r="P128" i="1"/>
  <c r="P127" i="1" s="1"/>
  <c r="Q128" i="1"/>
  <c r="Q127" i="1" s="1"/>
  <c r="R128" i="1"/>
  <c r="R127" i="1" s="1"/>
  <c r="S128" i="1"/>
  <c r="S127" i="1" s="1"/>
  <c r="T128" i="1"/>
  <c r="T127" i="1" s="1"/>
  <c r="U128" i="1"/>
  <c r="U127" i="1" s="1"/>
  <c r="V128" i="1"/>
  <c r="V127" i="1" s="1"/>
  <c r="W128" i="1"/>
  <c r="W127" i="1" s="1"/>
  <c r="W129" i="1" s="1"/>
  <c r="X128" i="1"/>
  <c r="X127" i="1" s="1"/>
  <c r="Y128" i="1"/>
  <c r="Y127" i="1" s="1"/>
  <c r="Z128" i="1"/>
  <c r="Z127" i="1" s="1"/>
  <c r="AA128" i="1"/>
  <c r="AA127" i="1" s="1"/>
  <c r="AB128" i="1"/>
  <c r="AB127" i="1" s="1"/>
  <c r="AC128" i="1"/>
  <c r="AC127" i="1" s="1"/>
  <c r="AD128" i="1"/>
  <c r="AD127" i="1" s="1"/>
  <c r="K74" i="1"/>
  <c r="V39" i="1"/>
  <c r="L74" i="1"/>
  <c r="N55" i="1"/>
  <c r="N54" i="1"/>
  <c r="N52" i="1"/>
  <c r="N51" i="1"/>
  <c r="N46" i="1"/>
  <c r="N45" i="1"/>
  <c r="N44" i="1"/>
  <c r="N40" i="1"/>
  <c r="N39" i="1"/>
  <c r="N30" i="1"/>
  <c r="N29" i="1"/>
  <c r="N28" i="1"/>
  <c r="N27" i="1"/>
  <c r="N14" i="1"/>
  <c r="N18" i="1" s="1"/>
  <c r="N13" i="1"/>
  <c r="R55" i="1"/>
  <c r="R54" i="1"/>
  <c r="R52" i="1"/>
  <c r="R51" i="1"/>
  <c r="R46" i="1"/>
  <c r="R45" i="1"/>
  <c r="R44" i="1"/>
  <c r="R40" i="1"/>
  <c r="R39" i="1"/>
  <c r="R30" i="1"/>
  <c r="R29" i="1"/>
  <c r="R28" i="1"/>
  <c r="R27" i="1"/>
  <c r="R14" i="1"/>
  <c r="R13" i="1"/>
  <c r="V55" i="1"/>
  <c r="V54" i="1"/>
  <c r="V52" i="1"/>
  <c r="V51" i="1"/>
  <c r="V46" i="1"/>
  <c r="V45" i="1"/>
  <c r="V44" i="1"/>
  <c r="V40" i="1"/>
  <c r="V41" i="1" s="1"/>
  <c r="V42" i="1" s="1"/>
  <c r="V30" i="1"/>
  <c r="V29" i="1"/>
  <c r="V28" i="1"/>
  <c r="V27" i="1"/>
  <c r="V14" i="1"/>
  <c r="V13" i="1"/>
  <c r="J2" i="1"/>
  <c r="N2" i="1"/>
  <c r="R2" i="1"/>
  <c r="V2" i="1"/>
  <c r="T121" i="1"/>
  <c r="U121" i="1" s="1"/>
  <c r="S121" i="1"/>
  <c r="T120" i="1"/>
  <c r="S120" i="1"/>
  <c r="T119" i="1"/>
  <c r="S119" i="1"/>
  <c r="T118" i="1"/>
  <c r="S118" i="1"/>
  <c r="T115" i="1"/>
  <c r="S115" i="1"/>
  <c r="T114" i="1"/>
  <c r="T116" i="1" s="1"/>
  <c r="S114" i="1"/>
  <c r="S116" i="1" s="1"/>
  <c r="P121" i="1"/>
  <c r="O121" i="1"/>
  <c r="P120" i="1"/>
  <c r="Q120" i="1" s="1"/>
  <c r="O120" i="1"/>
  <c r="P119" i="1"/>
  <c r="O119" i="1"/>
  <c r="P118" i="1"/>
  <c r="O118" i="1"/>
  <c r="P115" i="1"/>
  <c r="O115" i="1"/>
  <c r="P114" i="1"/>
  <c r="O114" i="1"/>
  <c r="V96" i="1"/>
  <c r="V94" i="1"/>
  <c r="V93" i="1"/>
  <c r="V92" i="1"/>
  <c r="V91" i="1"/>
  <c r="V87" i="1"/>
  <c r="V86" i="1"/>
  <c r="V85" i="1"/>
  <c r="V82" i="1"/>
  <c r="V81" i="1"/>
  <c r="V80" i="1"/>
  <c r="V79" i="1"/>
  <c r="V78" i="1"/>
  <c r="V74" i="1"/>
  <c r="V73" i="1"/>
  <c r="V72" i="1"/>
  <c r="V71" i="1"/>
  <c r="V68" i="1"/>
  <c r="V67" i="1"/>
  <c r="V66" i="1"/>
  <c r="V65" i="1"/>
  <c r="N111" i="1"/>
  <c r="N110" i="1"/>
  <c r="N109" i="1"/>
  <c r="N108" i="1"/>
  <c r="N105" i="1"/>
  <c r="N104" i="1"/>
  <c r="R111" i="1"/>
  <c r="R110" i="1"/>
  <c r="R109" i="1"/>
  <c r="R108" i="1"/>
  <c r="R105" i="1"/>
  <c r="R104" i="1"/>
  <c r="V111" i="1"/>
  <c r="V110" i="1"/>
  <c r="V109" i="1"/>
  <c r="V108" i="1"/>
  <c r="V105" i="1"/>
  <c r="V104" i="1"/>
  <c r="M119" i="1"/>
  <c r="L114" i="1"/>
  <c r="L121" i="1"/>
  <c r="M121" i="1" s="1"/>
  <c r="K121" i="1"/>
  <c r="L120" i="1"/>
  <c r="M120" i="1" s="1"/>
  <c r="K120" i="1"/>
  <c r="L119" i="1"/>
  <c r="K119" i="1"/>
  <c r="L118" i="1"/>
  <c r="K118" i="1"/>
  <c r="W116" i="1"/>
  <c r="X116" i="1"/>
  <c r="Y116" i="1"/>
  <c r="Z116" i="1"/>
  <c r="AA116" i="1"/>
  <c r="AB116" i="1"/>
  <c r="AC116" i="1"/>
  <c r="AD116" i="1"/>
  <c r="L115" i="1"/>
  <c r="K115" i="1"/>
  <c r="K114" i="1"/>
  <c r="K116" i="1" s="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D146" i="1" s="1"/>
  <c r="AC47" i="1"/>
  <c r="AC147" i="1" s="1"/>
  <c r="AB47" i="1"/>
  <c r="AB145" i="1" s="1"/>
  <c r="AB148" i="1" s="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AA75" i="1"/>
  <c r="Z75" i="1"/>
  <c r="AA69" i="1"/>
  <c r="Z69" i="1"/>
  <c r="AA47" i="1"/>
  <c r="AA145" i="1" s="1"/>
  <c r="AA148" i="1" s="1"/>
  <c r="Z47" i="1"/>
  <c r="Z145" i="1" s="1"/>
  <c r="Z148" i="1" s="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Y47" i="1"/>
  <c r="Y145" i="1" s="1"/>
  <c r="Y148" i="1" s="1"/>
  <c r="X47" i="1"/>
  <c r="X147" i="1" s="1"/>
  <c r="Y41" i="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K147" i="1" s="1"/>
  <c r="L47" i="1"/>
  <c r="L146" i="1" s="1"/>
  <c r="M47" i="1"/>
  <c r="M145" i="1" s="1"/>
  <c r="O47" i="1"/>
  <c r="O145" i="1" s="1"/>
  <c r="P47" i="1"/>
  <c r="P145" i="1" s="1"/>
  <c r="Q47" i="1"/>
  <c r="Q145" i="1" s="1"/>
  <c r="S47" i="1"/>
  <c r="S145" i="1" s="1"/>
  <c r="T47" i="1"/>
  <c r="T145" i="1" s="1"/>
  <c r="U47" i="1"/>
  <c r="U145" i="1" s="1"/>
  <c r="V47" i="1"/>
  <c r="W47" i="1"/>
  <c r="W145" i="1" s="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AK16" i="4" l="1"/>
  <c r="AB14" i="4"/>
  <c r="AC14" i="4"/>
  <c r="AA22" i="4"/>
  <c r="AA25" i="4" s="1"/>
  <c r="AA28" i="4" s="1"/>
  <c r="AA30" i="4" s="1"/>
  <c r="AB22" i="4"/>
  <c r="AB25" i="4" s="1"/>
  <c r="AB28" i="4" s="1"/>
  <c r="AB30" i="4" s="1"/>
  <c r="V22" i="4"/>
  <c r="V25" i="4" s="1"/>
  <c r="V28" i="4" s="1"/>
  <c r="V30" i="4" s="1"/>
  <c r="AJ22" i="4"/>
  <c r="AJ25" i="4" s="1"/>
  <c r="AJ28" i="4" s="1"/>
  <c r="AJ30" i="4" s="1"/>
  <c r="T22" i="4"/>
  <c r="T25" i="4" s="1"/>
  <c r="T28" i="4" s="1"/>
  <c r="T30" i="4" s="1"/>
  <c r="AF22" i="4"/>
  <c r="AF25" i="4" s="1"/>
  <c r="AF28" i="4" s="1"/>
  <c r="AF30" i="4" s="1"/>
  <c r="X22" i="4"/>
  <c r="X25" i="4" s="1"/>
  <c r="X28" i="4" s="1"/>
  <c r="X30" i="4" s="1"/>
  <c r="U22" i="4"/>
  <c r="U25" i="4" s="1"/>
  <c r="U28" i="4" s="1"/>
  <c r="U30" i="4" s="1"/>
  <c r="AI22" i="4"/>
  <c r="AI25" i="4" s="1"/>
  <c r="AI28" i="4" s="1"/>
  <c r="AI30" i="4" s="1"/>
  <c r="S22" i="4"/>
  <c r="S25" i="4" s="1"/>
  <c r="S28" i="4" s="1"/>
  <c r="S30" i="4" s="1"/>
  <c r="AH22" i="4"/>
  <c r="AH25" i="4" s="1"/>
  <c r="AH28" i="4" s="1"/>
  <c r="AH30" i="4" s="1"/>
  <c r="AG22" i="4"/>
  <c r="AG25" i="4" s="1"/>
  <c r="AG28" i="4" s="1"/>
  <c r="AG30" i="4" s="1"/>
  <c r="AC22" i="4"/>
  <c r="AC25" i="4" s="1"/>
  <c r="AC28" i="4" s="1"/>
  <c r="AC30" i="4" s="1"/>
  <c r="Z22" i="4"/>
  <c r="Z25" i="4" s="1"/>
  <c r="Z28" i="4" s="1"/>
  <c r="Z30" i="4" s="1"/>
  <c r="Y22" i="4"/>
  <c r="Y25" i="4" s="1"/>
  <c r="Y28" i="4" s="1"/>
  <c r="Y30" i="4" s="1"/>
  <c r="AD22" i="4"/>
  <c r="AD25" i="4" s="1"/>
  <c r="AD28" i="4" s="1"/>
  <c r="AD30" i="4" s="1"/>
  <c r="AE22" i="4"/>
  <c r="AE25" i="4" s="1"/>
  <c r="AE28" i="4" s="1"/>
  <c r="AE30" i="4" s="1"/>
  <c r="J88" i="1"/>
  <c r="V145" i="1"/>
  <c r="R47" i="1"/>
  <c r="R145" i="1" s="1"/>
  <c r="M115" i="1"/>
  <c r="M116" i="1" s="1"/>
  <c r="V146" i="1"/>
  <c r="M114" i="1"/>
  <c r="N114" i="1" s="1"/>
  <c r="Q118" i="1"/>
  <c r="R118" i="1" s="1"/>
  <c r="U120" i="1"/>
  <c r="V147" i="1"/>
  <c r="N106" i="1"/>
  <c r="N118" i="1"/>
  <c r="Z89" i="1"/>
  <c r="N119" i="1"/>
  <c r="V106" i="1"/>
  <c r="N120" i="1"/>
  <c r="V88" i="1"/>
  <c r="V89" i="1" s="1"/>
  <c r="O100" i="1"/>
  <c r="N121" i="1"/>
  <c r="Q121" i="1"/>
  <c r="U131" i="1"/>
  <c r="V69" i="1"/>
  <c r="M118" i="1"/>
  <c r="R31" i="1"/>
  <c r="R34" i="1" s="1"/>
  <c r="AB147" i="1"/>
  <c r="U115" i="1"/>
  <c r="AC146" i="1"/>
  <c r="O116" i="1"/>
  <c r="AD145" i="1"/>
  <c r="AD148" i="1" s="1"/>
  <c r="P116" i="1"/>
  <c r="L145" i="1"/>
  <c r="S129" i="1"/>
  <c r="S131" i="1"/>
  <c r="R147" i="1"/>
  <c r="R129" i="1"/>
  <c r="R131" i="1"/>
  <c r="Q129" i="1"/>
  <c r="Q131" i="1"/>
  <c r="P129" i="1"/>
  <c r="P131" i="1"/>
  <c r="O129" i="1"/>
  <c r="O131" i="1"/>
  <c r="V129" i="1"/>
  <c r="AD132" i="1"/>
  <c r="AD131" i="1"/>
  <c r="AD130" i="1"/>
  <c r="AD129" i="1"/>
  <c r="AC132" i="1"/>
  <c r="AC131" i="1"/>
  <c r="AC129" i="1"/>
  <c r="T129" i="1"/>
  <c r="T131" i="1"/>
  <c r="AB132" i="1"/>
  <c r="AB131" i="1"/>
  <c r="AB129" i="1"/>
  <c r="AA132" i="1"/>
  <c r="AA131" i="1"/>
  <c r="AA129" i="1"/>
  <c r="Z131" i="1"/>
  <c r="Z132" i="1"/>
  <c r="Z129" i="1"/>
  <c r="Y131" i="1"/>
  <c r="Y129" i="1"/>
  <c r="U118" i="1"/>
  <c r="V118" i="1" s="1"/>
  <c r="AA147" i="1"/>
  <c r="AB146" i="1"/>
  <c r="AC145" i="1"/>
  <c r="AC148" i="1" s="1"/>
  <c r="Z147" i="1"/>
  <c r="AA146" i="1"/>
  <c r="L116" i="1"/>
  <c r="Q115" i="1"/>
  <c r="R115" i="1" s="1"/>
  <c r="U119" i="1"/>
  <c r="V119" i="1" s="1"/>
  <c r="K145" i="1"/>
  <c r="Y147" i="1"/>
  <c r="Z146" i="1"/>
  <c r="N47" i="1"/>
  <c r="N146" i="1" s="1"/>
  <c r="K146" i="1"/>
  <c r="Y146" i="1"/>
  <c r="V120" i="1"/>
  <c r="U147" i="1"/>
  <c r="N115" i="1"/>
  <c r="N116" i="1" s="1"/>
  <c r="N132" i="1" s="1"/>
  <c r="Q119" i="1"/>
  <c r="R119" i="1" s="1"/>
  <c r="T147" i="1"/>
  <c r="U146" i="1"/>
  <c r="U148" i="1" s="1"/>
  <c r="V121" i="1"/>
  <c r="S147" i="1"/>
  <c r="T146" i="1"/>
  <c r="T148" i="1" s="1"/>
  <c r="S146" i="1"/>
  <c r="S148" i="1" s="1"/>
  <c r="R120" i="1"/>
  <c r="Q147" i="1"/>
  <c r="R146" i="1"/>
  <c r="U129" i="1"/>
  <c r="P147" i="1"/>
  <c r="Q146" i="1"/>
  <c r="V95" i="1"/>
  <c r="V97" i="1" s="1"/>
  <c r="V131" i="1" s="1"/>
  <c r="R121" i="1"/>
  <c r="R17" i="1"/>
  <c r="O147" i="1"/>
  <c r="P146" i="1"/>
  <c r="P148" i="1" s="1"/>
  <c r="O146" i="1"/>
  <c r="O148" i="1" s="1"/>
  <c r="V15" i="1"/>
  <c r="V21" i="1" s="1"/>
  <c r="M147" i="1"/>
  <c r="AD147" i="1"/>
  <c r="L147" i="1"/>
  <c r="M146" i="1"/>
  <c r="M148" i="1" s="1"/>
  <c r="Y48" i="1"/>
  <c r="Y53" i="1" s="1"/>
  <c r="Y56" i="1" s="1"/>
  <c r="Y58" i="1" s="1"/>
  <c r="V115" i="1"/>
  <c r="W131" i="1"/>
  <c r="W146" i="1"/>
  <c r="W147" i="1"/>
  <c r="W148" i="1"/>
  <c r="X129" i="1"/>
  <c r="X131" i="1"/>
  <c r="X146" i="1"/>
  <c r="X145" i="1"/>
  <c r="X148" i="1" s="1"/>
  <c r="X100" i="1"/>
  <c r="N131"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AC98" i="1" s="1"/>
  <c r="I100" i="1"/>
  <c r="AB48" i="1"/>
  <c r="AB53" i="1" s="1"/>
  <c r="AB56" i="1" s="1"/>
  <c r="AB59"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35" i="1"/>
  <c r="AD35" i="1"/>
  <c r="AB76" i="1"/>
  <c r="AB36" i="1"/>
  <c r="AC76" i="1"/>
  <c r="AC36" i="1"/>
  <c r="AD76" i="1"/>
  <c r="Z48" i="1"/>
  <c r="Z53" i="1" s="1"/>
  <c r="Z56" i="1" s="1"/>
  <c r="Z58" i="1" s="1"/>
  <c r="AD36" i="1"/>
  <c r="AA48" i="1"/>
  <c r="AA53" i="1" s="1"/>
  <c r="AA56" i="1" s="1"/>
  <c r="AA58" i="1" s="1"/>
  <c r="Q36" i="1"/>
  <c r="J95" i="1"/>
  <c r="J97" i="1" s="1"/>
  <c r="J83" i="1"/>
  <c r="J89" i="1" s="1"/>
  <c r="J75" i="1"/>
  <c r="J69" i="1"/>
  <c r="AB33" i="1"/>
  <c r="AB37" i="1" s="1"/>
  <c r="AB19" i="1"/>
  <c r="AC33" i="1"/>
  <c r="AC37" i="1" s="1"/>
  <c r="AC19" i="1"/>
  <c r="AD33" i="1"/>
  <c r="AD37" i="1" s="1"/>
  <c r="AD19" i="1"/>
  <c r="AB34" i="1"/>
  <c r="AB21" i="1"/>
  <c r="AB23" i="1" s="1"/>
  <c r="H48" i="1"/>
  <c r="H53" i="1" s="1"/>
  <c r="H56" i="1" s="1"/>
  <c r="U36" i="1"/>
  <c r="Y35" i="1"/>
  <c r="O19" i="1"/>
  <c r="Y36" i="1"/>
  <c r="V22" i="1"/>
  <c r="V23" i="1" s="1"/>
  <c r="X34" i="1"/>
  <c r="K22" i="1"/>
  <c r="K23" i="1" s="1"/>
  <c r="J22" i="1"/>
  <c r="Y34" i="1"/>
  <c r="X76" i="1"/>
  <c r="W36" i="1"/>
  <c r="Y76" i="1"/>
  <c r="L19" i="1"/>
  <c r="T22" i="1"/>
  <c r="T23" i="1" s="1"/>
  <c r="S35" i="1"/>
  <c r="Z76" i="1"/>
  <c r="Q35" i="1"/>
  <c r="AA76" i="1"/>
  <c r="X48" i="1"/>
  <c r="X49" i="1" s="1"/>
  <c r="R35" i="1"/>
  <c r="L21" i="1"/>
  <c r="L23" i="1" s="1"/>
  <c r="U34" i="1"/>
  <c r="J21" i="1"/>
  <c r="J23" i="1" s="1"/>
  <c r="S33" i="1"/>
  <c r="Q33" i="1"/>
  <c r="G36" i="1"/>
  <c r="J33" i="1"/>
  <c r="J37" i="1" s="1"/>
  <c r="X33" i="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AK22" i="4" l="1"/>
  <c r="AK25" i="4" s="1"/>
  <c r="AK28" i="4" s="1"/>
  <c r="AK30" i="4" s="1"/>
  <c r="AL16" i="4"/>
  <c r="L148" i="1"/>
  <c r="Y49" i="1"/>
  <c r="AB49" i="1"/>
  <c r="O132" i="1"/>
  <c r="R148" i="1"/>
  <c r="AB130" i="1"/>
  <c r="Y59" i="1"/>
  <c r="N19" i="1"/>
  <c r="P132" i="1"/>
  <c r="V148" i="1"/>
  <c r="AB58" i="1"/>
  <c r="AQ145" i="1"/>
  <c r="AQ147" i="1"/>
  <c r="AQ146" i="1"/>
  <c r="AQ148" i="1" s="1"/>
  <c r="R21" i="1"/>
  <c r="R23" i="1" s="1"/>
  <c r="AP145" i="1"/>
  <c r="AP147" i="1"/>
  <c r="AP146" i="1"/>
  <c r="N145" i="1"/>
  <c r="AT146" i="1"/>
  <c r="AT145" i="1"/>
  <c r="AT148" i="1" s="1"/>
  <c r="AT147" i="1"/>
  <c r="AO145" i="1"/>
  <c r="AO147" i="1"/>
  <c r="AO146" i="1"/>
  <c r="AN147" i="1"/>
  <c r="AN146" i="1"/>
  <c r="AN145" i="1"/>
  <c r="Q148" i="1"/>
  <c r="AV146" i="1"/>
  <c r="AV145" i="1"/>
  <c r="AV148" i="1" s="1"/>
  <c r="AV147" i="1"/>
  <c r="V98" i="1"/>
  <c r="AS146" i="1"/>
  <c r="AS145" i="1"/>
  <c r="AS148" i="1" s="1"/>
  <c r="AS147" i="1"/>
  <c r="K148" i="1"/>
  <c r="N147" i="1"/>
  <c r="N22" i="1"/>
  <c r="N23" i="1" s="1"/>
  <c r="AZ147" i="1"/>
  <c r="AZ146" i="1"/>
  <c r="AZ145" i="1"/>
  <c r="AZ148" i="1" s="1"/>
  <c r="AR145" i="1"/>
  <c r="AR147" i="1"/>
  <c r="AR146" i="1"/>
  <c r="AR148" i="1" s="1"/>
  <c r="AY147" i="1"/>
  <c r="AY146" i="1"/>
  <c r="AY145" i="1"/>
  <c r="AY148" i="1" s="1"/>
  <c r="AC130" i="1"/>
  <c r="AU146" i="1"/>
  <c r="AU145" i="1"/>
  <c r="AU148" i="1" s="1"/>
  <c r="AU147" i="1"/>
  <c r="AX147" i="1"/>
  <c r="AX146" i="1"/>
  <c r="AX145" i="1"/>
  <c r="AX148" i="1" s="1"/>
  <c r="AW147" i="1"/>
  <c r="AW146" i="1"/>
  <c r="AW145" i="1"/>
  <c r="AW148" i="1" s="1"/>
  <c r="W37" i="1"/>
  <c r="X37" i="1"/>
  <c r="N34" i="1"/>
  <c r="N36" i="1"/>
  <c r="N35" i="1"/>
  <c r="R19" i="1"/>
  <c r="R48" i="1"/>
  <c r="R49" i="1" s="1"/>
  <c r="R37" i="1"/>
  <c r="V19" i="1"/>
  <c r="V33" i="1"/>
  <c r="V34" i="1"/>
  <c r="V36" i="1"/>
  <c r="U116" i="1"/>
  <c r="V114" i="1"/>
  <c r="V116" i="1" s="1"/>
  <c r="Y132" i="1" s="1"/>
  <c r="Q116" i="1"/>
  <c r="Q132" i="1" s="1"/>
  <c r="R114" i="1"/>
  <c r="R116" i="1" s="1"/>
  <c r="Z59" i="1"/>
  <c r="AC49" i="1"/>
  <c r="AA49" i="1"/>
  <c r="AC58" i="1"/>
  <c r="X53" i="1"/>
  <c r="X56" i="1" s="1"/>
  <c r="AD49" i="1"/>
  <c r="P23" i="1"/>
  <c r="J100" i="1"/>
  <c r="U37" i="1"/>
  <c r="H49" i="1"/>
  <c r="K37" i="1"/>
  <c r="AA59" i="1"/>
  <c r="S37" i="1"/>
  <c r="Q37" i="1"/>
  <c r="J76" i="1"/>
  <c r="J98" i="1"/>
  <c r="L37" i="1"/>
  <c r="AD58" i="1"/>
  <c r="AD59" i="1"/>
  <c r="P37" i="1"/>
  <c r="M23" i="1"/>
  <c r="M37" i="1"/>
  <c r="O37" i="1"/>
  <c r="T37" i="1"/>
  <c r="O53" i="1"/>
  <c r="O56" i="1" s="1"/>
  <c r="L53" i="1"/>
  <c r="L56" i="1" s="1"/>
  <c r="P53" i="1"/>
  <c r="P56" i="1" s="1"/>
  <c r="S53" i="1"/>
  <c r="S56" i="1" s="1"/>
  <c r="K49" i="1"/>
  <c r="T53" i="1"/>
  <c r="T56" i="1" s="1"/>
  <c r="T59" i="1" s="1"/>
  <c r="Q53" i="1"/>
  <c r="Q56" i="1" s="1"/>
  <c r="M49" i="1"/>
  <c r="M53" i="1"/>
  <c r="M56" i="1" s="1"/>
  <c r="G53" i="1"/>
  <c r="G56" i="1" s="1"/>
  <c r="G59" i="1" s="1"/>
  <c r="J49" i="1"/>
  <c r="N53" i="1"/>
  <c r="N56"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AL22" i="4" l="1"/>
  <c r="AL25" i="4" s="1"/>
  <c r="AL28" i="4" s="1"/>
  <c r="AL30" i="4" s="1"/>
  <c r="AM16" i="4"/>
  <c r="AP148" i="1"/>
  <c r="X132" i="1"/>
  <c r="V132" i="1"/>
  <c r="W132" i="1"/>
  <c r="L58" i="1"/>
  <c r="O130" i="1"/>
  <c r="O59" i="1"/>
  <c r="W130" i="1"/>
  <c r="N148" i="1"/>
  <c r="N58" i="1"/>
  <c r="Q130" i="1"/>
  <c r="P58" i="1"/>
  <c r="N37" i="1"/>
  <c r="P130" i="1"/>
  <c r="U132" i="1"/>
  <c r="S58" i="1"/>
  <c r="V130" i="1"/>
  <c r="Q58" i="1"/>
  <c r="S132" i="1"/>
  <c r="T132" i="1"/>
  <c r="R132" i="1"/>
  <c r="AN148" i="1"/>
  <c r="AO148" i="1"/>
  <c r="N130" i="1"/>
  <c r="X59" i="1"/>
  <c r="Z130" i="1"/>
  <c r="AA130" i="1"/>
  <c r="X130" i="1"/>
  <c r="Y130" i="1"/>
  <c r="R53" i="1"/>
  <c r="R56" i="1" s="1"/>
  <c r="T130"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AM22" i="4" l="1"/>
  <c r="AM25" i="4" s="1"/>
  <c r="AM28" i="4" s="1"/>
  <c r="AM30" i="4" s="1"/>
  <c r="AN16" i="4"/>
  <c r="R130" i="1"/>
  <c r="S130" i="1"/>
  <c r="R58" i="1"/>
  <c r="U130" i="1"/>
  <c r="R59" i="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 r="AN22" i="4" l="1"/>
  <c r="AN25" i="4" s="1"/>
  <c r="AN28" i="4" s="1"/>
  <c r="AN30" i="4" s="1"/>
  <c r="AO16" i="4"/>
  <c r="AO22" i="4" l="1"/>
  <c r="AO25" i="4" s="1"/>
  <c r="AO28" i="4" s="1"/>
  <c r="AO30" i="4" s="1"/>
  <c r="AP16" i="4"/>
  <c r="AP22" i="4" l="1"/>
  <c r="AP25" i="4" s="1"/>
  <c r="AP28" i="4" s="1"/>
  <c r="AP30" i="4" s="1"/>
  <c r="AQ16" i="4"/>
  <c r="AQ22" i="4" l="1"/>
  <c r="AQ25" i="4" s="1"/>
  <c r="AQ28" i="4" s="1"/>
  <c r="AQ30" i="4" s="1"/>
  <c r="AR16" i="4"/>
  <c r="AR22" i="4" s="1"/>
  <c r="AR25" i="4" s="1"/>
  <c r="AR28" i="4" s="1"/>
  <c r="AR3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<sst xmlns="http://schemas.openxmlformats.org/spreadsheetml/2006/main" count="234" uniqueCount="170">
  <si>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</si>
  <si>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</si>
  <si>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</si>
  <si>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</si>
  <si>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</si>
  <si>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</si>
  <si>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</si>
  <si>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</si>
  <si>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</si>
  <si>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</si>
  <si>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</si>
  <si>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</si>
  <si>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</si>
  <si>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</si>
  <si>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</si>
  <si>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</si>
  <si>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</si>
  <si>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</si>
  <si>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</si>
  <si>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</si>
  <si>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</si>
  <si>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</si>
  <si>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</si>
  <si>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</si>
  <si>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</si>
  <si>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</si>
  <si>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</si>
  <si>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</si>
  <si>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</si>
  <si>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</si>
  <si>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</si>
  <si>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</si>
  <si>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</si>
  <si>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</si>
  <si>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</si>
  <si>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</si>
  <si>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</si>
  <si>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</si>
  <si>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</si>
  <si>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</si>
  <si>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</si>
  <si>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</si>
  <si>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</si>
  <si>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</si>
  <si>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</si>
  <si>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</si>
  <si>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</si>
  <si>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</si>
  <si>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</si>
  <si>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</si>
  <si>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</si>
  <si>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</si>
  <si>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</si>
  <si>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</si>
  <si>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</si>
  <si>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</si>
  <si>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</si>
  <si>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</si>
  <si>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</si>
  <si>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</si>
  <si>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</si>
  <si>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</si>
  <si>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</si>
  <si>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</si>
  <si>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</si>
  <si>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</si>
  <si>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</si>
  <si>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</si>
  <si>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</si>
  <si>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</si>
  <si>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</si>
  <si>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</si>
  <si>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</si>
  <si>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</si>
  <si>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</si>
  <si>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</si>
  <si>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</si>
  <si>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</si>
  <si>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</si>
  <si>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</si>
  <si>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</si>
  <si>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</si>
  <si>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</si>
  <si>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</si>
  <si>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</si>
  <si>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</si>
  <si>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</si>
  <si>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</si>
  <si>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</si>
  <si>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</si>
  <si>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</si>
  <si>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</si>
  <si>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</si>
  <si>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</si>
  <si>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</si>
  <si>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</si>
  <si>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</si>
  <si>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</si>
  <si>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</si>
  <si>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</si>
  <si>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</si>
  <si>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</si>
  <si>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</si>
  <si>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</si>
  <si>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</si>
  <si>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</si>
  <si>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</si>
  <si>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</si>
  <si>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</si>
  <si>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</si>
  <si>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</si>
  <si>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</si>
  <si>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</si>
  <si>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</si>
  <si>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</si>
  <si>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</si>
  <si>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</si>
  <si>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</si>
  <si>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</si>
  <si>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</si>
  <si>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</si>
  <si>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</si>
  <si>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</si>
  <si>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</si>
  <si>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</si>
  <si>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</si>
  <si>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</si>
  <si>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</si>
  <si>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</si>
  <si>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</si>
  <si>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</si>
  <si>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</si>
  <si>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</si>
  <si>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</si>
  <si>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</si>
  <si>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</si>
  <si>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</si>
  <si>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</si>
  <si>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</si>
  <si>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</si>
  <si>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</si>
  <si>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</si>
  <si>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</si>
  <si>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</si>
  <si>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</si>
  <si>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</si>
  <si>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</si>
  <si>
    <t>Q124</t>
  </si>
  <si>
    <t>Q224</t>
  </si>
  <si>
    <t>Q324</t>
  </si>
  <si>
    <t>Earnings</t>
  </si>
  <si>
    <t>Should have bought here!!!!!!!!!!!</t>
  </si>
  <si>
    <t>Revenue and earnings growth over 200%, yet it remained at 7-13 P/E</t>
  </si>
  <si>
    <t>Fiscal Period</t>
  </si>
  <si>
    <t>Period Of Report</t>
  </si>
  <si>
    <t>Server &amp; Storage Systems</t>
  </si>
  <si>
    <t>Subsystems &amp; Accessories</t>
  </si>
  <si>
    <t>SG&amp;A</t>
  </si>
  <si>
    <t xml:space="preserve">Other income </t>
  </si>
  <si>
    <t>Income before tax</t>
  </si>
  <si>
    <t>Share of income from equity investee</t>
  </si>
  <si>
    <t>EPS</t>
  </si>
  <si>
    <t>Income Statement, *in millions, USD</t>
  </si>
  <si>
    <t>Maturity</t>
  </si>
  <si>
    <t>Discount</t>
  </si>
  <si>
    <t>NPV</t>
  </si>
  <si>
    <t>Price/Share</t>
  </si>
  <si>
    <t>Margin</t>
  </si>
  <si>
    <t>Profit Margin</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</si>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</sst>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409]* #,##0.00_);_([$$-409]* \(#,##0.00\);_([$$-409]* &quot;-&quot;??_);_(@_)"/>
    <numFmt numFmtId="165" formatCode="#,##0.0"/>
    <numFmt numFmtId="166" formatCode="0.0%"/>
  </numFmts>
  <fonts count="7"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3">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xf numFmtId="2" fontId="2" fillId="0" borderId="0" xfId="0" applyNumberFormat="1" applyFont="1"/>
    <xf numFmtId="0" fontId="0" fillId="4" borderId="0" xfId="0" applyFill="1"/>
    <xf numFmtId="0" fontId="0" fillId="0" borderId="3" xfId="0" applyBorder="1"/>
    <xf numFmtId="14" fontId="0" fillId="0" borderId="3" xfId="0" applyNumberFormat="1" applyBorder="1"/>
    <xf numFmtId="0" fontId="1" fillId="2" borderId="3" xfId="0" applyFont="1" applyFill="1" applyBorder="1"/>
    <xf numFmtId="0" fontId="2" fillId="0" borderId="3" xfId="0" applyFont="1" applyBorder="1"/>
    <xf numFmtId="165" fontId="0" fillId="0" borderId="3" xfId="0" applyNumberFormat="1" applyBorder="1"/>
    <xf numFmtId="165" fontId="0" fillId="0" borderId="4" xfId="0" applyNumberFormat="1" applyBorder="1"/>
    <xf numFmtId="165" fontId="3" fillId="3" borderId="3" xfId="0" applyNumberFormat="1" applyFont="1" applyFill="1" applyBorder="1"/>
    <xf numFmtId="166" fontId="0" fillId="0" borderId="3" xfId="0" applyNumberFormat="1" applyBorder="1"/>
    <xf numFmtId="166" fontId="2" fillId="0" borderId="3" xfId="0" applyNumberFormat="1" applyFont="1" applyBorder="1"/>
    <xf numFmtId="0" fontId="3" fillId="3" borderId="3" xfId="0" applyFont="1" applyFill="1" applyBorder="1"/>
    <xf numFmtId="10" fontId="0" fillId="0" borderId="3" xfId="0" applyNumberFormat="1" applyBorder="1"/>
    <xf numFmtId="10" fontId="0" fillId="0" borderId="4" xfId="0" applyNumberFormat="1" applyBorder="1"/>
    <xf numFmtId="165" fontId="0" fillId="0" borderId="5" xfId="0" applyNumberFormat="1" applyBorder="1"/>
    <xf numFmtId="165" fontId="2" fillId="0" borderId="3" xfId="0" applyNumberFormat="1" applyFont="1" applyBorder="1"/>
    <xf numFmtId="2" fontId="0" fillId="0" borderId="3" xfId="0" applyNumberFormat="1" applyBorder="1"/>
    <xf numFmtId="3" fontId="0" fillId="0" borderId="3" xfId="0" applyNumberFormat="1" applyBorder="1"/>
    <xf numFmtId="165" fontId="4" fillId="0" borderId="3" xfId="0" applyNumberFormat="1" applyFont="1" applyBorder="1"/>
    <xf numFmtId="165" fontId="2" fillId="0" borderId="5" xfId="0" applyNumberFormat="1" applyFont="1" applyBorder="1"/>
    <xf numFmtId="165" fontId="1" fillId="2" borderId="3" xfId="0" applyNumberFormat="1" applyFont="1" applyFill="1" applyBorder="1"/>
    <xf numFmtId="0" fontId="0" fillId="0" borderId="4" xfId="0" applyBorder="1"/>
    <xf numFmtId="3" fontId="2" fillId="0" borderId="3" xfId="0" applyNumberFormat="1" applyFont="1" applyBorder="1"/>
    <xf numFmtId="4" fontId="0" fillId="0" borderId="3" xfId="0" applyNumberFormat="1" applyBorder="1"/>
    <xf numFmtId="0" fontId="0" fillId="4" borderId="3" xfId="0" applyFill="1" applyBorder="1"/>
    <xf numFmtId="3" fontId="0" fillId="0" borderId="1" xfId="0" applyNumberFormat="1" applyBorder="1"/>
    <xf numFmtId="3" fontId="0" fillId="0" borderId="2" xfId="0" applyNumberFormat="1" applyBorder="1"/>
    <xf numFmtId="0" fontId="0" fillId="3" borderId="0" xfId="0" applyFill="1"/>
    <xf numFmtId="9" fontId="0" fillId="0" borderId="0" xfId="0" applyNumberFormat="1"/>
    <xf numFmtId="9" fontId="0" fillId="0" borderId="1" xfId="0" applyNumberFormat="1" applyBorder="1"/>
    <xf numFmtId="9" fontId="2" fillId="0" borderId="0" xfId="0" applyNumberFormat="1" applyFont="1"/>
    <xf numFmtId="4" fontId="0" fillId="3" borderId="0" xfId="0" applyNumberFormat="1" applyFill="1"/>
    <xf numFmtId="3" fontId="0" fillId="3" borderId="0" xfId="0" applyNumberFormat="1" applyFill="1"/>
    <xf numFmtId="9" fontId="0" fillId="0" borderId="0" xfId="0" applyNumberFormat="1" applyFont="1"/>
    <xf numFmtId="4" fontId="0" fillId="0" borderId="0" xfId="0" applyNumberFormat="1" applyFill="1"/>
    <xf numFmtId="0" fontId="3" fillId="0" borderId="0" xfId="0" applyFont="1" applyFill="1"/>
    <xf numFmtId="9" fontId="0" fillId="0" borderId="0" xfId="0" applyNumberFormat="1" applyFont="1" applyFill="1"/>
    <xf numFmtId="8" fontId="0" fillId="0" borderId="0" xfId="0" applyNumberFormat="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31</xdr:col>
      <xdr:colOff>644071</xdr:colOff>
      <xdr:row>0</xdr:row>
      <xdr:rowOff>9071</xdr:rowOff>
    </xdr:from>
    <xdr:to>
      <xdr:col>32</xdr:col>
      <xdr:colOff>9072</xdr:colOff>
      <xdr:row>60</xdr:row>
      <xdr:rowOff>63500</xdr:rowOff>
    </xdr:to>
    <xdr:cxnSp macro="">
      <xdr:nvCxnSpPr>
        <xdr:cNvPr id="3" name="Straight Connector 2">
          <a:extLst>
            <a:ext uri="{FF2B5EF4-FFF2-40B4-BE49-F238E27FC236}">
              <a16:creationId xmlns:a16="http://schemas.microsoft.com/office/drawing/2014/main" id="{41F9E45F-BC08-EBF0-7E84-0616720599AB}"/>
            </a:ext>
          </a:extLst>
        </xdr:cNvPr>
        <xdr:cNvCxnSpPr/>
      </xdr:nvCxnSpPr>
      <xdr:spPr>
        <a:xfrm>
          <a:off x="19884571" y="9071"/>
          <a:ext cx="27215" cy="109401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1229</v>
    <v>226.59</v>
    <v>1.2831999999999999</v>
    <v>16.579999999999998</v>
    <v>-1.8249999999999999E-4</v>
    <v>2.3835000000000002E-2</v>
    <v>-0.13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724.29</v>
    <v>Computers, Phones &amp; Household Electronics</v>
    <v>Stock</v>
    <v>45499.999866145314</v>
    <v>0</v>
    <v>697.55</v>
    <v>41703375100</v>
    <v>SUPER MICRO COMPUTER, INC.</v>
    <v>SUPER MICRO COMPUTER, INC.</v>
    <v>710.61</v>
    <v>39.967300000000002</v>
    <v>695.61</v>
    <v>712.19</v>
    <v>712.06</v>
    <v>58556530</v>
    <v>SMCI</v>
    <v>SUPER MICRO COMPUTER, INC. (XNAS:SMCI)</v>
    <v>4382184</v>
    <v>6819106</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712.19</v>
      </c>
    </row>
    <row r="3" spans="1:3" x14ac:dyDescent="0.35">
      <c r="A3" t="s">
        <v>2</v>
      </c>
      <c r="B3" cm="1">
        <f t="array" ref="B3">_FV(A1,"Shares outstanding",TRUE)/1000000</f>
        <v>58.556530000000002</v>
      </c>
      <c r="C3" t="s">
        <v>16</v>
      </c>
    </row>
    <row r="4" spans="1:3" x14ac:dyDescent="0.35">
      <c r="A4" t="s">
        <v>3</v>
      </c>
      <c r="B4" s="1">
        <f>B2*B3</f>
        <v>41703.375100700003</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C22"/>
  <sheetViews>
    <sheetView workbookViewId="0">
      <selection activeCell="D23" sqref="D23"/>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1" x14ac:dyDescent="0.35">
      <c r="A17" s="19" t="s">
        <v>123</v>
      </c>
    </row>
    <row r="18" spans="1:1" x14ac:dyDescent="0.35">
      <c r="A18" s="19" t="s">
        <v>120</v>
      </c>
    </row>
    <row r="19" spans="1:1" x14ac:dyDescent="0.35">
      <c r="A19" s="19" t="s">
        <v>121</v>
      </c>
    </row>
    <row r="21" spans="1:1" s="5" customFormat="1" x14ac:dyDescent="0.35">
      <c r="A21" s="5" t="s">
        <v>119</v>
      </c>
    </row>
    <row r="22" spans="1:1" x14ac:dyDescent="0.35">
      <c r="A22" s="19"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8"/>
  <sheetViews>
    <sheetView workbookViewId="0">
      <pane xSplit="2" ySplit="7" topLeftCell="C119" activePane="bottomRight" state="frozen"/>
      <selection pane="topRight" activeCell="C1" sqref="C1"/>
      <selection pane="bottomLeft" activeCell="A7" sqref="A7"/>
      <selection pane="bottomRight" activeCell="X132" sqref="X132"/>
    </sheetView>
  </sheetViews>
  <sheetFormatPr defaultRowHeight="14.5" x14ac:dyDescent="0.35"/>
  <cols>
    <col min="2" max="2" width="20.6328125" customWidth="1"/>
    <col min="10" max="11" width="9.453125" bestFit="1" customWidth="1"/>
    <col min="12" max="12" width="10.453125" bestFit="1" customWidth="1"/>
    <col min="13" max="14" width="9.453125" bestFit="1" customWidth="1"/>
    <col min="15" max="15" width="9.453125" style="26" bestFit="1" customWidth="1"/>
    <col min="16" max="16" width="10.453125" bestFit="1" customWidth="1"/>
    <col min="17" max="18" width="9.453125" bestFit="1" customWidth="1"/>
    <col min="19" max="19" width="9.453125" style="26" bestFit="1" customWidth="1"/>
    <col min="20" max="20" width="10.453125" bestFit="1" customWidth="1"/>
    <col min="21" max="22" width="9.453125" bestFit="1" customWidth="1"/>
    <col min="23" max="23" width="9.453125" style="26" bestFit="1" customWidth="1"/>
    <col min="24" max="24" width="10.453125" bestFit="1" customWidth="1"/>
    <col min="40" max="41" width="10.453125" bestFit="1" customWidth="1"/>
    <col min="42" max="45" width="9.453125" bestFit="1" customWidth="1"/>
  </cols>
  <sheetData>
    <row r="1" spans="2:52" x14ac:dyDescent="0.35">
      <c r="B1" t="s">
        <v>17</v>
      </c>
      <c r="K1" t="s">
        <v>144</v>
      </c>
      <c r="L1" t="s">
        <v>143</v>
      </c>
      <c r="M1" t="s">
        <v>142</v>
      </c>
      <c r="N1" t="s">
        <v>141</v>
      </c>
      <c r="O1" s="26" t="s">
        <v>140</v>
      </c>
      <c r="P1" t="s">
        <v>139</v>
      </c>
      <c r="Q1" t="s">
        <v>138</v>
      </c>
      <c r="R1" t="s">
        <v>137</v>
      </c>
      <c r="S1" s="26" t="s">
        <v>128</v>
      </c>
      <c r="T1" t="s">
        <v>129</v>
      </c>
      <c r="U1" t="s">
        <v>130</v>
      </c>
      <c r="V1" t="s">
        <v>136</v>
      </c>
      <c r="W1" s="26" t="s">
        <v>147</v>
      </c>
      <c r="X1" t="s">
        <v>148</v>
      </c>
      <c r="Y1" t="s">
        <v>149</v>
      </c>
      <c r="AN1" t="s">
        <v>24</v>
      </c>
    </row>
    <row r="2" spans="2:52" x14ac:dyDescent="0.35">
      <c r="B2" t="s">
        <v>18</v>
      </c>
      <c r="J2" s="3">
        <f>AO2</f>
        <v>44074</v>
      </c>
      <c r="K2" s="3">
        <v>44141</v>
      </c>
      <c r="L2" s="3">
        <v>44232</v>
      </c>
      <c r="M2" s="3">
        <v>44323</v>
      </c>
      <c r="N2" s="3">
        <f>AP2</f>
        <v>44435</v>
      </c>
      <c r="O2" s="27">
        <v>44505</v>
      </c>
      <c r="P2" s="3">
        <v>44596</v>
      </c>
      <c r="Q2" s="3">
        <v>44687</v>
      </c>
      <c r="R2" s="3">
        <f>AQ2</f>
        <v>44802</v>
      </c>
      <c r="S2" s="27">
        <v>44869</v>
      </c>
      <c r="T2" s="3">
        <v>44960</v>
      </c>
      <c r="U2" s="3">
        <v>45051</v>
      </c>
      <c r="V2" s="3">
        <f>AR2</f>
        <v>45166</v>
      </c>
      <c r="W2" s="27">
        <v>45233</v>
      </c>
      <c r="X2" s="3">
        <v>45324</v>
      </c>
      <c r="AM2" s="3"/>
      <c r="AN2" s="3">
        <v>43818</v>
      </c>
      <c r="AO2" s="3">
        <v>44074</v>
      </c>
      <c r="AP2" s="3">
        <v>44435</v>
      </c>
      <c r="AQ2" s="3">
        <v>44802</v>
      </c>
      <c r="AR2" s="3">
        <v>45166</v>
      </c>
    </row>
    <row r="3" spans="2:52" x14ac:dyDescent="0.35">
      <c r="B3" t="s">
        <v>19</v>
      </c>
      <c r="J3" s="3">
        <v>44012</v>
      </c>
      <c r="K3" s="3">
        <v>44104</v>
      </c>
      <c r="L3" s="3">
        <v>44196</v>
      </c>
      <c r="M3" s="3">
        <v>44286</v>
      </c>
      <c r="N3" s="3">
        <v>44377</v>
      </c>
      <c r="O3" s="27">
        <v>44469</v>
      </c>
      <c r="P3" s="3">
        <v>44561</v>
      </c>
      <c r="Q3" s="3">
        <v>44651</v>
      </c>
      <c r="R3" s="3">
        <v>44742</v>
      </c>
      <c r="S3" s="27">
        <v>44834</v>
      </c>
      <c r="T3" s="3">
        <v>44926</v>
      </c>
      <c r="U3" s="3">
        <v>45016</v>
      </c>
      <c r="V3" s="3">
        <v>45107</v>
      </c>
      <c r="W3" s="27">
        <v>45199</v>
      </c>
      <c r="X3" s="3">
        <v>45291</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c r="O4" s="28"/>
      <c r="S4" s="28"/>
      <c r="W4" s="28"/>
    </row>
    <row r="5" spans="2:52" x14ac:dyDescent="0.35">
      <c r="B5" t="s">
        <v>21</v>
      </c>
      <c r="K5">
        <v>31.18</v>
      </c>
      <c r="L5">
        <v>31.53</v>
      </c>
      <c r="M5">
        <v>39.369999999999997</v>
      </c>
      <c r="N5">
        <v>40.71</v>
      </c>
      <c r="O5" s="26">
        <v>39.630000000000003</v>
      </c>
      <c r="P5">
        <v>47.14</v>
      </c>
      <c r="Q5">
        <v>47.99</v>
      </c>
      <c r="R5">
        <v>58.34</v>
      </c>
      <c r="S5" s="26">
        <v>74.930000000000007</v>
      </c>
      <c r="T5">
        <v>95.22</v>
      </c>
      <c r="U5">
        <v>118.36</v>
      </c>
      <c r="V5">
        <v>270.18</v>
      </c>
      <c r="W5" s="26">
        <v>357</v>
      </c>
      <c r="X5">
        <v>327.55</v>
      </c>
      <c r="AM5">
        <v>27.9</v>
      </c>
      <c r="AN5">
        <v>24.95</v>
      </c>
      <c r="AO5">
        <v>33.299999999999997</v>
      </c>
      <c r="AP5">
        <v>40.71</v>
      </c>
      <c r="AQ5">
        <v>58.34</v>
      </c>
      <c r="AR5">
        <v>270.18</v>
      </c>
    </row>
    <row r="6" spans="2:52" x14ac:dyDescent="0.35">
      <c r="B6" t="s">
        <v>22</v>
      </c>
      <c r="K6">
        <v>24.54</v>
      </c>
      <c r="L6">
        <v>21.95</v>
      </c>
      <c r="M6">
        <v>30.52</v>
      </c>
      <c r="N6">
        <v>33.479999999999997</v>
      </c>
      <c r="O6" s="26">
        <v>32.880000000000003</v>
      </c>
      <c r="P6">
        <v>34.78</v>
      </c>
      <c r="Q6">
        <v>37</v>
      </c>
      <c r="R6">
        <v>34.11</v>
      </c>
      <c r="S6" s="26">
        <v>37.01</v>
      </c>
      <c r="T6">
        <v>50.28</v>
      </c>
      <c r="U6">
        <v>69.02</v>
      </c>
      <c r="V6">
        <v>93.19</v>
      </c>
      <c r="W6" s="26">
        <v>228.26</v>
      </c>
      <c r="X6">
        <v>226.59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29">
        <v>36.270000000000003</v>
      </c>
      <c r="P7" s="17">
        <v>40.479999999999997</v>
      </c>
      <c r="Q7" s="17">
        <v>41.43</v>
      </c>
      <c r="R7" s="17">
        <v>45.7</v>
      </c>
      <c r="S7" s="29">
        <v>56.99</v>
      </c>
      <c r="T7" s="17">
        <v>76.13</v>
      </c>
      <c r="U7" s="17">
        <v>89.95</v>
      </c>
      <c r="V7" s="17">
        <v>166.17</v>
      </c>
      <c r="W7" s="29">
        <v>278.87</v>
      </c>
      <c r="X7" s="17">
        <v>277.18</v>
      </c>
      <c r="AM7" s="17">
        <v>22.23</v>
      </c>
      <c r="AN7" s="17">
        <v>18.37</v>
      </c>
      <c r="AO7" s="17">
        <v>22.54</v>
      </c>
      <c r="AP7" s="17">
        <v>31.51</v>
      </c>
      <c r="AQ7" s="17">
        <v>40.909999999999997</v>
      </c>
      <c r="AR7" s="17">
        <v>96.69</v>
      </c>
    </row>
    <row r="12" spans="2:52" s="2" customFormat="1" x14ac:dyDescent="0.35">
      <c r="B12" s="2" t="s">
        <v>25</v>
      </c>
      <c r="O12" s="28"/>
      <c r="S12" s="28"/>
      <c r="W12" s="28"/>
    </row>
    <row r="13" spans="2:52" s="6" customFormat="1" x14ac:dyDescent="0.35">
      <c r="B13" s="6" t="s">
        <v>26</v>
      </c>
      <c r="K13" s="6">
        <v>617.78800000000001</v>
      </c>
      <c r="L13" s="6">
        <v>642.71100000000001</v>
      </c>
      <c r="M13" s="6">
        <v>693.33900000000006</v>
      </c>
      <c r="N13" s="6">
        <f>AP13-M13-L13-K13</f>
        <v>836.46200000000022</v>
      </c>
      <c r="O13" s="30">
        <v>849.85599999999999</v>
      </c>
      <c r="P13" s="6">
        <v>986.05200000000002</v>
      </c>
      <c r="Q13" s="6">
        <v>1145.8689999999999</v>
      </c>
      <c r="R13" s="6">
        <f>AQ13-Q13-P13-O13</f>
        <v>1482.0230000000004</v>
      </c>
      <c r="S13" s="30">
        <v>1713.056</v>
      </c>
      <c r="T13" s="6">
        <v>1660.931</v>
      </c>
      <c r="U13" s="6">
        <v>1163.723</v>
      </c>
      <c r="V13" s="6">
        <f>AR13-U13-T13-S13</f>
        <v>2032.0900000000001</v>
      </c>
      <c r="W13" s="30">
        <v>1966.6079999999999</v>
      </c>
      <c r="X13" s="6">
        <v>3435.5619999999999</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31">
        <v>182.874</v>
      </c>
      <c r="P14" s="7">
        <v>186.36699999999999</v>
      </c>
      <c r="Q14" s="7">
        <v>209.62100000000001</v>
      </c>
      <c r="R14" s="7">
        <f>AQ14-Q14-P14-O14</f>
        <v>153.43800000000002</v>
      </c>
      <c r="S14" s="31">
        <v>139.07400000000001</v>
      </c>
      <c r="T14" s="7">
        <v>142.26400000000001</v>
      </c>
      <c r="U14" s="7">
        <v>119.57299999999999</v>
      </c>
      <c r="V14" s="7">
        <f>AR14-U14-T14-S14</f>
        <v>152.78900000000004</v>
      </c>
      <c r="W14" s="31">
        <v>153.06399999999999</v>
      </c>
      <c r="X14" s="7">
        <v>229.36199999999999</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30">
        <f t="shared" si="2"/>
        <v>1032.73</v>
      </c>
      <c r="P15" s="6">
        <f t="shared" si="2"/>
        <v>1172.4190000000001</v>
      </c>
      <c r="Q15" s="6">
        <f t="shared" si="2"/>
        <v>1355.49</v>
      </c>
      <c r="R15" s="6">
        <f t="shared" si="2"/>
        <v>1635.4610000000005</v>
      </c>
      <c r="S15" s="30">
        <f t="shared" si="2"/>
        <v>1852.13</v>
      </c>
      <c r="T15" s="6">
        <f t="shared" si="2"/>
        <v>1803.1950000000002</v>
      </c>
      <c r="U15" s="6">
        <f t="shared" si="2"/>
        <v>1283.296</v>
      </c>
      <c r="V15" s="6">
        <f t="shared" si="2"/>
        <v>2184.8790000000004</v>
      </c>
      <c r="W15" s="30">
        <f t="shared" si="2"/>
        <v>2119.672</v>
      </c>
      <c r="X15" s="6">
        <f t="shared" ref="X15" si="3">SUM(X13:X14)</f>
        <v>3664.924</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c r="O16" s="32"/>
      <c r="S16" s="32"/>
      <c r="W16" s="32"/>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33">
        <f t="shared" si="11"/>
        <v>0.37564342460520433</v>
      </c>
      <c r="P17" s="11">
        <f t="shared" si="11"/>
        <v>0.5342074431587448</v>
      </c>
      <c r="Q17" s="11">
        <f t="shared" si="11"/>
        <v>0.65268216557845415</v>
      </c>
      <c r="R17" s="11">
        <f t="shared" si="11"/>
        <v>0.77177564551647293</v>
      </c>
      <c r="S17" s="33">
        <f t="shared" si="11"/>
        <v>1.0157014835454479</v>
      </c>
      <c r="T17" s="11">
        <f t="shared" si="11"/>
        <v>0.68442536499089301</v>
      </c>
      <c r="U17" s="11">
        <f t="shared" si="11"/>
        <v>1.558118772739296E-2</v>
      </c>
      <c r="V17" s="11">
        <f t="shared" si="11"/>
        <v>0.37115955690296282</v>
      </c>
      <c r="W17" s="33">
        <f t="shared" si="11"/>
        <v>0.14801150692096457</v>
      </c>
      <c r="X17" s="11">
        <f t="shared" ref="X17:X19" si="12">(X13-T13)/ABS(T13)</f>
        <v>1.0684555830434856</v>
      </c>
      <c r="Y17" s="11">
        <f t="shared" ref="Y17:Y19" si="13">(Y13-U13)/ABS(U13)</f>
        <v>-1</v>
      </c>
      <c r="Z17" s="11">
        <f t="shared" ref="Z17:Z19" si="14">(Z13-V13)/ABS(V13)</f>
        <v>-1</v>
      </c>
      <c r="AA17" s="11">
        <f t="shared" ref="AA17:AA19" si="15">(AA13-W13)/ABS(W13)</f>
        <v>-1</v>
      </c>
      <c r="AB17" s="11">
        <f t="shared" ref="AB17:AB19" si="16">(AB13-X13)/ABS(X13)</f>
        <v>-1</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33">
        <f t="shared" si="20"/>
        <v>0.26589691406736726</v>
      </c>
      <c r="P18" s="11">
        <f t="shared" si="20"/>
        <v>-6.5460166848797068E-3</v>
      </c>
      <c r="Q18" s="11">
        <f t="shared" si="20"/>
        <v>3.4950775641595364E-2</v>
      </c>
      <c r="R18" s="11">
        <f t="shared" si="20"/>
        <v>-0.3400544513787036</v>
      </c>
      <c r="S18" s="33">
        <f t="shared" si="20"/>
        <v>-0.23950917024836765</v>
      </c>
      <c r="T18" s="11">
        <f t="shared" si="20"/>
        <v>-0.23664597273122379</v>
      </c>
      <c r="U18" s="11">
        <f t="shared" si="20"/>
        <v>-0.42957528110256132</v>
      </c>
      <c r="V18" s="11">
        <f t="shared" si="20"/>
        <v>-4.2297214510093484E-3</v>
      </c>
      <c r="W18" s="33">
        <f t="shared" si="20"/>
        <v>0.10059392841221206</v>
      </c>
      <c r="X18" s="11">
        <f t="shared" si="12"/>
        <v>0.61222797053365563</v>
      </c>
      <c r="Y18" s="11">
        <f t="shared" si="13"/>
        <v>-1</v>
      </c>
      <c r="Z18" s="11">
        <f t="shared" si="14"/>
        <v>-1</v>
      </c>
      <c r="AA18" s="11">
        <f t="shared" si="15"/>
        <v>-1</v>
      </c>
      <c r="AB18" s="11">
        <f t="shared" si="16"/>
        <v>-1</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34">
        <f t="shared" si="22"/>
        <v>0.35484421121679244</v>
      </c>
      <c r="P19" s="22">
        <f t="shared" si="22"/>
        <v>0.4120324314168512</v>
      </c>
      <c r="Q19" s="22">
        <f t="shared" si="22"/>
        <v>0.51302460929520755</v>
      </c>
      <c r="R19" s="22">
        <f t="shared" si="22"/>
        <v>0.52995098988458922</v>
      </c>
      <c r="S19" s="34">
        <f t="shared" si="22"/>
        <v>0.79343100326319571</v>
      </c>
      <c r="T19" s="22">
        <f t="shared" si="22"/>
        <v>0.53801243412124844</v>
      </c>
      <c r="U19" s="22">
        <f t="shared" si="22"/>
        <v>-5.3260444562482911E-2</v>
      </c>
      <c r="V19" s="22">
        <f t="shared" si="22"/>
        <v>0.33594075309652738</v>
      </c>
      <c r="W19" s="34">
        <f t="shared" si="22"/>
        <v>0.14445098346228391</v>
      </c>
      <c r="X19" s="22">
        <f t="shared" si="12"/>
        <v>1.0324612701344</v>
      </c>
      <c r="Y19" s="22">
        <f t="shared" si="13"/>
        <v>-1</v>
      </c>
      <c r="Z19" s="22">
        <f t="shared" si="14"/>
        <v>-1</v>
      </c>
      <c r="AA19" s="22">
        <f t="shared" si="15"/>
        <v>-1</v>
      </c>
      <c r="AB19" s="22">
        <f t="shared" si="16"/>
        <v>-1</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c r="O20" s="35"/>
      <c r="S20" s="35"/>
      <c r="W20" s="35"/>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36">
        <f t="shared" si="24"/>
        <v>0.82292177045307102</v>
      </c>
      <c r="P21" s="8">
        <f t="shared" si="24"/>
        <v>0.84104061773137417</v>
      </c>
      <c r="Q21" s="8">
        <f t="shared" si="24"/>
        <v>0.84535407859888301</v>
      </c>
      <c r="R21" s="8">
        <f t="shared" si="24"/>
        <v>0.90618058149965053</v>
      </c>
      <c r="S21" s="36">
        <f t="shared" si="24"/>
        <v>0.9249113183199883</v>
      </c>
      <c r="T21" s="8">
        <f t="shared" si="24"/>
        <v>0.92110448398537037</v>
      </c>
      <c r="U21" s="8">
        <f t="shared" si="24"/>
        <v>0.906823523177817</v>
      </c>
      <c r="V21" s="8">
        <f t="shared" si="24"/>
        <v>0.93006981164631997</v>
      </c>
      <c r="W21" s="36">
        <f t="shared" si="24"/>
        <v>0.92778882770541848</v>
      </c>
      <c r="X21" s="8">
        <f t="shared" ref="X21:AB21" si="25">X13/X$15</f>
        <v>0.93741698327168588</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37">
        <f t="shared" si="28"/>
        <v>0.17707822954692901</v>
      </c>
      <c r="P22" s="9">
        <f t="shared" si="28"/>
        <v>0.1589593822686258</v>
      </c>
      <c r="Q22" s="9">
        <f t="shared" si="28"/>
        <v>0.15464592140111694</v>
      </c>
      <c r="R22" s="9">
        <f t="shared" si="28"/>
        <v>9.381941850034943E-2</v>
      </c>
      <c r="S22" s="37">
        <f t="shared" si="28"/>
        <v>7.5088681680011662E-2</v>
      </c>
      <c r="T22" s="9">
        <f t="shared" si="28"/>
        <v>7.8895516014629588E-2</v>
      </c>
      <c r="U22" s="9">
        <f t="shared" si="28"/>
        <v>9.3176476822182872E-2</v>
      </c>
      <c r="V22" s="9">
        <f t="shared" si="28"/>
        <v>6.9930188353680006E-2</v>
      </c>
      <c r="W22" s="37">
        <f t="shared" si="28"/>
        <v>7.2211172294581419E-2</v>
      </c>
      <c r="X22" s="9">
        <f t="shared" ref="X22:AB22" si="29">X14/X$15</f>
        <v>6.258301672831415E-2</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36">
        <f t="shared" ref="O23" si="40">SUM(O21:O22)</f>
        <v>1</v>
      </c>
      <c r="P23" s="8">
        <f t="shared" ref="P23" si="41">SUM(P21:P22)</f>
        <v>1</v>
      </c>
      <c r="Q23" s="8">
        <f t="shared" ref="Q23" si="42">SUM(Q21:Q22)</f>
        <v>1</v>
      </c>
      <c r="R23" s="8">
        <f t="shared" ref="R23" si="43">SUM(R21:R22)</f>
        <v>1</v>
      </c>
      <c r="S23" s="36">
        <f t="shared" ref="S23" si="44">SUM(S21:S22)</f>
        <v>1</v>
      </c>
      <c r="T23" s="8">
        <f t="shared" ref="T23" si="45">SUM(T21:T22)</f>
        <v>1</v>
      </c>
      <c r="U23" s="8">
        <f t="shared" ref="U23" si="46">SUM(U21:U22)</f>
        <v>0.99999999999999989</v>
      </c>
      <c r="V23" s="8">
        <f t="shared" ref="V23" si="47">SUM(V21:V22)</f>
        <v>1</v>
      </c>
      <c r="W23" s="36">
        <f t="shared" ref="W23" si="48">SUM(W21:W22)</f>
        <v>0.99999999999999989</v>
      </c>
      <c r="X23" s="8">
        <f t="shared" ref="X23" si="49">SUM(X21:X22)</f>
        <v>1</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c r="O26" s="28"/>
      <c r="S26" s="28"/>
      <c r="W26" s="28"/>
    </row>
    <row r="27" spans="2:52" s="6" customFormat="1" x14ac:dyDescent="0.35">
      <c r="B27" s="6" t="s">
        <v>32</v>
      </c>
      <c r="K27" s="6">
        <v>496.08600000000001</v>
      </c>
      <c r="L27" s="6">
        <v>463.10199999999998</v>
      </c>
      <c r="M27" s="6">
        <v>499.06099999999998</v>
      </c>
      <c r="N27" s="6">
        <f>AP27-M27-L27-K27</f>
        <v>649.65100000000007</v>
      </c>
      <c r="O27" s="30">
        <v>560.94799999999998</v>
      </c>
      <c r="P27" s="6">
        <v>638.20699999999999</v>
      </c>
      <c r="Q27" s="6">
        <v>762.41800000000001</v>
      </c>
      <c r="R27" s="6">
        <f>AQ27-Q27-P27-O27</f>
        <v>1073.9270000000001</v>
      </c>
      <c r="S27" s="30">
        <v>1295.5039999999999</v>
      </c>
      <c r="T27" s="6">
        <v>1091.3910000000001</v>
      </c>
      <c r="U27" s="6">
        <v>785.548</v>
      </c>
      <c r="V27" s="6">
        <f>AR27-U27-T27-S27</f>
        <v>1661.6570000000006</v>
      </c>
      <c r="W27" s="30">
        <v>1619.5139999999999</v>
      </c>
      <c r="X27" s="6">
        <v>2605.585</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30">
        <v>263.08600000000001</v>
      </c>
      <c r="P28" s="6">
        <v>284.10700000000003</v>
      </c>
      <c r="Q28" s="6">
        <v>309.97199999999998</v>
      </c>
      <c r="R28" s="6">
        <f>AQ28-Q28-P28-O28</f>
        <v>282.73500000000013</v>
      </c>
      <c r="S28" s="30">
        <v>270.024</v>
      </c>
      <c r="T28" s="6">
        <v>330.71100000000001</v>
      </c>
      <c r="U28" s="6">
        <v>214.363</v>
      </c>
      <c r="V28" s="6">
        <f>AR28-U28-T28-S28</f>
        <v>235.70199999999988</v>
      </c>
      <c r="W28" s="30">
        <v>225.46799999999999</v>
      </c>
      <c r="X28" s="6">
        <v>656.22</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30">
        <v>179.69399999999999</v>
      </c>
      <c r="P29" s="6">
        <v>215.45099999999999</v>
      </c>
      <c r="Q29" s="6">
        <v>205.44399999999999</v>
      </c>
      <c r="R29" s="6">
        <f>AQ29-Q29-P29-O29</f>
        <v>224.61100000000008</v>
      </c>
      <c r="S29" s="30">
        <v>235.07400000000001</v>
      </c>
      <c r="T29" s="6">
        <v>312.53300000000002</v>
      </c>
      <c r="U29" s="6">
        <v>228.53100000000001</v>
      </c>
      <c r="V29" s="6">
        <f>AR29-U29-T29-S29</f>
        <v>226.96199999999993</v>
      </c>
      <c r="W29" s="30">
        <v>190.84800000000001</v>
      </c>
      <c r="X29" s="6">
        <v>288.44799999999998</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31">
        <v>29.001999999999999</v>
      </c>
      <c r="P30" s="7">
        <v>34.654000000000003</v>
      </c>
      <c r="Q30" s="7">
        <v>77.656000000000006</v>
      </c>
      <c r="R30" s="7">
        <f>AQ30-Q30-P30-O30</f>
        <v>54.188000000000002</v>
      </c>
      <c r="S30" s="31">
        <v>51.527999999999999</v>
      </c>
      <c r="T30" s="7">
        <v>68.56</v>
      </c>
      <c r="U30" s="7">
        <v>54.853999999999999</v>
      </c>
      <c r="V30" s="7">
        <f>AR30-U30-T30-S30</f>
        <v>60.558000000000014</v>
      </c>
      <c r="W30" s="31">
        <v>83.841999999999999</v>
      </c>
      <c r="X30" s="7">
        <v>114.67100000000001</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30">
        <f t="shared" si="57"/>
        <v>1032.73</v>
      </c>
      <c r="P31" s="6">
        <f t="shared" si="57"/>
        <v>1172.4190000000001</v>
      </c>
      <c r="Q31" s="6">
        <f t="shared" si="57"/>
        <v>1355.4899999999998</v>
      </c>
      <c r="R31" s="6">
        <f t="shared" si="57"/>
        <v>1635.4610000000005</v>
      </c>
      <c r="S31" s="30">
        <f t="shared" si="57"/>
        <v>1852.1299999999999</v>
      </c>
      <c r="T31" s="6">
        <f t="shared" si="57"/>
        <v>1803.1950000000002</v>
      </c>
      <c r="U31" s="6">
        <f t="shared" si="57"/>
        <v>1283.296</v>
      </c>
      <c r="V31" s="6">
        <f t="shared" si="57"/>
        <v>2184.8790000000004</v>
      </c>
      <c r="W31" s="30">
        <f t="shared" si="57"/>
        <v>2119.672</v>
      </c>
      <c r="X31" s="6">
        <f t="shared" ref="X31" si="58">SUM(X27:X30)</f>
        <v>3664.924</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c r="O32" s="35"/>
      <c r="S32" s="35"/>
      <c r="W32" s="35"/>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36">
        <f t="shared" si="66"/>
        <v>0.54317004444530514</v>
      </c>
      <c r="P33" s="8">
        <f t="shared" si="66"/>
        <v>0.54435061185463551</v>
      </c>
      <c r="Q33" s="8">
        <f t="shared" si="66"/>
        <v>0.56246670945562127</v>
      </c>
      <c r="R33" s="8">
        <f t="shared" si="66"/>
        <v>0.65665093817584141</v>
      </c>
      <c r="S33" s="36">
        <f t="shared" si="66"/>
        <v>0.69946710004157375</v>
      </c>
      <c r="T33" s="8">
        <f t="shared" si="66"/>
        <v>0.60525400747007396</v>
      </c>
      <c r="U33" s="8">
        <f t="shared" si="66"/>
        <v>0.61213313218462462</v>
      </c>
      <c r="V33" s="8">
        <f t="shared" si="66"/>
        <v>0.76052586893828</v>
      </c>
      <c r="W33" s="36">
        <f t="shared" si="66"/>
        <v>0.76403990806124711</v>
      </c>
      <c r="X33" s="8">
        <f t="shared" ref="X33:AB33" si="67">X27/X$31</f>
        <v>0.71095198699891182</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36">
        <f t="shared" si="70"/>
        <v>0.2547480948553833</v>
      </c>
      <c r="P34" s="8">
        <f t="shared" si="70"/>
        <v>0.24232548261329781</v>
      </c>
      <c r="Q34" s="8">
        <f t="shared" si="70"/>
        <v>0.22867892791536643</v>
      </c>
      <c r="R34" s="8">
        <f t="shared" si="70"/>
        <v>0.17287786134918537</v>
      </c>
      <c r="S34" s="36">
        <f t="shared" si="70"/>
        <v>0.14579106218246021</v>
      </c>
      <c r="T34" s="8">
        <f t="shared" si="70"/>
        <v>0.18340279337509252</v>
      </c>
      <c r="U34" s="8">
        <f t="shared" si="70"/>
        <v>0.16704096326958082</v>
      </c>
      <c r="V34" s="8">
        <f t="shared" si="70"/>
        <v>0.10787874294182874</v>
      </c>
      <c r="W34" s="36">
        <f t="shared" si="70"/>
        <v>0.10636928732369913</v>
      </c>
      <c r="X34" s="8">
        <f t="shared" ref="X34:AB34" si="71">X28/X$31</f>
        <v>0.17905419048253116</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36">
        <f t="shared" si="74"/>
        <v>0.17399901232655193</v>
      </c>
      <c r="P35" s="8">
        <f t="shared" si="74"/>
        <v>0.1837662132735822</v>
      </c>
      <c r="Q35" s="8">
        <f t="shared" si="74"/>
        <v>0.15156437893307956</v>
      </c>
      <c r="R35" s="8">
        <f t="shared" si="74"/>
        <v>0.137338034963842</v>
      </c>
      <c r="S35" s="36">
        <f t="shared" si="74"/>
        <v>0.12692089648134852</v>
      </c>
      <c r="T35" s="8">
        <f t="shared" si="74"/>
        <v>0.17332179825254618</v>
      </c>
      <c r="U35" s="8">
        <f t="shared" si="74"/>
        <v>0.17808128444256041</v>
      </c>
      <c r="V35" s="8">
        <f t="shared" si="74"/>
        <v>0.1038785214192639</v>
      </c>
      <c r="W35" s="36">
        <f t="shared" si="74"/>
        <v>9.0036571695998255E-2</v>
      </c>
      <c r="X35" s="8">
        <f t="shared" ref="X35:AB35" si="75">X29/X$31</f>
        <v>7.8705042723941881E-2</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37">
        <f t="shared" si="78"/>
        <v>2.8082848372759577E-2</v>
      </c>
      <c r="P36" s="9">
        <f t="shared" si="78"/>
        <v>2.9557692258484383E-2</v>
      </c>
      <c r="Q36" s="9">
        <f t="shared" si="78"/>
        <v>5.7289983695932849E-2</v>
      </c>
      <c r="R36" s="9">
        <f t="shared" si="78"/>
        <v>3.3133165511131102E-2</v>
      </c>
      <c r="S36" s="37">
        <f t="shared" si="78"/>
        <v>2.7820941294617551E-2</v>
      </c>
      <c r="T36" s="9">
        <f t="shared" si="78"/>
        <v>3.8021400902287325E-2</v>
      </c>
      <c r="U36" s="9">
        <f t="shared" si="78"/>
        <v>4.2744620103234168E-2</v>
      </c>
      <c r="V36" s="9">
        <f t="shared" si="78"/>
        <v>2.7716866700627358E-2</v>
      </c>
      <c r="W36" s="37">
        <f t="shared" si="78"/>
        <v>3.9554232919055403E-2</v>
      </c>
      <c r="X36" s="9">
        <f t="shared" ref="X36:AB36" si="79">X30/X$31</f>
        <v>3.1288779794615112E-2</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36">
        <f t="shared" si="82"/>
        <v>0.99999999999999989</v>
      </c>
      <c r="P37" s="8">
        <f t="shared" si="82"/>
        <v>0.99999999999999989</v>
      </c>
      <c r="Q37" s="8">
        <f t="shared" si="82"/>
        <v>1.0000000000000002</v>
      </c>
      <c r="R37" s="8">
        <f t="shared" si="82"/>
        <v>0.99999999999999989</v>
      </c>
      <c r="S37" s="36">
        <f t="shared" si="82"/>
        <v>1</v>
      </c>
      <c r="T37" s="8">
        <f t="shared" si="82"/>
        <v>0.99999999999999989</v>
      </c>
      <c r="U37" s="8">
        <f t="shared" si="82"/>
        <v>1</v>
      </c>
      <c r="V37" s="8">
        <f t="shared" si="82"/>
        <v>1</v>
      </c>
      <c r="W37" s="36">
        <f t="shared" si="82"/>
        <v>0.99999999999999978</v>
      </c>
      <c r="X37" s="8">
        <f t="shared" ref="X37" si="83">SUM(X33:X36)</f>
        <v>0.99999999999999989</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c r="O38" s="28"/>
      <c r="S38" s="28"/>
      <c r="W38" s="28"/>
    </row>
    <row r="39" spans="2:52" s="6" customFormat="1" x14ac:dyDescent="0.35">
      <c r="B39" s="6" t="s">
        <v>72</v>
      </c>
      <c r="K39" s="6">
        <v>762.25</v>
      </c>
      <c r="L39" s="6">
        <v>830.30600000000004</v>
      </c>
      <c r="M39" s="6">
        <v>895.88099999999997</v>
      </c>
      <c r="N39" s="6">
        <f>AP39-M39-L39-K39</f>
        <v>1068.9850000000001</v>
      </c>
      <c r="O39" s="30">
        <v>1032.73</v>
      </c>
      <c r="P39" s="6">
        <v>1172.4190000000001</v>
      </c>
      <c r="Q39" s="6">
        <v>1355.49</v>
      </c>
      <c r="R39" s="6">
        <f>AQ39-Q39-P39-O39</f>
        <v>1635.4600000000005</v>
      </c>
      <c r="S39" s="30">
        <v>1852.13</v>
      </c>
      <c r="T39" s="6">
        <v>1803.1949999999999</v>
      </c>
      <c r="U39" s="6">
        <v>1283.296</v>
      </c>
      <c r="V39" s="6">
        <f>AR39-U39-T39-S39</f>
        <v>2184.8609999999999</v>
      </c>
      <c r="W39" s="30">
        <v>2119.672</v>
      </c>
      <c r="X39" s="6">
        <v>3664.924</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31">
        <v>894.59100000000001</v>
      </c>
      <c r="P40" s="7">
        <v>1008.676</v>
      </c>
      <c r="Q40" s="7">
        <v>1144.7149999999999</v>
      </c>
      <c r="R40" s="7">
        <f>AQ40-Q40-P40-O40</f>
        <v>1348.116</v>
      </c>
      <c r="S40" s="31">
        <v>1504.595</v>
      </c>
      <c r="T40" s="7">
        <v>1465.7729999999999</v>
      </c>
      <c r="U40" s="7">
        <v>1056.9369999999999</v>
      </c>
      <c r="V40" s="7">
        <f>AR40-U40-T40-S40</f>
        <v>1813.1650000000002</v>
      </c>
      <c r="W40" s="31">
        <v>1765.981</v>
      </c>
      <c r="X40" s="7">
        <v>3100.6019999999999</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30">
        <f t="shared" si="91"/>
        <v>138.13900000000001</v>
      </c>
      <c r="P41" s="6">
        <f t="shared" si="91"/>
        <v>163.74300000000005</v>
      </c>
      <c r="Q41" s="6">
        <f t="shared" si="91"/>
        <v>210.77500000000009</v>
      </c>
      <c r="R41" s="6">
        <f t="shared" si="91"/>
        <v>287.34400000000051</v>
      </c>
      <c r="S41" s="30">
        <f t="shared" si="91"/>
        <v>347.53500000000008</v>
      </c>
      <c r="T41" s="6">
        <f t="shared" si="91"/>
        <v>337.42200000000003</v>
      </c>
      <c r="U41" s="6">
        <f t="shared" si="91"/>
        <v>226.35900000000015</v>
      </c>
      <c r="V41" s="6">
        <f t="shared" si="91"/>
        <v>371.69599999999969</v>
      </c>
      <c r="W41" s="30">
        <f t="shared" si="91"/>
        <v>353.69100000000003</v>
      </c>
      <c r="X41" s="6">
        <f t="shared" ref="X41" si="92">X39-X40</f>
        <v>564.32200000000012</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33">
        <f t="shared" si="100"/>
        <v>0.13376100239171904</v>
      </c>
      <c r="P42" s="11">
        <f t="shared" si="100"/>
        <v>0.13966252679289576</v>
      </c>
      <c r="Q42" s="11">
        <f t="shared" si="100"/>
        <v>0.15549727404849914</v>
      </c>
      <c r="R42" s="11">
        <f t="shared" si="100"/>
        <v>0.17569613442089713</v>
      </c>
      <c r="S42" s="33">
        <f t="shared" si="100"/>
        <v>0.1876407163644021</v>
      </c>
      <c r="T42" s="11">
        <f t="shared" si="100"/>
        <v>0.18712452064252622</v>
      </c>
      <c r="U42" s="11">
        <f t="shared" si="100"/>
        <v>0.17638876767324152</v>
      </c>
      <c r="V42" s="11">
        <f t="shared" si="100"/>
        <v>0.17012340830835448</v>
      </c>
      <c r="W42" s="33">
        <f t="shared" si="100"/>
        <v>0.16686119361863536</v>
      </c>
      <c r="X42" s="11">
        <f t="shared" ref="X42" si="101">X41/X39</f>
        <v>0.1539791821058227</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c r="O43" s="32"/>
      <c r="S43" s="32"/>
      <c r="W43" s="32"/>
    </row>
    <row r="44" spans="2:52" s="6" customFormat="1" x14ac:dyDescent="0.35">
      <c r="B44" s="6" t="s">
        <v>77</v>
      </c>
      <c r="K44" s="6">
        <v>54.798000000000002</v>
      </c>
      <c r="L44" s="6">
        <v>52.728999999999999</v>
      </c>
      <c r="M44" s="6">
        <v>57.911999999999999</v>
      </c>
      <c r="N44" s="6">
        <f>AP44-M44-L44-K44</f>
        <v>58.929999999999993</v>
      </c>
      <c r="O44" s="30">
        <v>65.143000000000001</v>
      </c>
      <c r="P44" s="6">
        <v>65.471000000000004</v>
      </c>
      <c r="Q44" s="6">
        <v>70.869</v>
      </c>
      <c r="R44" s="6">
        <f>AQ44-Q44-P44-O44</f>
        <v>70.79000000000002</v>
      </c>
      <c r="S44" s="30">
        <v>74.242999999999995</v>
      </c>
      <c r="T44" s="6">
        <v>70.7</v>
      </c>
      <c r="U44" s="6">
        <v>77.515000000000001</v>
      </c>
      <c r="V44" s="6">
        <f>AR44-U44-T44-S44</f>
        <v>84.802000000000021</v>
      </c>
      <c r="W44" s="30">
        <v>111.027</v>
      </c>
      <c r="X44" s="6">
        <v>108.824</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30">
        <v>21.623999999999999</v>
      </c>
      <c r="P45" s="6">
        <v>21.96</v>
      </c>
      <c r="Q45" s="6">
        <v>22.356000000000002</v>
      </c>
      <c r="R45" s="6">
        <f>AQ45-Q45-P45-O45</f>
        <v>24.186000000000011</v>
      </c>
      <c r="S45" s="30">
        <v>29.363</v>
      </c>
      <c r="T45" s="6">
        <v>28.445</v>
      </c>
      <c r="U45" s="6">
        <v>25.312000000000001</v>
      </c>
      <c r="V45" s="6">
        <f>AR45-U45-T45-S45</f>
        <v>31.905000000000008</v>
      </c>
      <c r="W45" s="30">
        <v>37.229999999999997</v>
      </c>
      <c r="X45" s="6">
        <v>46.853999999999999</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31">
        <v>22.244</v>
      </c>
      <c r="P46" s="7">
        <v>25.263000000000002</v>
      </c>
      <c r="Q46" s="7">
        <v>27.773</v>
      </c>
      <c r="R46" s="6">
        <f>AQ46-Q46-P46-O46</f>
        <v>27.155000000000001</v>
      </c>
      <c r="S46" s="31">
        <v>23.806000000000001</v>
      </c>
      <c r="T46" s="7">
        <v>23.094999999999999</v>
      </c>
      <c r="U46" s="7">
        <v>24.45</v>
      </c>
      <c r="V46" s="6">
        <f>AR46-U46-T46-S46</f>
        <v>28.233999999999991</v>
      </c>
      <c r="W46" s="31">
        <v>32.923999999999999</v>
      </c>
      <c r="X46" s="7">
        <v>37.18</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38">
        <f t="shared" si="109"/>
        <v>109.011</v>
      </c>
      <c r="P47" s="13">
        <f t="shared" si="109"/>
        <v>112.69400000000002</v>
      </c>
      <c r="Q47" s="13">
        <f t="shared" si="109"/>
        <v>120.99799999999999</v>
      </c>
      <c r="R47" s="13">
        <f t="shared" si="109"/>
        <v>122.13100000000003</v>
      </c>
      <c r="S47" s="38">
        <f t="shared" si="109"/>
        <v>127.41199999999999</v>
      </c>
      <c r="T47" s="13">
        <f t="shared" si="109"/>
        <v>122.24000000000001</v>
      </c>
      <c r="U47" s="13">
        <f t="shared" si="109"/>
        <v>127.277</v>
      </c>
      <c r="V47" s="13">
        <f t="shared" si="109"/>
        <v>144.941</v>
      </c>
      <c r="W47" s="38">
        <f t="shared" si="109"/>
        <v>181.18100000000001</v>
      </c>
      <c r="X47" s="13">
        <f t="shared" ref="X47" si="110">SUM(X44:X46)</f>
        <v>192.858</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30">
        <f t="shared" si="118"/>
        <v>29.128000000000014</v>
      </c>
      <c r="P48" s="6">
        <f t="shared" si="118"/>
        <v>51.049000000000035</v>
      </c>
      <c r="Q48" s="6">
        <f t="shared" si="118"/>
        <v>89.7770000000001</v>
      </c>
      <c r="R48" s="6">
        <f t="shared" si="118"/>
        <v>165.21300000000048</v>
      </c>
      <c r="S48" s="30">
        <f t="shared" si="118"/>
        <v>220.1230000000001</v>
      </c>
      <c r="T48" s="6">
        <f t="shared" si="118"/>
        <v>215.18200000000002</v>
      </c>
      <c r="U48" s="6">
        <f t="shared" si="118"/>
        <v>99.08200000000015</v>
      </c>
      <c r="V48" s="6">
        <f t="shared" si="118"/>
        <v>226.75499999999968</v>
      </c>
      <c r="W48" s="30">
        <f t="shared" si="118"/>
        <v>172.51000000000002</v>
      </c>
      <c r="X48" s="6">
        <f t="shared" ref="X48" si="119">X41-X47</f>
        <v>371.46400000000011</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33">
        <f t="shared" si="127"/>
        <v>2.8204855092812269E-2</v>
      </c>
      <c r="P49" s="11">
        <f t="shared" si="127"/>
        <v>4.3541600741714377E-2</v>
      </c>
      <c r="Q49" s="11">
        <f t="shared" si="127"/>
        <v>6.6232137455827858E-2</v>
      </c>
      <c r="R49" s="11">
        <f t="shared" si="127"/>
        <v>0.10101928509410223</v>
      </c>
      <c r="S49" s="33">
        <f t="shared" si="127"/>
        <v>0.11884856894494451</v>
      </c>
      <c r="T49" s="11">
        <f t="shared" si="127"/>
        <v>0.11933373817030328</v>
      </c>
      <c r="U49" s="11">
        <f t="shared" si="127"/>
        <v>7.7208999326733779E-2</v>
      </c>
      <c r="V49" s="11">
        <f t="shared" si="127"/>
        <v>0.10378463435431348</v>
      </c>
      <c r="W49" s="33">
        <f t="shared" si="127"/>
        <v>8.13852331870214E-2</v>
      </c>
      <c r="X49" s="11">
        <f t="shared" ref="X49" si="128">X48/X39</f>
        <v>0.10135653563348111</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c r="O50" s="32"/>
      <c r="S50" s="32"/>
      <c r="W50" s="32"/>
    </row>
    <row r="51" spans="2:52" s="6" customFormat="1" x14ac:dyDescent="0.35">
      <c r="B51" s="6" t="s">
        <v>84</v>
      </c>
      <c r="K51" s="6">
        <v>-0.84099999999999997</v>
      </c>
      <c r="L51" s="6">
        <v>-2.5390000000000001</v>
      </c>
      <c r="M51" s="6">
        <v>2.0169999999999999</v>
      </c>
      <c r="N51" s="6">
        <f>AP51-M51-L51-K51</f>
        <v>-1.4709999999999999</v>
      </c>
      <c r="O51" s="30">
        <v>0.05</v>
      </c>
      <c r="P51" s="6">
        <v>-0.60699999999999998</v>
      </c>
      <c r="Q51" s="6">
        <v>4.6630000000000003</v>
      </c>
      <c r="R51" s="6">
        <f>AQ51-Q51-P51-O51</f>
        <v>3.9730000000000008</v>
      </c>
      <c r="S51" s="30">
        <v>8.0540000000000003</v>
      </c>
      <c r="T51" s="6">
        <v>-6.335</v>
      </c>
      <c r="U51" s="6">
        <v>-7.8E-2</v>
      </c>
      <c r="V51" s="6">
        <f>AR51-U51-T51-S51</f>
        <v>2.004999999999999</v>
      </c>
      <c r="W51" s="30">
        <v>6.6130000000000004</v>
      </c>
      <c r="X51" s="6">
        <v>-7.8860000000000001</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31">
        <v>-0.80400000000000005</v>
      </c>
      <c r="P52" s="7">
        <v>-1.1499999999999999</v>
      </c>
      <c r="Q52" s="7">
        <v>-1.5309999999999999</v>
      </c>
      <c r="R52" s="7">
        <f>AQ52-Q52-P52-O52</f>
        <v>-2.9280000000000008</v>
      </c>
      <c r="S52" s="31">
        <v>-3.9380000000000002</v>
      </c>
      <c r="T52" s="7">
        <v>-1.756</v>
      </c>
      <c r="U52" s="7">
        <v>-1.288</v>
      </c>
      <c r="V52" s="7">
        <f>AR52-U52-T52-S52</f>
        <v>-3.508999999999999</v>
      </c>
      <c r="W52" s="31">
        <v>-1.863</v>
      </c>
      <c r="X52" s="7">
        <v>-8.1310000000000002</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30">
        <f t="shared" si="136"/>
        <v>28.374000000000013</v>
      </c>
      <c r="P53" s="6">
        <f t="shared" si="136"/>
        <v>49.292000000000037</v>
      </c>
      <c r="Q53" s="6">
        <f t="shared" si="136"/>
        <v>92.909000000000106</v>
      </c>
      <c r="R53" s="6">
        <f t="shared" si="136"/>
        <v>166.25800000000046</v>
      </c>
      <c r="S53" s="30">
        <f t="shared" si="136"/>
        <v>224.23900000000009</v>
      </c>
      <c r="T53" s="6">
        <f t="shared" si="136"/>
        <v>207.09100000000001</v>
      </c>
      <c r="U53" s="6">
        <f t="shared" si="136"/>
        <v>97.71600000000015</v>
      </c>
      <c r="V53" s="6">
        <f t="shared" si="136"/>
        <v>225.25099999999969</v>
      </c>
      <c r="W53" s="30">
        <f t="shared" si="136"/>
        <v>177.26000000000002</v>
      </c>
      <c r="X53" s="6">
        <f t="shared" ref="X53" si="137">X48+SUM(X51:X52)</f>
        <v>355.44700000000012</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30">
        <v>-3.3250000000000002</v>
      </c>
      <c r="P54" s="6">
        <v>-7.5990000000000002</v>
      </c>
      <c r="Q54" s="6">
        <v>-16.192</v>
      </c>
      <c r="R54" s="6">
        <f>AQ54-Q54-P54-O54</f>
        <v>-25.759999999999998</v>
      </c>
      <c r="S54" s="30">
        <v>-38.933999999999997</v>
      </c>
      <c r="T54" s="6">
        <v>-29.573</v>
      </c>
      <c r="U54" s="6">
        <v>-10.856999999999999</v>
      </c>
      <c r="V54" s="6">
        <f>AR54-U54-T54-S54</f>
        <v>-31.301999999999992</v>
      </c>
      <c r="W54" s="30">
        <v>-20.215</v>
      </c>
      <c r="X54" s="6">
        <v>-61.503</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31">
        <v>0.38800000000000001</v>
      </c>
      <c r="P55" s="7">
        <v>0.23899999999999999</v>
      </c>
      <c r="Q55" s="7">
        <v>0.255</v>
      </c>
      <c r="R55" s="7">
        <f>AQ55-Q55-P55-O55</f>
        <v>0.32399999999999995</v>
      </c>
      <c r="S55" s="31">
        <v>-0.88900000000000001</v>
      </c>
      <c r="T55" s="7">
        <v>-1.351</v>
      </c>
      <c r="U55" s="7">
        <v>-1.0129999999999999</v>
      </c>
      <c r="V55" s="7">
        <f>AR55-U55-T55-S55</f>
        <v>-0.38000000000000012</v>
      </c>
      <c r="W55" s="31">
        <v>-0.05</v>
      </c>
      <c r="X55" s="7">
        <v>2.024</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39">
        <f t="shared" si="145"/>
        <v>25.437000000000015</v>
      </c>
      <c r="P56" s="21">
        <f t="shared" si="145"/>
        <v>41.932000000000038</v>
      </c>
      <c r="Q56" s="21">
        <f t="shared" si="145"/>
        <v>76.972000000000094</v>
      </c>
      <c r="R56" s="21">
        <f t="shared" si="145"/>
        <v>140.82200000000049</v>
      </c>
      <c r="S56" s="39">
        <f t="shared" si="145"/>
        <v>184.41600000000008</v>
      </c>
      <c r="T56" s="21">
        <f t="shared" si="145"/>
        <v>176.167</v>
      </c>
      <c r="U56" s="21">
        <f t="shared" si="145"/>
        <v>85.846000000000146</v>
      </c>
      <c r="V56" s="21">
        <f t="shared" si="145"/>
        <v>193.5689999999997</v>
      </c>
      <c r="W56" s="39">
        <f t="shared" si="145"/>
        <v>156.995</v>
      </c>
      <c r="X56" s="21">
        <f t="shared" ref="X56" si="146">SUM(X53:X55)</f>
        <v>295.96800000000013</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40">
        <f t="shared" si="154"/>
        <v>0.50076777699031449</v>
      </c>
      <c r="P58" s="12">
        <f t="shared" si="154"/>
        <v>0.81716490626339866</v>
      </c>
      <c r="Q58" s="12">
        <f t="shared" si="154"/>
        <v>1.4885897733426181</v>
      </c>
      <c r="R58" s="12">
        <f t="shared" si="154"/>
        <v>2.6901588844645414</v>
      </c>
      <c r="S58" s="40">
        <f t="shared" si="154"/>
        <v>3.5061409179056251</v>
      </c>
      <c r="T58" s="12">
        <f t="shared" si="154"/>
        <v>3.3139014296463509</v>
      </c>
      <c r="U58" s="12">
        <f t="shared" si="154"/>
        <v>1.6112237237237266</v>
      </c>
      <c r="V58" s="12">
        <f t="shared" si="154"/>
        <v>3.6587380242905341</v>
      </c>
      <c r="W58" s="40">
        <f t="shared" si="154"/>
        <v>2.9569811462904716</v>
      </c>
      <c r="X58" s="12">
        <f t="shared" ref="X58:AB58" si="155">(X56/X60)*1000</f>
        <v>5.4672208367968995</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40">
        <f t="shared" si="158"/>
        <v>0.48070526872779529</v>
      </c>
      <c r="P59" s="12">
        <f t="shared" si="158"/>
        <v>0.78361458391732608</v>
      </c>
      <c r="Q59" s="12">
        <f t="shared" si="158"/>
        <v>1.4310787193693544</v>
      </c>
      <c r="R59" s="12" t="e">
        <f t="shared" si="158"/>
        <v>#DIV/0!</v>
      </c>
      <c r="S59" s="40">
        <f t="shared" si="158"/>
        <v>3.3519821146191191</v>
      </c>
      <c r="T59" s="12">
        <f t="shared" si="158"/>
        <v>3.1377707324023936</v>
      </c>
      <c r="U59" s="12">
        <f t="shared" si="158"/>
        <v>1.5266124873295066</v>
      </c>
      <c r="V59" s="12" t="e">
        <f t="shared" si="158"/>
        <v>#DIV/0!</v>
      </c>
      <c r="W59" s="40">
        <f t="shared" si="158"/>
        <v>2.7453877765148205</v>
      </c>
      <c r="X59" s="12">
        <f t="shared" ref="X59:AB59" si="159">(X56/X61)*1000</f>
        <v>5.0960432521781067</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41">
        <v>50796</v>
      </c>
      <c r="P60" s="15">
        <v>51314</v>
      </c>
      <c r="Q60" s="15">
        <v>51708</v>
      </c>
      <c r="R60" s="15">
        <v>52347.093999999997</v>
      </c>
      <c r="S60" s="41">
        <v>52598</v>
      </c>
      <c r="T60" s="15">
        <v>53160</v>
      </c>
      <c r="U60" s="15">
        <v>53280</v>
      </c>
      <c r="V60" s="15">
        <v>52905.947</v>
      </c>
      <c r="W60" s="41">
        <v>53093</v>
      </c>
      <c r="X60" s="15">
        <v>54135</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41">
        <v>52916</v>
      </c>
      <c r="P61" s="15">
        <v>53511</v>
      </c>
      <c r="Q61" s="15">
        <v>53786</v>
      </c>
      <c r="S61" s="41">
        <v>55017</v>
      </c>
      <c r="T61" s="15">
        <v>56144</v>
      </c>
      <c r="U61" s="15">
        <v>56233</v>
      </c>
      <c r="W61" s="41">
        <v>57185</v>
      </c>
      <c r="X61" s="15">
        <v>58078</v>
      </c>
      <c r="AN61" s="15">
        <v>51716</v>
      </c>
      <c r="AO61" s="15">
        <v>52838</v>
      </c>
      <c r="AP61" s="15">
        <v>55970</v>
      </c>
      <c r="AQ61" s="15">
        <v>53615</v>
      </c>
      <c r="AR61" s="15">
        <v>53507</v>
      </c>
    </row>
    <row r="63" spans="2:52" s="2" customFormat="1" x14ac:dyDescent="0.35">
      <c r="B63" s="2" t="s">
        <v>38</v>
      </c>
      <c r="O63" s="28"/>
      <c r="S63" s="28"/>
      <c r="W63" s="28"/>
    </row>
    <row r="64" spans="2:52" s="5" customFormat="1" x14ac:dyDescent="0.35">
      <c r="B64" s="5" t="s">
        <v>39</v>
      </c>
      <c r="O64" s="35"/>
      <c r="S64" s="35"/>
      <c r="W64" s="35"/>
    </row>
    <row r="65" spans="2:52" s="6" customFormat="1" x14ac:dyDescent="0.35">
      <c r="B65" s="6" t="s">
        <v>4</v>
      </c>
      <c r="J65" s="6">
        <f>AO65</f>
        <v>210.53299999999999</v>
      </c>
      <c r="K65" s="6">
        <v>300.089</v>
      </c>
      <c r="L65" s="6">
        <v>315.61</v>
      </c>
      <c r="M65" s="6">
        <v>177.89400000000001</v>
      </c>
      <c r="N65" s="6">
        <v>232.26599999999999</v>
      </c>
      <c r="O65" s="30">
        <v>270.04700000000003</v>
      </c>
      <c r="P65" s="6">
        <v>247.4</v>
      </c>
      <c r="Q65" s="6">
        <v>247.42400000000001</v>
      </c>
      <c r="R65" s="6">
        <v>267.39699999999999</v>
      </c>
      <c r="S65" s="30">
        <v>238.268</v>
      </c>
      <c r="T65" s="6">
        <v>304.59500000000003</v>
      </c>
      <c r="U65" s="6">
        <v>362.80099999999999</v>
      </c>
      <c r="V65" s="6">
        <f>AR65</f>
        <v>440.459</v>
      </c>
      <c r="W65" s="30">
        <v>543.15599999999995</v>
      </c>
      <c r="X65" s="6">
        <v>725.66</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30">
        <v>458.07600000000002</v>
      </c>
      <c r="P66" s="6">
        <v>497.43099999999998</v>
      </c>
      <c r="Q66" s="6">
        <v>679.78499999999997</v>
      </c>
      <c r="R66" s="6">
        <v>834.51300000000003</v>
      </c>
      <c r="S66" s="30">
        <v>736.31200000000001</v>
      </c>
      <c r="T66" s="6">
        <v>768.16700000000003</v>
      </c>
      <c r="U66" s="6">
        <v>672.05499999999995</v>
      </c>
      <c r="V66" s="6">
        <f>AR66</f>
        <v>1148.259</v>
      </c>
      <c r="W66" s="30">
        <v>845.72900000000004</v>
      </c>
      <c r="X66" s="6">
        <v>1502.971</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30">
        <v>1184.5730000000001</v>
      </c>
      <c r="P67" s="6">
        <v>1393.672</v>
      </c>
      <c r="Q67" s="6">
        <v>1588.5419999999999</v>
      </c>
      <c r="R67" s="6">
        <v>1545.606</v>
      </c>
      <c r="S67" s="30">
        <v>1736.0550000000001</v>
      </c>
      <c r="T67" s="6">
        <v>1421.817</v>
      </c>
      <c r="U67" s="6">
        <v>1540.4190000000001</v>
      </c>
      <c r="V67" s="6">
        <f>AR67</f>
        <v>1445.5640000000001</v>
      </c>
      <c r="W67" s="30">
        <v>2052.8049999999998</v>
      </c>
      <c r="X67" s="6">
        <v>2466.9969999999998</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31">
        <v>124.259</v>
      </c>
      <c r="P68" s="7">
        <v>154.77799999999999</v>
      </c>
      <c r="Q68" s="7">
        <v>162.964</v>
      </c>
      <c r="R68" s="7">
        <v>158.79900000000001</v>
      </c>
      <c r="S68" s="31">
        <v>169.245</v>
      </c>
      <c r="T68" s="7">
        <v>154.92400000000001</v>
      </c>
      <c r="U68" s="7">
        <v>139.9</v>
      </c>
      <c r="V68" s="7">
        <f>AR68</f>
        <v>145.14400000000001</v>
      </c>
      <c r="W68" s="31">
        <v>129.14400000000001</v>
      </c>
      <c r="X68" s="7">
        <v>146.727</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30">
        <f t="shared" si="163"/>
        <v>2036.9550000000002</v>
      </c>
      <c r="P69" s="6">
        <f t="shared" si="163"/>
        <v>2293.2809999999999</v>
      </c>
      <c r="Q69" s="6">
        <f t="shared" si="163"/>
        <v>2678.7149999999997</v>
      </c>
      <c r="R69" s="6">
        <f t="shared" si="163"/>
        <v>2806.3150000000001</v>
      </c>
      <c r="S69" s="30">
        <f t="shared" si="163"/>
        <v>2879.88</v>
      </c>
      <c r="T69" s="6">
        <f t="shared" si="163"/>
        <v>2649.5030000000002</v>
      </c>
      <c r="U69" s="6">
        <f t="shared" si="163"/>
        <v>2715.1750000000002</v>
      </c>
      <c r="V69" s="6">
        <f t="shared" si="163"/>
        <v>3179.4260000000004</v>
      </c>
      <c r="W69" s="30">
        <f t="shared" si="163"/>
        <v>3570.8339999999998</v>
      </c>
      <c r="X69" s="6">
        <f t="shared" ref="X69" si="164">SUM(X65:X68)</f>
        <v>4842.3549999999996</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c r="O70" s="32"/>
      <c r="S70" s="32"/>
      <c r="W70" s="32"/>
    </row>
    <row r="71" spans="2:52" s="16" customFormat="1" x14ac:dyDescent="0.35">
      <c r="B71" s="16" t="s">
        <v>102</v>
      </c>
      <c r="J71" s="6">
        <f>AO71</f>
        <v>2.7029999999999998</v>
      </c>
      <c r="K71" s="16">
        <v>0</v>
      </c>
      <c r="L71" s="16">
        <v>0</v>
      </c>
      <c r="M71" s="16">
        <v>0</v>
      </c>
      <c r="N71" s="16">
        <v>0</v>
      </c>
      <c r="O71" s="42">
        <v>0</v>
      </c>
      <c r="P71" s="16">
        <v>0</v>
      </c>
      <c r="Q71" s="16">
        <v>0</v>
      </c>
      <c r="R71" s="16">
        <v>0</v>
      </c>
      <c r="S71" s="42">
        <v>0</v>
      </c>
      <c r="T71" s="16">
        <v>0</v>
      </c>
      <c r="U71" s="16">
        <v>0</v>
      </c>
      <c r="V71" s="6">
        <f>AR71</f>
        <v>0</v>
      </c>
      <c r="W71" s="42">
        <v>0</v>
      </c>
      <c r="X71" s="16">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30">
        <v>284.14800000000002</v>
      </c>
      <c r="P72" s="6">
        <v>280.28199999999998</v>
      </c>
      <c r="Q72" s="6">
        <v>282.31900000000002</v>
      </c>
      <c r="R72" s="6">
        <v>285.97199999999998</v>
      </c>
      <c r="S72" s="30">
        <v>290.75200000000001</v>
      </c>
      <c r="T72" s="6">
        <v>289.255</v>
      </c>
      <c r="U72" s="6">
        <v>290.03800000000001</v>
      </c>
      <c r="V72" s="6">
        <f>AR72</f>
        <v>290.24</v>
      </c>
      <c r="W72" s="30">
        <v>291.66899999999998</v>
      </c>
      <c r="X72" s="6">
        <v>297.10199999999998</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30">
        <v>63.268999999999998</v>
      </c>
      <c r="P73" s="6">
        <v>61.837000000000003</v>
      </c>
      <c r="Q73" s="6">
        <v>66.518000000000001</v>
      </c>
      <c r="R73" s="6">
        <v>69.929000000000002</v>
      </c>
      <c r="S73" s="30">
        <v>89.155000000000001</v>
      </c>
      <c r="T73" s="6">
        <v>95.741</v>
      </c>
      <c r="U73" s="6">
        <v>148.55799999999999</v>
      </c>
      <c r="V73" s="6">
        <f>AR73</f>
        <v>162.654</v>
      </c>
      <c r="W73" s="30">
        <v>185.67500000000001</v>
      </c>
      <c r="X73" s="6">
        <v>218.274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31">
        <f>37.16+5.161</f>
        <v>42.320999999999998</v>
      </c>
      <c r="P74" s="7">
        <f>36.736+4.459</f>
        <v>41.194999999999993</v>
      </c>
      <c r="Q74" s="7">
        <f>38.847+4.778</f>
        <v>43.625</v>
      </c>
      <c r="R74" s="7">
        <v>42.860999999999997</v>
      </c>
      <c r="S74" s="31">
        <f>37.144+4.352</f>
        <v>41.495999999999995</v>
      </c>
      <c r="T74" s="7">
        <f>37.246+3.197</f>
        <v>40.443000000000005</v>
      </c>
      <c r="U74" s="7">
        <v>38.832999999999998</v>
      </c>
      <c r="V74" s="6">
        <f>AR74</f>
        <v>42.408999999999999</v>
      </c>
      <c r="W74" s="31">
        <v>47.786000000000001</v>
      </c>
      <c r="X74" s="7">
        <v>47.268999999999998</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38">
        <f t="shared" si="174"/>
        <v>389.73800000000006</v>
      </c>
      <c r="P75" s="13">
        <f t="shared" si="174"/>
        <v>383.31399999999996</v>
      </c>
      <c r="Q75" s="13">
        <f t="shared" si="174"/>
        <v>392.46199999999999</v>
      </c>
      <c r="R75" s="13">
        <f t="shared" si="174"/>
        <v>398.76199999999994</v>
      </c>
      <c r="S75" s="38">
        <f t="shared" si="174"/>
        <v>421.40300000000002</v>
      </c>
      <c r="T75" s="13">
        <f t="shared" si="174"/>
        <v>425.43899999999996</v>
      </c>
      <c r="U75" s="13">
        <f t="shared" si="174"/>
        <v>477.42899999999997</v>
      </c>
      <c r="V75" s="13">
        <f t="shared" si="174"/>
        <v>495.303</v>
      </c>
      <c r="W75" s="38">
        <f t="shared" si="174"/>
        <v>525.13</v>
      </c>
      <c r="X75" s="13">
        <f t="shared" ref="X75" si="175">SUM(X71:X74)</f>
        <v>562.64499999999998</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39">
        <f t="shared" si="183"/>
        <v>2426.6930000000002</v>
      </c>
      <c r="P76" s="21">
        <f t="shared" si="183"/>
        <v>2676.5949999999998</v>
      </c>
      <c r="Q76" s="21">
        <f t="shared" si="183"/>
        <v>3071.1769999999997</v>
      </c>
      <c r="R76" s="21">
        <f t="shared" si="183"/>
        <v>3205.0770000000002</v>
      </c>
      <c r="S76" s="39">
        <f t="shared" si="183"/>
        <v>3301.2830000000004</v>
      </c>
      <c r="T76" s="21">
        <f t="shared" si="183"/>
        <v>3074.942</v>
      </c>
      <c r="U76" s="21">
        <f t="shared" si="183"/>
        <v>3192.6040000000003</v>
      </c>
      <c r="V76" s="21">
        <f t="shared" si="183"/>
        <v>3674.7290000000003</v>
      </c>
      <c r="W76" s="39">
        <f t="shared" si="183"/>
        <v>4095.9639999999999</v>
      </c>
      <c r="X76" s="21">
        <f t="shared" ref="X76" si="184">X75+X69</f>
        <v>5405</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c r="O77" s="32"/>
      <c r="S77" s="32"/>
      <c r="W77" s="32"/>
    </row>
    <row r="78" spans="2:52" s="6" customFormat="1" x14ac:dyDescent="0.35">
      <c r="B78" s="6" t="s">
        <v>51</v>
      </c>
      <c r="J78" s="6">
        <f>AO78</f>
        <v>417.673</v>
      </c>
      <c r="K78" s="6">
        <v>333.35899999999998</v>
      </c>
      <c r="L78" s="6">
        <v>396.28800000000001</v>
      </c>
      <c r="M78" s="6">
        <v>465.012</v>
      </c>
      <c r="N78" s="6">
        <v>612.33600000000001</v>
      </c>
      <c r="O78" s="30">
        <v>564.62800000000004</v>
      </c>
      <c r="P78" s="6">
        <v>695.18</v>
      </c>
      <c r="Q78" s="6">
        <v>779.56100000000004</v>
      </c>
      <c r="R78" s="6">
        <v>655.40300000000002</v>
      </c>
      <c r="S78" s="30">
        <v>785.02499999999998</v>
      </c>
      <c r="T78" s="6">
        <v>559.96199999999999</v>
      </c>
      <c r="U78" s="6">
        <v>641.83900000000006</v>
      </c>
      <c r="V78" s="6">
        <f>AR78</f>
        <v>776.83100000000002</v>
      </c>
      <c r="W78" s="30">
        <v>1084.058</v>
      </c>
      <c r="X78" s="6">
        <v>1261.5329999999999</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30">
        <v>175.221</v>
      </c>
      <c r="P79" s="6">
        <v>171.01</v>
      </c>
      <c r="Q79" s="6">
        <v>181.44800000000001</v>
      </c>
      <c r="R79" s="6">
        <v>212.41900000000001</v>
      </c>
      <c r="S79" s="30">
        <v>213.52099999999999</v>
      </c>
      <c r="T79" s="6">
        <v>169.86600000000001</v>
      </c>
      <c r="U79" s="6">
        <v>155.22399999999999</v>
      </c>
      <c r="V79" s="6">
        <f>AR79</f>
        <v>163.86500000000001</v>
      </c>
      <c r="W79" s="30">
        <v>152.5</v>
      </c>
      <c r="X79" s="6">
        <v>214.46199999999999</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30">
        <v>14.273</v>
      </c>
      <c r="P80" s="6">
        <v>14.464</v>
      </c>
      <c r="Q80" s="6">
        <v>17.413</v>
      </c>
      <c r="R80" s="6">
        <v>41.743000000000002</v>
      </c>
      <c r="S80" s="30">
        <v>68.411000000000001</v>
      </c>
      <c r="T80" s="6">
        <v>38.713000000000001</v>
      </c>
      <c r="U80" s="6">
        <v>92.597999999999999</v>
      </c>
      <c r="V80" s="6">
        <f>AR80</f>
        <v>129.166</v>
      </c>
      <c r="W80" s="30">
        <v>161.39500000000001</v>
      </c>
      <c r="X80" s="6">
        <v>46.453000000000003</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30">
        <v>233.67400000000001</v>
      </c>
      <c r="P81" s="6">
        <v>176.904</v>
      </c>
      <c r="Q81" s="6">
        <v>403.04500000000002</v>
      </c>
      <c r="R81" s="6">
        <v>449.14600000000002</v>
      </c>
      <c r="S81" s="30">
        <v>101.173</v>
      </c>
      <c r="T81" s="6">
        <v>27.869</v>
      </c>
      <c r="U81" s="6">
        <v>53.972000000000001</v>
      </c>
      <c r="V81" s="6">
        <f>AR81</f>
        <v>170.12299999999999</v>
      </c>
      <c r="W81" s="30">
        <v>40.843000000000004</v>
      </c>
      <c r="X81" s="6">
        <v>276.30700000000002</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31">
        <v>113.68300000000001</v>
      </c>
      <c r="P82" s="7">
        <v>142.02099999999999</v>
      </c>
      <c r="Q82" s="7">
        <v>114.688</v>
      </c>
      <c r="R82" s="7">
        <v>111.313</v>
      </c>
      <c r="S82" s="31">
        <v>185.22499999999999</v>
      </c>
      <c r="T82" s="7">
        <v>120.53</v>
      </c>
      <c r="U82" s="7">
        <v>148.74700000000001</v>
      </c>
      <c r="V82" s="7">
        <f>AR82</f>
        <v>134.667</v>
      </c>
      <c r="W82" s="31">
        <v>166.02500000000001</v>
      </c>
      <c r="X82" s="7">
        <v>193.334</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30">
        <f t="shared" si="195"/>
        <v>1101.479</v>
      </c>
      <c r="P83" s="6">
        <f t="shared" si="195"/>
        <v>1199.579</v>
      </c>
      <c r="Q83" s="6">
        <f t="shared" si="195"/>
        <v>1496.1550000000002</v>
      </c>
      <c r="R83" s="6">
        <f t="shared" si="195"/>
        <v>1470.0240000000001</v>
      </c>
      <c r="S83" s="30">
        <f t="shared" si="195"/>
        <v>1353.3549999999998</v>
      </c>
      <c r="T83" s="6">
        <f t="shared" si="195"/>
        <v>916.93999999999994</v>
      </c>
      <c r="U83" s="6">
        <f t="shared" si="195"/>
        <v>1092.3800000000001</v>
      </c>
      <c r="V83" s="6">
        <f t="shared" si="195"/>
        <v>1374.652</v>
      </c>
      <c r="W83" s="30">
        <f t="shared" si="195"/>
        <v>1604.8210000000001</v>
      </c>
      <c r="X83" s="6">
        <f t="shared" ref="X83" si="196">SUM(X78:X82)</f>
        <v>1992.0889999999999</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c r="O84" s="32"/>
      <c r="S84" s="32"/>
      <c r="W84" s="32"/>
    </row>
    <row r="85" spans="2:52" s="6" customFormat="1" x14ac:dyDescent="0.35">
      <c r="B85" s="6" t="s">
        <v>58</v>
      </c>
      <c r="J85" s="6">
        <f>AO85</f>
        <v>97.611999999999995</v>
      </c>
      <c r="K85" s="6">
        <v>97.575999999999993</v>
      </c>
      <c r="L85" s="6">
        <v>95.396000000000001</v>
      </c>
      <c r="M85" s="6">
        <v>93.92</v>
      </c>
      <c r="N85" s="6">
        <v>100.83799999999999</v>
      </c>
      <c r="O85" s="30">
        <v>101.749</v>
      </c>
      <c r="P85" s="6">
        <v>110.53100000000001</v>
      </c>
      <c r="Q85" s="6">
        <v>115.063</v>
      </c>
      <c r="R85" s="6">
        <v>122.548</v>
      </c>
      <c r="S85" s="30">
        <v>134.625</v>
      </c>
      <c r="T85" s="6">
        <v>159.57400000000001</v>
      </c>
      <c r="U85" s="6">
        <v>161.17599999999999</v>
      </c>
      <c r="V85" s="6">
        <f>AR85</f>
        <v>169.78100000000001</v>
      </c>
      <c r="W85" s="30">
        <v>174.47800000000001</v>
      </c>
      <c r="X85" s="6">
        <v>190.34200000000001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30">
        <v>45.134</v>
      </c>
      <c r="P86" s="6">
        <v>139.03200000000001</v>
      </c>
      <c r="Q86" s="6">
        <v>144.423</v>
      </c>
      <c r="R86" s="6">
        <v>147.61799999999999</v>
      </c>
      <c r="S86" s="30">
        <v>148.55099999999999</v>
      </c>
      <c r="T86" s="6">
        <v>142.273</v>
      </c>
      <c r="U86" s="6">
        <v>133.23500000000001</v>
      </c>
      <c r="V86" s="6">
        <f>AR86</f>
        <v>120.179</v>
      </c>
      <c r="W86" s="30">
        <v>105.389</v>
      </c>
      <c r="X86" s="6">
        <v>99.322000000000003</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31">
        <v>45.533000000000001</v>
      </c>
      <c r="P87" s="7">
        <v>40.615000000000002</v>
      </c>
      <c r="Q87" s="7">
        <v>41.616999999999997</v>
      </c>
      <c r="R87" s="7">
        <v>39.14</v>
      </c>
      <c r="S87" s="31">
        <v>39.548999999999999</v>
      </c>
      <c r="T87" s="7">
        <v>37.313000000000002</v>
      </c>
      <c r="U87" s="7">
        <v>37.24</v>
      </c>
      <c r="V87" s="6">
        <f>AR87</f>
        <v>37.947000000000003</v>
      </c>
      <c r="W87" s="31">
        <v>45.737000000000002</v>
      </c>
      <c r="X87" s="7">
        <v>46.173000000000002</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38">
        <f t="shared" ref="O88" si="214">SUM(O85:O87)</f>
        <v>192.416</v>
      </c>
      <c r="P88" s="13">
        <f t="shared" ref="P88" si="215">SUM(P85:P87)</f>
        <v>290.178</v>
      </c>
      <c r="Q88" s="13">
        <f t="shared" ref="Q88" si="216">SUM(Q85:Q87)</f>
        <v>301.10300000000001</v>
      </c>
      <c r="R88" s="13">
        <f t="shared" ref="R88" si="217">SUM(R85:R87)</f>
        <v>309.30599999999998</v>
      </c>
      <c r="S88" s="38">
        <f t="shared" ref="S88" si="218">SUM(S85:S87)</f>
        <v>322.72499999999997</v>
      </c>
      <c r="T88" s="13">
        <f t="shared" ref="T88" si="219">SUM(T85:T87)</f>
        <v>339.15999999999997</v>
      </c>
      <c r="U88" s="13">
        <f t="shared" ref="U88" si="220">SUM(U85:U87)</f>
        <v>331.65100000000001</v>
      </c>
      <c r="V88" s="13">
        <f t="shared" ref="V88" si="221">SUM(V85:V87)</f>
        <v>327.90700000000004</v>
      </c>
      <c r="W88" s="38">
        <f t="shared" ref="W88" si="222">SUM(W85:W87)</f>
        <v>325.60400000000004</v>
      </c>
      <c r="X88" s="13">
        <f t="shared" ref="X88" si="223">SUM(X85:X87)</f>
        <v>335.83699999999999</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39">
        <f t="shared" ref="O89" si="241">O88+O83</f>
        <v>1293.895</v>
      </c>
      <c r="P89" s="21">
        <f t="shared" ref="P89" si="242">P88+P83</f>
        <v>1489.7570000000001</v>
      </c>
      <c r="Q89" s="21">
        <f t="shared" ref="Q89" si="243">Q88+Q83</f>
        <v>1797.2580000000003</v>
      </c>
      <c r="R89" s="21">
        <f t="shared" ref="R89" si="244">R88+R83</f>
        <v>1779.3300000000002</v>
      </c>
      <c r="S89" s="39">
        <f t="shared" ref="S89" si="245">S88+S83</f>
        <v>1676.0799999999997</v>
      </c>
      <c r="T89" s="21">
        <f t="shared" ref="T89" si="246">T88+T83</f>
        <v>1256.0999999999999</v>
      </c>
      <c r="U89" s="21">
        <f t="shared" ref="U89" si="247">U88+U83</f>
        <v>1424.0310000000002</v>
      </c>
      <c r="V89" s="21">
        <f t="shared" ref="V89" si="248">V88+V83</f>
        <v>1702.5590000000002</v>
      </c>
      <c r="W89" s="39">
        <f t="shared" ref="W89" si="249">W88+W83</f>
        <v>1930.4250000000002</v>
      </c>
      <c r="X89" s="21">
        <f t="shared" ref="X89" si="250">X88+X83</f>
        <v>2327.9259999999999</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c r="O90" s="32"/>
      <c r="S90" s="32"/>
      <c r="W90" s="32"/>
    </row>
    <row r="91" spans="2:52" s="6" customFormat="1" x14ac:dyDescent="0.35">
      <c r="B91" s="6" t="s">
        <v>64</v>
      </c>
      <c r="J91" s="6">
        <f>AO91</f>
        <v>389.97199999999998</v>
      </c>
      <c r="K91" s="6">
        <v>400.15699999999998</v>
      </c>
      <c r="L91" s="6">
        <v>410.52199999999999</v>
      </c>
      <c r="M91" s="6">
        <v>425.48899999999998</v>
      </c>
      <c r="N91" s="6">
        <v>438.012</v>
      </c>
      <c r="O91" s="30">
        <v>448.976</v>
      </c>
      <c r="P91" s="6">
        <v>460.99</v>
      </c>
      <c r="Q91" s="6">
        <v>471.08800000000002</v>
      </c>
      <c r="R91" s="6">
        <v>481.74099999999999</v>
      </c>
      <c r="S91" s="30">
        <v>497.18299999999999</v>
      </c>
      <c r="T91" s="6">
        <v>514.55899999999997</v>
      </c>
      <c r="U91" s="6">
        <v>528.279</v>
      </c>
      <c r="V91" s="6">
        <f>AR91</f>
        <v>538.35199999999998</v>
      </c>
      <c r="W91" s="30">
        <v>574.71799999999996</v>
      </c>
      <c r="X91" s="6">
        <v>1190.2760000000001</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30">
        <v>0</v>
      </c>
      <c r="P92" s="6">
        <v>0</v>
      </c>
      <c r="Q92" s="6">
        <v>0</v>
      </c>
      <c r="R92" s="6">
        <v>0</v>
      </c>
      <c r="S92" s="30">
        <v>0</v>
      </c>
      <c r="T92" s="6">
        <v>0</v>
      </c>
      <c r="U92" s="6">
        <v>0</v>
      </c>
      <c r="V92" s="6">
        <f>AR92</f>
        <v>0</v>
      </c>
      <c r="W92" s="30">
        <v>0</v>
      </c>
      <c r="X92" s="6">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30">
        <v>0.44900000000000001</v>
      </c>
      <c r="P93" s="6">
        <v>0.54900000000000004</v>
      </c>
      <c r="Q93" s="6">
        <v>0.55400000000000005</v>
      </c>
      <c r="R93" s="6">
        <v>0.91100000000000003</v>
      </c>
      <c r="S93" s="30">
        <v>0.51400000000000001</v>
      </c>
      <c r="T93" s="6">
        <v>0.61199999999999999</v>
      </c>
      <c r="U93" s="6">
        <v>0.68300000000000005</v>
      </c>
      <c r="V93" s="6">
        <f>AR93</f>
        <v>0.63900000000000001</v>
      </c>
      <c r="W93" s="30">
        <v>0.65100000000000002</v>
      </c>
      <c r="X93" s="6">
        <v>0.65700000000000003</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31">
        <v>683.197</v>
      </c>
      <c r="P94" s="7">
        <v>725.12900000000002</v>
      </c>
      <c r="Q94" s="7">
        <v>802.101</v>
      </c>
      <c r="R94" s="7">
        <v>942.923</v>
      </c>
      <c r="S94" s="31">
        <v>1127.3389999999999</v>
      </c>
      <c r="T94" s="7">
        <v>1303.5060000000001</v>
      </c>
      <c r="U94" s="7">
        <v>1239.4449999999999</v>
      </c>
      <c r="V94" s="7">
        <f>AR94</f>
        <v>1433.0139999999999</v>
      </c>
      <c r="W94" s="31">
        <v>1590.009</v>
      </c>
      <c r="X94" s="7">
        <v>1885.9770000000001</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30">
        <f t="shared" si="260"/>
        <v>1132.6220000000001</v>
      </c>
      <c r="P95" s="6">
        <f t="shared" si="260"/>
        <v>1186.6680000000001</v>
      </c>
      <c r="Q95" s="6">
        <f t="shared" si="260"/>
        <v>1273.7429999999999</v>
      </c>
      <c r="R95" s="6">
        <f t="shared" si="260"/>
        <v>1425.575</v>
      </c>
      <c r="S95" s="30">
        <f t="shared" si="260"/>
        <v>1625.0360000000001</v>
      </c>
      <c r="T95" s="6">
        <f t="shared" si="260"/>
        <v>1818.6770000000001</v>
      </c>
      <c r="U95" s="6">
        <f t="shared" si="260"/>
        <v>1768.4069999999999</v>
      </c>
      <c r="V95" s="6">
        <f t="shared" si="260"/>
        <v>1972.0049999999999</v>
      </c>
      <c r="W95" s="30">
        <f t="shared" si="260"/>
        <v>2165.3779999999997</v>
      </c>
      <c r="X95" s="6">
        <f t="shared" ref="X95" si="261">SUM(X91:X94)</f>
        <v>3076.91</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31">
        <v>0.17599999999999999</v>
      </c>
      <c r="P96" s="7">
        <v>0.17699999999999999</v>
      </c>
      <c r="Q96" s="7">
        <v>0.17599999999999999</v>
      </c>
      <c r="R96" s="7">
        <v>0.17199999999999999</v>
      </c>
      <c r="S96" s="31">
        <v>0.16700000000000001</v>
      </c>
      <c r="T96" s="7">
        <v>0.16500000000000001</v>
      </c>
      <c r="U96" s="7">
        <v>0.16600000000000001</v>
      </c>
      <c r="V96" s="6">
        <f>AR96</f>
        <v>0.16500000000000001</v>
      </c>
      <c r="W96" s="31">
        <v>0.161</v>
      </c>
      <c r="X96" s="7">
        <v>0.16400000000000001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43">
        <f t="shared" si="272"/>
        <v>1132.798</v>
      </c>
      <c r="P97" s="20">
        <f t="shared" si="272"/>
        <v>1186.845</v>
      </c>
      <c r="Q97" s="20">
        <f t="shared" si="272"/>
        <v>1273.9189999999999</v>
      </c>
      <c r="R97" s="20">
        <f t="shared" si="272"/>
        <v>1425.7470000000001</v>
      </c>
      <c r="S97" s="43">
        <f t="shared" si="272"/>
        <v>1625.203</v>
      </c>
      <c r="T97" s="20">
        <f t="shared" si="272"/>
        <v>1818.8420000000001</v>
      </c>
      <c r="U97" s="20">
        <f t="shared" si="272"/>
        <v>1768.5729999999999</v>
      </c>
      <c r="V97" s="20">
        <f t="shared" si="272"/>
        <v>1972.1699999999998</v>
      </c>
      <c r="W97" s="43">
        <f t="shared" si="272"/>
        <v>2165.5389999999998</v>
      </c>
      <c r="X97" s="20">
        <f t="shared" ref="X97" si="273">SUM(X95:X96)</f>
        <v>3077.0740000000001</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39">
        <f t="shared" si="283"/>
        <v>2426.6930000000002</v>
      </c>
      <c r="P98" s="21">
        <f t="shared" si="283"/>
        <v>2676.6019999999999</v>
      </c>
      <c r="Q98" s="21">
        <f t="shared" si="283"/>
        <v>3071.1770000000001</v>
      </c>
      <c r="R98" s="21">
        <f t="shared" si="283"/>
        <v>3205.0770000000002</v>
      </c>
      <c r="S98" s="39">
        <f t="shared" si="283"/>
        <v>3301.2829999999994</v>
      </c>
      <c r="T98" s="21">
        <f t="shared" si="283"/>
        <v>3074.942</v>
      </c>
      <c r="U98" s="21">
        <f t="shared" si="283"/>
        <v>3192.6040000000003</v>
      </c>
      <c r="V98" s="21">
        <f t="shared" si="283"/>
        <v>3674.7290000000003</v>
      </c>
      <c r="W98" s="39">
        <f t="shared" si="283"/>
        <v>4095.9639999999999</v>
      </c>
      <c r="X98" s="21">
        <f t="shared" ref="X98" si="284">X97+X89</f>
        <v>5405</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c r="O99" s="30"/>
      <c r="S99" s="30"/>
      <c r="W99" s="30"/>
    </row>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30">
        <f t="shared" si="295"/>
        <v>1.8492908171649212</v>
      </c>
      <c r="P100" s="6">
        <f t="shared" si="295"/>
        <v>1.9117382014856878</v>
      </c>
      <c r="Q100" s="6">
        <f t="shared" si="295"/>
        <v>1.7903993904374877</v>
      </c>
      <c r="R100" s="6">
        <f t="shared" si="295"/>
        <v>1.9090266553471236</v>
      </c>
      <c r="S100" s="30">
        <f t="shared" si="295"/>
        <v>2.1279560795208949</v>
      </c>
      <c r="T100" s="6">
        <f t="shared" si="295"/>
        <v>2.8895053111435867</v>
      </c>
      <c r="U100" s="6">
        <f t="shared" si="295"/>
        <v>2.4855590545414596</v>
      </c>
      <c r="V100" s="6">
        <f t="shared" si="295"/>
        <v>2.3128951909283226</v>
      </c>
      <c r="W100" s="30">
        <f t="shared" si="295"/>
        <v>2.2250668454612694</v>
      </c>
      <c r="X100" s="6">
        <f t="shared" si="295"/>
        <v>2.4307924997326924</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30">
        <f t="shared" si="297"/>
        <v>-8.7609999999999673</v>
      </c>
      <c r="P101" s="6">
        <f t="shared" si="297"/>
        <v>-68.53600000000003</v>
      </c>
      <c r="Q101" s="6">
        <f t="shared" si="297"/>
        <v>-300.0440000000001</v>
      </c>
      <c r="R101" s="6">
        <f t="shared" si="297"/>
        <v>-329.36700000000002</v>
      </c>
      <c r="S101" s="30">
        <f t="shared" si="297"/>
        <v>-11.455999999999989</v>
      </c>
      <c r="T101" s="6">
        <f t="shared" si="297"/>
        <v>134.45300000000003</v>
      </c>
      <c r="U101" s="6">
        <f t="shared" si="297"/>
        <v>175.59399999999997</v>
      </c>
      <c r="V101" s="6">
        <f t="shared" si="297"/>
        <v>150.15699999999998</v>
      </c>
      <c r="W101" s="30">
        <f t="shared" si="297"/>
        <v>396.92399999999998</v>
      </c>
      <c r="X101" s="6">
        <f t="shared" si="297"/>
        <v>350.03099999999995</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30" t="s">
        <v>127</v>
      </c>
      <c r="P102" s="6" t="s">
        <v>126</v>
      </c>
      <c r="Q102" s="6" t="s">
        <v>125</v>
      </c>
      <c r="R102" s="6" t="s">
        <v>135</v>
      </c>
      <c r="S102" s="30" t="s">
        <v>127</v>
      </c>
      <c r="T102" s="6" t="s">
        <v>126</v>
      </c>
      <c r="U102" s="6" t="s">
        <v>125</v>
      </c>
      <c r="V102" s="6" t="s">
        <v>135</v>
      </c>
      <c r="W102" s="30"/>
    </row>
    <row r="103" spans="2:52" s="14" customFormat="1" x14ac:dyDescent="0.35">
      <c r="B103" s="14" t="s">
        <v>94</v>
      </c>
      <c r="O103" s="44"/>
      <c r="S103" s="44"/>
      <c r="W103" s="44"/>
    </row>
    <row r="104" spans="2:52" s="6" customFormat="1" x14ac:dyDescent="0.35">
      <c r="B104" s="6" t="s">
        <v>95</v>
      </c>
      <c r="K104" s="6">
        <v>120.55500000000001</v>
      </c>
      <c r="L104" s="6">
        <v>183.80199999999999</v>
      </c>
      <c r="M104" s="6">
        <v>59.392000000000003</v>
      </c>
      <c r="N104" s="6">
        <f>AP104</f>
        <v>122.955</v>
      </c>
      <c r="O104" s="30">
        <v>-134.571</v>
      </c>
      <c r="P104" s="6">
        <v>-187.72200000000001</v>
      </c>
      <c r="Q104" s="6">
        <v>-415.65800000000002</v>
      </c>
      <c r="R104" s="6">
        <f>AQ104</f>
        <v>-440.80099999999999</v>
      </c>
      <c r="S104" s="30">
        <v>313.58699999999999</v>
      </c>
      <c r="T104" s="6">
        <v>474.67399999999998</v>
      </c>
      <c r="U104" s="6">
        <v>672.91899999999998</v>
      </c>
      <c r="V104" s="6">
        <f>AR104</f>
        <v>663.58</v>
      </c>
      <c r="W104" s="30">
        <v>270.46499999999997</v>
      </c>
      <c r="X104" s="6">
        <v>-324.62</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31">
        <v>-10.802</v>
      </c>
      <c r="P105" s="7">
        <v>-23.206</v>
      </c>
      <c r="Q105" s="7">
        <v>-34.156999999999996</v>
      </c>
      <c r="R105" s="7">
        <f>AQ105</f>
        <v>-45.182000000000002</v>
      </c>
      <c r="S105" s="31">
        <v>-10.746</v>
      </c>
      <c r="T105" s="7">
        <v>-20.631</v>
      </c>
      <c r="U105" s="7">
        <v>-28.617999999999999</v>
      </c>
      <c r="V105" s="7">
        <f>AR105</f>
        <v>-36.792999999999999</v>
      </c>
      <c r="W105" s="31">
        <v>-2.6309999999999998</v>
      </c>
      <c r="X105" s="7">
        <v>-17.350999999999999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30">
        <f t="shared" si="299"/>
        <v>-145.37299999999999</v>
      </c>
      <c r="P106" s="6">
        <f t="shared" si="299"/>
        <v>-210.928</v>
      </c>
      <c r="Q106" s="6">
        <f t="shared" si="299"/>
        <v>-449.815</v>
      </c>
      <c r="R106" s="6">
        <f t="shared" si="299"/>
        <v>-485.983</v>
      </c>
      <c r="S106" s="30">
        <f t="shared" si="299"/>
        <v>302.84100000000001</v>
      </c>
      <c r="T106" s="6">
        <f t="shared" si="299"/>
        <v>454.04300000000001</v>
      </c>
      <c r="U106" s="6">
        <f t="shared" si="299"/>
        <v>644.30099999999993</v>
      </c>
      <c r="V106" s="6">
        <f t="shared" si="299"/>
        <v>626.78700000000003</v>
      </c>
      <c r="W106" s="30">
        <f t="shared" si="299"/>
        <v>267.834</v>
      </c>
      <c r="X106" s="6">
        <f t="shared" ref="X106" si="300">SUM(X104:X105)</f>
        <v>-341.971</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c r="O107" s="30"/>
      <c r="S107" s="30"/>
      <c r="W107" s="30"/>
    </row>
    <row r="108" spans="2:52" s="6" customFormat="1" x14ac:dyDescent="0.35">
      <c r="B108" s="6" t="s">
        <v>98</v>
      </c>
      <c r="K108" s="6">
        <v>0</v>
      </c>
      <c r="L108" s="6">
        <v>0</v>
      </c>
      <c r="M108" s="6">
        <v>0</v>
      </c>
      <c r="N108" s="6">
        <f>AP108</f>
        <v>0</v>
      </c>
      <c r="O108" s="30">
        <v>0</v>
      </c>
      <c r="P108" s="6">
        <v>0</v>
      </c>
      <c r="Q108" s="6">
        <v>0</v>
      </c>
      <c r="R108" s="6">
        <f>AQ108</f>
        <v>0</v>
      </c>
      <c r="S108" s="30">
        <v>0</v>
      </c>
      <c r="T108" s="6">
        <v>0</v>
      </c>
      <c r="U108" s="6">
        <v>0</v>
      </c>
      <c r="V108" s="6">
        <f>AR108</f>
        <v>0</v>
      </c>
      <c r="W108" s="30">
        <v>0</v>
      </c>
      <c r="X108" s="6">
        <v>582.80399999999997</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30">
        <v>7.0149999999999997</v>
      </c>
      <c r="P109" s="6">
        <v>16.190999999999999</v>
      </c>
      <c r="Q109" s="6">
        <v>23.931999999999999</v>
      </c>
      <c r="R109" s="6">
        <f>AQ109</f>
        <v>32.816000000000003</v>
      </c>
      <c r="S109" s="30">
        <v>11.013999999999999</v>
      </c>
      <c r="T109" s="6">
        <v>27.995000000000001</v>
      </c>
      <c r="U109" s="6">
        <v>41.646999999999998</v>
      </c>
      <c r="V109" s="6">
        <f>AR109</f>
        <v>54.433</v>
      </c>
      <c r="W109" s="30">
        <v>57.378999999999998</v>
      </c>
      <c r="X109" s="6">
        <v>100.44</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30">
        <v>0</v>
      </c>
      <c r="P110" s="6">
        <v>0</v>
      </c>
      <c r="Q110" s="6">
        <v>0</v>
      </c>
      <c r="R110" s="6">
        <f>AQ110</f>
        <v>0</v>
      </c>
      <c r="S110" s="30">
        <v>0</v>
      </c>
      <c r="T110" s="6">
        <v>0</v>
      </c>
      <c r="U110" s="6">
        <v>-146.52600000000001</v>
      </c>
      <c r="V110" s="6">
        <f>AR110</f>
        <v>-149.99799999999999</v>
      </c>
      <c r="W110" s="30">
        <v>0</v>
      </c>
      <c r="X110" s="6">
        <v>0</v>
      </c>
      <c r="AN110" s="6">
        <v>0</v>
      </c>
      <c r="AO110" s="6">
        <v>0</v>
      </c>
      <c r="AP110" s="6">
        <v>-130</v>
      </c>
      <c r="AQ110" s="6">
        <v>0</v>
      </c>
      <c r="AR110" s="6">
        <v>-149.99799999999999</v>
      </c>
    </row>
    <row r="111" spans="2:52" x14ac:dyDescent="0.35">
      <c r="B111" s="6" t="s">
        <v>101</v>
      </c>
      <c r="K111" s="6">
        <v>0</v>
      </c>
      <c r="L111" s="6">
        <v>0</v>
      </c>
      <c r="M111" s="6">
        <v>0</v>
      </c>
      <c r="N111" s="6">
        <f>AP111</f>
        <v>0</v>
      </c>
      <c r="O111" s="30">
        <v>0</v>
      </c>
      <c r="P111" s="6">
        <v>0</v>
      </c>
      <c r="Q111">
        <v>0</v>
      </c>
      <c r="R111" s="6">
        <f>AQ111</f>
        <v>0</v>
      </c>
      <c r="S111" s="30">
        <v>0</v>
      </c>
      <c r="T111" s="6">
        <v>0</v>
      </c>
      <c r="U111">
        <v>0</v>
      </c>
      <c r="V111" s="6">
        <f>AR111</f>
        <v>0</v>
      </c>
      <c r="W111" s="30">
        <v>0</v>
      </c>
      <c r="X111" s="6">
        <v>0</v>
      </c>
      <c r="AN111" s="6">
        <v>0</v>
      </c>
      <c r="AO111" s="6">
        <v>0</v>
      </c>
      <c r="AP111">
        <v>0</v>
      </c>
      <c r="AQ111">
        <v>0</v>
      </c>
      <c r="AR111">
        <v>0</v>
      </c>
    </row>
    <row r="113" spans="2:44" s="5" customFormat="1" x14ac:dyDescent="0.35">
      <c r="B113" s="5" t="s">
        <v>132</v>
      </c>
      <c r="O113" s="35"/>
      <c r="S113" s="35"/>
      <c r="W113" s="35"/>
    </row>
    <row r="114" spans="2:44" x14ac:dyDescent="0.35">
      <c r="B114" s="6" t="s">
        <v>95</v>
      </c>
      <c r="K114" s="6">
        <f>K104</f>
        <v>120.55500000000001</v>
      </c>
      <c r="L114" s="6">
        <f>L104-K104</f>
        <v>63.246999999999986</v>
      </c>
      <c r="M114" s="6">
        <f>M104-L114-K114</f>
        <v>-124.41</v>
      </c>
      <c r="N114" s="6">
        <f>N104-M114-L114-K114</f>
        <v>63.563000000000017</v>
      </c>
      <c r="O114" s="30">
        <f>O104</f>
        <v>-134.571</v>
      </c>
      <c r="P114" s="6">
        <f>P104-O104</f>
        <v>-53.15100000000001</v>
      </c>
      <c r="Q114" s="6">
        <f>Q104-P114-O114</f>
        <v>-227.93600000000001</v>
      </c>
      <c r="R114" s="6">
        <f>R104-Q114-P114-O114</f>
        <v>-25.142999999999972</v>
      </c>
      <c r="S114" s="30">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31">
        <f>O105</f>
        <v>-10.802</v>
      </c>
      <c r="P115" s="7">
        <f>P105-O105</f>
        <v>-12.404</v>
      </c>
      <c r="Q115" s="7">
        <f>Q105-P115-O115</f>
        <v>-10.950999999999997</v>
      </c>
      <c r="R115" s="7">
        <f>R105-Q115-P115-O115</f>
        <v>-11.025000000000009</v>
      </c>
      <c r="S115" s="31">
        <f>S105</f>
        <v>-10.746</v>
      </c>
      <c r="T115" s="7">
        <f>T105-S105</f>
        <v>-9.8849999999999998</v>
      </c>
      <c r="U115" s="7">
        <f>U105-T115-S115</f>
        <v>-7.9869999999999965</v>
      </c>
      <c r="V115" s="7">
        <f>V105-U115-T115-S115</f>
        <v>-8.175000000000006</v>
      </c>
      <c r="W115" s="45"/>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30">
        <f>SUM(O114:O115)</f>
        <v>-145.37299999999999</v>
      </c>
      <c r="P116" s="6">
        <f t="shared" ref="P116" si="310">SUM(P114:P115)</f>
        <v>-65.555000000000007</v>
      </c>
      <c r="Q116" s="6">
        <f t="shared" ref="Q116" si="311">SUM(Q114:Q115)</f>
        <v>-238.887</v>
      </c>
      <c r="R116" s="6">
        <f t="shared" ref="R116" si="312">SUM(R114:R115)</f>
        <v>-36.167999999999978</v>
      </c>
      <c r="S116" s="30">
        <f>SUM(S114:S115)</f>
        <v>302.84100000000001</v>
      </c>
      <c r="T116" s="6">
        <f t="shared" ref="T116" si="313">SUM(T114:T115)</f>
        <v>151.202</v>
      </c>
      <c r="U116" s="6">
        <f t="shared" ref="U116" si="314">SUM(U114:U115)</f>
        <v>190.25800000000001</v>
      </c>
      <c r="V116" s="6">
        <f t="shared" ref="V116" si="315">SUM(V114:V115)</f>
        <v>-17.513999999999946</v>
      </c>
      <c r="W116" s="30">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30">
        <f>O108</f>
        <v>0</v>
      </c>
      <c r="P118" s="6">
        <f>P108-O108</f>
        <v>0</v>
      </c>
      <c r="Q118" s="6">
        <f>Q108-P118-O118</f>
        <v>0</v>
      </c>
      <c r="R118" s="6">
        <f>R108-Q118-P118-O118</f>
        <v>0</v>
      </c>
      <c r="S118" s="30">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30">
        <f>O109</f>
        <v>7.0149999999999997</v>
      </c>
      <c r="P119" s="6">
        <f>P109-O109</f>
        <v>9.1759999999999984</v>
      </c>
      <c r="Q119" s="6">
        <f>Q109-P119-O119</f>
        <v>7.7410000000000005</v>
      </c>
      <c r="R119" s="6">
        <f>R109-Q119-P119-O119</f>
        <v>8.8840000000000039</v>
      </c>
      <c r="S119" s="30">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30">
        <f>O110</f>
        <v>0</v>
      </c>
      <c r="P120" s="6">
        <f>P110-O110</f>
        <v>0</v>
      </c>
      <c r="Q120" s="6">
        <f>Q110-P120-O120</f>
        <v>0</v>
      </c>
      <c r="R120" s="6">
        <f>R110-Q120-P120-O120</f>
        <v>0</v>
      </c>
      <c r="S120" s="30">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30">
        <f>O111</f>
        <v>0</v>
      </c>
      <c r="P121" s="6">
        <f>P111-O111</f>
        <v>0</v>
      </c>
      <c r="Q121" s="6">
        <f>Q111-P121-O121</f>
        <v>0</v>
      </c>
      <c r="R121" s="6">
        <f>R111-Q121-P121-O121</f>
        <v>0</v>
      </c>
      <c r="S121" s="30">
        <f>S111</f>
        <v>0</v>
      </c>
      <c r="T121" s="6">
        <f>T111-S111</f>
        <v>0</v>
      </c>
      <c r="U121" s="6">
        <f>U111-T121-S121</f>
        <v>0</v>
      </c>
      <c r="V121" s="6">
        <f>V111-U121-T121-S121</f>
        <v>0</v>
      </c>
    </row>
    <row r="125" spans="2:44" x14ac:dyDescent="0.35">
      <c r="N125" t="s">
        <v>145</v>
      </c>
    </row>
    <row r="126" spans="2:44" s="2" customFormat="1" x14ac:dyDescent="0.35">
      <c r="B126" s="2" t="s">
        <v>105</v>
      </c>
      <c r="O126" s="28"/>
      <c r="S126" s="28"/>
      <c r="W126" s="28"/>
    </row>
    <row r="127" spans="2:44" s="23" customFormat="1" x14ac:dyDescent="0.35">
      <c r="B127" s="23" t="s">
        <v>106</v>
      </c>
      <c r="N127" s="23">
        <f t="shared" ref="N127:AD127" si="316">N7*N128</f>
        <v>1861.2232441399999</v>
      </c>
      <c r="O127" s="46">
        <f t="shared" si="316"/>
        <v>1842.3709200000001</v>
      </c>
      <c r="P127" s="23">
        <f t="shared" si="316"/>
        <v>2077.1907200000001</v>
      </c>
      <c r="Q127" s="23">
        <f t="shared" si="316"/>
        <v>2142.26244</v>
      </c>
      <c r="R127" s="23">
        <f t="shared" si="316"/>
        <v>2392.2621958</v>
      </c>
      <c r="S127" s="46">
        <f t="shared" si="316"/>
        <v>2997.5600199999999</v>
      </c>
      <c r="T127" s="23">
        <f t="shared" si="316"/>
        <v>4047.0707999999995</v>
      </c>
      <c r="U127" s="23">
        <f t="shared" si="316"/>
        <v>4792.5360000000001</v>
      </c>
      <c r="V127" s="23">
        <f t="shared" si="316"/>
        <v>8791.3812129899998</v>
      </c>
      <c r="W127" s="46">
        <f t="shared" si="316"/>
        <v>14806.044910000001</v>
      </c>
      <c r="X127" s="23">
        <f t="shared" si="316"/>
        <v>15005.139299999999</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47">
        <f t="shared" si="318"/>
        <v>50.795999999999999</v>
      </c>
      <c r="P128" s="18">
        <f t="shared" si="318"/>
        <v>51.314</v>
      </c>
      <c r="Q128" s="18">
        <f t="shared" si="318"/>
        <v>51.707999999999998</v>
      </c>
      <c r="R128" s="18">
        <f t="shared" si="318"/>
        <v>52.347093999999998</v>
      </c>
      <c r="S128" s="47">
        <f t="shared" si="318"/>
        <v>52.597999999999999</v>
      </c>
      <c r="T128" s="18">
        <f t="shared" si="318"/>
        <v>53.16</v>
      </c>
      <c r="U128" s="18">
        <f t="shared" si="318"/>
        <v>53.28</v>
      </c>
      <c r="V128" s="18">
        <f t="shared" si="318"/>
        <v>52.905946999999998</v>
      </c>
      <c r="W128" s="47">
        <f t="shared" si="318"/>
        <v>53.093000000000004</v>
      </c>
      <c r="X128" s="18">
        <f t="shared" si="318"/>
        <v>54.134999999999998</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44" s="12" customFormat="1" x14ac:dyDescent="0.35">
      <c r="B129" s="12" t="s">
        <v>107</v>
      </c>
      <c r="N129" s="12">
        <f>N127/SUM(K39:N39)</f>
        <v>0.52319439305766924</v>
      </c>
      <c r="O129" s="40">
        <f t="shared" ref="O129:AD129" si="320">O127/SUM(L39:O39)</f>
        <v>0.48130044081588297</v>
      </c>
      <c r="P129" s="12">
        <f t="shared" si="320"/>
        <v>0.49812547916494304</v>
      </c>
      <c r="Q129" s="12">
        <f t="shared" si="320"/>
        <v>0.46272924971876767</v>
      </c>
      <c r="R129" s="12">
        <f t="shared" si="320"/>
        <v>0.46039580766263305</v>
      </c>
      <c r="S129" s="40">
        <f t="shared" si="320"/>
        <v>0.49830612888473585</v>
      </c>
      <c r="T129" s="12">
        <f t="shared" si="320"/>
        <v>0.60892316372705002</v>
      </c>
      <c r="U129" s="12">
        <f t="shared" si="320"/>
        <v>0.72900470803447648</v>
      </c>
      <c r="V129" s="12">
        <f t="shared" si="320"/>
        <v>1.2341410019692616</v>
      </c>
      <c r="W129" s="40">
        <f t="shared" si="320"/>
        <v>2.0032467639125513</v>
      </c>
      <c r="X129" s="12">
        <f t="shared" si="320"/>
        <v>1.6216945702538474</v>
      </c>
      <c r="Y129" s="12">
        <f t="shared" si="320"/>
        <v>0</v>
      </c>
      <c r="Z129" s="12">
        <f t="shared" si="320"/>
        <v>0</v>
      </c>
      <c r="AA129" s="12">
        <f t="shared" si="320"/>
        <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44" s="12" customFormat="1" x14ac:dyDescent="0.35">
      <c r="B130" s="12" t="s">
        <v>108</v>
      </c>
      <c r="N130" s="12">
        <f t="shared" ref="N130:AD130" si="322">N127/SUM(K56:N56)</f>
        <v>16.638119556072031</v>
      </c>
      <c r="O130" s="40">
        <f t="shared" si="322"/>
        <v>16.642766732007814</v>
      </c>
      <c r="P130" s="12">
        <f t="shared" si="322"/>
        <v>16.622978096815732</v>
      </c>
      <c r="Q130" s="12">
        <f t="shared" si="322"/>
        <v>11.674263853996914</v>
      </c>
      <c r="R130" s="12">
        <f t="shared" si="322"/>
        <v>8.3891044623601054</v>
      </c>
      <c r="S130" s="40">
        <f t="shared" si="322"/>
        <v>6.7491028094618271</v>
      </c>
      <c r="T130" s="12">
        <f t="shared" si="322"/>
        <v>6.9972886197065147</v>
      </c>
      <c r="U130" s="12">
        <f t="shared" si="322"/>
        <v>8.160966945990717</v>
      </c>
      <c r="V130" s="12">
        <f t="shared" si="322"/>
        <v>13.736576072097101</v>
      </c>
      <c r="W130" s="40">
        <f t="shared" si="322"/>
        <v>24.170096020581909</v>
      </c>
      <c r="X130" s="12">
        <f t="shared" si="322"/>
        <v>20.488244185379681</v>
      </c>
      <c r="Y130" s="12">
        <f t="shared" si="322"/>
        <v>0</v>
      </c>
      <c r="Z130" s="12">
        <f t="shared" si="322"/>
        <v>0</v>
      </c>
      <c r="AA130" s="12">
        <f t="shared" si="322"/>
        <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44" s="12" customFormat="1" x14ac:dyDescent="0.35">
      <c r="B131" s="12" t="s">
        <v>109</v>
      </c>
      <c r="N131" s="12">
        <f t="shared" ref="N131:AD131" si="324">N127/N97</f>
        <v>1.6975799336919624</v>
      </c>
      <c r="O131" s="40">
        <f t="shared" si="324"/>
        <v>1.6263896299251941</v>
      </c>
      <c r="P131" s="12">
        <f t="shared" si="324"/>
        <v>1.7501785995643913</v>
      </c>
      <c r="Q131" s="12">
        <f t="shared" si="324"/>
        <v>1.6816315951014156</v>
      </c>
      <c r="R131" s="12">
        <f t="shared" si="324"/>
        <v>1.6779009149589652</v>
      </c>
      <c r="S131" s="40">
        <f t="shared" si="324"/>
        <v>1.8444219091399658</v>
      </c>
      <c r="T131" s="12">
        <f t="shared" si="324"/>
        <v>2.2250810130841487</v>
      </c>
      <c r="U131" s="12">
        <f t="shared" si="324"/>
        <v>2.7098321641232794</v>
      </c>
      <c r="V131" s="12">
        <f t="shared" si="324"/>
        <v>4.4577197771946642</v>
      </c>
      <c r="W131" s="40">
        <f t="shared" si="324"/>
        <v>6.8371176459994496</v>
      </c>
      <c r="X131" s="12">
        <f t="shared" si="324"/>
        <v>4.8764310835553513</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44" s="12" customFormat="1" x14ac:dyDescent="0.35">
      <c r="B132" s="12" t="s">
        <v>110</v>
      </c>
      <c r="N132" s="12">
        <f t="shared" ref="N132:AD132" si="326">N127/SUM(K116:N116)</f>
        <v>28.659777095562177</v>
      </c>
      <c r="O132" s="40">
        <f t="shared" si="326"/>
        <v>-9.7410364025695948</v>
      </c>
      <c r="P132" s="12">
        <f t="shared" si="326"/>
        <v>-6.8275414232982845</v>
      </c>
      <c r="Q132" s="12">
        <f t="shared" si="326"/>
        <v>-5.3605073591600405</v>
      </c>
      <c r="R132" s="12">
        <f t="shared" si="326"/>
        <v>-4.9225223841163173</v>
      </c>
      <c r="S132" s="40">
        <f t="shared" si="326"/>
        <v>-79.365617834732177</v>
      </c>
      <c r="T132" s="12">
        <f t="shared" si="326"/>
        <v>22.610849889378049</v>
      </c>
      <c r="U132" s="12">
        <f t="shared" si="326"/>
        <v>7.8807366151812186</v>
      </c>
      <c r="V132" s="12">
        <f t="shared" si="326"/>
        <v>14.026106497087524</v>
      </c>
      <c r="W132" s="40">
        <f t="shared" si="326"/>
        <v>45.705287023145821</v>
      </c>
      <c r="X132" s="12">
        <f t="shared" si="326"/>
        <v>86.863447066178821</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3" spans="2:44" s="12" customFormat="1" x14ac:dyDescent="0.35">
      <c r="O133" s="40"/>
      <c r="S133" s="40"/>
      <c r="W133" s="40"/>
    </row>
    <row r="134" spans="2:44" s="12" customFormat="1" x14ac:dyDescent="0.35">
      <c r="B134" s="24" t="s">
        <v>36</v>
      </c>
      <c r="O134" s="40"/>
      <c r="S134" s="40"/>
      <c r="W134" s="40"/>
    </row>
    <row r="135" spans="2:44" s="8" customFormat="1" x14ac:dyDescent="0.35">
      <c r="B135" s="8" t="s">
        <v>72</v>
      </c>
      <c r="N135" s="8" t="e">
        <f>(N39-J39)/ABS(J39)</f>
        <v>#DIV/0!</v>
      </c>
      <c r="O135" s="36">
        <f t="shared" ref="O135:AD135" si="328">(O39-K39)/ABS(K39)</f>
        <v>0.35484421121679244</v>
      </c>
      <c r="P135" s="8">
        <f t="shared" si="328"/>
        <v>0.4120324314168512</v>
      </c>
      <c r="Q135" s="8">
        <f t="shared" si="328"/>
        <v>0.51302460929520777</v>
      </c>
      <c r="R135" s="8">
        <f t="shared" si="328"/>
        <v>0.52991856761320344</v>
      </c>
      <c r="S135" s="36">
        <f t="shared" si="328"/>
        <v>0.79343100326319571</v>
      </c>
      <c r="T135" s="8">
        <f t="shared" si="328"/>
        <v>0.53801243412124833</v>
      </c>
      <c r="U135" s="8">
        <f t="shared" si="328"/>
        <v>-5.3260444562482911E-2</v>
      </c>
      <c r="V135" s="8">
        <f t="shared" si="328"/>
        <v>0.3359305638780522</v>
      </c>
      <c r="W135" s="36">
        <f t="shared" si="328"/>
        <v>0.14445098346228391</v>
      </c>
      <c r="X135" s="8">
        <f t="shared" si="328"/>
        <v>1.0324612701344005</v>
      </c>
      <c r="Y135" s="8">
        <f t="shared" si="328"/>
        <v>-1</v>
      </c>
      <c r="Z135" s="8">
        <f t="shared" si="328"/>
        <v>-1</v>
      </c>
      <c r="AA135" s="8">
        <f t="shared" si="328"/>
        <v>-1</v>
      </c>
      <c r="AB135" s="8">
        <f t="shared" si="328"/>
        <v>-1</v>
      </c>
      <c r="AC135" s="8" t="e">
        <f t="shared" si="328"/>
        <v>#DIV/0!</v>
      </c>
      <c r="AD135" s="8" t="e">
        <f t="shared" si="328"/>
        <v>#DIV/0!</v>
      </c>
    </row>
    <row r="136" spans="2:44" s="8" customFormat="1" x14ac:dyDescent="0.35">
      <c r="B136" s="8" t="s">
        <v>150</v>
      </c>
      <c r="N136" s="8" t="e">
        <f>(N56-J56)/ABS(J56)</f>
        <v>#DIV/0!</v>
      </c>
      <c r="O136" s="36">
        <f t="shared" ref="O136:AD136" si="329">(O56-K56)/ABS(K56)</f>
        <v>-4.3757753467912594E-2</v>
      </c>
      <c r="P136" s="8">
        <f t="shared" si="329"/>
        <v>0.51521283515212757</v>
      </c>
      <c r="Q136" s="8">
        <f t="shared" si="329"/>
        <v>3.1769047102235919</v>
      </c>
      <c r="R136" s="8">
        <f t="shared" si="329"/>
        <v>2.5958837648741069</v>
      </c>
      <c r="S136" s="36">
        <f t="shared" si="329"/>
        <v>6.2499115461728971</v>
      </c>
      <c r="T136" s="8">
        <f t="shared" si="329"/>
        <v>3.2012544119049853</v>
      </c>
      <c r="U136" s="8">
        <f t="shared" si="329"/>
        <v>0.11528867640180898</v>
      </c>
      <c r="V136" s="8">
        <f t="shared" si="329"/>
        <v>0.37456505375579835</v>
      </c>
      <c r="W136" s="36">
        <f t="shared" si="329"/>
        <v>-0.14869100294985285</v>
      </c>
      <c r="X136" s="8">
        <f t="shared" si="329"/>
        <v>0.68004223265424357</v>
      </c>
      <c r="Y136" s="8">
        <f t="shared" si="329"/>
        <v>-1</v>
      </c>
      <c r="Z136" s="8">
        <f t="shared" si="329"/>
        <v>-1</v>
      </c>
      <c r="AA136" s="8">
        <f t="shared" si="329"/>
        <v>-1</v>
      </c>
      <c r="AB136" s="8">
        <f t="shared" si="329"/>
        <v>-1</v>
      </c>
      <c r="AC136" s="8" t="e">
        <f t="shared" si="329"/>
        <v>#DIV/0!</v>
      </c>
      <c r="AD136" s="8" t="e">
        <f t="shared" si="329"/>
        <v>#DIV/0!</v>
      </c>
    </row>
    <row r="137" spans="2:44" s="8" customFormat="1" x14ac:dyDescent="0.35">
      <c r="B137" s="8" t="s">
        <v>97</v>
      </c>
      <c r="N137" s="8" t="e">
        <f>(N106-J106)/ABS(J106)</f>
        <v>#DIV/0!</v>
      </c>
      <c r="O137" s="36">
        <f t="shared" ref="O137:AD137" si="330">(O106-K106)/ABS(K106)</f>
        <v>-2.3373288931410068</v>
      </c>
      <c r="P137" s="8">
        <f t="shared" si="330"/>
        <v>-2.3328699344711881</v>
      </c>
      <c r="Q137" s="8">
        <f t="shared" si="330"/>
        <v>-31.46495089739248</v>
      </c>
      <c r="R137" s="8">
        <f t="shared" si="330"/>
        <v>-8.4833389793969989</v>
      </c>
      <c r="S137" s="36">
        <f t="shared" si="330"/>
        <v>3.0831997688704234</v>
      </c>
      <c r="T137" s="8">
        <f t="shared" si="330"/>
        <v>3.1525970947432298</v>
      </c>
      <c r="U137" s="8">
        <f t="shared" si="330"/>
        <v>2.432368862754688</v>
      </c>
      <c r="V137" s="8">
        <f t="shared" si="330"/>
        <v>2.2897302992079971</v>
      </c>
      <c r="W137" s="36">
        <f t="shared" si="330"/>
        <v>-0.11559531239165108</v>
      </c>
      <c r="X137" s="8">
        <f t="shared" si="330"/>
        <v>-1.7531687527392781</v>
      </c>
      <c r="Y137" s="8">
        <f t="shared" si="330"/>
        <v>-1</v>
      </c>
      <c r="Z137" s="8">
        <f t="shared" si="330"/>
        <v>-1</v>
      </c>
      <c r="AA137" s="8">
        <f t="shared" si="330"/>
        <v>-1</v>
      </c>
      <c r="AB137" s="8">
        <f t="shared" si="330"/>
        <v>1</v>
      </c>
      <c r="AC137" s="8" t="e">
        <f t="shared" si="330"/>
        <v>#DIV/0!</v>
      </c>
      <c r="AD137" s="8" t="e">
        <f t="shared" si="330"/>
        <v>#DIV/0!</v>
      </c>
    </row>
    <row r="138" spans="2:44" s="12" customFormat="1" x14ac:dyDescent="0.35">
      <c r="O138" s="40"/>
      <c r="S138" s="40"/>
      <c r="W138" s="40"/>
    </row>
    <row r="139" spans="2:44" x14ac:dyDescent="0.35">
      <c r="S139" s="48" t="s">
        <v>151</v>
      </c>
      <c r="T139" s="25"/>
      <c r="U139" s="25"/>
    </row>
    <row r="140" spans="2:44" x14ac:dyDescent="0.35">
      <c r="S140" s="48" t="s">
        <v>152</v>
      </c>
      <c r="T140" s="25"/>
      <c r="U140" s="25"/>
    </row>
    <row r="141" spans="2:44" x14ac:dyDescent="0.35">
      <c r="S141" s="48"/>
      <c r="T141" s="25"/>
      <c r="U141" s="25"/>
    </row>
    <row r="143" spans="2:44" s="2" customFormat="1" x14ac:dyDescent="0.35">
      <c r="B143" s="2" t="s">
        <v>133</v>
      </c>
      <c r="O143" s="28"/>
      <c r="S143" s="28"/>
      <c r="W143" s="28"/>
    </row>
    <row r="144" spans="2:44" s="5" customFormat="1" x14ac:dyDescent="0.35">
      <c r="B144" s="5" t="s">
        <v>76</v>
      </c>
      <c r="O144" s="35"/>
      <c r="S144" s="35"/>
      <c r="W144" s="35"/>
    </row>
    <row r="145" spans="2:52" s="8" customFormat="1" x14ac:dyDescent="0.35">
      <c r="B145" s="8" t="s">
        <v>77</v>
      </c>
      <c r="K145" s="8">
        <f>K44/K47</f>
        <v>0.55090530718113173</v>
      </c>
      <c r="L145" s="8">
        <f t="shared" ref="L145:AD145" si="331">L44/L47</f>
        <v>0.53407272358958779</v>
      </c>
      <c r="M145" s="8">
        <f t="shared" si="331"/>
        <v>0.54653555048036084</v>
      </c>
      <c r="N145" s="8">
        <f t="shared" si="331"/>
        <v>0.55369726580851264</v>
      </c>
      <c r="O145" s="36">
        <f t="shared" si="331"/>
        <v>0.59758189540505091</v>
      </c>
      <c r="P145" s="8">
        <f t="shared" si="331"/>
        <v>0.5809626067048822</v>
      </c>
      <c r="Q145" s="8">
        <f t="shared" si="331"/>
        <v>0.58570389593216421</v>
      </c>
      <c r="R145" s="8">
        <f t="shared" si="331"/>
        <v>0.57962351900827802</v>
      </c>
      <c r="S145" s="36">
        <f t="shared" si="331"/>
        <v>0.58270021662009852</v>
      </c>
      <c r="T145" s="8">
        <f t="shared" si="331"/>
        <v>0.57837041884816753</v>
      </c>
      <c r="U145" s="8">
        <f t="shared" si="331"/>
        <v>0.6090259826991522</v>
      </c>
      <c r="V145" s="8">
        <f t="shared" si="331"/>
        <v>0.58507944611945562</v>
      </c>
      <c r="W145" s="36">
        <f t="shared" si="331"/>
        <v>0.61279604373527019</v>
      </c>
      <c r="X145" s="8">
        <f t="shared" si="331"/>
        <v>0.56427008472554929</v>
      </c>
      <c r="Y145" s="8" t="e">
        <f t="shared" si="331"/>
        <v>#DIV/0!</v>
      </c>
      <c r="Z145" s="8" t="e">
        <f t="shared" si="331"/>
        <v>#DIV/0!</v>
      </c>
      <c r="AA145" s="8" t="e">
        <f t="shared" si="331"/>
        <v>#DIV/0!</v>
      </c>
      <c r="AB145" s="8" t="e">
        <f t="shared" si="331"/>
        <v>#DIV/0!</v>
      </c>
      <c r="AC145" s="8" t="e">
        <f t="shared" si="331"/>
        <v>#DIV/0!</v>
      </c>
      <c r="AD145" s="8" t="e">
        <f t="shared" si="331"/>
        <v>#DIV/0!</v>
      </c>
      <c r="AN145" s="8">
        <f t="shared" ref="AN145:AZ145" si="332">AN44/AN47</f>
        <v>0.45169964523248191</v>
      </c>
      <c r="AO145" s="8">
        <f t="shared" si="332"/>
        <v>0.50272383079563099</v>
      </c>
      <c r="AP145" s="8">
        <f t="shared" si="332"/>
        <v>0.54645377029696218</v>
      </c>
      <c r="AQ145" s="8">
        <f t="shared" si="332"/>
        <v>0.58574243708506701</v>
      </c>
      <c r="AR145" s="8">
        <f t="shared" si="332"/>
        <v>0.58876731753118594</v>
      </c>
      <c r="AS145" s="8" t="e">
        <f t="shared" si="332"/>
        <v>#DIV/0!</v>
      </c>
      <c r="AT145" s="8" t="e">
        <f t="shared" si="332"/>
        <v>#DIV/0!</v>
      </c>
      <c r="AU145" s="8" t="e">
        <f t="shared" si="332"/>
        <v>#DIV/0!</v>
      </c>
      <c r="AV145" s="8" t="e">
        <f t="shared" si="332"/>
        <v>#DIV/0!</v>
      </c>
      <c r="AW145" s="8" t="e">
        <f t="shared" si="332"/>
        <v>#DIV/0!</v>
      </c>
      <c r="AX145" s="8" t="e">
        <f t="shared" si="332"/>
        <v>#DIV/0!</v>
      </c>
      <c r="AY145" s="8" t="e">
        <f t="shared" si="332"/>
        <v>#DIV/0!</v>
      </c>
      <c r="AZ145" s="8" t="e">
        <f t="shared" si="332"/>
        <v>#DIV/0!</v>
      </c>
    </row>
    <row r="146" spans="2:52" s="8" customFormat="1" x14ac:dyDescent="0.35">
      <c r="B146" s="8" t="s">
        <v>78</v>
      </c>
      <c r="K146" s="8">
        <f>K45/K47</f>
        <v>0.20400325729624305</v>
      </c>
      <c r="L146" s="8">
        <f t="shared" ref="L146:AD146" si="333">L45/L47</f>
        <v>0.21006786184543705</v>
      </c>
      <c r="M146" s="8">
        <f t="shared" si="333"/>
        <v>0.20597950208565335</v>
      </c>
      <c r="N146" s="8">
        <f t="shared" si="333"/>
        <v>0.21446020858780424</v>
      </c>
      <c r="O146" s="36">
        <f t="shared" si="333"/>
        <v>0.19836530258414289</v>
      </c>
      <c r="P146" s="8">
        <f t="shared" si="333"/>
        <v>0.19486396791310981</v>
      </c>
      <c r="Q146" s="8">
        <f t="shared" si="333"/>
        <v>0.1847633845187524</v>
      </c>
      <c r="R146" s="8">
        <f t="shared" si="333"/>
        <v>0.19803325936903821</v>
      </c>
      <c r="S146" s="36">
        <f t="shared" si="333"/>
        <v>0.23045709980221643</v>
      </c>
      <c r="T146" s="8">
        <f t="shared" si="333"/>
        <v>0.23269797120418848</v>
      </c>
      <c r="U146" s="8">
        <f t="shared" si="333"/>
        <v>0.19887332353842407</v>
      </c>
      <c r="V146" s="8">
        <f t="shared" si="333"/>
        <v>0.22012405047571085</v>
      </c>
      <c r="W146" s="36">
        <f t="shared" si="333"/>
        <v>0.2054851226121944</v>
      </c>
      <c r="X146" s="8">
        <f t="shared" si="333"/>
        <v>0.24294558690850263</v>
      </c>
      <c r="Y146" s="8" t="e">
        <f t="shared" si="333"/>
        <v>#DIV/0!</v>
      </c>
      <c r="Z146" s="8" t="e">
        <f t="shared" si="333"/>
        <v>#DIV/0!</v>
      </c>
      <c r="AA146" s="8" t="e">
        <f t="shared" si="333"/>
        <v>#DIV/0!</v>
      </c>
      <c r="AB146" s="8" t="e">
        <f t="shared" si="333"/>
        <v>#DIV/0!</v>
      </c>
      <c r="AC146" s="8" t="e">
        <f t="shared" si="333"/>
        <v>#DIV/0!</v>
      </c>
      <c r="AD146" s="8" t="e">
        <f t="shared" si="333"/>
        <v>#DIV/0!</v>
      </c>
      <c r="AN146" s="8">
        <f t="shared" ref="AN146:AZ146" si="334">AN45/AN47</f>
        <v>0.19371360996663223</v>
      </c>
      <c r="AO146" s="8">
        <f t="shared" si="334"/>
        <v>0.19324898537302862</v>
      </c>
      <c r="AP146" s="8">
        <f t="shared" si="334"/>
        <v>0.20868211918916879</v>
      </c>
      <c r="AQ146" s="8">
        <f t="shared" si="334"/>
        <v>0.19388857097372397</v>
      </c>
      <c r="AR146" s="8">
        <f t="shared" si="334"/>
        <v>0.22040929733458525</v>
      </c>
      <c r="AS146" s="8" t="e">
        <f t="shared" si="334"/>
        <v>#DIV/0!</v>
      </c>
      <c r="AT146" s="8" t="e">
        <f t="shared" si="334"/>
        <v>#DIV/0!</v>
      </c>
      <c r="AU146" s="8" t="e">
        <f t="shared" si="334"/>
        <v>#DIV/0!</v>
      </c>
      <c r="AV146" s="8" t="e">
        <f t="shared" si="334"/>
        <v>#DIV/0!</v>
      </c>
      <c r="AW146" s="8" t="e">
        <f t="shared" si="334"/>
        <v>#DIV/0!</v>
      </c>
      <c r="AX146" s="8" t="e">
        <f t="shared" si="334"/>
        <v>#DIV/0!</v>
      </c>
      <c r="AY146" s="8" t="e">
        <f t="shared" si="334"/>
        <v>#DIV/0!</v>
      </c>
      <c r="AZ146" s="8" t="e">
        <f t="shared" si="334"/>
        <v>#DIV/0!</v>
      </c>
    </row>
    <row r="147" spans="2:52" s="9" customFormat="1" x14ac:dyDescent="0.35">
      <c r="B147" s="9" t="s">
        <v>79</v>
      </c>
      <c r="K147" s="9">
        <f>K46/K47</f>
        <v>0.24509143552262513</v>
      </c>
      <c r="L147" s="9">
        <f t="shared" ref="L147:AD147" si="335">L46/L47</f>
        <v>0.25585941456497518</v>
      </c>
      <c r="M147" s="9">
        <f t="shared" si="335"/>
        <v>0.24748494743398577</v>
      </c>
      <c r="N147" s="9">
        <f t="shared" si="335"/>
        <v>0.23184252560368321</v>
      </c>
      <c r="O147" s="37">
        <f t="shared" si="335"/>
        <v>0.20405280201080625</v>
      </c>
      <c r="P147" s="9">
        <f t="shared" si="335"/>
        <v>0.22417342538200791</v>
      </c>
      <c r="Q147" s="9">
        <f t="shared" si="335"/>
        <v>0.22953271954908347</v>
      </c>
      <c r="R147" s="9">
        <f t="shared" si="335"/>
        <v>0.2223432216226838</v>
      </c>
      <c r="S147" s="37">
        <f t="shared" si="335"/>
        <v>0.18684268357768502</v>
      </c>
      <c r="T147" s="9">
        <f t="shared" si="335"/>
        <v>0.18893160994764396</v>
      </c>
      <c r="U147" s="9">
        <f t="shared" si="335"/>
        <v>0.1921006937624237</v>
      </c>
      <c r="V147" s="9">
        <f t="shared" si="335"/>
        <v>0.19479650340483362</v>
      </c>
      <c r="W147" s="37">
        <f t="shared" si="335"/>
        <v>0.1817188336525353</v>
      </c>
      <c r="X147" s="9">
        <f t="shared" si="335"/>
        <v>0.192784328365948</v>
      </c>
      <c r="Y147" s="9" t="e">
        <f t="shared" si="335"/>
        <v>#DIV/0!</v>
      </c>
      <c r="Z147" s="9" t="e">
        <f t="shared" si="335"/>
        <v>#DIV/0!</v>
      </c>
      <c r="AA147" s="9" t="e">
        <f t="shared" si="335"/>
        <v>#DIV/0!</v>
      </c>
      <c r="AB147" s="9" t="e">
        <f t="shared" si="335"/>
        <v>#DIV/0!</v>
      </c>
      <c r="AC147" s="9" t="e">
        <f t="shared" si="335"/>
        <v>#DIV/0!</v>
      </c>
      <c r="AD147" s="9" t="e">
        <f t="shared" si="335"/>
        <v>#DIV/0!</v>
      </c>
      <c r="AN147" s="9">
        <f t="shared" ref="AN147:AZ147" si="336">AN46/AN47</f>
        <v>0.35458674480088576</v>
      </c>
      <c r="AO147" s="9">
        <f t="shared" si="336"/>
        <v>0.30402718383134036</v>
      </c>
      <c r="AP147" s="9">
        <f t="shared" si="336"/>
        <v>0.24486411051386903</v>
      </c>
      <c r="AQ147" s="9">
        <f t="shared" si="336"/>
        <v>0.22036899194120912</v>
      </c>
      <c r="AR147" s="9">
        <f t="shared" si="336"/>
        <v>0.19082338513422881</v>
      </c>
      <c r="AS147" s="9" t="e">
        <f t="shared" si="336"/>
        <v>#DIV/0!</v>
      </c>
      <c r="AT147" s="9" t="e">
        <f t="shared" si="336"/>
        <v>#DIV/0!</v>
      </c>
      <c r="AU147" s="9" t="e">
        <f t="shared" si="336"/>
        <v>#DIV/0!</v>
      </c>
      <c r="AV147" s="9" t="e">
        <f t="shared" si="336"/>
        <v>#DIV/0!</v>
      </c>
      <c r="AW147" s="9" t="e">
        <f t="shared" si="336"/>
        <v>#DIV/0!</v>
      </c>
      <c r="AX147" s="9" t="e">
        <f t="shared" si="336"/>
        <v>#DIV/0!</v>
      </c>
      <c r="AY147" s="9" t="e">
        <f t="shared" si="336"/>
        <v>#DIV/0!</v>
      </c>
      <c r="AZ147" s="9" t="e">
        <f t="shared" si="336"/>
        <v>#DIV/0!</v>
      </c>
    </row>
    <row r="148" spans="2:52" x14ac:dyDescent="0.35">
      <c r="B148" s="6" t="s">
        <v>134</v>
      </c>
      <c r="K148" s="8">
        <f>SUM(K145:K147)</f>
        <v>0.99999999999999989</v>
      </c>
      <c r="L148" s="8">
        <f t="shared" ref="L148:AD148" si="337">SUM(L145:L147)</f>
        <v>1</v>
      </c>
      <c r="M148" s="8">
        <f t="shared" si="337"/>
        <v>1</v>
      </c>
      <c r="N148" s="8">
        <f t="shared" si="337"/>
        <v>1</v>
      </c>
      <c r="O148" s="36">
        <f t="shared" si="337"/>
        <v>1</v>
      </c>
      <c r="P148" s="8">
        <f t="shared" si="337"/>
        <v>0.99999999999999989</v>
      </c>
      <c r="Q148" s="8">
        <f t="shared" si="337"/>
        <v>1</v>
      </c>
      <c r="R148" s="8">
        <f t="shared" si="337"/>
        <v>1</v>
      </c>
      <c r="S148" s="36">
        <f t="shared" si="337"/>
        <v>1</v>
      </c>
      <c r="T148" s="8">
        <f t="shared" si="337"/>
        <v>1</v>
      </c>
      <c r="U148" s="8">
        <f t="shared" si="337"/>
        <v>1</v>
      </c>
      <c r="V148" s="8">
        <f t="shared" si="337"/>
        <v>1</v>
      </c>
      <c r="W148" s="36">
        <f t="shared" si="337"/>
        <v>0.99999999999999989</v>
      </c>
      <c r="X148" s="8">
        <f t="shared" si="337"/>
        <v>1</v>
      </c>
      <c r="Y148" s="8" t="e">
        <f t="shared" si="337"/>
        <v>#DIV/0!</v>
      </c>
      <c r="Z148" s="8" t="e">
        <f t="shared" si="337"/>
        <v>#DIV/0!</v>
      </c>
      <c r="AA148" s="8" t="e">
        <f t="shared" si="337"/>
        <v>#DIV/0!</v>
      </c>
      <c r="AB148" s="8" t="e">
        <f t="shared" si="337"/>
        <v>#DIV/0!</v>
      </c>
      <c r="AC148" s="8" t="e">
        <f t="shared" si="337"/>
        <v>#DIV/0!</v>
      </c>
      <c r="AD148" s="8" t="e">
        <f t="shared" si="337"/>
        <v>#DIV/0!</v>
      </c>
      <c r="AN148" s="8">
        <f t="shared" ref="AN148" si="338">SUM(AN145:AN147)</f>
        <v>0.99999999999999978</v>
      </c>
      <c r="AO148" s="8">
        <f t="shared" ref="AO148" si="339">SUM(AO145:AO147)</f>
        <v>1</v>
      </c>
      <c r="AP148" s="8">
        <f t="shared" ref="AP148" si="340">SUM(AP145:AP147)</f>
        <v>1</v>
      </c>
      <c r="AQ148" s="8">
        <f t="shared" ref="AQ148" si="341">SUM(AQ145:AQ147)</f>
        <v>1</v>
      </c>
      <c r="AR148" s="8">
        <f t="shared" ref="AR148" si="342">SUM(AR145:AR147)</f>
        <v>1</v>
      </c>
      <c r="AS148" s="8" t="e">
        <f t="shared" ref="AS148" si="343">SUM(AS145:AS147)</f>
        <v>#DIV/0!</v>
      </c>
      <c r="AT148" s="8" t="e">
        <f t="shared" ref="AT148" si="344">SUM(AT145:AT147)</f>
        <v>#DIV/0!</v>
      </c>
      <c r="AU148" s="8" t="e">
        <f t="shared" ref="AU148" si="345">SUM(AU145:AU147)</f>
        <v>#DIV/0!</v>
      </c>
      <c r="AV148" s="8" t="e">
        <f t="shared" ref="AV148" si="346">SUM(AV145:AV147)</f>
        <v>#DIV/0!</v>
      </c>
      <c r="AW148" s="8" t="e">
        <f t="shared" ref="AW148" si="347">SUM(AW145:AW147)</f>
        <v>#DIV/0!</v>
      </c>
      <c r="AX148" s="8" t="e">
        <f t="shared" ref="AX148" si="348">SUM(AX145:AX147)</f>
        <v>#DIV/0!</v>
      </c>
      <c r="AY148" s="8" t="e">
        <f t="shared" ref="AY148" si="349">SUM(AY145:AY147)</f>
        <v>#DIV/0!</v>
      </c>
      <c r="AZ148" s="8" t="e">
        <f t="shared" ref="AZ148" si="350">SUM(AZ145:AZ147)</f>
        <v>#DIV/0!</v>
      </c>
    </row>
  </sheetData>
  <pageMargins left="0.7" right="0.7" top="0.75" bottom="0.75" header="0.3" footer="0.3"/>
  <pageSetup orientation="portrait" r:id="rId1"/>
  <ignoredErrors>
    <ignoredError sqref="J95 V5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2268-B714-40B5-B564-6DC7BD944DE6}">
  <dimension ref="A1:CS50"/>
  <sheetViews>
    <sheetView tabSelected="1" zoomScaleNormal="100" workbookViewId="0">
      <pane xSplit="2" ySplit="5" topLeftCell="Y6" activePane="bottomRight" state="frozen"/>
      <selection pane="topRight" activeCell="C1" sqref="C1"/>
      <selection pane="bottomLeft" activeCell="A6" sqref="A6"/>
      <selection pane="bottomRight" activeCell="AV33" sqref="AV33"/>
    </sheetView>
  </sheetViews>
  <sheetFormatPr defaultRowHeight="14.5" x14ac:dyDescent="0.35"/>
  <cols>
    <col min="2" max="2" width="20.81640625" customWidth="1"/>
    <col min="26" max="27" width="9.453125" bestFit="1" customWidth="1"/>
    <col min="28" max="28" width="10.453125" bestFit="1" customWidth="1"/>
    <col min="29" max="32" width="9.453125" bestFit="1" customWidth="1"/>
    <col min="48" max="48" width="10.453125" bestFit="1" customWidth="1"/>
  </cols>
  <sheetData>
    <row r="1" spans="2:44" x14ac:dyDescent="0.35">
      <c r="B1" t="s">
        <v>153</v>
      </c>
      <c r="Z1">
        <f>AA1-1</f>
        <v>2017</v>
      </c>
      <c r="AA1">
        <f t="shared" ref="AA1:AD1" si="0">AB1-1</f>
        <v>2018</v>
      </c>
      <c r="AB1">
        <f t="shared" si="0"/>
        <v>2019</v>
      </c>
      <c r="AC1">
        <f t="shared" si="0"/>
        <v>2020</v>
      </c>
      <c r="AD1">
        <f t="shared" si="0"/>
        <v>2021</v>
      </c>
      <c r="AE1">
        <f>AF1-1</f>
        <v>2022</v>
      </c>
      <c r="AF1">
        <v>2023</v>
      </c>
      <c r="AG1">
        <f>AF1+1</f>
        <v>2024</v>
      </c>
      <c r="AH1">
        <f t="shared" ref="AH1:AR1" si="1">AG1+1</f>
        <v>2025</v>
      </c>
      <c r="AI1">
        <f t="shared" si="1"/>
        <v>2026</v>
      </c>
      <c r="AJ1">
        <f t="shared" si="1"/>
        <v>2027</v>
      </c>
      <c r="AK1">
        <f t="shared" si="1"/>
        <v>2028</v>
      </c>
      <c r="AL1">
        <f t="shared" si="1"/>
        <v>2029</v>
      </c>
      <c r="AM1">
        <f t="shared" si="1"/>
        <v>2030</v>
      </c>
      <c r="AN1">
        <f t="shared" si="1"/>
        <v>2031</v>
      </c>
      <c r="AO1">
        <f t="shared" si="1"/>
        <v>2032</v>
      </c>
      <c r="AP1">
        <f t="shared" si="1"/>
        <v>2033</v>
      </c>
      <c r="AQ1">
        <f t="shared" si="1"/>
        <v>2034</v>
      </c>
      <c r="AR1">
        <f t="shared" si="1"/>
        <v>2035</v>
      </c>
    </row>
    <row r="2" spans="2:44" x14ac:dyDescent="0.35">
      <c r="B2" t="s">
        <v>18</v>
      </c>
      <c r="Z2" s="3">
        <v>42988</v>
      </c>
      <c r="AA2" s="3">
        <v>43338</v>
      </c>
      <c r="AB2" s="3">
        <v>43818</v>
      </c>
      <c r="AC2" s="3">
        <v>44074</v>
      </c>
      <c r="AD2" s="3">
        <v>44435</v>
      </c>
      <c r="AE2" s="3">
        <v>44802</v>
      </c>
      <c r="AF2" s="3">
        <v>45166</v>
      </c>
    </row>
    <row r="3" spans="2:44" x14ac:dyDescent="0.35">
      <c r="B3" t="s">
        <v>154</v>
      </c>
      <c r="Z3" s="3">
        <f>DATE(YEAR(AA3)-1, MONTH(AA3),DAY(AA3))</f>
        <v>42916</v>
      </c>
      <c r="AA3" s="3">
        <f t="shared" ref="AA3:AD3" si="2">DATE(YEAR(AB3)-1, MONTH(AB3),DAY(AB3))</f>
        <v>43281</v>
      </c>
      <c r="AB3" s="3">
        <f t="shared" si="2"/>
        <v>43646</v>
      </c>
      <c r="AC3" s="3">
        <f t="shared" si="2"/>
        <v>44012</v>
      </c>
      <c r="AD3" s="3">
        <f t="shared" si="2"/>
        <v>44377</v>
      </c>
      <c r="AE3" s="3">
        <f>DATE(YEAR(AF3)-1, MONTH(AF3),DAY(AF3))</f>
        <v>44742</v>
      </c>
      <c r="AF3" s="3">
        <v>45107</v>
      </c>
    </row>
    <row r="7" spans="2:44" s="15" customFormat="1" x14ac:dyDescent="0.35">
      <c r="B7" s="15" t="s">
        <v>155</v>
      </c>
      <c r="AA7" s="15">
        <v>2663.58</v>
      </c>
      <c r="AB7" s="15">
        <v>2858.6439999999998</v>
      </c>
      <c r="AC7" s="15">
        <v>2620.7539999999999</v>
      </c>
      <c r="AD7" s="15">
        <v>2790.3049999999998</v>
      </c>
      <c r="AE7" s="15">
        <v>4463.8329999999996</v>
      </c>
      <c r="AF7" s="15">
        <v>6569.8140000000003</v>
      </c>
    </row>
    <row r="8" spans="2:44" s="49" customFormat="1" x14ac:dyDescent="0.35">
      <c r="B8" s="49" t="s">
        <v>156</v>
      </c>
      <c r="AA8" s="49">
        <v>696.91200000000003</v>
      </c>
      <c r="AB8" s="49">
        <v>641.71600000000001</v>
      </c>
      <c r="AC8" s="49">
        <v>718.52700000000004</v>
      </c>
      <c r="AD8" s="49">
        <v>767.11699999999996</v>
      </c>
      <c r="AE8" s="49">
        <v>732.26599999999996</v>
      </c>
      <c r="AF8" s="49">
        <v>553.66800000000001</v>
      </c>
    </row>
    <row r="9" spans="2:44" s="23" customFormat="1" x14ac:dyDescent="0.35">
      <c r="B9" s="23" t="s">
        <v>30</v>
      </c>
      <c r="R9" s="23">
        <f>SUM(R7:R8)</f>
        <v>0</v>
      </c>
      <c r="S9" s="23">
        <f t="shared" ref="S9:AR9" si="3">SUM(S7:S8)</f>
        <v>0</v>
      </c>
      <c r="T9" s="23">
        <f t="shared" si="3"/>
        <v>0</v>
      </c>
      <c r="U9" s="23">
        <f t="shared" si="3"/>
        <v>0</v>
      </c>
      <c r="V9" s="23">
        <f t="shared" si="3"/>
        <v>0</v>
      </c>
      <c r="W9" s="23">
        <f t="shared" si="3"/>
        <v>0</v>
      </c>
      <c r="X9" s="23">
        <f t="shared" si="3"/>
        <v>0</v>
      </c>
      <c r="Y9" s="23">
        <f t="shared" si="3"/>
        <v>0</v>
      </c>
      <c r="Z9" s="23">
        <f t="shared" si="3"/>
        <v>0</v>
      </c>
      <c r="AA9" s="23">
        <f t="shared" si="3"/>
        <v>3360.4920000000002</v>
      </c>
      <c r="AB9" s="23">
        <f t="shared" si="3"/>
        <v>3500.3599999999997</v>
      </c>
      <c r="AC9" s="23">
        <f t="shared" si="3"/>
        <v>3339.2809999999999</v>
      </c>
      <c r="AD9" s="23">
        <f t="shared" si="3"/>
        <v>3557.4219999999996</v>
      </c>
      <c r="AE9" s="23">
        <f t="shared" si="3"/>
        <v>5196.0989999999993</v>
      </c>
      <c r="AF9" s="23">
        <f t="shared" si="3"/>
        <v>7123.482</v>
      </c>
      <c r="AG9" s="23">
        <f t="shared" si="3"/>
        <v>0</v>
      </c>
      <c r="AH9" s="23">
        <f t="shared" si="3"/>
        <v>0</v>
      </c>
      <c r="AI9" s="23">
        <f t="shared" si="3"/>
        <v>0</v>
      </c>
      <c r="AJ9" s="23">
        <f t="shared" si="3"/>
        <v>0</v>
      </c>
      <c r="AK9" s="23">
        <f t="shared" si="3"/>
        <v>0</v>
      </c>
      <c r="AL9" s="23">
        <f t="shared" si="3"/>
        <v>0</v>
      </c>
      <c r="AM9" s="23">
        <f t="shared" si="3"/>
        <v>0</v>
      </c>
      <c r="AN9" s="23">
        <f t="shared" si="3"/>
        <v>0</v>
      </c>
      <c r="AO9" s="23">
        <f t="shared" si="3"/>
        <v>0</v>
      </c>
      <c r="AP9" s="23">
        <f t="shared" si="3"/>
        <v>0</v>
      </c>
      <c r="AQ9" s="23">
        <f t="shared" si="3"/>
        <v>0</v>
      </c>
      <c r="AR9" s="23">
        <f t="shared" si="3"/>
        <v>0</v>
      </c>
    </row>
    <row r="11" spans="2:44" s="5" customFormat="1" x14ac:dyDescent="0.35">
      <c r="B11" s="5" t="s">
        <v>36</v>
      </c>
    </row>
    <row r="12" spans="2:44" s="52" customFormat="1" x14ac:dyDescent="0.35">
      <c r="B12" s="52" t="s">
        <v>155</v>
      </c>
      <c r="R12" s="52" t="e">
        <f>R7/Q7-1</f>
        <v>#DIV/0!</v>
      </c>
      <c r="S12" s="52" t="e">
        <f t="shared" ref="S12:AR12" si="4">S7/R7-1</f>
        <v>#DIV/0!</v>
      </c>
      <c r="T12" s="52" t="e">
        <f t="shared" si="4"/>
        <v>#DIV/0!</v>
      </c>
      <c r="U12" s="52" t="e">
        <f t="shared" si="4"/>
        <v>#DIV/0!</v>
      </c>
      <c r="V12" s="52" t="e">
        <f t="shared" si="4"/>
        <v>#DIV/0!</v>
      </c>
      <c r="W12" s="52" t="e">
        <f t="shared" si="4"/>
        <v>#DIV/0!</v>
      </c>
      <c r="X12" s="52" t="e">
        <f t="shared" si="4"/>
        <v>#DIV/0!</v>
      </c>
      <c r="Y12" s="52" t="e">
        <f t="shared" si="4"/>
        <v>#DIV/0!</v>
      </c>
      <c r="Z12" s="52" t="e">
        <f t="shared" si="4"/>
        <v>#DIV/0!</v>
      </c>
      <c r="AA12" s="52" t="e">
        <f t="shared" si="4"/>
        <v>#DIV/0!</v>
      </c>
      <c r="AB12" s="52">
        <f t="shared" si="4"/>
        <v>7.3233768086560236E-2</v>
      </c>
      <c r="AC12" s="52">
        <f t="shared" si="4"/>
        <v>-8.3217777379764657E-2</v>
      </c>
      <c r="AD12" s="52">
        <f t="shared" si="4"/>
        <v>6.4695503660396891E-2</v>
      </c>
      <c r="AE12" s="52">
        <f t="shared" si="4"/>
        <v>0.59976525863660068</v>
      </c>
      <c r="AF12" s="52">
        <f t="shared" si="4"/>
        <v>0.47178758703562629</v>
      </c>
      <c r="AG12" s="52">
        <f t="shared" si="4"/>
        <v>-1</v>
      </c>
      <c r="AH12" s="52" t="e">
        <f t="shared" si="4"/>
        <v>#DIV/0!</v>
      </c>
      <c r="AI12" s="52" t="e">
        <f t="shared" si="4"/>
        <v>#DIV/0!</v>
      </c>
      <c r="AJ12" s="52" t="e">
        <f t="shared" si="4"/>
        <v>#DIV/0!</v>
      </c>
      <c r="AK12" s="52" t="e">
        <f t="shared" si="4"/>
        <v>#DIV/0!</v>
      </c>
      <c r="AL12" s="52" t="e">
        <f t="shared" si="4"/>
        <v>#DIV/0!</v>
      </c>
      <c r="AM12" s="52" t="e">
        <f t="shared" si="4"/>
        <v>#DIV/0!</v>
      </c>
      <c r="AN12" s="52" t="e">
        <f t="shared" si="4"/>
        <v>#DIV/0!</v>
      </c>
      <c r="AO12" s="52" t="e">
        <f t="shared" si="4"/>
        <v>#DIV/0!</v>
      </c>
      <c r="AP12" s="52" t="e">
        <f t="shared" si="4"/>
        <v>#DIV/0!</v>
      </c>
      <c r="AQ12" s="52" t="e">
        <f t="shared" si="4"/>
        <v>#DIV/0!</v>
      </c>
      <c r="AR12" s="52" t="e">
        <f t="shared" si="4"/>
        <v>#DIV/0!</v>
      </c>
    </row>
    <row r="13" spans="2:44" s="53" customFormat="1" x14ac:dyDescent="0.35">
      <c r="B13" s="53" t="s">
        <v>156</v>
      </c>
      <c r="R13" s="53" t="e">
        <f>R8/Q8-1</f>
        <v>#DIV/0!</v>
      </c>
      <c r="S13" s="53" t="e">
        <f t="shared" ref="S13:AR13" si="5">S8/R8-1</f>
        <v>#DIV/0!</v>
      </c>
      <c r="T13" s="53" t="e">
        <f t="shared" si="5"/>
        <v>#DIV/0!</v>
      </c>
      <c r="U13" s="53" t="e">
        <f t="shared" si="5"/>
        <v>#DIV/0!</v>
      </c>
      <c r="V13" s="53" t="e">
        <f t="shared" si="5"/>
        <v>#DIV/0!</v>
      </c>
      <c r="W13" s="53" t="e">
        <f t="shared" si="5"/>
        <v>#DIV/0!</v>
      </c>
      <c r="X13" s="53" t="e">
        <f t="shared" si="5"/>
        <v>#DIV/0!</v>
      </c>
      <c r="Y13" s="53" t="e">
        <f t="shared" si="5"/>
        <v>#DIV/0!</v>
      </c>
      <c r="Z13" s="53" t="e">
        <f t="shared" si="5"/>
        <v>#DIV/0!</v>
      </c>
      <c r="AA13" s="53" t="e">
        <f t="shared" si="5"/>
        <v>#DIV/0!</v>
      </c>
      <c r="AB13" s="53">
        <f t="shared" si="5"/>
        <v>-7.9200817319833861E-2</v>
      </c>
      <c r="AC13" s="53">
        <f t="shared" si="5"/>
        <v>0.11969625192452749</v>
      </c>
      <c r="AD13" s="53">
        <f t="shared" si="5"/>
        <v>6.7624459484473043E-2</v>
      </c>
      <c r="AE13" s="53">
        <f t="shared" si="5"/>
        <v>-4.5431140230238642E-2</v>
      </c>
      <c r="AF13" s="53">
        <f t="shared" si="5"/>
        <v>-0.24389770930235732</v>
      </c>
      <c r="AG13" s="53">
        <f t="shared" si="5"/>
        <v>-1</v>
      </c>
      <c r="AH13" s="53" t="e">
        <f t="shared" si="5"/>
        <v>#DIV/0!</v>
      </c>
      <c r="AI13" s="53" t="e">
        <f t="shared" si="5"/>
        <v>#DIV/0!</v>
      </c>
      <c r="AJ13" s="53" t="e">
        <f t="shared" si="5"/>
        <v>#DIV/0!</v>
      </c>
      <c r="AK13" s="53" t="e">
        <f t="shared" si="5"/>
        <v>#DIV/0!</v>
      </c>
      <c r="AL13" s="53" t="e">
        <f t="shared" si="5"/>
        <v>#DIV/0!</v>
      </c>
      <c r="AM13" s="53" t="e">
        <f t="shared" si="5"/>
        <v>#DIV/0!</v>
      </c>
      <c r="AN13" s="53" t="e">
        <f t="shared" si="5"/>
        <v>#DIV/0!</v>
      </c>
      <c r="AO13" s="53" t="e">
        <f t="shared" si="5"/>
        <v>#DIV/0!</v>
      </c>
      <c r="AP13" s="53" t="e">
        <f t="shared" si="5"/>
        <v>#DIV/0!</v>
      </c>
      <c r="AQ13" s="53" t="e">
        <f t="shared" si="5"/>
        <v>#DIV/0!</v>
      </c>
      <c r="AR13" s="53" t="e">
        <f t="shared" si="5"/>
        <v>#DIV/0!</v>
      </c>
    </row>
    <row r="14" spans="2:44" s="52" customFormat="1" x14ac:dyDescent="0.35">
      <c r="B14" s="54" t="s">
        <v>30</v>
      </c>
      <c r="R14" s="52" t="e">
        <f>R9/Q9-1</f>
        <v>#DIV/0!</v>
      </c>
      <c r="S14" s="52" t="e">
        <f t="shared" ref="S14:AR14" si="6">S9/R9-1</f>
        <v>#DIV/0!</v>
      </c>
      <c r="T14" s="52" t="e">
        <f t="shared" si="6"/>
        <v>#DIV/0!</v>
      </c>
      <c r="U14" s="52" t="e">
        <f t="shared" si="6"/>
        <v>#DIV/0!</v>
      </c>
      <c r="V14" s="52" t="e">
        <f t="shared" si="6"/>
        <v>#DIV/0!</v>
      </c>
      <c r="W14" s="52" t="e">
        <f t="shared" si="6"/>
        <v>#DIV/0!</v>
      </c>
      <c r="X14" s="52" t="e">
        <f t="shared" si="6"/>
        <v>#DIV/0!</v>
      </c>
      <c r="Y14" s="52" t="e">
        <f t="shared" si="6"/>
        <v>#DIV/0!</v>
      </c>
      <c r="Z14" s="52" t="e">
        <f t="shared" si="6"/>
        <v>#DIV/0!</v>
      </c>
      <c r="AA14" s="52" t="e">
        <f t="shared" si="6"/>
        <v>#DIV/0!</v>
      </c>
      <c r="AB14" s="52">
        <f t="shared" si="6"/>
        <v>4.1621286406871238E-2</v>
      </c>
      <c r="AC14" s="52">
        <f t="shared" si="6"/>
        <v>-4.6017838165217206E-2</v>
      </c>
      <c r="AD14" s="52">
        <f t="shared" si="6"/>
        <v>6.5325739283396578E-2</v>
      </c>
      <c r="AE14" s="52">
        <f t="shared" si="6"/>
        <v>0.46063610108668573</v>
      </c>
      <c r="AF14" s="52">
        <f t="shared" si="6"/>
        <v>0.37092884488921429</v>
      </c>
      <c r="AG14" s="52">
        <f t="shared" si="6"/>
        <v>-1</v>
      </c>
      <c r="AH14" s="52" t="e">
        <f t="shared" si="6"/>
        <v>#DIV/0!</v>
      </c>
      <c r="AI14" s="52" t="e">
        <f t="shared" si="6"/>
        <v>#DIV/0!</v>
      </c>
      <c r="AJ14" s="52" t="e">
        <f t="shared" si="6"/>
        <v>#DIV/0!</v>
      </c>
      <c r="AK14" s="52" t="e">
        <f t="shared" si="6"/>
        <v>#DIV/0!</v>
      </c>
      <c r="AL14" s="52" t="e">
        <f t="shared" si="6"/>
        <v>#DIV/0!</v>
      </c>
      <c r="AM14" s="52" t="e">
        <f t="shared" si="6"/>
        <v>#DIV/0!</v>
      </c>
      <c r="AN14" s="52" t="e">
        <f t="shared" si="6"/>
        <v>#DIV/0!</v>
      </c>
      <c r="AO14" s="52" t="e">
        <f t="shared" si="6"/>
        <v>#DIV/0!</v>
      </c>
      <c r="AP14" s="52" t="e">
        <f t="shared" si="6"/>
        <v>#DIV/0!</v>
      </c>
      <c r="AQ14" s="52" t="e">
        <f t="shared" si="6"/>
        <v>#DIV/0!</v>
      </c>
      <c r="AR14" s="52" t="e">
        <f t="shared" si="6"/>
        <v>#DIV/0!</v>
      </c>
    </row>
    <row r="15" spans="2:44" s="2" customFormat="1" x14ac:dyDescent="0.35">
      <c r="B15" s="2" t="s">
        <v>162</v>
      </c>
    </row>
    <row r="16" spans="2:44" s="15" customFormat="1" x14ac:dyDescent="0.35">
      <c r="B16" s="15" t="s">
        <v>72</v>
      </c>
      <c r="AA16" s="15">
        <v>3360.4920000000002</v>
      </c>
      <c r="AB16" s="15">
        <v>3500.36</v>
      </c>
      <c r="AC16" s="15">
        <v>3339.2809999999999</v>
      </c>
      <c r="AD16" s="15">
        <v>3557.422</v>
      </c>
      <c r="AE16" s="15">
        <v>5196.0990000000002</v>
      </c>
      <c r="AF16" s="15">
        <v>7123.482</v>
      </c>
      <c r="AG16" s="15">
        <f>AF16*(1+AG47)</f>
        <v>8548.1783999999989</v>
      </c>
      <c r="AH16" s="15">
        <f t="shared" ref="AH16:AR16" si="7">AG16*(1+AH47)</f>
        <v>10257.814079999998</v>
      </c>
      <c r="AI16" s="15">
        <f t="shared" si="7"/>
        <v>12309.376895999998</v>
      </c>
      <c r="AJ16" s="15">
        <f t="shared" si="7"/>
        <v>14771.252275199997</v>
      </c>
      <c r="AK16" s="15">
        <f t="shared" si="7"/>
        <v>17725.502730239994</v>
      </c>
      <c r="AL16" s="15">
        <f t="shared" si="7"/>
        <v>21270.603276287991</v>
      </c>
      <c r="AM16" s="15">
        <f t="shared" si="7"/>
        <v>25524.723931545588</v>
      </c>
      <c r="AN16" s="15">
        <f t="shared" si="7"/>
        <v>30629.668717854704</v>
      </c>
      <c r="AO16" s="15">
        <f t="shared" si="7"/>
        <v>36755.602461425646</v>
      </c>
      <c r="AP16" s="15">
        <f t="shared" si="7"/>
        <v>44106.722953710771</v>
      </c>
      <c r="AQ16" s="15">
        <f t="shared" si="7"/>
        <v>52928.067544452926</v>
      </c>
      <c r="AR16" s="15">
        <f t="shared" si="7"/>
        <v>63513.681053343505</v>
      </c>
    </row>
    <row r="17" spans="2:97" s="49" customFormat="1" x14ac:dyDescent="0.35">
      <c r="B17" s="49" t="s">
        <v>73</v>
      </c>
      <c r="AA17" s="49">
        <v>2930.498</v>
      </c>
      <c r="AB17" s="49">
        <v>3004.8380000000002</v>
      </c>
      <c r="AC17" s="49">
        <v>2813.0709999999999</v>
      </c>
      <c r="AD17" s="49">
        <v>3022.884</v>
      </c>
      <c r="AE17" s="49">
        <v>4396.098</v>
      </c>
      <c r="AF17" s="49">
        <v>5840.47</v>
      </c>
    </row>
    <row r="18" spans="2:97" s="23" customFormat="1" x14ac:dyDescent="0.35">
      <c r="B18" s="23" t="s">
        <v>74</v>
      </c>
      <c r="R18" s="23">
        <f>R16-R17</f>
        <v>0</v>
      </c>
      <c r="S18" s="23">
        <f t="shared" ref="S18:AR18" si="8">S16-S17</f>
        <v>0</v>
      </c>
      <c r="T18" s="23">
        <f t="shared" si="8"/>
        <v>0</v>
      </c>
      <c r="U18" s="23">
        <f t="shared" si="8"/>
        <v>0</v>
      </c>
      <c r="V18" s="23">
        <f t="shared" si="8"/>
        <v>0</v>
      </c>
      <c r="W18" s="23">
        <f t="shared" si="8"/>
        <v>0</v>
      </c>
      <c r="X18" s="23">
        <f t="shared" si="8"/>
        <v>0</v>
      </c>
      <c r="Y18" s="23">
        <f t="shared" si="8"/>
        <v>0</v>
      </c>
      <c r="Z18" s="23">
        <f t="shared" si="8"/>
        <v>0</v>
      </c>
      <c r="AA18" s="23">
        <f t="shared" si="8"/>
        <v>429.99400000000014</v>
      </c>
      <c r="AB18" s="23">
        <f t="shared" si="8"/>
        <v>495.52199999999993</v>
      </c>
      <c r="AC18" s="23">
        <f t="shared" si="8"/>
        <v>526.21</v>
      </c>
      <c r="AD18" s="23">
        <f t="shared" si="8"/>
        <v>534.53800000000001</v>
      </c>
      <c r="AE18" s="23">
        <f t="shared" si="8"/>
        <v>800.0010000000002</v>
      </c>
      <c r="AF18" s="23">
        <f t="shared" si="8"/>
        <v>1283.0119999999997</v>
      </c>
      <c r="AG18" s="23">
        <f>AG16*AG41</f>
        <v>1282.2267599999998</v>
      </c>
      <c r="AH18" s="23">
        <f t="shared" ref="AH18:AR18" si="9">AH16*AH41</f>
        <v>1538.6721119999997</v>
      </c>
      <c r="AI18" s="23">
        <f t="shared" si="9"/>
        <v>1846.4065343999996</v>
      </c>
      <c r="AJ18" s="23">
        <f t="shared" si="9"/>
        <v>2215.6878412799992</v>
      </c>
      <c r="AK18" s="23">
        <f t="shared" si="9"/>
        <v>2658.8254095359989</v>
      </c>
      <c r="AL18" s="23">
        <f t="shared" si="9"/>
        <v>3190.5904914431985</v>
      </c>
      <c r="AM18" s="23">
        <f t="shared" si="9"/>
        <v>3828.7085897318379</v>
      </c>
      <c r="AN18" s="23">
        <f t="shared" si="9"/>
        <v>4594.4503076782057</v>
      </c>
      <c r="AO18" s="23">
        <f t="shared" si="9"/>
        <v>5513.3403692138463</v>
      </c>
      <c r="AP18" s="23">
        <f t="shared" si="9"/>
        <v>6616.0084430566158</v>
      </c>
      <c r="AQ18" s="23">
        <f t="shared" si="9"/>
        <v>7939.2101316679382</v>
      </c>
      <c r="AR18" s="23">
        <f t="shared" si="9"/>
        <v>9527.0521580015247</v>
      </c>
    </row>
    <row r="19" spans="2:97" s="15" customFormat="1" x14ac:dyDescent="0.35">
      <c r="B19" s="15" t="s">
        <v>77</v>
      </c>
      <c r="AA19" s="15">
        <v>165.10400000000001</v>
      </c>
      <c r="AB19" s="15">
        <v>179.90700000000001</v>
      </c>
      <c r="AC19" s="15">
        <v>221.47800000000001</v>
      </c>
      <c r="AD19" s="15">
        <v>224.369</v>
      </c>
      <c r="AE19" s="15">
        <v>272.27300000000002</v>
      </c>
      <c r="AF19" s="15">
        <v>307.26</v>
      </c>
      <c r="AG19" s="15">
        <v>0</v>
      </c>
      <c r="AH19" s="15">
        <v>0</v>
      </c>
      <c r="AI19" s="15">
        <v>0</v>
      </c>
      <c r="AJ19" s="15">
        <v>0</v>
      </c>
      <c r="AK19" s="15">
        <v>0</v>
      </c>
      <c r="AL19" s="15">
        <v>0</v>
      </c>
      <c r="AM19" s="15">
        <v>0</v>
      </c>
      <c r="AN19" s="15">
        <v>0</v>
      </c>
      <c r="AO19" s="15">
        <v>0</v>
      </c>
      <c r="AP19" s="15">
        <v>0</v>
      </c>
      <c r="AQ19" s="15">
        <v>0</v>
      </c>
      <c r="AR19" s="15">
        <v>0</v>
      </c>
    </row>
    <row r="20" spans="2:97" s="49" customFormat="1" x14ac:dyDescent="0.35">
      <c r="B20" s="49" t="s">
        <v>157</v>
      </c>
      <c r="AA20" s="49">
        <f>71.759+98.597</f>
        <v>170.35599999999999</v>
      </c>
      <c r="AB20" s="49">
        <f>77.154+141.228</f>
        <v>218.38200000000001</v>
      </c>
      <c r="AC20" s="49">
        <f>85.137+133.941</f>
        <v>219.078</v>
      </c>
      <c r="AD20" s="49">
        <f>85.683+100.539</f>
        <v>186.22200000000001</v>
      </c>
      <c r="AE20" s="49">
        <f>90.126+102.435</f>
        <v>192.56100000000001</v>
      </c>
      <c r="AF20" s="49">
        <f>115.025+99.585</f>
        <v>214.61</v>
      </c>
      <c r="AG20" s="49">
        <v>0</v>
      </c>
      <c r="AH20" s="49">
        <v>0</v>
      </c>
      <c r="AI20" s="49">
        <v>0</v>
      </c>
      <c r="AJ20" s="49">
        <v>0</v>
      </c>
      <c r="AK20" s="49">
        <v>0</v>
      </c>
      <c r="AL20" s="49">
        <v>0</v>
      </c>
      <c r="AM20" s="49">
        <v>0</v>
      </c>
      <c r="AN20" s="49">
        <v>0</v>
      </c>
      <c r="AO20" s="49">
        <v>0</v>
      </c>
      <c r="AP20" s="49">
        <v>0</v>
      </c>
      <c r="AQ20" s="49">
        <v>0</v>
      </c>
      <c r="AR20" s="49">
        <v>0</v>
      </c>
    </row>
    <row r="21" spans="2:97" s="50" customFormat="1" x14ac:dyDescent="0.35">
      <c r="B21" s="50" t="s">
        <v>80</v>
      </c>
      <c r="R21" s="50">
        <f>SUM(R19:R20)</f>
        <v>0</v>
      </c>
      <c r="S21" s="50">
        <f t="shared" ref="S21:AR21" si="10">SUM(S19:S20)</f>
        <v>0</v>
      </c>
      <c r="T21" s="50">
        <f t="shared" si="10"/>
        <v>0</v>
      </c>
      <c r="U21" s="50">
        <f t="shared" si="10"/>
        <v>0</v>
      </c>
      <c r="V21" s="50">
        <f t="shared" si="10"/>
        <v>0</v>
      </c>
      <c r="W21" s="50">
        <f t="shared" si="10"/>
        <v>0</v>
      </c>
      <c r="X21" s="50">
        <f t="shared" si="10"/>
        <v>0</v>
      </c>
      <c r="Y21" s="50">
        <f t="shared" si="10"/>
        <v>0</v>
      </c>
      <c r="Z21" s="50">
        <f t="shared" si="10"/>
        <v>0</v>
      </c>
      <c r="AA21" s="50">
        <f t="shared" si="10"/>
        <v>335.46000000000004</v>
      </c>
      <c r="AB21" s="50">
        <f t="shared" si="10"/>
        <v>398.28899999999999</v>
      </c>
      <c r="AC21" s="50">
        <f t="shared" si="10"/>
        <v>440.55600000000004</v>
      </c>
      <c r="AD21" s="50">
        <f t="shared" si="10"/>
        <v>410.59100000000001</v>
      </c>
      <c r="AE21" s="50">
        <f t="shared" si="10"/>
        <v>464.83400000000006</v>
      </c>
      <c r="AF21" s="50">
        <f t="shared" si="10"/>
        <v>521.87</v>
      </c>
      <c r="AG21" s="50">
        <f t="shared" si="10"/>
        <v>0</v>
      </c>
      <c r="AH21" s="50">
        <f t="shared" si="10"/>
        <v>0</v>
      </c>
      <c r="AI21" s="50">
        <f t="shared" si="10"/>
        <v>0</v>
      </c>
      <c r="AJ21" s="50">
        <f t="shared" si="10"/>
        <v>0</v>
      </c>
      <c r="AK21" s="50">
        <f t="shared" si="10"/>
        <v>0</v>
      </c>
      <c r="AL21" s="50">
        <f t="shared" si="10"/>
        <v>0</v>
      </c>
      <c r="AM21" s="50">
        <f t="shared" si="10"/>
        <v>0</v>
      </c>
      <c r="AN21" s="50">
        <f t="shared" si="10"/>
        <v>0</v>
      </c>
      <c r="AO21" s="50">
        <f t="shared" si="10"/>
        <v>0</v>
      </c>
      <c r="AP21" s="50">
        <f t="shared" si="10"/>
        <v>0</v>
      </c>
      <c r="AQ21" s="50">
        <f t="shared" si="10"/>
        <v>0</v>
      </c>
      <c r="AR21" s="50">
        <f t="shared" si="10"/>
        <v>0</v>
      </c>
    </row>
    <row r="22" spans="2:97" s="15" customFormat="1" x14ac:dyDescent="0.35">
      <c r="B22" s="15" t="s">
        <v>81</v>
      </c>
      <c r="R22" s="15">
        <f>R18-R21</f>
        <v>0</v>
      </c>
      <c r="S22" s="15">
        <f t="shared" ref="S22:AR22" si="11">S18-S21</f>
        <v>0</v>
      </c>
      <c r="T22" s="15">
        <f t="shared" si="11"/>
        <v>0</v>
      </c>
      <c r="U22" s="15">
        <f t="shared" si="11"/>
        <v>0</v>
      </c>
      <c r="V22" s="15">
        <f t="shared" si="11"/>
        <v>0</v>
      </c>
      <c r="W22" s="15">
        <f t="shared" si="11"/>
        <v>0</v>
      </c>
      <c r="X22" s="15">
        <f t="shared" si="11"/>
        <v>0</v>
      </c>
      <c r="Y22" s="15">
        <f t="shared" si="11"/>
        <v>0</v>
      </c>
      <c r="Z22" s="15">
        <f t="shared" si="11"/>
        <v>0</v>
      </c>
      <c r="AA22" s="15">
        <f t="shared" si="11"/>
        <v>94.534000000000106</v>
      </c>
      <c r="AB22" s="15">
        <f t="shared" si="11"/>
        <v>97.232999999999947</v>
      </c>
      <c r="AC22" s="15">
        <f t="shared" si="11"/>
        <v>85.653999999999996</v>
      </c>
      <c r="AD22" s="15">
        <f t="shared" si="11"/>
        <v>123.947</v>
      </c>
      <c r="AE22" s="15">
        <f t="shared" si="11"/>
        <v>335.16700000000014</v>
      </c>
      <c r="AF22" s="15">
        <f t="shared" si="11"/>
        <v>761.14199999999971</v>
      </c>
      <c r="AG22" s="15">
        <f t="shared" si="11"/>
        <v>1282.2267599999998</v>
      </c>
      <c r="AH22" s="15">
        <f t="shared" si="11"/>
        <v>1538.6721119999997</v>
      </c>
      <c r="AI22" s="15">
        <f t="shared" si="11"/>
        <v>1846.4065343999996</v>
      </c>
      <c r="AJ22" s="15">
        <f t="shared" si="11"/>
        <v>2215.6878412799992</v>
      </c>
      <c r="AK22" s="15">
        <f t="shared" si="11"/>
        <v>2658.8254095359989</v>
      </c>
      <c r="AL22" s="15">
        <f t="shared" si="11"/>
        <v>3190.5904914431985</v>
      </c>
      <c r="AM22" s="15">
        <f t="shared" si="11"/>
        <v>3828.7085897318379</v>
      </c>
      <c r="AN22" s="15">
        <f t="shared" si="11"/>
        <v>4594.4503076782057</v>
      </c>
      <c r="AO22" s="15">
        <f t="shared" si="11"/>
        <v>5513.3403692138463</v>
      </c>
      <c r="AP22" s="15">
        <f t="shared" si="11"/>
        <v>6616.0084430566158</v>
      </c>
      <c r="AQ22" s="15">
        <f t="shared" si="11"/>
        <v>7939.2101316679382</v>
      </c>
      <c r="AR22" s="15">
        <f t="shared" si="11"/>
        <v>9527.0521580015247</v>
      </c>
    </row>
    <row r="23" spans="2:97" s="15" customFormat="1" x14ac:dyDescent="0.35">
      <c r="B23" s="15" t="s">
        <v>158</v>
      </c>
      <c r="AA23" s="15">
        <v>-0.77300000000000002</v>
      </c>
      <c r="AB23" s="15">
        <v>-1.02</v>
      </c>
      <c r="AC23" s="15">
        <v>1.41</v>
      </c>
      <c r="AD23" s="15">
        <v>-2.8340000000000001</v>
      </c>
      <c r="AE23" s="15">
        <v>8.0790000000000006</v>
      </c>
      <c r="AF23" s="15">
        <v>3.6459999999999999</v>
      </c>
      <c r="AG23" s="15">
        <v>0</v>
      </c>
      <c r="AH23" s="15">
        <v>0</v>
      </c>
      <c r="AI23" s="15">
        <v>0</v>
      </c>
      <c r="AJ23" s="15">
        <v>0</v>
      </c>
      <c r="AK23" s="15">
        <v>0</v>
      </c>
      <c r="AL23" s="15">
        <v>0</v>
      </c>
      <c r="AM23" s="15">
        <v>0</v>
      </c>
      <c r="AN23" s="15">
        <v>0</v>
      </c>
      <c r="AO23" s="15">
        <v>0</v>
      </c>
      <c r="AP23" s="15">
        <v>0</v>
      </c>
      <c r="AQ23" s="15">
        <v>0</v>
      </c>
      <c r="AR23" s="15">
        <v>0</v>
      </c>
    </row>
    <row r="24" spans="2:97" s="49" customFormat="1" x14ac:dyDescent="0.35">
      <c r="B24" s="49" t="s">
        <v>85</v>
      </c>
      <c r="AA24" s="49">
        <v>-5.726</v>
      </c>
      <c r="AB24" s="49">
        <v>-6.69</v>
      </c>
      <c r="AC24" s="49">
        <v>-2.2360000000000002</v>
      </c>
      <c r="AD24" s="49">
        <v>-2.4849999999999999</v>
      </c>
      <c r="AE24" s="49">
        <v>-6.4130000000000003</v>
      </c>
      <c r="AF24" s="49">
        <v>-10.491</v>
      </c>
      <c r="AG24" s="49">
        <v>0</v>
      </c>
      <c r="AH24" s="49">
        <v>0</v>
      </c>
      <c r="AI24" s="49">
        <v>0</v>
      </c>
      <c r="AJ24" s="49">
        <v>0</v>
      </c>
      <c r="AK24" s="49">
        <v>0</v>
      </c>
      <c r="AL24" s="49">
        <v>0</v>
      </c>
      <c r="AM24" s="49">
        <v>0</v>
      </c>
      <c r="AN24" s="49">
        <v>0</v>
      </c>
      <c r="AO24" s="49">
        <v>0</v>
      </c>
      <c r="AP24" s="49">
        <v>0</v>
      </c>
      <c r="AQ24" s="49">
        <v>0</v>
      </c>
      <c r="AR24" s="49">
        <v>0</v>
      </c>
    </row>
    <row r="25" spans="2:97" s="15" customFormat="1" x14ac:dyDescent="0.35">
      <c r="B25" s="15" t="s">
        <v>159</v>
      </c>
      <c r="R25" s="15">
        <f>R22+SUM(R23:R24)</f>
        <v>0</v>
      </c>
      <c r="S25" s="15">
        <f t="shared" ref="S25:AR25" si="12">S22+SUM(S23:S24)</f>
        <v>0</v>
      </c>
      <c r="T25" s="15">
        <f t="shared" si="12"/>
        <v>0</v>
      </c>
      <c r="U25" s="15">
        <f t="shared" si="12"/>
        <v>0</v>
      </c>
      <c r="V25" s="15">
        <f t="shared" si="12"/>
        <v>0</v>
      </c>
      <c r="W25" s="15">
        <f t="shared" si="12"/>
        <v>0</v>
      </c>
      <c r="X25" s="15">
        <f t="shared" si="12"/>
        <v>0</v>
      </c>
      <c r="Y25" s="15">
        <f t="shared" si="12"/>
        <v>0</v>
      </c>
      <c r="Z25" s="15">
        <f t="shared" si="12"/>
        <v>0</v>
      </c>
      <c r="AA25" s="15">
        <f t="shared" si="12"/>
        <v>88.03500000000011</v>
      </c>
      <c r="AB25" s="15">
        <f t="shared" si="12"/>
        <v>89.522999999999939</v>
      </c>
      <c r="AC25" s="15">
        <f t="shared" si="12"/>
        <v>84.828000000000003</v>
      </c>
      <c r="AD25" s="15">
        <f t="shared" si="12"/>
        <v>118.628</v>
      </c>
      <c r="AE25" s="15">
        <f t="shared" si="12"/>
        <v>336.83300000000014</v>
      </c>
      <c r="AF25" s="15">
        <f t="shared" si="12"/>
        <v>754.29699999999968</v>
      </c>
      <c r="AG25" s="15">
        <f t="shared" si="12"/>
        <v>1282.2267599999998</v>
      </c>
      <c r="AH25" s="15">
        <f t="shared" si="12"/>
        <v>1538.6721119999997</v>
      </c>
      <c r="AI25" s="15">
        <f t="shared" si="12"/>
        <v>1846.4065343999996</v>
      </c>
      <c r="AJ25" s="15">
        <f t="shared" si="12"/>
        <v>2215.6878412799992</v>
      </c>
      <c r="AK25" s="15">
        <f t="shared" si="12"/>
        <v>2658.8254095359989</v>
      </c>
      <c r="AL25" s="15">
        <f t="shared" si="12"/>
        <v>3190.5904914431985</v>
      </c>
      <c r="AM25" s="15">
        <f t="shared" si="12"/>
        <v>3828.7085897318379</v>
      </c>
      <c r="AN25" s="15">
        <f t="shared" si="12"/>
        <v>4594.4503076782057</v>
      </c>
      <c r="AO25" s="15">
        <f t="shared" si="12"/>
        <v>5513.3403692138463</v>
      </c>
      <c r="AP25" s="15">
        <f t="shared" si="12"/>
        <v>6616.0084430566158</v>
      </c>
      <c r="AQ25" s="15">
        <f t="shared" si="12"/>
        <v>7939.2101316679382</v>
      </c>
      <c r="AR25" s="15">
        <f t="shared" si="12"/>
        <v>9527.0521580015247</v>
      </c>
    </row>
    <row r="26" spans="2:97" s="15" customFormat="1" x14ac:dyDescent="0.35">
      <c r="B26" s="15" t="s">
        <v>87</v>
      </c>
      <c r="AA26" s="15">
        <v>-38.442999999999998</v>
      </c>
      <c r="AB26" s="15">
        <v>-14.884</v>
      </c>
      <c r="AC26" s="15">
        <v>-2.9220000000000002</v>
      </c>
      <c r="AD26" s="15">
        <v>-6.9359999999999999</v>
      </c>
      <c r="AE26" s="15">
        <v>-52.875999999999998</v>
      </c>
      <c r="AF26" s="15">
        <v>-110.666</v>
      </c>
      <c r="AG26" s="15">
        <f>AG25*AG44</f>
        <v>-192.33401399999997</v>
      </c>
      <c r="AH26" s="15">
        <f t="shared" ref="AH26:AR26" si="13">AH25*AH44</f>
        <v>-230.80081679999995</v>
      </c>
      <c r="AI26" s="15">
        <f t="shared" si="13"/>
        <v>-276.96098015999991</v>
      </c>
      <c r="AJ26" s="15">
        <f t="shared" si="13"/>
        <v>-332.35317619199986</v>
      </c>
      <c r="AK26" s="15">
        <f t="shared" si="13"/>
        <v>-398.82381143039981</v>
      </c>
      <c r="AL26" s="15">
        <f t="shared" si="13"/>
        <v>-478.58857371647974</v>
      </c>
      <c r="AM26" s="15">
        <f t="shared" si="13"/>
        <v>-574.30628845977571</v>
      </c>
      <c r="AN26" s="15">
        <f t="shared" si="13"/>
        <v>-689.16754615173079</v>
      </c>
      <c r="AO26" s="15">
        <f t="shared" si="13"/>
        <v>-827.00105538207697</v>
      </c>
      <c r="AP26" s="15">
        <f t="shared" si="13"/>
        <v>-992.40126645849227</v>
      </c>
      <c r="AQ26" s="15">
        <f t="shared" si="13"/>
        <v>-1190.8815197501906</v>
      </c>
      <c r="AR26" s="15">
        <f t="shared" si="13"/>
        <v>-1429.0578237002287</v>
      </c>
    </row>
    <row r="27" spans="2:97" s="49" customFormat="1" x14ac:dyDescent="0.35">
      <c r="B27" s="49" t="s">
        <v>160</v>
      </c>
      <c r="AA27" s="49">
        <v>-3.6070000000000002</v>
      </c>
      <c r="AB27" s="49">
        <v>-2.7210000000000001</v>
      </c>
      <c r="AC27" s="49">
        <v>2.4020000000000001</v>
      </c>
      <c r="AD27" s="49">
        <v>0.17299999999999999</v>
      </c>
      <c r="AE27" s="49">
        <v>1.206</v>
      </c>
      <c r="AF27" s="49">
        <v>-3.633</v>
      </c>
    </row>
    <row r="28" spans="2:97" s="15" customFormat="1" x14ac:dyDescent="0.35">
      <c r="B28" s="15" t="s">
        <v>89</v>
      </c>
      <c r="R28" s="15">
        <f>SUM(R25:R27)</f>
        <v>0</v>
      </c>
      <c r="S28" s="15">
        <f t="shared" ref="S28:AR28" si="14">SUM(S25:S27)</f>
        <v>0</v>
      </c>
      <c r="T28" s="15">
        <f t="shared" si="14"/>
        <v>0</v>
      </c>
      <c r="U28" s="15">
        <f t="shared" si="14"/>
        <v>0</v>
      </c>
      <c r="V28" s="15">
        <f t="shared" si="14"/>
        <v>0</v>
      </c>
      <c r="W28" s="15">
        <f t="shared" si="14"/>
        <v>0</v>
      </c>
      <c r="X28" s="15">
        <f t="shared" si="14"/>
        <v>0</v>
      </c>
      <c r="Y28" s="15">
        <f t="shared" si="14"/>
        <v>0</v>
      </c>
      <c r="Z28" s="15">
        <f t="shared" si="14"/>
        <v>0</v>
      </c>
      <c r="AA28" s="15">
        <f t="shared" si="14"/>
        <v>45.985000000000113</v>
      </c>
      <c r="AB28" s="15">
        <f t="shared" si="14"/>
        <v>71.917999999999935</v>
      </c>
      <c r="AC28" s="15">
        <f t="shared" si="14"/>
        <v>84.308000000000007</v>
      </c>
      <c r="AD28" s="15">
        <f t="shared" si="14"/>
        <v>111.86500000000001</v>
      </c>
      <c r="AE28" s="15">
        <f t="shared" si="14"/>
        <v>285.16300000000018</v>
      </c>
      <c r="AF28" s="15">
        <f t="shared" si="14"/>
        <v>639.99799999999959</v>
      </c>
      <c r="AG28" s="15">
        <f t="shared" si="14"/>
        <v>1089.8927459999998</v>
      </c>
      <c r="AH28" s="15">
        <f t="shared" si="14"/>
        <v>1307.8712951999998</v>
      </c>
      <c r="AI28" s="15">
        <f t="shared" si="14"/>
        <v>1569.4455542399996</v>
      </c>
      <c r="AJ28" s="15">
        <f t="shared" si="14"/>
        <v>1883.3346650879994</v>
      </c>
      <c r="AK28" s="15">
        <f t="shared" si="14"/>
        <v>2260.001598105599</v>
      </c>
      <c r="AL28" s="15">
        <f t="shared" si="14"/>
        <v>2712.0019177267186</v>
      </c>
      <c r="AM28" s="15">
        <f t="shared" si="14"/>
        <v>3254.4023012720622</v>
      </c>
      <c r="AN28" s="15">
        <f t="shared" si="14"/>
        <v>3905.282761526475</v>
      </c>
      <c r="AO28" s="15">
        <f t="shared" si="14"/>
        <v>4686.3393138317697</v>
      </c>
      <c r="AP28" s="15">
        <f t="shared" si="14"/>
        <v>5623.6071765981233</v>
      </c>
      <c r="AQ28" s="15">
        <f t="shared" si="14"/>
        <v>6748.3286119177474</v>
      </c>
      <c r="AR28" s="15">
        <f t="shared" si="14"/>
        <v>8097.9943343012965</v>
      </c>
      <c r="AS28" s="15">
        <f>AR28*(1+$AV$32)</f>
        <v>8178.97427764431</v>
      </c>
      <c r="AT28" s="15">
        <f t="shared" ref="AT28:CS28" si="15">AS28*(1+$AV$32)</f>
        <v>8260.7640204207528</v>
      </c>
      <c r="AU28" s="15">
        <f t="shared" si="15"/>
        <v>8343.37166062496</v>
      </c>
      <c r="AV28" s="15">
        <f t="shared" si="15"/>
        <v>8426.8053772312105</v>
      </c>
      <c r="AW28" s="15">
        <f t="shared" si="15"/>
        <v>8511.0734310035223</v>
      </c>
      <c r="AX28" s="15">
        <f t="shared" si="15"/>
        <v>8596.184165313558</v>
      </c>
      <c r="AY28" s="15">
        <f t="shared" si="15"/>
        <v>8682.1460069666937</v>
      </c>
      <c r="AZ28" s="15">
        <f t="shared" si="15"/>
        <v>8768.9674670363602</v>
      </c>
      <c r="BA28" s="15">
        <f t="shared" si="15"/>
        <v>8856.6571417067244</v>
      </c>
      <c r="BB28" s="15">
        <f t="shared" si="15"/>
        <v>8945.2237131237925</v>
      </c>
      <c r="BC28" s="15">
        <f t="shared" si="15"/>
        <v>9034.6759502550303</v>
      </c>
      <c r="BD28" s="15">
        <f t="shared" si="15"/>
        <v>9125.0227097575807</v>
      </c>
      <c r="BE28" s="15">
        <f t="shared" si="15"/>
        <v>9216.2729368551572</v>
      </c>
      <c r="BF28" s="15">
        <f t="shared" si="15"/>
        <v>9308.4356662237096</v>
      </c>
      <c r="BG28" s="15">
        <f t="shared" si="15"/>
        <v>9401.5200228859467</v>
      </c>
      <c r="BH28" s="15">
        <f t="shared" si="15"/>
        <v>9495.5352231148063</v>
      </c>
      <c r="BI28" s="15">
        <f t="shared" si="15"/>
        <v>9590.4905753459552</v>
      </c>
      <c r="BJ28" s="15">
        <f t="shared" si="15"/>
        <v>9686.3954810994146</v>
      </c>
      <c r="BK28" s="15">
        <f t="shared" si="15"/>
        <v>9783.2594359104096</v>
      </c>
      <c r="BL28" s="15">
        <f t="shared" si="15"/>
        <v>9881.092030269514</v>
      </c>
      <c r="BM28" s="15">
        <f t="shared" si="15"/>
        <v>9979.9029505722101</v>
      </c>
      <c r="BN28" s="15">
        <f t="shared" si="15"/>
        <v>10079.701980077933</v>
      </c>
      <c r="BO28" s="15">
        <f t="shared" si="15"/>
        <v>10180.498999878711</v>
      </c>
      <c r="BP28" s="15">
        <f t="shared" si="15"/>
        <v>10282.303989877499</v>
      </c>
      <c r="BQ28" s="15">
        <f t="shared" si="15"/>
        <v>10385.127029776273</v>
      </c>
      <c r="BR28" s="15">
        <f t="shared" si="15"/>
        <v>10488.978300074035</v>
      </c>
      <c r="BS28" s="15">
        <f t="shared" si="15"/>
        <v>10593.868083074776</v>
      </c>
      <c r="BT28" s="15">
        <f t="shared" si="15"/>
        <v>10699.806763905524</v>
      </c>
      <c r="BU28" s="15">
        <f t="shared" si="15"/>
        <v>10806.804831544579</v>
      </c>
      <c r="BV28" s="15">
        <f t="shared" si="15"/>
        <v>10914.872879860026</v>
      </c>
      <c r="BW28" s="15">
        <f t="shared" si="15"/>
        <v>11024.021608658626</v>
      </c>
      <c r="BX28" s="15">
        <f t="shared" si="15"/>
        <v>11134.261824745212</v>
      </c>
      <c r="BY28" s="15">
        <f t="shared" si="15"/>
        <v>11245.604442992664</v>
      </c>
      <c r="BZ28" s="15">
        <f t="shared" si="15"/>
        <v>11358.06048742259</v>
      </c>
      <c r="CA28" s="15">
        <f t="shared" si="15"/>
        <v>11471.641092296815</v>
      </c>
      <c r="CB28" s="15">
        <f t="shared" si="15"/>
        <v>11586.357503219784</v>
      </c>
      <c r="CC28" s="15">
        <f t="shared" si="15"/>
        <v>11702.221078251981</v>
      </c>
      <c r="CD28" s="15">
        <f t="shared" si="15"/>
        <v>11819.243289034501</v>
      </c>
      <c r="CE28" s="15">
        <f t="shared" si="15"/>
        <v>11937.435721924845</v>
      </c>
      <c r="CF28" s="15">
        <f t="shared" si="15"/>
        <v>12056.810079144094</v>
      </c>
      <c r="CG28" s="15">
        <f t="shared" si="15"/>
        <v>12177.378179935535</v>
      </c>
      <c r="CH28" s="15">
        <f t="shared" si="15"/>
        <v>12299.151961734889</v>
      </c>
      <c r="CI28" s="15">
        <f t="shared" si="15"/>
        <v>12422.143481352239</v>
      </c>
      <c r="CJ28" s="15">
        <f t="shared" si="15"/>
        <v>12546.364916165761</v>
      </c>
      <c r="CK28" s="15">
        <f t="shared" si="15"/>
        <v>12671.82856532742</v>
      </c>
      <c r="CL28" s="15">
        <f t="shared" si="15"/>
        <v>12798.546850980694</v>
      </c>
      <c r="CM28" s="15">
        <f t="shared" si="15"/>
        <v>12926.532319490501</v>
      </c>
      <c r="CN28" s="15">
        <f t="shared" si="15"/>
        <v>13055.797642685406</v>
      </c>
      <c r="CO28" s="15">
        <f t="shared" si="15"/>
        <v>13186.355619112261</v>
      </c>
      <c r="CP28" s="15">
        <f t="shared" si="15"/>
        <v>13318.219175303384</v>
      </c>
      <c r="CQ28" s="15">
        <f t="shared" si="15"/>
        <v>13451.401367056418</v>
      </c>
      <c r="CR28" s="15">
        <f t="shared" si="15"/>
        <v>13585.915380726983</v>
      </c>
      <c r="CS28" s="15">
        <f t="shared" si="15"/>
        <v>13721.774534534254</v>
      </c>
    </row>
    <row r="30" spans="2:97" s="18" customFormat="1" x14ac:dyDescent="0.35">
      <c r="B30" s="18" t="s">
        <v>161</v>
      </c>
      <c r="R30" s="18" t="e">
        <f>R28/R31</f>
        <v>#DIV/0!</v>
      </c>
      <c r="S30" s="18" t="e">
        <f t="shared" ref="S30:AR30" si="16">S28/S31</f>
        <v>#DIV/0!</v>
      </c>
      <c r="T30" s="18" t="e">
        <f t="shared" si="16"/>
        <v>#DIV/0!</v>
      </c>
      <c r="U30" s="18" t="e">
        <f t="shared" si="16"/>
        <v>#DIV/0!</v>
      </c>
      <c r="V30" s="18" t="e">
        <f t="shared" si="16"/>
        <v>#DIV/0!</v>
      </c>
      <c r="W30" s="18" t="e">
        <f t="shared" si="16"/>
        <v>#DIV/0!</v>
      </c>
      <c r="X30" s="18" t="e">
        <f t="shared" si="16"/>
        <v>#DIV/0!</v>
      </c>
      <c r="Y30" s="18" t="e">
        <f t="shared" si="16"/>
        <v>#DIV/0!</v>
      </c>
      <c r="Z30" s="18" t="e">
        <f t="shared" si="16"/>
        <v>#DIV/0!</v>
      </c>
      <c r="AA30" s="18">
        <f t="shared" si="16"/>
        <v>0.93190799473097807</v>
      </c>
      <c r="AB30" s="18">
        <f t="shared" si="16"/>
        <v>1.4407516477352391</v>
      </c>
      <c r="AC30" s="18">
        <f t="shared" si="16"/>
        <v>1.6535195245846981</v>
      </c>
      <c r="AD30" s="18">
        <f t="shared" si="16"/>
        <v>2.1859306301905228</v>
      </c>
      <c r="AE30" s="18">
        <f t="shared" si="16"/>
        <v>5.539512024554182</v>
      </c>
      <c r="AF30" s="18">
        <f t="shared" si="16"/>
        <v>12.092546055739247</v>
      </c>
      <c r="AG30" s="18" t="e">
        <f t="shared" si="16"/>
        <v>#DIV/0!</v>
      </c>
      <c r="AH30" s="18" t="e">
        <f t="shared" si="16"/>
        <v>#DIV/0!</v>
      </c>
      <c r="AI30" s="18" t="e">
        <f t="shared" si="16"/>
        <v>#DIV/0!</v>
      </c>
      <c r="AJ30" s="18" t="e">
        <f t="shared" si="16"/>
        <v>#DIV/0!</v>
      </c>
      <c r="AK30" s="18" t="e">
        <f t="shared" si="16"/>
        <v>#DIV/0!</v>
      </c>
      <c r="AL30" s="18" t="e">
        <f t="shared" si="16"/>
        <v>#DIV/0!</v>
      </c>
      <c r="AM30" s="18" t="e">
        <f t="shared" si="16"/>
        <v>#DIV/0!</v>
      </c>
      <c r="AN30" s="18" t="e">
        <f t="shared" si="16"/>
        <v>#DIV/0!</v>
      </c>
      <c r="AO30" s="18" t="e">
        <f t="shared" si="16"/>
        <v>#DIV/0!</v>
      </c>
      <c r="AP30" s="18" t="e">
        <f t="shared" si="16"/>
        <v>#DIV/0!</v>
      </c>
      <c r="AQ30" s="18" t="e">
        <f t="shared" si="16"/>
        <v>#DIV/0!</v>
      </c>
      <c r="AR30" s="18" t="e">
        <f t="shared" si="16"/>
        <v>#DIV/0!</v>
      </c>
      <c r="AU30" s="58"/>
      <c r="AV30" s="58"/>
      <c r="AW30" s="58"/>
      <c r="AX30" s="58"/>
      <c r="AY30" s="58"/>
    </row>
    <row r="31" spans="2:97" s="15" customFormat="1" x14ac:dyDescent="0.35">
      <c r="B31" s="15" t="s">
        <v>2</v>
      </c>
      <c r="AA31" s="15">
        <v>49.344999999999999</v>
      </c>
      <c r="AB31" s="15">
        <v>49.917000000000002</v>
      </c>
      <c r="AC31" s="15">
        <v>50.987000000000002</v>
      </c>
      <c r="AD31" s="15">
        <v>51.174999999999997</v>
      </c>
      <c r="AE31" s="15">
        <v>51.478000000000002</v>
      </c>
      <c r="AF31" s="15">
        <v>52.924999999999997</v>
      </c>
      <c r="AU31" s="55"/>
      <c r="AV31" s="55"/>
      <c r="AW31" s="55"/>
      <c r="AX31" s="55"/>
      <c r="AY31" s="55"/>
    </row>
    <row r="32" spans="2:97" x14ac:dyDescent="0.35">
      <c r="AU32" s="56" t="s">
        <v>163</v>
      </c>
      <c r="AV32" s="57">
        <v>0.01</v>
      </c>
      <c r="AW32" s="15"/>
      <c r="AX32" s="15"/>
      <c r="AY32" s="15"/>
    </row>
    <row r="33" spans="1:48" s="59" customFormat="1" x14ac:dyDescent="0.35">
      <c r="A33" s="5"/>
      <c r="B33" s="5" t="s">
        <v>36</v>
      </c>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62" t="s">
        <v>164</v>
      </c>
      <c r="AV33" s="60">
        <v>0.1</v>
      </c>
    </row>
    <row r="34" spans="1:48" x14ac:dyDescent="0.35">
      <c r="B34" t="s">
        <v>72</v>
      </c>
      <c r="AU34" s="51" t="s">
        <v>165</v>
      </c>
      <c r="AV34" s="61">
        <f>NPV(AV33,AG28:CS28)</f>
        <v>48706.663520172238</v>
      </c>
    </row>
    <row r="35" spans="1:48" x14ac:dyDescent="0.35">
      <c r="B35" t="s">
        <v>150</v>
      </c>
      <c r="AU35" s="51" t="s">
        <v>166</v>
      </c>
      <c r="AV35" s="61">
        <f>AV34/AF31</f>
        <v>920.29595692342446</v>
      </c>
    </row>
    <row r="36" spans="1:48" x14ac:dyDescent="0.35">
      <c r="B36" t="s">
        <v>77</v>
      </c>
      <c r="AU36" s="51"/>
    </row>
    <row r="37" spans="1:48" x14ac:dyDescent="0.35">
      <c r="B37" t="s">
        <v>157</v>
      </c>
      <c r="AU37" s="51"/>
    </row>
    <row r="40" spans="1:48" s="5" customFormat="1" x14ac:dyDescent="0.35">
      <c r="B40" s="5" t="s">
        <v>167</v>
      </c>
    </row>
    <row r="41" spans="1:48" s="52" customFormat="1" x14ac:dyDescent="0.35">
      <c r="B41" s="52" t="s">
        <v>75</v>
      </c>
      <c r="R41" s="52" t="e">
        <f>R18/R16</f>
        <v>#DIV/0!</v>
      </c>
      <c r="S41" s="52" t="e">
        <f t="shared" ref="S41:AE41" si="17">S18/S16</f>
        <v>#DIV/0!</v>
      </c>
      <c r="T41" s="52" t="e">
        <f t="shared" si="17"/>
        <v>#DIV/0!</v>
      </c>
      <c r="U41" s="52" t="e">
        <f t="shared" si="17"/>
        <v>#DIV/0!</v>
      </c>
      <c r="V41" s="52" t="e">
        <f t="shared" si="17"/>
        <v>#DIV/0!</v>
      </c>
      <c r="W41" s="52" t="e">
        <f t="shared" si="17"/>
        <v>#DIV/0!</v>
      </c>
      <c r="X41" s="52" t="e">
        <f t="shared" si="17"/>
        <v>#DIV/0!</v>
      </c>
      <c r="Y41" s="52" t="e">
        <f t="shared" si="17"/>
        <v>#DIV/0!</v>
      </c>
      <c r="Z41" s="52" t="e">
        <f t="shared" si="17"/>
        <v>#DIV/0!</v>
      </c>
      <c r="AA41" s="52">
        <f t="shared" si="17"/>
        <v>0.12795566839617536</v>
      </c>
      <c r="AB41" s="52">
        <f t="shared" si="17"/>
        <v>0.14156315350421098</v>
      </c>
      <c r="AC41" s="52">
        <f t="shared" si="17"/>
        <v>0.15758182674653617</v>
      </c>
      <c r="AD41" s="52">
        <f t="shared" si="17"/>
        <v>0.15025993542514776</v>
      </c>
      <c r="AE41" s="52">
        <f t="shared" si="17"/>
        <v>0.15396184714725417</v>
      </c>
      <c r="AF41" s="52">
        <f>AF18/AF16</f>
        <v>0.18011023260815423</v>
      </c>
      <c r="AG41" s="52">
        <v>0.15</v>
      </c>
      <c r="AH41" s="52">
        <v>0.15</v>
      </c>
      <c r="AI41" s="52">
        <v>0.15</v>
      </c>
      <c r="AJ41" s="52">
        <v>0.15</v>
      </c>
      <c r="AK41" s="52">
        <v>0.15</v>
      </c>
      <c r="AL41" s="52">
        <v>0.15</v>
      </c>
      <c r="AM41" s="52">
        <v>0.15</v>
      </c>
      <c r="AN41" s="52">
        <v>0.15</v>
      </c>
      <c r="AO41" s="52">
        <v>0.15</v>
      </c>
      <c r="AP41" s="52">
        <v>0.15</v>
      </c>
      <c r="AQ41" s="52">
        <v>0.15</v>
      </c>
      <c r="AR41" s="52">
        <v>0.15</v>
      </c>
    </row>
    <row r="42" spans="1:48" s="52" customFormat="1" x14ac:dyDescent="0.35">
      <c r="B42" s="52" t="s">
        <v>82</v>
      </c>
      <c r="R42" s="52" t="e">
        <f>R22/R16</f>
        <v>#DIV/0!</v>
      </c>
      <c r="S42" s="52" t="e">
        <f t="shared" ref="S42:AE42" si="18">S22/S16</f>
        <v>#DIV/0!</v>
      </c>
      <c r="T42" s="52" t="e">
        <f t="shared" si="18"/>
        <v>#DIV/0!</v>
      </c>
      <c r="U42" s="52" t="e">
        <f t="shared" si="18"/>
        <v>#DIV/0!</v>
      </c>
      <c r="V42" s="52" t="e">
        <f t="shared" si="18"/>
        <v>#DIV/0!</v>
      </c>
      <c r="W42" s="52" t="e">
        <f t="shared" si="18"/>
        <v>#DIV/0!</v>
      </c>
      <c r="X42" s="52" t="e">
        <f t="shared" si="18"/>
        <v>#DIV/0!</v>
      </c>
      <c r="Y42" s="52" t="e">
        <f t="shared" si="18"/>
        <v>#DIV/0!</v>
      </c>
      <c r="Z42" s="52" t="e">
        <f t="shared" si="18"/>
        <v>#DIV/0!</v>
      </c>
      <c r="AA42" s="52">
        <f t="shared" si="18"/>
        <v>2.8130999865495915E-2</v>
      </c>
      <c r="AB42" s="52">
        <f t="shared" si="18"/>
        <v>2.7777999977145192E-2</v>
      </c>
      <c r="AC42" s="52">
        <f t="shared" si="18"/>
        <v>2.5650431934299629E-2</v>
      </c>
      <c r="AD42" s="52">
        <f t="shared" si="18"/>
        <v>3.4841803980522973E-2</v>
      </c>
      <c r="AE42" s="52">
        <f t="shared" si="18"/>
        <v>6.4503582399026677E-2</v>
      </c>
      <c r="AF42" s="52">
        <f>AF22/AF16</f>
        <v>0.10684971198074196</v>
      </c>
    </row>
    <row r="43" spans="1:48" s="52" customFormat="1" x14ac:dyDescent="0.35">
      <c r="B43" s="52" t="s">
        <v>168</v>
      </c>
      <c r="R43" s="52" t="e">
        <f>R28/R16</f>
        <v>#DIV/0!</v>
      </c>
      <c r="S43" s="52" t="e">
        <f t="shared" ref="S43:AE43" si="19">S28/S16</f>
        <v>#DIV/0!</v>
      </c>
      <c r="T43" s="52" t="e">
        <f t="shared" si="19"/>
        <v>#DIV/0!</v>
      </c>
      <c r="U43" s="52" t="e">
        <f t="shared" si="19"/>
        <v>#DIV/0!</v>
      </c>
      <c r="V43" s="52" t="e">
        <f t="shared" si="19"/>
        <v>#DIV/0!</v>
      </c>
      <c r="W43" s="52" t="e">
        <f t="shared" si="19"/>
        <v>#DIV/0!</v>
      </c>
      <c r="X43" s="52" t="e">
        <f t="shared" si="19"/>
        <v>#DIV/0!</v>
      </c>
      <c r="Y43" s="52" t="e">
        <f t="shared" si="19"/>
        <v>#DIV/0!</v>
      </c>
      <c r="Z43" s="52" t="e">
        <f t="shared" si="19"/>
        <v>#DIV/0!</v>
      </c>
      <c r="AA43" s="52">
        <f t="shared" si="19"/>
        <v>1.3684008174993456E-2</v>
      </c>
      <c r="AB43" s="52">
        <f t="shared" si="19"/>
        <v>2.0545886708795646E-2</v>
      </c>
      <c r="AC43" s="52">
        <f t="shared" si="19"/>
        <v>2.5247351151340667E-2</v>
      </c>
      <c r="AD43" s="52">
        <f t="shared" si="19"/>
        <v>3.1445524315079854E-2</v>
      </c>
      <c r="AE43" s="52">
        <f t="shared" si="19"/>
        <v>5.4880209172304101E-2</v>
      </c>
      <c r="AF43" s="52">
        <f>AF28/AF16</f>
        <v>8.984342207925837E-2</v>
      </c>
    </row>
    <row r="44" spans="1:48" s="52" customFormat="1" x14ac:dyDescent="0.35">
      <c r="B44" s="52" t="s">
        <v>169</v>
      </c>
      <c r="R44" s="52" t="e">
        <f>R26/R25</f>
        <v>#DIV/0!</v>
      </c>
      <c r="S44" s="52" t="e">
        <f t="shared" ref="S44:AE44" si="20">S26/S25</f>
        <v>#DIV/0!</v>
      </c>
      <c r="T44" s="52" t="e">
        <f t="shared" si="20"/>
        <v>#DIV/0!</v>
      </c>
      <c r="U44" s="52" t="e">
        <f t="shared" si="20"/>
        <v>#DIV/0!</v>
      </c>
      <c r="V44" s="52" t="e">
        <f t="shared" si="20"/>
        <v>#DIV/0!</v>
      </c>
      <c r="W44" s="52" t="e">
        <f t="shared" si="20"/>
        <v>#DIV/0!</v>
      </c>
      <c r="X44" s="52" t="e">
        <f t="shared" si="20"/>
        <v>#DIV/0!</v>
      </c>
      <c r="Y44" s="52" t="e">
        <f t="shared" si="20"/>
        <v>#DIV/0!</v>
      </c>
      <c r="Z44" s="52" t="e">
        <f t="shared" si="20"/>
        <v>#DIV/0!</v>
      </c>
      <c r="AA44" s="52">
        <f t="shared" si="20"/>
        <v>-0.43667859374112511</v>
      </c>
      <c r="AB44" s="52">
        <f t="shared" si="20"/>
        <v>-0.16625895021391163</v>
      </c>
      <c r="AC44" s="52">
        <f t="shared" si="20"/>
        <v>-3.4446173433300323E-2</v>
      </c>
      <c r="AD44" s="52">
        <f t="shared" si="20"/>
        <v>-5.8468489732609499E-2</v>
      </c>
      <c r="AE44" s="52">
        <f t="shared" si="20"/>
        <v>-0.15697986836206659</v>
      </c>
      <c r="AF44" s="52">
        <f>AF26/AF25</f>
        <v>-0.14671409272474906</v>
      </c>
      <c r="AG44" s="52">
        <v>-0.15</v>
      </c>
      <c r="AH44" s="52">
        <v>-0.15</v>
      </c>
      <c r="AI44" s="52">
        <v>-0.15</v>
      </c>
      <c r="AJ44" s="52">
        <v>-0.15</v>
      </c>
      <c r="AK44" s="52">
        <v>-0.15</v>
      </c>
      <c r="AL44" s="52">
        <v>-0.15</v>
      </c>
      <c r="AM44" s="52">
        <v>-0.15</v>
      </c>
      <c r="AN44" s="52">
        <v>-0.15</v>
      </c>
      <c r="AO44" s="52">
        <v>-0.15</v>
      </c>
      <c r="AP44" s="52">
        <v>-0.15</v>
      </c>
      <c r="AQ44" s="52">
        <v>-0.15</v>
      </c>
      <c r="AR44" s="52">
        <v>-0.15</v>
      </c>
    </row>
    <row r="46" spans="1:48" s="5" customFormat="1" x14ac:dyDescent="0.35">
      <c r="B46" s="5" t="s">
        <v>36</v>
      </c>
    </row>
    <row r="47" spans="1:48" s="52" customFormat="1" x14ac:dyDescent="0.35">
      <c r="B47" s="52" t="s">
        <v>72</v>
      </c>
      <c r="R47" s="52" t="e">
        <f>R16/Q16-1</f>
        <v>#DIV/0!</v>
      </c>
      <c r="S47" s="52" t="e">
        <f t="shared" ref="S47:AE47" si="21">S16/R16-1</f>
        <v>#DIV/0!</v>
      </c>
      <c r="T47" s="52" t="e">
        <f t="shared" si="21"/>
        <v>#DIV/0!</v>
      </c>
      <c r="U47" s="52" t="e">
        <f t="shared" si="21"/>
        <v>#DIV/0!</v>
      </c>
      <c r="V47" s="52" t="e">
        <f t="shared" si="21"/>
        <v>#DIV/0!</v>
      </c>
      <c r="W47" s="52" t="e">
        <f t="shared" si="21"/>
        <v>#DIV/0!</v>
      </c>
      <c r="X47" s="52" t="e">
        <f t="shared" si="21"/>
        <v>#DIV/0!</v>
      </c>
      <c r="Y47" s="52" t="e">
        <f t="shared" si="21"/>
        <v>#DIV/0!</v>
      </c>
      <c r="Z47" s="52" t="e">
        <f t="shared" si="21"/>
        <v>#DIV/0!</v>
      </c>
      <c r="AA47" s="52" t="e">
        <f t="shared" si="21"/>
        <v>#DIV/0!</v>
      </c>
      <c r="AB47" s="52">
        <f t="shared" si="21"/>
        <v>4.1621286406871461E-2</v>
      </c>
      <c r="AC47" s="52">
        <f t="shared" si="21"/>
        <v>-4.6017838165217317E-2</v>
      </c>
      <c r="AD47" s="52">
        <f t="shared" si="21"/>
        <v>6.5325739283396578E-2</v>
      </c>
      <c r="AE47" s="52">
        <f t="shared" si="21"/>
        <v>0.46063610108668573</v>
      </c>
      <c r="AF47" s="52">
        <f>AF16/AE16-1</f>
        <v>0.37092884488921385</v>
      </c>
      <c r="AG47" s="52">
        <v>0.2</v>
      </c>
      <c r="AH47" s="52">
        <v>0.2</v>
      </c>
      <c r="AI47" s="52">
        <v>0.2</v>
      </c>
      <c r="AJ47" s="52">
        <v>0.2</v>
      </c>
      <c r="AK47" s="52">
        <v>0.2</v>
      </c>
      <c r="AL47" s="52">
        <v>0.2</v>
      </c>
      <c r="AM47" s="52">
        <v>0.2</v>
      </c>
      <c r="AN47" s="52">
        <v>0.2</v>
      </c>
      <c r="AO47" s="52">
        <v>0.2</v>
      </c>
      <c r="AP47" s="52">
        <v>0.2</v>
      </c>
      <c r="AQ47" s="52">
        <v>0.2</v>
      </c>
      <c r="AR47" s="52">
        <v>0.2</v>
      </c>
    </row>
    <row r="48" spans="1:48" s="52" customFormat="1" x14ac:dyDescent="0.35">
      <c r="B48" s="52" t="s">
        <v>150</v>
      </c>
      <c r="R48" s="52" t="e">
        <f>R28/Q28-1</f>
        <v>#DIV/0!</v>
      </c>
      <c r="S48" s="52" t="e">
        <f t="shared" ref="S48:AE48" si="22">S28/R28-1</f>
        <v>#DIV/0!</v>
      </c>
      <c r="T48" s="52" t="e">
        <f t="shared" si="22"/>
        <v>#DIV/0!</v>
      </c>
      <c r="U48" s="52" t="e">
        <f t="shared" si="22"/>
        <v>#DIV/0!</v>
      </c>
      <c r="V48" s="52" t="e">
        <f t="shared" si="22"/>
        <v>#DIV/0!</v>
      </c>
      <c r="W48" s="52" t="e">
        <f t="shared" si="22"/>
        <v>#DIV/0!</v>
      </c>
      <c r="X48" s="52" t="e">
        <f t="shared" si="22"/>
        <v>#DIV/0!</v>
      </c>
      <c r="Y48" s="52" t="e">
        <f t="shared" si="22"/>
        <v>#DIV/0!</v>
      </c>
      <c r="Z48" s="52" t="e">
        <f t="shared" si="22"/>
        <v>#DIV/0!</v>
      </c>
      <c r="AA48" s="52" t="e">
        <f t="shared" si="22"/>
        <v>#DIV/0!</v>
      </c>
      <c r="AB48" s="52">
        <f t="shared" si="22"/>
        <v>0.56394476459714604</v>
      </c>
      <c r="AC48" s="52">
        <f t="shared" si="22"/>
        <v>0.17227954058789297</v>
      </c>
      <c r="AD48" s="52">
        <f t="shared" si="22"/>
        <v>0.32686103335389283</v>
      </c>
      <c r="AE48" s="52">
        <f t="shared" si="22"/>
        <v>1.5491708756089944</v>
      </c>
      <c r="AF48" s="52">
        <f>AF28/AE28-1</f>
        <v>1.2443234220428288</v>
      </c>
      <c r="AG48" s="52">
        <v>0.5</v>
      </c>
      <c r="AH48" s="52">
        <v>0.5</v>
      </c>
      <c r="AI48" s="52">
        <v>0.5</v>
      </c>
      <c r="AJ48" s="52">
        <v>0.5</v>
      </c>
      <c r="AK48" s="52">
        <v>0.5</v>
      </c>
      <c r="AL48" s="52">
        <v>0.5</v>
      </c>
      <c r="AM48" s="52">
        <v>0.5</v>
      </c>
      <c r="AN48" s="52">
        <v>0.5</v>
      </c>
      <c r="AO48" s="52">
        <v>0.5</v>
      </c>
      <c r="AP48" s="52">
        <v>0.5</v>
      </c>
      <c r="AQ48" s="52">
        <v>0.5</v>
      </c>
      <c r="AR48" s="52">
        <v>0.5</v>
      </c>
    </row>
    <row r="49" spans="2:32" s="52" customFormat="1" x14ac:dyDescent="0.35">
      <c r="B49" s="52" t="s">
        <v>77</v>
      </c>
      <c r="R49" s="52" t="e">
        <f>R19/Q19-1</f>
        <v>#DIV/0!</v>
      </c>
      <c r="S49" s="52" t="e">
        <f t="shared" ref="S49:AE49" si="23">S19/R19-1</f>
        <v>#DIV/0!</v>
      </c>
      <c r="T49" s="52" t="e">
        <f t="shared" si="23"/>
        <v>#DIV/0!</v>
      </c>
      <c r="U49" s="52" t="e">
        <f t="shared" si="23"/>
        <v>#DIV/0!</v>
      </c>
      <c r="V49" s="52" t="e">
        <f t="shared" si="23"/>
        <v>#DIV/0!</v>
      </c>
      <c r="W49" s="52" t="e">
        <f t="shared" si="23"/>
        <v>#DIV/0!</v>
      </c>
      <c r="X49" s="52" t="e">
        <f t="shared" si="23"/>
        <v>#DIV/0!</v>
      </c>
      <c r="Y49" s="52" t="e">
        <f t="shared" si="23"/>
        <v>#DIV/0!</v>
      </c>
      <c r="Z49" s="52" t="e">
        <f t="shared" si="23"/>
        <v>#DIV/0!</v>
      </c>
      <c r="AA49" s="52" t="e">
        <f t="shared" si="23"/>
        <v>#DIV/0!</v>
      </c>
      <c r="AB49" s="52">
        <f t="shared" si="23"/>
        <v>8.9658639403042972E-2</v>
      </c>
      <c r="AC49" s="52">
        <f t="shared" si="23"/>
        <v>0.23106938584935555</v>
      </c>
      <c r="AD49" s="52">
        <f t="shared" si="23"/>
        <v>1.3053215217764258E-2</v>
      </c>
      <c r="AE49" s="52">
        <f t="shared" si="23"/>
        <v>0.21350543078589301</v>
      </c>
      <c r="AF49" s="52">
        <f>AF19/AE19-1</f>
        <v>0.12849970434086355</v>
      </c>
    </row>
    <row r="50" spans="2:32" s="52" customFormat="1" x14ac:dyDescent="0.35">
      <c r="B50" s="52" t="s">
        <v>157</v>
      </c>
      <c r="R50" s="52" t="e">
        <f>R20/Q20-1</f>
        <v>#DIV/0!</v>
      </c>
      <c r="S50" s="52" t="e">
        <f t="shared" ref="S50:AE50" si="24">S20/R20-1</f>
        <v>#DIV/0!</v>
      </c>
      <c r="T50" s="52" t="e">
        <f t="shared" si="24"/>
        <v>#DIV/0!</v>
      </c>
      <c r="U50" s="52" t="e">
        <f t="shared" si="24"/>
        <v>#DIV/0!</v>
      </c>
      <c r="V50" s="52" t="e">
        <f t="shared" si="24"/>
        <v>#DIV/0!</v>
      </c>
      <c r="W50" s="52" t="e">
        <f t="shared" si="24"/>
        <v>#DIV/0!</v>
      </c>
      <c r="X50" s="52" t="e">
        <f t="shared" si="24"/>
        <v>#DIV/0!</v>
      </c>
      <c r="Y50" s="52" t="e">
        <f t="shared" si="24"/>
        <v>#DIV/0!</v>
      </c>
      <c r="Z50" s="52" t="e">
        <f t="shared" si="24"/>
        <v>#DIV/0!</v>
      </c>
      <c r="AA50" s="52" t="e">
        <f t="shared" si="24"/>
        <v>#DIV/0!</v>
      </c>
      <c r="AB50" s="52">
        <f t="shared" si="24"/>
        <v>0.28191551809152604</v>
      </c>
      <c r="AC50" s="52">
        <f t="shared" si="24"/>
        <v>3.1870758579004566E-3</v>
      </c>
      <c r="AD50" s="52">
        <f t="shared" si="24"/>
        <v>-0.14997398186947108</v>
      </c>
      <c r="AE50" s="52">
        <f t="shared" si="24"/>
        <v>3.4040016754196545E-2</v>
      </c>
      <c r="AF50" s="52">
        <f>AF20/AE20-1</f>
        <v>0.11450397536365098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New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2024-07-28T08:23:54Z</dcterms:modified>
</cp:coreProperties>
</file>