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MVST/"/>
    </mc:Choice>
  </mc:AlternateContent>
  <xr:revisionPtr revIDLastSave="1208" documentId="11_8A5B05B347CCB396D24CFD36F34A433842E90081" xr6:coauthVersionLast="47" xr6:coauthVersionMax="47" xr10:uidLastSave="{23F75A21-C3B6-4E1C-81AF-50285170A53F}"/>
  <bookViews>
    <workbookView xWindow="0" yWindow="0" windowWidth="19200" windowHeight="21600" activeTab="2" xr2:uid="{00000000-000D-0000-FFFF-FFFF00000000}"/>
  </bookViews>
  <sheets>
    <sheet name="Main" sheetId="1" r:id="rId1"/>
    <sheet name="Info" sheetId="2" r:id="rId2"/>
    <sheet name="Model" sheetId="3" r:id="rId3"/>
    <sheet name="Summary" sheetId="4" r:id="rId4"/>
    <sheet name="Income Statement" sheetId="5" r:id="rId5"/>
    <sheet name="Balance Sheet" sheetId="6" r:id="rId6"/>
    <sheet name="Cash Flow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36" i="3" l="1"/>
  <c r="V12" i="3"/>
  <c r="U12" i="3"/>
  <c r="T12" i="3"/>
  <c r="AA12" i="3"/>
  <c r="AB12" i="3"/>
  <c r="AC12" i="3"/>
  <c r="X12" i="3"/>
  <c r="Y12" i="3"/>
  <c r="Z12" i="3"/>
  <c r="W12" i="3"/>
  <c r="T120" i="3"/>
  <c r="T119" i="3"/>
  <c r="U119" i="3"/>
  <c r="U120" i="3"/>
  <c r="V120" i="3"/>
  <c r="V119" i="3"/>
  <c r="Z120" i="3"/>
  <c r="Z119" i="3"/>
  <c r="V124" i="3"/>
  <c r="AB120" i="3"/>
  <c r="AB119" i="3"/>
  <c r="AB124" i="3"/>
  <c r="Y124" i="3"/>
  <c r="X124" i="3"/>
  <c r="X119" i="3"/>
  <c r="X120" i="3"/>
  <c r="Y120" i="3"/>
  <c r="Y119" i="3"/>
  <c r="AC64" i="3"/>
  <c r="BA145" i="3"/>
  <c r="BB145" i="3"/>
  <c r="BC145" i="3"/>
  <c r="BD145" i="3"/>
  <c r="BE145" i="3"/>
  <c r="AZ145" i="3"/>
  <c r="BB137" i="3"/>
  <c r="BB136" i="3" s="1"/>
  <c r="BC137" i="3"/>
  <c r="BC136" i="3" s="1"/>
  <c r="BC161" i="3" s="1"/>
  <c r="BD137" i="3"/>
  <c r="BD136" i="3" s="1"/>
  <c r="BD161" i="3" s="1"/>
  <c r="BE137" i="3"/>
  <c r="BE136" i="3" s="1"/>
  <c r="BE161" i="3" s="1"/>
  <c r="BA162" i="3"/>
  <c r="BB162" i="3"/>
  <c r="BC162" i="3"/>
  <c r="BD162" i="3"/>
  <c r="BE162" i="3"/>
  <c r="AZ162" i="3"/>
  <c r="X162" i="3"/>
  <c r="Y162" i="3"/>
  <c r="AA162" i="3"/>
  <c r="AB162" i="3"/>
  <c r="AC162" i="3"/>
  <c r="AD162" i="3"/>
  <c r="W162" i="3"/>
  <c r="V126" i="3"/>
  <c r="V125" i="3"/>
  <c r="V123" i="3"/>
  <c r="AC137" i="3"/>
  <c r="AC136" i="3" s="1"/>
  <c r="AD137" i="3"/>
  <c r="AD136" i="3" s="1"/>
  <c r="W145" i="3"/>
  <c r="X145" i="3"/>
  <c r="Y145" i="3"/>
  <c r="AA145" i="3"/>
  <c r="AB145" i="3"/>
  <c r="V137" i="3"/>
  <c r="V136" i="3" s="1"/>
  <c r="W137" i="3"/>
  <c r="W158" i="3" s="1"/>
  <c r="X137" i="3"/>
  <c r="X157" i="3" s="1"/>
  <c r="Y137" i="3"/>
  <c r="Y157" i="3" s="1"/>
  <c r="Z137" i="3"/>
  <c r="Z136" i="3" s="1"/>
  <c r="AA137" i="3"/>
  <c r="AA136" i="3" s="1"/>
  <c r="AB137" i="3"/>
  <c r="AB158" i="3" s="1"/>
  <c r="BB15" i="3"/>
  <c r="BB16" i="3" s="1"/>
  <c r="BC15" i="3"/>
  <c r="BC18" i="3" s="1"/>
  <c r="BD15" i="3"/>
  <c r="BD18" i="3" s="1"/>
  <c r="BE15" i="3"/>
  <c r="BE18" i="3" s="1"/>
  <c r="Z14" i="3"/>
  <c r="Z13" i="3"/>
  <c r="V14" i="3"/>
  <c r="V13" i="3"/>
  <c r="V54" i="3"/>
  <c r="V53" i="3"/>
  <c r="V52" i="3"/>
  <c r="V51" i="3"/>
  <c r="V49" i="3"/>
  <c r="V47" i="3"/>
  <c r="V45" i="3"/>
  <c r="V44" i="3"/>
  <c r="V43" i="3"/>
  <c r="V42" i="3"/>
  <c r="V41" i="3"/>
  <c r="V37" i="3"/>
  <c r="V35" i="3"/>
  <c r="V34" i="3"/>
  <c r="V33" i="3"/>
  <c r="V29" i="3"/>
  <c r="V28" i="3"/>
  <c r="V145" i="3" s="1"/>
  <c r="Q15" i="3"/>
  <c r="R104" i="3"/>
  <c r="U104" i="3"/>
  <c r="U88" i="3"/>
  <c r="U78" i="3"/>
  <c r="U70" i="3"/>
  <c r="B39" i="2"/>
  <c r="G23" i="2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F23" i="2"/>
  <c r="BC16" i="3" l="1"/>
  <c r="BC19" i="3" s="1"/>
  <c r="X136" i="3"/>
  <c r="X138" i="3" s="1"/>
  <c r="W136" i="3"/>
  <c r="W161" i="3" s="1"/>
  <c r="BD17" i="3"/>
  <c r="BC17" i="3"/>
  <c r="BE138" i="3"/>
  <c r="BE17" i="3"/>
  <c r="Y136" i="3"/>
  <c r="Y138" i="3" s="1"/>
  <c r="BD138" i="3"/>
  <c r="V138" i="3"/>
  <c r="BB158" i="3"/>
  <c r="BE157" i="3"/>
  <c r="AB157" i="3"/>
  <c r="BD157" i="3"/>
  <c r="AD138" i="3"/>
  <c r="AD161" i="3"/>
  <c r="U79" i="3"/>
  <c r="BE16" i="3"/>
  <c r="BE19" i="3" s="1"/>
  <c r="W155" i="3"/>
  <c r="BD16" i="3"/>
  <c r="BD19" i="3" s="1"/>
  <c r="BC138" i="3"/>
  <c r="BC157" i="3"/>
  <c r="W157" i="3"/>
  <c r="Y155" i="3"/>
  <c r="BB138" i="3"/>
  <c r="BB157" i="3"/>
  <c r="X155" i="3"/>
  <c r="AA158" i="3"/>
  <c r="Y158" i="3"/>
  <c r="X158" i="3"/>
  <c r="AA157" i="3"/>
  <c r="BE158" i="3"/>
  <c r="BD158" i="3"/>
  <c r="BC158" i="3"/>
  <c r="AC161" i="3"/>
  <c r="BB18" i="3"/>
  <c r="BB17" i="3"/>
  <c r="X161" i="3" l="1"/>
  <c r="Y161" i="3"/>
  <c r="W138" i="3"/>
  <c r="BB19" i="3"/>
  <c r="S15" i="3"/>
  <c r="S18" i="3" s="1"/>
  <c r="Z110" i="3"/>
  <c r="Z109" i="3"/>
  <c r="Z108" i="3"/>
  <c r="Z107" i="3"/>
  <c r="Z106" i="3"/>
  <c r="Z103" i="3"/>
  <c r="Z102" i="3"/>
  <c r="Z101" i="3"/>
  <c r="Z100" i="3"/>
  <c r="Z96" i="3"/>
  <c r="Z95" i="3"/>
  <c r="Z94" i="3"/>
  <c r="Z93" i="3"/>
  <c r="Z92" i="3"/>
  <c r="Z91" i="3"/>
  <c r="Z90" i="3"/>
  <c r="Z87" i="3"/>
  <c r="Z86" i="3"/>
  <c r="Z85" i="3"/>
  <c r="Z84" i="3"/>
  <c r="Z83" i="3"/>
  <c r="Z82" i="3"/>
  <c r="Z81" i="3"/>
  <c r="Z77" i="3"/>
  <c r="Z76" i="3"/>
  <c r="Z75" i="3"/>
  <c r="Z74" i="3"/>
  <c r="Z73" i="3"/>
  <c r="Z72" i="3"/>
  <c r="Z69" i="3"/>
  <c r="Z68" i="3"/>
  <c r="Z67" i="3"/>
  <c r="Z66" i="3"/>
  <c r="Z65" i="3"/>
  <c r="Z63" i="3"/>
  <c r="Z54" i="3"/>
  <c r="Z53" i="3"/>
  <c r="Z52" i="3"/>
  <c r="Z51" i="3"/>
  <c r="Z49" i="3"/>
  <c r="Z47" i="3"/>
  <c r="Z45" i="3"/>
  <c r="Z44" i="3"/>
  <c r="Z43" i="3"/>
  <c r="Z42" i="3"/>
  <c r="Z41" i="3"/>
  <c r="Z37" i="3"/>
  <c r="Z35" i="3"/>
  <c r="Z34" i="3"/>
  <c r="Z33" i="3"/>
  <c r="Z29" i="3"/>
  <c r="Z28" i="3"/>
  <c r="AA64" i="3"/>
  <c r="Z15" i="3"/>
  <c r="Z16" i="3" s="1"/>
  <c r="AA15" i="3"/>
  <c r="AA16" i="3" s="1"/>
  <c r="AB15" i="3"/>
  <c r="AB16" i="3" s="1"/>
  <c r="AC15" i="3"/>
  <c r="AC16" i="3" s="1"/>
  <c r="AD15" i="3"/>
  <c r="AD18" i="3" s="1"/>
  <c r="AB112" i="3"/>
  <c r="AB159" i="3" s="1"/>
  <c r="AB104" i="3"/>
  <c r="AB97" i="3"/>
  <c r="AB88" i="3"/>
  <c r="AB78" i="3"/>
  <c r="AB164" i="3" s="1"/>
  <c r="AB64" i="3"/>
  <c r="AB70" i="3" s="1"/>
  <c r="AB36" i="3"/>
  <c r="AB30" i="3"/>
  <c r="AB31" i="3" s="1"/>
  <c r="AA121" i="3"/>
  <c r="AB121" i="3"/>
  <c r="AC121" i="3"/>
  <c r="AD121" i="3"/>
  <c r="AS112" i="3"/>
  <c r="AT112" i="3"/>
  <c r="AU112" i="3"/>
  <c r="AV112" i="3"/>
  <c r="AW112" i="3"/>
  <c r="AX112" i="3"/>
  <c r="AY112" i="3"/>
  <c r="AZ112" i="3"/>
  <c r="BA112" i="3"/>
  <c r="BB112" i="3"/>
  <c r="BB140" i="3" s="1"/>
  <c r="BC112" i="3"/>
  <c r="BC140" i="3" s="1"/>
  <c r="BD112" i="3"/>
  <c r="BD140" i="3" s="1"/>
  <c r="BE112" i="3"/>
  <c r="BE140" i="3" s="1"/>
  <c r="AR112" i="3"/>
  <c r="Q112" i="3"/>
  <c r="R112" i="3"/>
  <c r="S112" i="3"/>
  <c r="T112" i="3"/>
  <c r="U112" i="3"/>
  <c r="V112" i="3"/>
  <c r="V140" i="3" s="1"/>
  <c r="W112" i="3"/>
  <c r="X112" i="3"/>
  <c r="Y112" i="3"/>
  <c r="AA112" i="3"/>
  <c r="AC112" i="3"/>
  <c r="AC140" i="3" s="1"/>
  <c r="AD112" i="3"/>
  <c r="AD140" i="3" s="1"/>
  <c r="P112" i="3"/>
  <c r="O112" i="3"/>
  <c r="AA104" i="3"/>
  <c r="AC104" i="3"/>
  <c r="AD104" i="3"/>
  <c r="AA97" i="3"/>
  <c r="AC97" i="3"/>
  <c r="AD97" i="3"/>
  <c r="AA88" i="3"/>
  <c r="AC88" i="3"/>
  <c r="AD88" i="3"/>
  <c r="AA78" i="3"/>
  <c r="AC78" i="3"/>
  <c r="AD78" i="3"/>
  <c r="AC70" i="3"/>
  <c r="AD70" i="3"/>
  <c r="AA36" i="3"/>
  <c r="AC36" i="3"/>
  <c r="AD36" i="3"/>
  <c r="AA30" i="3"/>
  <c r="AC30" i="3"/>
  <c r="AD30" i="3"/>
  <c r="BB3" i="3"/>
  <c r="BC3" i="3" s="1"/>
  <c r="BD3" i="3" s="1"/>
  <c r="BE3" i="3" s="1"/>
  <c r="BF3" i="3" s="1"/>
  <c r="BG3" i="3" s="1"/>
  <c r="AZ3" i="3"/>
  <c r="AY3" i="3" s="1"/>
  <c r="AX3" i="3" s="1"/>
  <c r="AW3" i="3" s="1"/>
  <c r="AV3" i="3" s="1"/>
  <c r="AU3" i="3" s="1"/>
  <c r="AT3" i="3" s="1"/>
  <c r="AS3" i="3" s="1"/>
  <c r="AR3" i="3" s="1"/>
  <c r="AQ3" i="3" s="1"/>
  <c r="AP3" i="3" s="1"/>
  <c r="AO3" i="3" s="1"/>
  <c r="AN3" i="3" s="1"/>
  <c r="AM3" i="3" s="1"/>
  <c r="AL3" i="3" s="1"/>
  <c r="BB121" i="3"/>
  <c r="BC121" i="3"/>
  <c r="BD121" i="3"/>
  <c r="BE121" i="3"/>
  <c r="BB104" i="3"/>
  <c r="BC104" i="3"/>
  <c r="BD104" i="3"/>
  <c r="BE104" i="3"/>
  <c r="BB88" i="3"/>
  <c r="BC88" i="3"/>
  <c r="BD88" i="3"/>
  <c r="BE88" i="3"/>
  <c r="BB97" i="3"/>
  <c r="BC97" i="3"/>
  <c r="BD97" i="3"/>
  <c r="BE97" i="3"/>
  <c r="AS78" i="3"/>
  <c r="AT78" i="3"/>
  <c r="AU78" i="3"/>
  <c r="AV78" i="3"/>
  <c r="AW78" i="3"/>
  <c r="AX78" i="3"/>
  <c r="AY78" i="3"/>
  <c r="AZ78" i="3"/>
  <c r="BA78" i="3"/>
  <c r="BB78" i="3"/>
  <c r="BC78" i="3"/>
  <c r="BD78" i="3"/>
  <c r="BE78" i="3"/>
  <c r="AR78" i="3"/>
  <c r="BB64" i="3"/>
  <c r="Z64" i="3" s="1"/>
  <c r="BC70" i="3"/>
  <c r="BD70" i="3"/>
  <c r="BE70" i="3"/>
  <c r="BB36" i="3"/>
  <c r="BC36" i="3"/>
  <c r="BD36" i="3"/>
  <c r="BE36" i="3"/>
  <c r="BB30" i="3"/>
  <c r="BB150" i="3" s="1"/>
  <c r="BC30" i="3"/>
  <c r="BC150" i="3" s="1"/>
  <c r="BD30" i="3"/>
  <c r="BD150" i="3" s="1"/>
  <c r="BE30" i="3"/>
  <c r="BE150" i="3" s="1"/>
  <c r="BA121" i="3"/>
  <c r="AZ121" i="3"/>
  <c r="AY121" i="3"/>
  <c r="AX121" i="3"/>
  <c r="AW121" i="3"/>
  <c r="AV121" i="3"/>
  <c r="AU121" i="3"/>
  <c r="AT121" i="3"/>
  <c r="AS121" i="3"/>
  <c r="AR121" i="3"/>
  <c r="W121" i="3"/>
  <c r="V121" i="3"/>
  <c r="U121" i="3"/>
  <c r="T121" i="3"/>
  <c r="S121" i="3"/>
  <c r="R121" i="3"/>
  <c r="Q121" i="3"/>
  <c r="P121" i="3"/>
  <c r="O121" i="3"/>
  <c r="N121" i="3"/>
  <c r="M121" i="3"/>
  <c r="L121" i="3"/>
  <c r="E121" i="3"/>
  <c r="BA104" i="3"/>
  <c r="AZ104" i="3"/>
  <c r="AY104" i="3"/>
  <c r="AX104" i="3"/>
  <c r="AW104" i="3"/>
  <c r="AV104" i="3"/>
  <c r="AU104" i="3"/>
  <c r="AT104" i="3"/>
  <c r="AS104" i="3"/>
  <c r="AR104" i="3"/>
  <c r="Y104" i="3"/>
  <c r="X104" i="3"/>
  <c r="W104" i="3"/>
  <c r="V104" i="3"/>
  <c r="BA97" i="3"/>
  <c r="AZ97" i="3"/>
  <c r="AY97" i="3"/>
  <c r="AX97" i="3"/>
  <c r="AW97" i="3"/>
  <c r="AV97" i="3"/>
  <c r="AU97" i="3"/>
  <c r="AT97" i="3"/>
  <c r="AS97" i="3"/>
  <c r="AR97" i="3"/>
  <c r="Y97" i="3"/>
  <c r="X97" i="3"/>
  <c r="W97" i="3"/>
  <c r="V97" i="3"/>
  <c r="U97" i="3"/>
  <c r="U98" i="3" s="1"/>
  <c r="T97" i="3"/>
  <c r="S97" i="3"/>
  <c r="R97" i="3"/>
  <c r="Q97" i="3"/>
  <c r="P97" i="3"/>
  <c r="O97" i="3"/>
  <c r="BA88" i="3"/>
  <c r="AZ88" i="3"/>
  <c r="AY88" i="3"/>
  <c r="AX88" i="3"/>
  <c r="AW88" i="3"/>
  <c r="AV88" i="3"/>
  <c r="AU88" i="3"/>
  <c r="AT88" i="3"/>
  <c r="AS88" i="3"/>
  <c r="AR88" i="3"/>
  <c r="Y88" i="3"/>
  <c r="X88" i="3"/>
  <c r="W88" i="3"/>
  <c r="V88" i="3"/>
  <c r="T88" i="3"/>
  <c r="S88" i="3"/>
  <c r="R88" i="3"/>
  <c r="Q88" i="3"/>
  <c r="P88" i="3"/>
  <c r="O88" i="3"/>
  <c r="Y78" i="3"/>
  <c r="X78" i="3"/>
  <c r="W78" i="3"/>
  <c r="V78" i="3"/>
  <c r="T78" i="3"/>
  <c r="S78" i="3"/>
  <c r="R78" i="3"/>
  <c r="Q78" i="3"/>
  <c r="P78" i="3"/>
  <c r="O78" i="3"/>
  <c r="BA70" i="3"/>
  <c r="AZ70" i="3"/>
  <c r="AY70" i="3"/>
  <c r="AX70" i="3"/>
  <c r="AW70" i="3"/>
  <c r="AV70" i="3"/>
  <c r="AU70" i="3"/>
  <c r="AT70" i="3"/>
  <c r="AS70" i="3"/>
  <c r="AR70" i="3"/>
  <c r="Y70" i="3"/>
  <c r="X70" i="3"/>
  <c r="W70" i="3"/>
  <c r="V70" i="3"/>
  <c r="T70" i="3"/>
  <c r="S70" i="3"/>
  <c r="R70" i="3"/>
  <c r="Q70" i="3"/>
  <c r="P70" i="3"/>
  <c r="O70" i="3"/>
  <c r="BA58" i="3"/>
  <c r="BA137" i="3" s="1"/>
  <c r="AZ58" i="3"/>
  <c r="AZ137" i="3" s="1"/>
  <c r="AY58" i="3"/>
  <c r="AX55" i="3"/>
  <c r="AW55" i="3"/>
  <c r="AV55" i="3"/>
  <c r="AU55" i="3"/>
  <c r="AT55" i="3"/>
  <c r="AS55" i="3"/>
  <c r="AR55" i="3"/>
  <c r="BA36" i="3"/>
  <c r="AZ36" i="3"/>
  <c r="AY36" i="3"/>
  <c r="AX36" i="3"/>
  <c r="AW36" i="3"/>
  <c r="AV36" i="3"/>
  <c r="AU36" i="3"/>
  <c r="AT36" i="3"/>
  <c r="AS36" i="3"/>
  <c r="AR36" i="3"/>
  <c r="Y36" i="3"/>
  <c r="X36" i="3"/>
  <c r="W36" i="3"/>
  <c r="V36" i="3"/>
  <c r="U36" i="3"/>
  <c r="T36" i="3"/>
  <c r="S36" i="3"/>
  <c r="R36" i="3"/>
  <c r="Q36" i="3"/>
  <c r="P36" i="3"/>
  <c r="O36" i="3"/>
  <c r="BA30" i="3"/>
  <c r="BA150" i="3" s="1"/>
  <c r="AZ30" i="3"/>
  <c r="AZ150" i="3" s="1"/>
  <c r="AY30" i="3"/>
  <c r="AX30" i="3"/>
  <c r="AW30" i="3"/>
  <c r="AV30" i="3"/>
  <c r="AU30" i="3"/>
  <c r="AT30" i="3"/>
  <c r="AS30" i="3"/>
  <c r="AR30" i="3"/>
  <c r="Y30" i="3"/>
  <c r="X30" i="3"/>
  <c r="W30" i="3"/>
  <c r="V30" i="3"/>
  <c r="V31" i="3" s="1"/>
  <c r="U30" i="3"/>
  <c r="U31" i="3" s="1"/>
  <c r="T30" i="3"/>
  <c r="T31" i="3" s="1"/>
  <c r="S30" i="3"/>
  <c r="S31" i="3" s="1"/>
  <c r="R30" i="3"/>
  <c r="Q30" i="3"/>
  <c r="P30" i="3"/>
  <c r="O30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R18" i="3"/>
  <c r="Q18" i="3"/>
  <c r="P18" i="3"/>
  <c r="O18" i="3"/>
  <c r="R17" i="3"/>
  <c r="Q17" i="3"/>
  <c r="P17" i="3"/>
  <c r="O17" i="3"/>
  <c r="R16" i="3"/>
  <c r="R19" i="3" s="1"/>
  <c r="Q16" i="3"/>
  <c r="P16" i="3"/>
  <c r="P19" i="3" s="1"/>
  <c r="O16" i="3"/>
  <c r="O19" i="3" s="1"/>
  <c r="BA15" i="3"/>
  <c r="BA16" i="3" s="1"/>
  <c r="AZ15" i="3"/>
  <c r="AZ16" i="3" s="1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Y15" i="3"/>
  <c r="Y16" i="3" s="1"/>
  <c r="X15" i="3"/>
  <c r="X18" i="3" s="1"/>
  <c r="W15" i="3"/>
  <c r="W18" i="3" s="1"/>
  <c r="V15" i="3"/>
  <c r="V18" i="3" s="1"/>
  <c r="U15" i="3"/>
  <c r="U17" i="3" s="1"/>
  <c r="T15" i="3"/>
  <c r="T16" i="3" s="1"/>
  <c r="B3" i="1" a="1"/>
  <c r="B3" i="1" s="1"/>
  <c r="B2" i="1" a="1"/>
  <c r="B2" i="1" s="1"/>
  <c r="B4" i="1" s="1"/>
  <c r="BB164" i="3" l="1"/>
  <c r="AD38" i="3"/>
  <c r="AD39" i="3" s="1"/>
  <c r="S16" i="3"/>
  <c r="AD16" i="3"/>
  <c r="AD19" i="3" s="1"/>
  <c r="W150" i="3"/>
  <c r="W31" i="3"/>
  <c r="X150" i="3"/>
  <c r="X31" i="3"/>
  <c r="Y150" i="3"/>
  <c r="Y31" i="3"/>
  <c r="S17" i="3"/>
  <c r="S19" i="3" s="1"/>
  <c r="AD150" i="3"/>
  <c r="AD31" i="3"/>
  <c r="BE164" i="3"/>
  <c r="AC150" i="3"/>
  <c r="AC31" i="3"/>
  <c r="AD17" i="3"/>
  <c r="AA150" i="3"/>
  <c r="AA31" i="3"/>
  <c r="BA147" i="3"/>
  <c r="BC164" i="3"/>
  <c r="AA147" i="3"/>
  <c r="BA164" i="3"/>
  <c r="AZ164" i="3"/>
  <c r="AD79" i="3"/>
  <c r="AB79" i="3"/>
  <c r="AD164" i="3"/>
  <c r="AB18" i="3"/>
  <c r="AC17" i="3"/>
  <c r="X164" i="3"/>
  <c r="AB17" i="3"/>
  <c r="W164" i="3"/>
  <c r="Y164" i="3"/>
  <c r="Z30" i="3"/>
  <c r="AA164" i="3"/>
  <c r="AD98" i="3"/>
  <c r="Z158" i="3"/>
  <c r="BA136" i="3"/>
  <c r="BA157" i="3"/>
  <c r="BA158" i="3"/>
  <c r="AA159" i="3"/>
  <c r="AA140" i="3"/>
  <c r="AA70" i="3"/>
  <c r="AA79" i="3" s="1"/>
  <c r="AA161" i="3"/>
  <c r="AB38" i="3"/>
  <c r="AB39" i="3" s="1"/>
  <c r="AB150" i="3"/>
  <c r="W147" i="3"/>
  <c r="Y159" i="3"/>
  <c r="Y140" i="3"/>
  <c r="Z145" i="3"/>
  <c r="AA138" i="3"/>
  <c r="Z138" i="3"/>
  <c r="Z155" i="3"/>
  <c r="AA155" i="3"/>
  <c r="AB155" i="3"/>
  <c r="AC138" i="3"/>
  <c r="BE147" i="3"/>
  <c r="BE141" i="3"/>
  <c r="X159" i="3"/>
  <c r="X140" i="3"/>
  <c r="Z162" i="3"/>
  <c r="Z157" i="3"/>
  <c r="Z161" i="3"/>
  <c r="BD147" i="3"/>
  <c r="BD141" i="3"/>
  <c r="W140" i="3"/>
  <c r="W159" i="3"/>
  <c r="BC147" i="3"/>
  <c r="BC141" i="3"/>
  <c r="BB147" i="3"/>
  <c r="BB141" i="3"/>
  <c r="BB70" i="3"/>
  <c r="BB79" i="3" s="1"/>
  <c r="BB161" i="3"/>
  <c r="AB161" i="3"/>
  <c r="AZ136" i="3"/>
  <c r="AZ158" i="3"/>
  <c r="AZ157" i="3"/>
  <c r="AB138" i="3"/>
  <c r="AZ147" i="3"/>
  <c r="BD164" i="3"/>
  <c r="AD141" i="3"/>
  <c r="AC18" i="3"/>
  <c r="AB140" i="3"/>
  <c r="AC38" i="3"/>
  <c r="AC98" i="3"/>
  <c r="AC113" i="3" s="1"/>
  <c r="AC164" i="3"/>
  <c r="AC79" i="3"/>
  <c r="V147" i="3"/>
  <c r="W141" i="3"/>
  <c r="V141" i="3"/>
  <c r="Q19" i="3"/>
  <c r="Z18" i="3"/>
  <c r="AB98" i="3"/>
  <c r="AB113" i="3" s="1"/>
  <c r="AA17" i="3"/>
  <c r="X121" i="3"/>
  <c r="X141" i="3" s="1"/>
  <c r="AR38" i="3"/>
  <c r="AR46" i="3" s="1"/>
  <c r="AR48" i="3" s="1"/>
  <c r="Z17" i="3"/>
  <c r="AS98" i="3"/>
  <c r="AS113" i="3" s="1"/>
  <c r="AA18" i="3"/>
  <c r="Z112" i="3"/>
  <c r="Z104" i="3"/>
  <c r="Z97" i="3"/>
  <c r="Z88" i="3"/>
  <c r="Z78" i="3"/>
  <c r="Z70" i="3"/>
  <c r="Z36" i="3"/>
  <c r="AA98" i="3"/>
  <c r="AA113" i="3" s="1"/>
  <c r="AA38" i="3"/>
  <c r="AA39" i="3" s="1"/>
  <c r="X38" i="3"/>
  <c r="X39" i="3" s="1"/>
  <c r="Y38" i="3"/>
  <c r="Y39" i="3" s="1"/>
  <c r="P38" i="3"/>
  <c r="P46" i="3" s="1"/>
  <c r="P48" i="3" s="1"/>
  <c r="P50" i="3" s="1"/>
  <c r="P55" i="3" s="1"/>
  <c r="P57" i="3" s="1"/>
  <c r="AX38" i="3"/>
  <c r="AX46" i="3" s="1"/>
  <c r="AX48" i="3" s="1"/>
  <c r="AW98" i="3"/>
  <c r="AW113" i="3" s="1"/>
  <c r="BC79" i="3"/>
  <c r="AT79" i="3"/>
  <c r="T79" i="3"/>
  <c r="AU79" i="3"/>
  <c r="AV79" i="3"/>
  <c r="R38" i="3"/>
  <c r="R46" i="3" s="1"/>
  <c r="R48" i="3" s="1"/>
  <c r="R50" i="3" s="1"/>
  <c r="R55" i="3" s="1"/>
  <c r="R57" i="3" s="1"/>
  <c r="AZ38" i="3"/>
  <c r="BE98" i="3"/>
  <c r="BE113" i="3" s="1"/>
  <c r="BD98" i="3"/>
  <c r="BD113" i="3" s="1"/>
  <c r="BE38" i="3"/>
  <c r="X79" i="3"/>
  <c r="W98" i="3"/>
  <c r="W113" i="3" s="1"/>
  <c r="X98" i="3"/>
  <c r="X113" i="3" s="1"/>
  <c r="Y98" i="3"/>
  <c r="Y113" i="3" s="1"/>
  <c r="AW79" i="3"/>
  <c r="S38" i="3"/>
  <c r="BA38" i="3"/>
  <c r="T38" i="3"/>
  <c r="T39" i="3" s="1"/>
  <c r="Q79" i="3"/>
  <c r="R79" i="3"/>
  <c r="BA79" i="3"/>
  <c r="S79" i="3"/>
  <c r="AR98" i="3"/>
  <c r="AR113" i="3" s="1"/>
  <c r="O98" i="3"/>
  <c r="O113" i="3" s="1"/>
  <c r="BE79" i="3"/>
  <c r="Y18" i="3"/>
  <c r="AS38" i="3"/>
  <c r="AS46" i="3" s="1"/>
  <c r="AS48" i="3" s="1"/>
  <c r="BD79" i="3"/>
  <c r="AZ18" i="3"/>
  <c r="AT38" i="3"/>
  <c r="AT46" i="3" s="1"/>
  <c r="AT48" i="3" s="1"/>
  <c r="BA18" i="3"/>
  <c r="AU38" i="3"/>
  <c r="AU46" i="3" s="1"/>
  <c r="AU48" i="3" s="1"/>
  <c r="R98" i="3"/>
  <c r="R113" i="3" s="1"/>
  <c r="AZ98" i="3"/>
  <c r="AZ113" i="3" s="1"/>
  <c r="BD38" i="3"/>
  <c r="AV38" i="3"/>
  <c r="AV46" i="3" s="1"/>
  <c r="AV48" i="3" s="1"/>
  <c r="BC38" i="3"/>
  <c r="AS79" i="3"/>
  <c r="BB38" i="3"/>
  <c r="BC98" i="3"/>
  <c r="BC113" i="3" s="1"/>
  <c r="BB98" i="3"/>
  <c r="BB113" i="3" s="1"/>
  <c r="V17" i="3"/>
  <c r="AT98" i="3"/>
  <c r="AT113" i="3" s="1"/>
  <c r="U113" i="3"/>
  <c r="W17" i="3"/>
  <c r="X17" i="3"/>
  <c r="Q38" i="3"/>
  <c r="Q46" i="3" s="1"/>
  <c r="Q48" i="3" s="1"/>
  <c r="Q50" i="3" s="1"/>
  <c r="Q55" i="3" s="1"/>
  <c r="Q57" i="3" s="1"/>
  <c r="AY38" i="3"/>
  <c r="AY46" i="3" s="1"/>
  <c r="AY48" i="3" s="1"/>
  <c r="AY50" i="3" s="1"/>
  <c r="AY55" i="3" s="1"/>
  <c r="AY57" i="3" s="1"/>
  <c r="AU98" i="3"/>
  <c r="AU113" i="3" s="1"/>
  <c r="AV98" i="3"/>
  <c r="AV113" i="3" s="1"/>
  <c r="AZ17" i="3"/>
  <c r="AY79" i="3"/>
  <c r="O38" i="3"/>
  <c r="O46" i="3" s="1"/>
  <c r="O48" i="3" s="1"/>
  <c r="O50" i="3" s="1"/>
  <c r="O55" i="3" s="1"/>
  <c r="O57" i="3" s="1"/>
  <c r="AW38" i="3"/>
  <c r="AW46" i="3" s="1"/>
  <c r="AW48" i="3" s="1"/>
  <c r="AR79" i="3"/>
  <c r="V79" i="3"/>
  <c r="P98" i="3"/>
  <c r="P113" i="3" s="1"/>
  <c r="AX98" i="3"/>
  <c r="AX113" i="3" s="1"/>
  <c r="AX79" i="3"/>
  <c r="U16" i="3"/>
  <c r="BA17" i="3"/>
  <c r="V16" i="3"/>
  <c r="U38" i="3"/>
  <c r="U39" i="3" s="1"/>
  <c r="W79" i="3"/>
  <c r="V98" i="3"/>
  <c r="V113" i="3" s="1"/>
  <c r="Q98" i="3"/>
  <c r="Q113" i="3" s="1"/>
  <c r="AY98" i="3"/>
  <c r="AY113" i="3" s="1"/>
  <c r="X16" i="3"/>
  <c r="W38" i="3"/>
  <c r="W39" i="3" s="1"/>
  <c r="Y79" i="3"/>
  <c r="S98" i="3"/>
  <c r="S113" i="3" s="1"/>
  <c r="BA98" i="3"/>
  <c r="BA113" i="3" s="1"/>
  <c r="Y17" i="3"/>
  <c r="T98" i="3"/>
  <c r="T113" i="3" s="1"/>
  <c r="O79" i="3"/>
  <c r="P79" i="3"/>
  <c r="W16" i="3"/>
  <c r="V38" i="3"/>
  <c r="V39" i="3" s="1"/>
  <c r="AZ79" i="3"/>
  <c r="T18" i="3"/>
  <c r="U18" i="3"/>
  <c r="T17" i="3"/>
  <c r="AC19" i="3" l="1"/>
  <c r="AB19" i="3"/>
  <c r="AD151" i="3"/>
  <c r="AD46" i="3"/>
  <c r="AD48" i="3" s="1"/>
  <c r="AD50" i="3" s="1"/>
  <c r="AD55" i="3" s="1"/>
  <c r="AD57" i="3" s="1"/>
  <c r="AA19" i="3"/>
  <c r="W163" i="3"/>
  <c r="AZ163" i="3"/>
  <c r="AD163" i="3"/>
  <c r="Z150" i="3"/>
  <c r="Z31" i="3"/>
  <c r="AD113" i="3"/>
  <c r="Z38" i="3"/>
  <c r="Z39" i="3" s="1"/>
  <c r="Z164" i="3"/>
  <c r="BB163" i="3"/>
  <c r="W19" i="3"/>
  <c r="AC46" i="3"/>
  <c r="AC48" i="3" s="1"/>
  <c r="AC50" i="3" s="1"/>
  <c r="AC55" i="3" s="1"/>
  <c r="AC57" i="3" s="1"/>
  <c r="AC39" i="3"/>
  <c r="S46" i="3"/>
  <c r="S48" i="3" s="1"/>
  <c r="S50" i="3" s="1"/>
  <c r="S55" i="3" s="1"/>
  <c r="S57" i="3" s="1"/>
  <c r="S39" i="3"/>
  <c r="AB163" i="3"/>
  <c r="X163" i="3"/>
  <c r="Y163" i="3"/>
  <c r="AA163" i="3"/>
  <c r="W46" i="3"/>
  <c r="W48" i="3" s="1"/>
  <c r="W50" i="3" s="1"/>
  <c r="W55" i="3" s="1"/>
  <c r="W151" i="3"/>
  <c r="BD46" i="3"/>
  <c r="BD48" i="3" s="1"/>
  <c r="BD50" i="3" s="1"/>
  <c r="BD55" i="3" s="1"/>
  <c r="BD151" i="3"/>
  <c r="T19" i="3"/>
  <c r="T46" i="3"/>
  <c r="T48" i="3" s="1"/>
  <c r="T50" i="3" s="1"/>
  <c r="T55" i="3" s="1"/>
  <c r="W156" i="3"/>
  <c r="AB46" i="3"/>
  <c r="AB48" i="3" s="1"/>
  <c r="AB50" i="3" s="1"/>
  <c r="AB55" i="3" s="1"/>
  <c r="AB151" i="3"/>
  <c r="Z159" i="3"/>
  <c r="Z140" i="3"/>
  <c r="AZ161" i="3"/>
  <c r="AZ138" i="3"/>
  <c r="AZ141" i="3"/>
  <c r="AZ140" i="3"/>
  <c r="BB46" i="3"/>
  <c r="BB48" i="3" s="1"/>
  <c r="BB50" i="3" s="1"/>
  <c r="BB55" i="3" s="1"/>
  <c r="BB151" i="3"/>
  <c r="AD152" i="3"/>
  <c r="BC46" i="3"/>
  <c r="BC48" i="3" s="1"/>
  <c r="BC50" i="3" s="1"/>
  <c r="BC55" i="3" s="1"/>
  <c r="BC151" i="3"/>
  <c r="AZ46" i="3"/>
  <c r="AZ48" i="3" s="1"/>
  <c r="AZ50" i="3" s="1"/>
  <c r="AZ55" i="3" s="1"/>
  <c r="AZ151" i="3"/>
  <c r="BD163" i="3"/>
  <c r="Y46" i="3"/>
  <c r="Y48" i="3" s="1"/>
  <c r="Y50" i="3" s="1"/>
  <c r="Y55" i="3" s="1"/>
  <c r="AB156" i="3"/>
  <c r="Y151" i="3"/>
  <c r="Z19" i="3"/>
  <c r="BA163" i="3"/>
  <c r="BC163" i="3"/>
  <c r="X46" i="3"/>
  <c r="X48" i="3" s="1"/>
  <c r="X50" i="3" s="1"/>
  <c r="X55" i="3" s="1"/>
  <c r="X151" i="3"/>
  <c r="U46" i="3"/>
  <c r="U48" i="3" s="1"/>
  <c r="U50" i="3" s="1"/>
  <c r="U55" i="3" s="1"/>
  <c r="X156" i="3"/>
  <c r="BA46" i="3"/>
  <c r="BA48" i="3" s="1"/>
  <c r="BA50" i="3" s="1"/>
  <c r="BA55" i="3" s="1"/>
  <c r="BA151" i="3"/>
  <c r="V46" i="3"/>
  <c r="V48" i="3" s="1"/>
  <c r="V50" i="3" s="1"/>
  <c r="V55" i="3" s="1"/>
  <c r="Y156" i="3"/>
  <c r="AA46" i="3"/>
  <c r="AA48" i="3" s="1"/>
  <c r="AA50" i="3" s="1"/>
  <c r="AA55" i="3" s="1"/>
  <c r="AA151" i="3"/>
  <c r="BE163" i="3"/>
  <c r="BE46" i="3"/>
  <c r="BE48" i="3" s="1"/>
  <c r="BE50" i="3" s="1"/>
  <c r="BE55" i="3" s="1"/>
  <c r="BE151" i="3"/>
  <c r="BA161" i="3"/>
  <c r="BA140" i="3"/>
  <c r="BA141" i="3"/>
  <c r="BA138" i="3"/>
  <c r="AB147" i="3"/>
  <c r="X147" i="3"/>
  <c r="Z121" i="3"/>
  <c r="AC141" i="3" s="1"/>
  <c r="AC151" i="3"/>
  <c r="AC163" i="3"/>
  <c r="V19" i="3"/>
  <c r="U19" i="3"/>
  <c r="Y121" i="3"/>
  <c r="Y19" i="3"/>
  <c r="Z98" i="3"/>
  <c r="Z113" i="3" s="1"/>
  <c r="Z79" i="3"/>
  <c r="AZ19" i="3"/>
  <c r="BA19" i="3"/>
  <c r="X19" i="3"/>
  <c r="AA156" i="3" l="1"/>
  <c r="Z163" i="3"/>
  <c r="Z156" i="3"/>
  <c r="Z46" i="3"/>
  <c r="Z48" i="3" s="1"/>
  <c r="Z50" i="3" s="1"/>
  <c r="Z55" i="3" s="1"/>
  <c r="AC139" i="3" s="1"/>
  <c r="AC152" i="3"/>
  <c r="Z151" i="3"/>
  <c r="AA57" i="3"/>
  <c r="AA146" i="3"/>
  <c r="AA152" i="3"/>
  <c r="AD139" i="3"/>
  <c r="AB57" i="3"/>
  <c r="AB152" i="3"/>
  <c r="AB146" i="3"/>
  <c r="BC152" i="3"/>
  <c r="BC146" i="3"/>
  <c r="BC139" i="3"/>
  <c r="T57" i="3"/>
  <c r="W139" i="3"/>
  <c r="V146" i="3"/>
  <c r="Y139" i="3"/>
  <c r="U57" i="3"/>
  <c r="X139" i="3"/>
  <c r="BA57" i="3"/>
  <c r="BA152" i="3"/>
  <c r="BA146" i="3"/>
  <c r="BD152" i="3"/>
  <c r="BD146" i="3"/>
  <c r="BD139" i="3"/>
  <c r="X57" i="3"/>
  <c r="X146" i="3"/>
  <c r="X152" i="3"/>
  <c r="AZ57" i="3"/>
  <c r="AZ146" i="3"/>
  <c r="AZ152" i="3"/>
  <c r="BA139" i="3"/>
  <c r="BB152" i="3"/>
  <c r="BB139" i="3"/>
  <c r="BB146" i="3"/>
  <c r="V139" i="3"/>
  <c r="W57" i="3"/>
  <c r="W146" i="3"/>
  <c r="W152" i="3"/>
  <c r="Y57" i="3"/>
  <c r="Y146" i="3"/>
  <c r="Y152" i="3"/>
  <c r="V57" i="3"/>
  <c r="BE152" i="3"/>
  <c r="BE146" i="3"/>
  <c r="BE139" i="3"/>
  <c r="AZ139" i="3"/>
  <c r="Z147" i="3"/>
  <c r="AB141" i="3"/>
  <c r="Y147" i="3"/>
  <c r="AA141" i="3"/>
  <c r="Z141" i="3"/>
  <c r="Y141" i="3"/>
  <c r="AA139" i="3" l="1"/>
  <c r="Z139" i="3"/>
  <c r="AB139" i="3"/>
  <c r="Z152" i="3"/>
  <c r="Z146" i="3"/>
  <c r="Z5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A5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William:
Cash equivalents &amp; short term investments.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<sst xmlns="http://schemas.openxmlformats.org/spreadsheetml/2006/main" count="1128" uniqueCount="511">
  <si>
    <t xml:space="preserve">Price </t>
  </si>
  <si>
    <t>Shares</t>
  </si>
  <si>
    <t>MC</t>
  </si>
  <si>
    <t>Cash</t>
  </si>
  <si>
    <t>Debt</t>
  </si>
  <si>
    <t>EV</t>
  </si>
  <si>
    <t>Company Name</t>
  </si>
  <si>
    <t>Ticker</t>
  </si>
  <si>
    <t>MVST</t>
  </si>
  <si>
    <t>USA</t>
  </si>
  <si>
    <t>Industrials</t>
  </si>
  <si>
    <t>Electrical Equipment &amp; Parts</t>
  </si>
  <si>
    <t xml:space="preserve">Quarter </t>
  </si>
  <si>
    <t>Filing Date</t>
  </si>
  <si>
    <t>Period of Report</t>
  </si>
  <si>
    <t>Revenue by Region</t>
  </si>
  <si>
    <t>Asia &amp; Pacific</t>
  </si>
  <si>
    <t>Europe</t>
  </si>
  <si>
    <t xml:space="preserve">Total </t>
  </si>
  <si>
    <t>Asia &amp; Pacific %</t>
  </si>
  <si>
    <t>Europe %</t>
  </si>
  <si>
    <t>Total %</t>
  </si>
  <si>
    <t>Income Statement *in thousands</t>
  </si>
  <si>
    <t>Revenue</t>
  </si>
  <si>
    <t>COGs</t>
  </si>
  <si>
    <t>Gross Profit</t>
  </si>
  <si>
    <t>Operating Expenses</t>
  </si>
  <si>
    <t>G&amp;A</t>
  </si>
  <si>
    <t>R&amp;D</t>
  </si>
  <si>
    <t>S&amp;M</t>
  </si>
  <si>
    <t>Total Operating Expenses</t>
  </si>
  <si>
    <t>Subsidy income</t>
  </si>
  <si>
    <t>Operating Income</t>
  </si>
  <si>
    <t>Other income and expenses</t>
  </si>
  <si>
    <t>Interest income</t>
  </si>
  <si>
    <t>Interest expense</t>
  </si>
  <si>
    <t>Loss on changes in fair value of Bridge Notes/convertible notes</t>
  </si>
  <si>
    <t>Gain on changes  in fair value of warrant liability</t>
  </si>
  <si>
    <t>Other income (expense)</t>
  </si>
  <si>
    <t>Income before taxes</t>
  </si>
  <si>
    <t>Net Income</t>
  </si>
  <si>
    <t>Less: Net income attributable to noncontrolling interests</t>
  </si>
  <si>
    <t>Net income attributable to Microvast Holdings, Inc.</t>
  </si>
  <si>
    <t>Less: Accretion of Series A1/C1 Preferred</t>
  </si>
  <si>
    <t>Less: Accretion of Series B1/C2 Preferred</t>
  </si>
  <si>
    <t>Less: Accretion of Series EEL/D1 Preferred</t>
  </si>
  <si>
    <t>Less: Accretion of noncontrolling interests</t>
  </si>
  <si>
    <t>Net income attributable to Common Stock shareholders of Microvast Holdings, Inc.</t>
  </si>
  <si>
    <t>EPS - Basic &amp; Diluted</t>
  </si>
  <si>
    <t>Shares - Basic &amp; Diluted</t>
  </si>
  <si>
    <t>Balance Sheet *in thousands</t>
  </si>
  <si>
    <t>Current Assets</t>
  </si>
  <si>
    <t>Cash &amp; cash equivalents</t>
  </si>
  <si>
    <t>Restricted cash, current</t>
  </si>
  <si>
    <t>AR</t>
  </si>
  <si>
    <t>Notes receivable</t>
  </si>
  <si>
    <t>Inventories</t>
  </si>
  <si>
    <t>Prepaid expenses and other current assets</t>
  </si>
  <si>
    <t>Amount due from related parties</t>
  </si>
  <si>
    <t>Total Current Assets</t>
  </si>
  <si>
    <t>Non-current Assets</t>
  </si>
  <si>
    <t>Restricted cash, non-current</t>
  </si>
  <si>
    <t>PP&amp;E</t>
  </si>
  <si>
    <t>Land use rights</t>
  </si>
  <si>
    <t>Acquired intangible assets</t>
  </si>
  <si>
    <t>Operating lease right-of-use assets</t>
  </si>
  <si>
    <t xml:space="preserve">Other non-current </t>
  </si>
  <si>
    <t>Total Non-current Assets</t>
  </si>
  <si>
    <t>Total Assets</t>
  </si>
  <si>
    <t>Current Liabilities</t>
  </si>
  <si>
    <t>AP</t>
  </si>
  <si>
    <t>Advance from customers</t>
  </si>
  <si>
    <t>Accrued expenses and other current liabilities</t>
  </si>
  <si>
    <t>Income tax payable</t>
  </si>
  <si>
    <t>Short-term bank borrowings</t>
  </si>
  <si>
    <t>Notes payable</t>
  </si>
  <si>
    <t>Bonds payable</t>
  </si>
  <si>
    <t>Total Current Liabilities</t>
  </si>
  <si>
    <t>Non-current Liabilities</t>
  </si>
  <si>
    <t>Deposit liabilitiy for series B2 convertible preferred shares</t>
  </si>
  <si>
    <t>Long-term bonds payable</t>
  </si>
  <si>
    <t>Warrant liability</t>
  </si>
  <si>
    <t>Share-based compensation liability</t>
  </si>
  <si>
    <t>Operating lease liabilities</t>
  </si>
  <si>
    <t>Other non-current liabilities</t>
  </si>
  <si>
    <t>Total Non-current Liabilities</t>
  </si>
  <si>
    <t>Total Liabilities</t>
  </si>
  <si>
    <t>Mezzanine Equity</t>
  </si>
  <si>
    <t>Series C1 covertible redeemable preferred shares</t>
  </si>
  <si>
    <t xml:space="preserve">Series C2 covertible redeemable preferred shares </t>
  </si>
  <si>
    <t xml:space="preserve">Series D1 covertible redeemable preferred shares </t>
  </si>
  <si>
    <t>Redeemable noncontrolling interests</t>
  </si>
  <si>
    <t>Total Mezzanine Equity</t>
  </si>
  <si>
    <t>Stockholders Equity</t>
  </si>
  <si>
    <t>Common stock</t>
  </si>
  <si>
    <t>Additional paid-in capital</t>
  </si>
  <si>
    <t xml:space="preserve">Statutory reserves </t>
  </si>
  <si>
    <t>Accumulated deficit</t>
  </si>
  <si>
    <t>Accumulated other comprehensive income</t>
  </si>
  <si>
    <t>Total Shareholders equity</t>
  </si>
  <si>
    <t>Total Equtiy and Liabilities</t>
  </si>
  <si>
    <t xml:space="preserve">CFFO </t>
  </si>
  <si>
    <t>CapEx</t>
  </si>
  <si>
    <t>FCF</t>
  </si>
  <si>
    <t>Revenue per share</t>
  </si>
  <si>
    <t>- -</t>
  </si>
  <si>
    <t>0.25</t>
  </si>
  <si>
    <t>1.09</t>
  </si>
  <si>
    <t>0.82</t>
  </si>
  <si>
    <t>0.69</t>
  </si>
  <si>
    <t>Earnings per share</t>
  </si>
  <si>
    <t>(0.24)</t>
  </si>
  <si>
    <t>(0.50)</t>
  </si>
  <si>
    <t>(1.16)</t>
  </si>
  <si>
    <t>(0.58)</t>
  </si>
  <si>
    <t>FCF per share</t>
  </si>
  <si>
    <t>(0.02)</t>
  </si>
  <si>
    <t>(0.03)</t>
  </si>
  <si>
    <t>(0.71)</t>
  </si>
  <si>
    <t>(0.70)</t>
  </si>
  <si>
    <t>Dividends per share</t>
  </si>
  <si>
    <t>CAPEX per share</t>
  </si>
  <si>
    <t>0.07</t>
  </si>
  <si>
    <t>0.19</t>
  </si>
  <si>
    <t>0.47</t>
  </si>
  <si>
    <t>0.44</t>
  </si>
  <si>
    <t>Book Value per sh.</t>
  </si>
  <si>
    <t>0.00</t>
  </si>
  <si>
    <t>0.93</t>
  </si>
  <si>
    <t>(3.88)</t>
  </si>
  <si>
    <t>3.69</t>
  </si>
  <si>
    <t>2.17</t>
  </si>
  <si>
    <t>Comm.Shares outs.</t>
  </si>
  <si>
    <t>8</t>
  </si>
  <si>
    <t>301</t>
  </si>
  <si>
    <t>99</t>
  </si>
  <si>
    <t>186</t>
  </si>
  <si>
    <t>Avg. annual P/E ratio</t>
  </si>
  <si>
    <t>(41.2)</t>
  </si>
  <si>
    <t>(21.4)</t>
  </si>
  <si>
    <t>(10.2)</t>
  </si>
  <si>
    <t>(1.5)</t>
  </si>
  <si>
    <t>P/E to S&amp;P500</t>
  </si>
  <si>
    <t>(1.7)</t>
  </si>
  <si>
    <t>(0.6)</t>
  </si>
  <si>
    <t>(0.3)</t>
  </si>
  <si>
    <t>(0.1)</t>
  </si>
  <si>
    <t>Avg. annual div. yield</t>
  </si>
  <si>
    <t>Revenue (m)</t>
  </si>
  <si>
    <t>76</t>
  </si>
  <si>
    <t>108</t>
  </si>
  <si>
    <t>152</t>
  </si>
  <si>
    <t>206</t>
  </si>
  <si>
    <t>Operating margin</t>
  </si>
  <si>
    <t>(70.5)%</t>
  </si>
  <si>
    <t>(27.1)%</t>
  </si>
  <si>
    <t>(127.7)%</t>
  </si>
  <si>
    <t>(88.8)%</t>
  </si>
  <si>
    <t>Depreciation (m)</t>
  </si>
  <si>
    <t>15</t>
  </si>
  <si>
    <t>17</t>
  </si>
  <si>
    <t>21</t>
  </si>
  <si>
    <t>Net profit (m)</t>
  </si>
  <si>
    <t>(73)</t>
  </si>
  <si>
    <t>(50)</t>
  </si>
  <si>
    <t>(216)</t>
  </si>
  <si>
    <t>(171)</t>
  </si>
  <si>
    <t>Income tax rate</t>
  </si>
  <si>
    <t>(0.3)%</t>
  </si>
  <si>
    <t>(0.0)%</t>
  </si>
  <si>
    <t>0.2%</t>
  </si>
  <si>
    <t>Net profit margin</t>
  </si>
  <si>
    <t>(95.0)%</t>
  </si>
  <si>
    <t>(46.1)%</t>
  </si>
  <si>
    <t>(142.1)%</t>
  </si>
  <si>
    <t>(88.1)%</t>
  </si>
  <si>
    <t>Working capital (m)</t>
  </si>
  <si>
    <t>(0)</t>
  </si>
  <si>
    <t>0</t>
  </si>
  <si>
    <t>6</t>
  </si>
  <si>
    <t>531</t>
  </si>
  <si>
    <t>336</t>
  </si>
  <si>
    <t>Long-term debt (m)</t>
  </si>
  <si>
    <t>73</t>
  </si>
  <si>
    <t>51</t>
  </si>
  <si>
    <t>Equity (m)</t>
  </si>
  <si>
    <t>280</t>
  </si>
  <si>
    <t>(385)</t>
  </si>
  <si>
    <t>687</t>
  </si>
  <si>
    <t>616</t>
  </si>
  <si>
    <t>ROIC</t>
  </si>
  <si>
    <t>(23.6)%</t>
  </si>
  <si>
    <t>(33.7)%</t>
  </si>
  <si>
    <t>(25.7)%</t>
  </si>
  <si>
    <t>(22.7)%</t>
  </si>
  <si>
    <t>Return on capital</t>
  </si>
  <si>
    <t>(23.5)%</t>
  </si>
  <si>
    <t>(14.0)%</t>
  </si>
  <si>
    <t>(21.2)%</t>
  </si>
  <si>
    <t>(17.3)%</t>
  </si>
  <si>
    <t>Return on equity</t>
  </si>
  <si>
    <t>(25.9)%</t>
  </si>
  <si>
    <t>12.9%</t>
  </si>
  <si>
    <t>(31.5)%</t>
  </si>
  <si>
    <t>(27.8)%</t>
  </si>
  <si>
    <t>Plowback ratio</t>
  </si>
  <si>
    <t>100.0%</t>
  </si>
  <si>
    <t>Div.&amp;Repurch./FCF</t>
  </si>
  <si>
    <t>2018</t>
  </si>
  <si>
    <t>2019</t>
  </si>
  <si>
    <t>2020</t>
  </si>
  <si>
    <t>2021</t>
  </si>
  <si>
    <t>COGS</t>
  </si>
  <si>
    <t>77</t>
  </si>
  <si>
    <t>90</t>
  </si>
  <si>
    <t>195</t>
  </si>
  <si>
    <t>(43)</t>
  </si>
  <si>
    <t>Gross Profit Ratio</t>
  </si>
  <si>
    <t>(0.30)%</t>
  </si>
  <si>
    <t>15.94%</t>
  </si>
  <si>
    <t>(28.12)%</t>
  </si>
  <si>
    <t>54</t>
  </si>
  <si>
    <t>46</t>
  </si>
  <si>
    <t>151</t>
  </si>
  <si>
    <t>R&amp;D Expenses</t>
  </si>
  <si>
    <t>26</t>
  </si>
  <si>
    <t>34</t>
  </si>
  <si>
    <t>Selling, G&amp;A Exp.</t>
  </si>
  <si>
    <t>31</t>
  </si>
  <si>
    <t>33</t>
  </si>
  <si>
    <t>123</t>
  </si>
  <si>
    <t>General and Admin. Exp.</t>
  </si>
  <si>
    <t>19</t>
  </si>
  <si>
    <t>102</t>
  </si>
  <si>
    <t>Selling and Marketing Exp.</t>
  </si>
  <si>
    <t>16</t>
  </si>
  <si>
    <t>14</t>
  </si>
  <si>
    <t>Other Expenses</t>
  </si>
  <si>
    <t>(3)</t>
  </si>
  <si>
    <t>(6)</t>
  </si>
  <si>
    <t>COGS and Expenses</t>
  </si>
  <si>
    <t>130</t>
  </si>
  <si>
    <t>137</t>
  </si>
  <si>
    <t>346</t>
  </si>
  <si>
    <t>Interest Income</t>
  </si>
  <si>
    <t>1</t>
  </si>
  <si>
    <t>Interest Expense</t>
  </si>
  <si>
    <t>5</t>
  </si>
  <si>
    <t>Depreciation and Amortization</t>
  </si>
  <si>
    <t>EBITDA</t>
  </si>
  <si>
    <t>(51)</t>
  </si>
  <si>
    <t>(27)</t>
  </si>
  <si>
    <t>(190)</t>
  </si>
  <si>
    <t>EBITDA ratio</t>
  </si>
  <si>
    <t>(66.28)%</t>
  </si>
  <si>
    <t>(25.13)%</t>
  </si>
  <si>
    <t>(124.94)%</t>
  </si>
  <si>
    <t>(54)</t>
  </si>
  <si>
    <t>(29)</t>
  </si>
  <si>
    <t>(194)</t>
  </si>
  <si>
    <t>Operating Income ratio</t>
  </si>
  <si>
    <t>(70.47)%</t>
  </si>
  <si>
    <t>(27.07)%</t>
  </si>
  <si>
    <t>(127.69)%</t>
  </si>
  <si>
    <t>Total Other Income Exp.(Gains)</t>
  </si>
  <si>
    <t>(5)</t>
  </si>
  <si>
    <t>(12)</t>
  </si>
  <si>
    <t>Income Before Tax</t>
  </si>
  <si>
    <t>(59)</t>
  </si>
  <si>
    <t>(34)</t>
  </si>
  <si>
    <t>(206)</t>
  </si>
  <si>
    <t>Income Before Tax ratio</t>
  </si>
  <si>
    <t>(77.81)%</t>
  </si>
  <si>
    <t>(31.27)%</t>
  </si>
  <si>
    <t>(135.87)%</t>
  </si>
  <si>
    <t>Income Tax Expense (Gain)</t>
  </si>
  <si>
    <t>Net Income Ratio</t>
  </si>
  <si>
    <t>(94.97)%</t>
  </si>
  <si>
    <t>(46.09)%</t>
  </si>
  <si>
    <t>(142.13)%</t>
  </si>
  <si>
    <t>EPS</t>
  </si>
  <si>
    <t>(0.38)</t>
  </si>
  <si>
    <t>(0.27)</t>
  </si>
  <si>
    <t>(1.26)</t>
  </si>
  <si>
    <t>EPS Diluted</t>
  </si>
  <si>
    <t>Weighted Avg. Shares Outs.</t>
  </si>
  <si>
    <t>Weighted Avg. Shares Outs. Dil.</t>
  </si>
  <si>
    <t>Cash and Cash Equivalents</t>
  </si>
  <si>
    <t>481</t>
  </si>
  <si>
    <t>Short-Term Investments</t>
  </si>
  <si>
    <t>Cash &amp; Short-Term Investments</t>
  </si>
  <si>
    <t>Net Receivables</t>
  </si>
  <si>
    <t>100</t>
  </si>
  <si>
    <t>104</t>
  </si>
  <si>
    <t>Inventory</t>
  </si>
  <si>
    <t>45</t>
  </si>
  <si>
    <t>53</t>
  </si>
  <si>
    <t>Other Current Assets</t>
  </si>
  <si>
    <t>23</t>
  </si>
  <si>
    <t>68</t>
  </si>
  <si>
    <t>189</t>
  </si>
  <si>
    <t>707</t>
  </si>
  <si>
    <t>198</t>
  </si>
  <si>
    <t>253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</si>
  <si>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</si>
  <si>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</si>
  <si>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</si>
  <si>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</si>
  <si>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</si>
  <si>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</si>
  <si>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20</t>
  </si>
  <si>
    <t>Total Non-Current Assets</t>
  </si>
  <si>
    <t>215</t>
  </si>
  <si>
    <t>289</t>
  </si>
  <si>
    <t>Other Assets</t>
  </si>
  <si>
    <t>405</t>
  </si>
  <si>
    <t>995</t>
  </si>
  <si>
    <t>Accounts Payable</t>
  </si>
  <si>
    <t>42</t>
  </si>
  <si>
    <t>40</t>
  </si>
  <si>
    <t>Short-Term Debt</t>
  </si>
  <si>
    <t>78</t>
  </si>
  <si>
    <t>74</t>
  </si>
  <si>
    <t>Tax Payable</t>
  </si>
  <si>
    <t>2</t>
  </si>
  <si>
    <t>Deferred Revenue</t>
  </si>
  <si>
    <t>Other Current Liabilities</t>
  </si>
  <si>
    <t>59</t>
  </si>
  <si>
    <t>58</t>
  </si>
  <si>
    <t>184</t>
  </si>
  <si>
    <t>176</t>
  </si>
  <si>
    <t>Long-Term Debt</t>
  </si>
  <si>
    <t>Deferred Tax Liabilities</t>
  </si>
  <si>
    <t>Other Non-Current Liabilities</t>
  </si>
  <si>
    <t>440</t>
  </si>
  <si>
    <t>Total Non-Current Liabilities</t>
  </si>
  <si>
    <t>515</t>
  </si>
  <si>
    <t>133</t>
  </si>
  <si>
    <t>Other Liabilities</t>
  </si>
  <si>
    <t>Capital Lease Obligations</t>
  </si>
  <si>
    <t>698</t>
  </si>
  <si>
    <t>309</t>
  </si>
  <si>
    <t>Preferred Stock</t>
  </si>
  <si>
    <t>Common Stock</t>
  </si>
  <si>
    <t>275</t>
  </si>
  <si>
    <t>Retained Earnings</t>
  </si>
  <si>
    <t>3</t>
  </si>
  <si>
    <t>(398)</t>
  </si>
  <si>
    <t>(632)</t>
  </si>
  <si>
    <t>Other Compreh. Income(Loss)</t>
  </si>
  <si>
    <t>13</t>
  </si>
  <si>
    <t>Other Total Stockhold. Equity</t>
  </si>
  <si>
    <t>1,306</t>
  </si>
  <si>
    <t>Total Stockholders Equity</t>
  </si>
  <si>
    <t>Total Liab.&amp;Stockhold. Equity</t>
  </si>
  <si>
    <t>314</t>
  </si>
  <si>
    <t>Minority Interest</t>
  </si>
  <si>
    <t>91</t>
  </si>
  <si>
    <t>Total Liabilities &amp; Equity</t>
  </si>
  <si>
    <t>(60)</t>
  </si>
  <si>
    <t>Deferred Income Tax</t>
  </si>
  <si>
    <t>Stock Based Compensation</t>
  </si>
  <si>
    <t>83</t>
  </si>
  <si>
    <t>Change in Working Capital</t>
  </si>
  <si>
    <t>52</t>
  </si>
  <si>
    <t>27</t>
  </si>
  <si>
    <t>(24)</t>
  </si>
  <si>
    <t>Accounts Receivable</t>
  </si>
  <si>
    <t>47</t>
  </si>
  <si>
    <t>(4)</t>
  </si>
  <si>
    <t>10</t>
  </si>
  <si>
    <t>(26)</t>
  </si>
  <si>
    <t>(13)</t>
  </si>
  <si>
    <t>4</t>
  </si>
  <si>
    <t>(2)</t>
  </si>
  <si>
    <t>Other Working Capital</t>
  </si>
  <si>
    <t>(1)</t>
  </si>
  <si>
    <t>Other Non-Cash Items</t>
  </si>
  <si>
    <t>82</t>
  </si>
  <si>
    <t>Cash Provided by Operating Activities</t>
  </si>
  <si>
    <t>(45)</t>
  </si>
  <si>
    <t>CAPEX</t>
  </si>
  <si>
    <t>(20)</t>
  </si>
  <si>
    <t>(19)</t>
  </si>
  <si>
    <t>(88)</t>
  </si>
  <si>
    <t>Acquisitions Net</t>
  </si>
  <si>
    <t>Purchases of Investments</t>
  </si>
  <si>
    <t>Sales/Maturities of Investments</t>
  </si>
  <si>
    <t>37</t>
  </si>
  <si>
    <t>Other Investing Activities</t>
  </si>
  <si>
    <t>Cash Used for Investing Activities</t>
  </si>
  <si>
    <t>(18)</t>
  </si>
  <si>
    <t>Debt Repayment</t>
  </si>
  <si>
    <t>(101)</t>
  </si>
  <si>
    <t>(37)</t>
  </si>
  <si>
    <t>(46)</t>
  </si>
  <si>
    <t>Common Stock Issued</t>
  </si>
  <si>
    <t>Common Stock Repurchased</t>
  </si>
  <si>
    <t>Dividends Paid</t>
  </si>
  <si>
    <t>Other Financing Activities</t>
  </si>
  <si>
    <t>49</t>
  </si>
  <si>
    <t>36</t>
  </si>
  <si>
    <t>671</t>
  </si>
  <si>
    <t>Cash Used/Provided by Financing Activities</t>
  </si>
  <si>
    <t>(52)</t>
  </si>
  <si>
    <t>625</t>
  </si>
  <si>
    <t>Effect of Forex Changes on Cash</t>
  </si>
  <si>
    <t>Net Change In Cash</t>
  </si>
  <si>
    <t>(44)</t>
  </si>
  <si>
    <t>495</t>
  </si>
  <si>
    <t>Cash at the End of Period</t>
  </si>
  <si>
    <t>41</t>
  </si>
  <si>
    <t>536</t>
  </si>
  <si>
    <t>Cash at the Beginning of Period</t>
  </si>
  <si>
    <t>86</t>
  </si>
  <si>
    <t>Free Cash Flow</t>
  </si>
  <si>
    <t>(7)</t>
  </si>
  <si>
    <t>(133)</t>
  </si>
  <si>
    <t>SBI</t>
  </si>
  <si>
    <t>SBC</t>
  </si>
  <si>
    <t>SBB</t>
  </si>
  <si>
    <t>Dividends</t>
  </si>
  <si>
    <t>Long-term bank borrowings</t>
  </si>
  <si>
    <t>Stock Prices</t>
  </si>
  <si>
    <t xml:space="preserve">High </t>
  </si>
  <si>
    <t>Low</t>
  </si>
  <si>
    <t>Average</t>
  </si>
  <si>
    <t>Noncontrolling interests</t>
  </si>
  <si>
    <t>U.S.</t>
  </si>
  <si>
    <t>U.S. %</t>
  </si>
  <si>
    <t>Q122</t>
  </si>
  <si>
    <t>Q222</t>
  </si>
  <si>
    <t>Q322</t>
  </si>
  <si>
    <t>Q422</t>
  </si>
  <si>
    <t>Q123</t>
  </si>
  <si>
    <t>Q223</t>
  </si>
  <si>
    <t>Cash Flow *in thousands, USD</t>
  </si>
  <si>
    <t>Stock Statistics</t>
  </si>
  <si>
    <t>Marketcap</t>
  </si>
  <si>
    <t>P/S</t>
  </si>
  <si>
    <t>P/E</t>
  </si>
  <si>
    <t>P/B</t>
  </si>
  <si>
    <t>P/FCF</t>
  </si>
  <si>
    <t xml:space="preserve">Growth </t>
  </si>
  <si>
    <t>Revenue Growth</t>
  </si>
  <si>
    <t xml:space="preserve">Earnings Growth </t>
  </si>
  <si>
    <t>FCF Growth</t>
  </si>
  <si>
    <t>Margins</t>
  </si>
  <si>
    <t>Gross Margin</t>
  </si>
  <si>
    <t>Operating Margin</t>
  </si>
  <si>
    <t>Profit Margin</t>
  </si>
  <si>
    <t xml:space="preserve">Per/Share </t>
  </si>
  <si>
    <t>Cash/Share</t>
  </si>
  <si>
    <t>Debt/Share</t>
  </si>
  <si>
    <t>Enterprise Value</t>
  </si>
  <si>
    <t>Net Cash</t>
  </si>
  <si>
    <t>Net Assets</t>
  </si>
  <si>
    <t>Country</t>
  </si>
  <si>
    <t>Sector</t>
  </si>
  <si>
    <t>Industry</t>
  </si>
  <si>
    <t>HQ</t>
  </si>
  <si>
    <t>Founded</t>
  </si>
  <si>
    <t>Microvast Holdings Inc.</t>
  </si>
  <si>
    <t>Stafford, Texas</t>
  </si>
  <si>
    <t>Employees</t>
  </si>
  <si>
    <t>Info</t>
  </si>
  <si>
    <t>The company offers a range of cell chemistries, such as lithium titanate oxide, lithium iron phosphate, and nickel manganese cobalt version 1 and 2. </t>
  </si>
  <si>
    <t> It also designs, develops, and manufactures battery components, such as cathode, anode, electrolyte, and separator.</t>
  </si>
  <si>
    <t>In addition, the company offers battery solutions for commercial vehicles and energy storage systems.</t>
  </si>
  <si>
    <r>
      <t xml:space="preserve"> Its commercial vehicle markets cover </t>
    </r>
    <r>
      <rPr>
        <b/>
        <u/>
        <sz val="11"/>
        <color rgb="FF232A31"/>
        <rFont val="Arial"/>
        <family val="2"/>
      </rPr>
      <t>buses, trains, mining trucks, marine and port applications, and automated guided and specialty vehicles, as well as light, medium, heavy-duty trucks.</t>
    </r>
  </si>
  <si>
    <r>
      <t xml:space="preserve">Microvast Holdings, Inc. designs, develops, and </t>
    </r>
    <r>
      <rPr>
        <b/>
        <u/>
        <sz val="11"/>
        <color rgb="FF232A31"/>
        <rFont val="Arial"/>
        <family val="2"/>
      </rPr>
      <t>manufactures battery systems</t>
    </r>
    <r>
      <rPr>
        <u/>
        <sz val="11"/>
        <color rgb="FF232A31"/>
        <rFont val="Arial"/>
        <family val="2"/>
      </rPr>
      <t xml:space="preserve"> for electric vehicles </t>
    </r>
    <r>
      <rPr>
        <sz val="11"/>
        <color rgb="FF232A31"/>
        <rFont val="Arial"/>
        <family val="2"/>
      </rPr>
      <t xml:space="preserve">and </t>
    </r>
    <r>
      <rPr>
        <u/>
        <sz val="11"/>
        <color rgb="FF232A31"/>
        <rFont val="Arial"/>
        <family val="2"/>
      </rPr>
      <t xml:space="preserve">energy storage </t>
    </r>
    <r>
      <rPr>
        <sz val="11"/>
        <color rgb="FF232A31"/>
        <rFont val="Arial"/>
        <family val="2"/>
      </rPr>
      <t>systems in the United States, China, rest of the Asia Pacific, and Europe.</t>
    </r>
  </si>
  <si>
    <t>Industry Projections</t>
  </si>
  <si>
    <t>Marketsize *in billions</t>
  </si>
  <si>
    <t xml:space="preserve">Competitors </t>
  </si>
  <si>
    <t>MarketShare</t>
  </si>
  <si>
    <t>Location</t>
  </si>
  <si>
    <t>CATL</t>
  </si>
  <si>
    <t>LG Energy Solution</t>
  </si>
  <si>
    <t>BYD</t>
  </si>
  <si>
    <t>Panasonic</t>
  </si>
  <si>
    <t>China</t>
  </si>
  <si>
    <t>Korea</t>
  </si>
  <si>
    <t>Japan</t>
  </si>
  <si>
    <t>Other</t>
  </si>
  <si>
    <t>SK on</t>
  </si>
  <si>
    <t>Samsung SDI</t>
  </si>
  <si>
    <t>CALB</t>
  </si>
  <si>
    <t>Guoxuan</t>
  </si>
  <si>
    <t>Sunwodr??</t>
  </si>
  <si>
    <t>sVolt</t>
  </si>
  <si>
    <t>Total</t>
  </si>
  <si>
    <t>Taxes (expense)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</si>
  <si>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</si>
  <si>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</si>
  <si>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</si>
  <si>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</si>
  <si>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</si>
  <si>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</si>
  <si>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</si>
  <si>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</si>
  <si>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</si>
  <si>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</si>
  <si>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</si>
  <si>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</si>
  <si>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Rev/Share (TTM)</t>
  </si>
  <si>
    <t>EPS (TTM)</t>
  </si>
  <si>
    <t>Current Ratio</t>
  </si>
  <si>
    <t>Book/Share</t>
  </si>
  <si>
    <t>3-month Adjusted</t>
  </si>
  <si>
    <t xml:space="preserve">PRC </t>
  </si>
  <si>
    <t>Other Asia &amp; Pacific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</si>
</sst>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164" formatCode="_([$$-409]* #,##0.00_);_([$$-409]* \(#,##0.00\);_([$$-409]* &quot;-&quot;??_);_(@_)"/>
    <numFmt numFmtId="165" formatCode="&quot;$&quot;#,##0.00"/>
  </numFmts>
  <fonts count="1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  <font>
      <sz val="11"/>
      <color rgb="FF232A31"/>
      <name val="Arial"/>
      <family val="2"/>
    </font>
    <font>
      <b/>
      <u/>
      <sz val="11"/>
      <color rgb="FF232A31"/>
      <name val="Arial"/>
      <family val="2"/>
    </font>
    <font>
      <u/>
      <sz val="11"/>
      <color rgb="FF232A3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164" fontId="0" fillId="0" borderId="0" xfId="0" applyNumberFormat="1"/>
    <xf numFmtId="0" fontId="0" fillId="0" borderId="3" xfId="0" applyBorder="1"/>
    <xf numFmtId="3" fontId="0" fillId="0" borderId="0" xfId="0" applyNumberFormat="1"/>
    <xf numFmtId="0" fontId="0" fillId="0" borderId="4" xfId="0" applyBorder="1"/>
    <xf numFmtId="0" fontId="0" fillId="0" borderId="0" xfId="0" applyAlignment="1">
      <alignment wrapText="1"/>
    </xf>
    <xf numFmtId="0" fontId="3" fillId="2" borderId="0" xfId="0" applyFont="1" applyFill="1"/>
    <xf numFmtId="0" fontId="2" fillId="2" borderId="5" xfId="0" applyFont="1" applyFill="1" applyBorder="1"/>
    <xf numFmtId="0" fontId="2" fillId="2" borderId="0" xfId="0" applyFont="1" applyFill="1"/>
    <xf numFmtId="0" fontId="4" fillId="3" borderId="0" xfId="0" applyFont="1" applyFill="1"/>
    <xf numFmtId="0" fontId="5" fillId="3" borderId="0" xfId="0" applyFont="1" applyFill="1"/>
    <xf numFmtId="0" fontId="0" fillId="0" borderId="6" xfId="0" applyBorder="1"/>
    <xf numFmtId="0" fontId="3" fillId="0" borderId="6" xfId="0" applyFont="1" applyBorder="1"/>
    <xf numFmtId="0" fontId="3" fillId="0" borderId="0" xfId="0" applyFont="1"/>
    <xf numFmtId="3" fontId="0" fillId="0" borderId="6" xfId="0" applyNumberFormat="1" applyBorder="1"/>
    <xf numFmtId="3" fontId="3" fillId="0" borderId="0" xfId="0" applyNumberFormat="1" applyFont="1"/>
    <xf numFmtId="3" fontId="5" fillId="3" borderId="0" xfId="0" applyNumberFormat="1" applyFont="1" applyFill="1"/>
    <xf numFmtId="3" fontId="3" fillId="2" borderId="0" xfId="0" applyNumberFormat="1" applyFont="1" applyFill="1"/>
    <xf numFmtId="3" fontId="2" fillId="2" borderId="5" xfId="0" applyNumberFormat="1" applyFont="1" applyFill="1" applyBorder="1"/>
    <xf numFmtId="3" fontId="2" fillId="2" borderId="0" xfId="0" applyNumberFormat="1" applyFont="1" applyFill="1"/>
    <xf numFmtId="4" fontId="0" fillId="0" borderId="0" xfId="0" applyNumberFormat="1"/>
    <xf numFmtId="3" fontId="4" fillId="3" borderId="0" xfId="0" applyNumberFormat="1" applyFont="1" applyFill="1"/>
    <xf numFmtId="3" fontId="3" fillId="0" borderId="6" xfId="0" applyNumberFormat="1" applyFont="1" applyBorder="1"/>
    <xf numFmtId="3" fontId="3" fillId="0" borderId="7" xfId="0" applyNumberFormat="1" applyFont="1" applyBorder="1"/>
    <xf numFmtId="0" fontId="3" fillId="0" borderId="7" xfId="0" applyFont="1" applyBorder="1"/>
    <xf numFmtId="3" fontId="6" fillId="3" borderId="0" xfId="0" applyNumberFormat="1" applyFont="1" applyFill="1"/>
    <xf numFmtId="0" fontId="2" fillId="2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3" fontId="0" fillId="0" borderId="6" xfId="0" applyNumberFormat="1" applyBorder="1" applyAlignment="1">
      <alignment wrapText="1"/>
    </xf>
    <xf numFmtId="3" fontId="3" fillId="0" borderId="0" xfId="0" applyNumberFormat="1" applyFont="1" applyAlignment="1">
      <alignment wrapText="1"/>
    </xf>
    <xf numFmtId="9" fontId="0" fillId="0" borderId="0" xfId="0" applyNumberFormat="1"/>
    <xf numFmtId="9" fontId="0" fillId="0" borderId="0" xfId="0" applyNumberFormat="1" applyAlignment="1">
      <alignment wrapText="1"/>
    </xf>
    <xf numFmtId="9" fontId="0" fillId="0" borderId="6" xfId="0" applyNumberFormat="1" applyBorder="1"/>
    <xf numFmtId="9" fontId="0" fillId="0" borderId="6" xfId="0" applyNumberFormat="1" applyBorder="1" applyAlignment="1">
      <alignment wrapText="1"/>
    </xf>
    <xf numFmtId="9" fontId="3" fillId="0" borderId="0" xfId="0" applyNumberFormat="1" applyFont="1"/>
    <xf numFmtId="14" fontId="0" fillId="0" borderId="0" xfId="0" applyNumberFormat="1"/>
    <xf numFmtId="0" fontId="0" fillId="0" borderId="8" xfId="0" applyBorder="1"/>
    <xf numFmtId="14" fontId="0" fillId="0" borderId="8" xfId="0" applyNumberFormat="1" applyBorder="1"/>
    <xf numFmtId="0" fontId="2" fillId="2" borderId="8" xfId="0" applyFont="1" applyFill="1" applyBorder="1"/>
    <xf numFmtId="3" fontId="0" fillId="0" borderId="8" xfId="0" applyNumberFormat="1" applyBorder="1"/>
    <xf numFmtId="3" fontId="0" fillId="0" borderId="9" xfId="0" applyNumberFormat="1" applyBorder="1"/>
    <xf numFmtId="3" fontId="3" fillId="0" borderId="8" xfId="0" applyNumberFormat="1" applyFont="1" applyBorder="1"/>
    <xf numFmtId="0" fontId="5" fillId="3" borderId="8" xfId="0" applyFont="1" applyFill="1" applyBorder="1"/>
    <xf numFmtId="0" fontId="3" fillId="2" borderId="8" xfId="0" applyFont="1" applyFill="1" applyBorder="1"/>
    <xf numFmtId="3" fontId="5" fillId="3" borderId="8" xfId="0" applyNumberFormat="1" applyFont="1" applyFill="1" applyBorder="1"/>
    <xf numFmtId="3" fontId="3" fillId="2" borderId="8" xfId="0" applyNumberFormat="1" applyFont="1" applyFill="1" applyBorder="1"/>
    <xf numFmtId="3" fontId="3" fillId="0" borderId="9" xfId="0" applyNumberFormat="1" applyFont="1" applyBorder="1"/>
    <xf numFmtId="3" fontId="3" fillId="0" borderId="10" xfId="0" applyNumberFormat="1" applyFont="1" applyBorder="1"/>
    <xf numFmtId="3" fontId="4" fillId="3" borderId="8" xfId="0" applyNumberFormat="1" applyFont="1" applyFill="1" applyBorder="1"/>
    <xf numFmtId="0" fontId="0" fillId="0" borderId="8" xfId="0" applyBorder="1" applyAlignment="1">
      <alignment wrapText="1"/>
    </xf>
    <xf numFmtId="0" fontId="2" fillId="2" borderId="8" xfId="0" applyFont="1" applyFill="1" applyBorder="1" applyAlignment="1">
      <alignment wrapText="1"/>
    </xf>
    <xf numFmtId="3" fontId="0" fillId="0" borderId="8" xfId="0" applyNumberFormat="1" applyBorder="1" applyAlignment="1">
      <alignment wrapText="1"/>
    </xf>
    <xf numFmtId="3" fontId="0" fillId="0" borderId="9" xfId="0" applyNumberFormat="1" applyBorder="1" applyAlignment="1">
      <alignment wrapText="1"/>
    </xf>
    <xf numFmtId="3" fontId="3" fillId="0" borderId="8" xfId="0" applyNumberFormat="1" applyFont="1" applyBorder="1" applyAlignment="1">
      <alignment wrapText="1"/>
    </xf>
    <xf numFmtId="9" fontId="0" fillId="0" borderId="8" xfId="0" applyNumberFormat="1" applyBorder="1" applyAlignment="1">
      <alignment wrapText="1"/>
    </xf>
    <xf numFmtId="9" fontId="0" fillId="0" borderId="9" xfId="0" applyNumberFormat="1" applyBorder="1" applyAlignment="1">
      <alignment wrapText="1"/>
    </xf>
    <xf numFmtId="0" fontId="3" fillId="0" borderId="8" xfId="0" applyFont="1" applyBorder="1" applyAlignment="1">
      <alignment wrapText="1"/>
    </xf>
    <xf numFmtId="0" fontId="5" fillId="3" borderId="8" xfId="0" applyFont="1" applyFill="1" applyBorder="1" applyAlignment="1">
      <alignment wrapText="1"/>
    </xf>
    <xf numFmtId="3" fontId="2" fillId="2" borderId="8" xfId="0" applyNumberFormat="1" applyFont="1" applyFill="1" applyBorder="1"/>
    <xf numFmtId="16" fontId="2" fillId="2" borderId="0" xfId="0" applyNumberFormat="1" applyFont="1" applyFill="1"/>
    <xf numFmtId="1" fontId="0" fillId="0" borderId="0" xfId="0" applyNumberFormat="1"/>
    <xf numFmtId="16" fontId="2" fillId="2" borderId="8" xfId="0" applyNumberFormat="1" applyFont="1" applyFill="1" applyBorder="1"/>
    <xf numFmtId="9" fontId="0" fillId="0" borderId="8" xfId="0" applyNumberFormat="1" applyBorder="1"/>
    <xf numFmtId="9" fontId="0" fillId="0" borderId="9" xfId="0" applyNumberFormat="1" applyBorder="1"/>
    <xf numFmtId="9" fontId="3" fillId="0" borderId="8" xfId="0" applyNumberFormat="1" applyFont="1" applyBorder="1"/>
    <xf numFmtId="4" fontId="0" fillId="0" borderId="8" xfId="0" applyNumberFormat="1" applyBorder="1"/>
    <xf numFmtId="4" fontId="3" fillId="0" borderId="0" xfId="0" applyNumberFormat="1" applyFont="1"/>
    <xf numFmtId="0" fontId="1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9" fillId="0" borderId="0" xfId="0" applyFont="1"/>
    <xf numFmtId="42" fontId="0" fillId="0" borderId="0" xfId="0" applyNumberFormat="1"/>
    <xf numFmtId="165" fontId="0" fillId="0" borderId="0" xfId="0" applyNumberFormat="1"/>
    <xf numFmtId="165" fontId="0" fillId="0" borderId="8" xfId="0" applyNumberFormat="1" applyBorder="1"/>
    <xf numFmtId="2" fontId="0" fillId="0" borderId="0" xfId="0" applyNumberFormat="1"/>
    <xf numFmtId="2" fontId="0" fillId="0" borderId="8" xfId="0" applyNumberFormat="1" applyBorder="1"/>
    <xf numFmtId="10" fontId="0" fillId="0" borderId="0" xfId="0" applyNumberFormat="1"/>
    <xf numFmtId="10" fontId="0" fillId="0" borderId="8" xfId="0" applyNumberFormat="1" applyBorder="1"/>
    <xf numFmtId="9" fontId="0" fillId="0" borderId="0" xfId="0" applyNumberFormat="1" applyFont="1"/>
    <xf numFmtId="9" fontId="0" fillId="0" borderId="8" xfId="0" applyNumberFormat="1" applyFont="1" applyBorder="1"/>
    <xf numFmtId="165" fontId="3" fillId="0" borderId="0" xfId="0" applyNumberFormat="1" applyFont="1"/>
    <xf numFmtId="165" fontId="3" fillId="0" borderId="8" xfId="0" applyNumberFormat="1" applyFont="1" applyBorder="1"/>
    <xf numFmtId="0" fontId="12" fillId="0" borderId="0" xfId="0" applyFont="1" applyFill="1"/>
    <xf numFmtId="0" fontId="12" fillId="0" borderId="0" xfId="0" applyFont="1" applyFill="1" applyAlignment="1">
      <alignment wrapText="1"/>
    </xf>
    <xf numFmtId="0" fontId="12" fillId="0" borderId="8" xfId="0" applyFont="1" applyFill="1" applyBorder="1" applyAlignment="1">
      <alignment wrapText="1"/>
    </xf>
    <xf numFmtId="0" fontId="12" fillId="0" borderId="8" xfId="0" applyFont="1" applyFill="1" applyBorder="1"/>
    <xf numFmtId="0" fontId="12" fillId="0" borderId="6" xfId="0" applyFont="1" applyFill="1" applyBorder="1"/>
    <xf numFmtId="0" fontId="12" fillId="0" borderId="6" xfId="0" applyFont="1" applyFill="1" applyBorder="1" applyAlignment="1">
      <alignment wrapText="1"/>
    </xf>
    <xf numFmtId="0" fontId="12" fillId="0" borderId="9" xfId="0" applyFont="1" applyFill="1" applyBorder="1" applyAlignment="1">
      <alignment wrapText="1"/>
    </xf>
    <xf numFmtId="0" fontId="12" fillId="0" borderId="9" xfId="0" applyFont="1" applyFill="1" applyBorder="1"/>
    <xf numFmtId="3" fontId="0" fillId="0" borderId="11" xfId="0" applyNumberFormat="1" applyBorder="1"/>
    <xf numFmtId="3" fontId="0" fillId="0" borderId="0" xfId="0" applyNumberFormat="1" applyBorder="1"/>
    <xf numFmtId="0" fontId="12" fillId="0" borderId="1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26</xdr:row>
      <xdr:rowOff>127001</xdr:rowOff>
    </xdr:from>
    <xdr:to>
      <xdr:col>17</xdr:col>
      <xdr:colOff>5850</xdr:colOff>
      <xdr:row>50</xdr:row>
      <xdr:rowOff>76201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84D49D-927C-59F2-8811-16DBBBBB1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1800" y="4914901"/>
          <a:ext cx="6006600" cy="436880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Price</v>
    <v>0</v>
  </rv>
  <rv s="0">
    <v>12</v>
    <v>Shares outstanding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15" sqref="C15"/>
    </sheetView>
  </sheetViews>
  <sheetFormatPr defaultRowHeight="14.5" x14ac:dyDescent="0.35"/>
  <sheetData>
    <row r="1" spans="1:2" ht="15" customHeight="1" thickBot="1" x14ac:dyDescent="0.4">
      <c r="A1" t="e">
        <v>#VALUE!</v>
      </c>
    </row>
    <row r="2" spans="1:2" x14ac:dyDescent="0.35">
      <c r="A2" s="2" t="s">
        <v>0</v>
      </c>
      <c r="B2" s="3" t="e" vm="1">
        <f t="array" ref="B2">_FV(A1,"Price")</f>
        <v>#VALUE!</v>
      </c>
    </row>
    <row r="3" spans="1:2" x14ac:dyDescent="0.35">
      <c r="A3" s="4" t="s">
        <v>1</v>
      </c>
      <c r="B3" s="5" t="e" vm="2">
        <f t="array" ref="B3">_FV(A1,"Shares outstanding",TRUE)/1000000</f>
        <v>#VALUE!</v>
      </c>
    </row>
    <row r="4" spans="1:2" x14ac:dyDescent="0.35">
      <c r="A4" s="4" t="s">
        <v>2</v>
      </c>
      <c r="B4" s="5" t="e" vm="3">
        <f>B2*B3</f>
        <v>#VALUE!</v>
      </c>
    </row>
    <row r="5" spans="1:2" x14ac:dyDescent="0.35">
      <c r="A5" s="4" t="s">
        <v>3</v>
      </c>
      <c r="B5" s="5"/>
    </row>
    <row r="6" spans="1:2" x14ac:dyDescent="0.35">
      <c r="A6" s="4" t="s">
        <v>4</v>
      </c>
      <c r="B6" s="5"/>
    </row>
    <row r="7" spans="1:2" ht="15" customHeight="1" thickBot="1" x14ac:dyDescent="0.4">
      <c r="A7" s="6" t="s">
        <v>5</v>
      </c>
      <c r="B7" s="5"/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1"/>
  <sheetViews>
    <sheetView topLeftCell="A19" workbookViewId="0">
      <selection activeCell="D42" sqref="D42"/>
    </sheetView>
  </sheetViews>
  <sheetFormatPr defaultRowHeight="14.5" x14ac:dyDescent="0.35"/>
  <cols>
    <col min="1" max="1" width="25.1796875" customWidth="1"/>
  </cols>
  <sheetData>
    <row r="1" spans="1:4" x14ac:dyDescent="0.35">
      <c r="A1" t="s">
        <v>6</v>
      </c>
      <c r="B1" s="72" t="s">
        <v>462</v>
      </c>
      <c r="C1" s="71"/>
      <c r="D1" s="71"/>
    </row>
    <row r="2" spans="1:4" x14ac:dyDescent="0.35">
      <c r="A2" s="72" t="s">
        <v>7</v>
      </c>
      <c r="B2" t="s">
        <v>8</v>
      </c>
    </row>
    <row r="3" spans="1:4" x14ac:dyDescent="0.35">
      <c r="A3" t="s">
        <v>457</v>
      </c>
      <c r="B3" t="s">
        <v>9</v>
      </c>
    </row>
    <row r="4" spans="1:4" x14ac:dyDescent="0.35">
      <c r="A4" t="s">
        <v>458</v>
      </c>
      <c r="B4" t="s">
        <v>10</v>
      </c>
    </row>
    <row r="5" spans="1:4" x14ac:dyDescent="0.35">
      <c r="A5" t="s">
        <v>459</v>
      </c>
      <c r="B5" t="s">
        <v>11</v>
      </c>
    </row>
    <row r="6" spans="1:4" x14ac:dyDescent="0.35">
      <c r="A6" t="s">
        <v>460</v>
      </c>
      <c r="B6" t="s">
        <v>463</v>
      </c>
    </row>
    <row r="7" spans="1:4" x14ac:dyDescent="0.35">
      <c r="A7" t="s">
        <v>461</v>
      </c>
      <c r="B7">
        <v>2006</v>
      </c>
    </row>
    <row r="8" spans="1:4" s="5" customFormat="1" x14ac:dyDescent="0.35">
      <c r="A8" s="5" t="s">
        <v>464</v>
      </c>
      <c r="B8" s="5">
        <v>1535</v>
      </c>
    </row>
    <row r="13" spans="1:4" s="10" customFormat="1" x14ac:dyDescent="0.35">
      <c r="A13" s="10" t="s">
        <v>465</v>
      </c>
      <c r="B13" s="73"/>
      <c r="C13" s="73"/>
      <c r="D13" s="73"/>
    </row>
    <row r="14" spans="1:4" x14ac:dyDescent="0.35">
      <c r="A14" s="74" t="s">
        <v>470</v>
      </c>
    </row>
    <row r="15" spans="1:4" x14ac:dyDescent="0.35">
      <c r="A15" s="74" t="s">
        <v>466</v>
      </c>
    </row>
    <row r="16" spans="1:4" x14ac:dyDescent="0.35">
      <c r="A16" s="74" t="s">
        <v>467</v>
      </c>
    </row>
    <row r="17" spans="1:18" x14ac:dyDescent="0.35">
      <c r="A17" s="74" t="s">
        <v>468</v>
      </c>
    </row>
    <row r="18" spans="1:18" x14ac:dyDescent="0.35">
      <c r="A18" s="74" t="s">
        <v>469</v>
      </c>
    </row>
    <row r="23" spans="1:18" s="10" customFormat="1" x14ac:dyDescent="0.35">
      <c r="A23" s="10" t="s">
        <v>471</v>
      </c>
      <c r="E23" s="10">
        <v>2018</v>
      </c>
      <c r="F23" s="10">
        <f>E23+1</f>
        <v>2019</v>
      </c>
      <c r="G23" s="10">
        <f t="shared" ref="G23:R23" si="0">F23+1</f>
        <v>2020</v>
      </c>
      <c r="H23" s="10">
        <f t="shared" si="0"/>
        <v>2021</v>
      </c>
      <c r="I23" s="10">
        <f t="shared" si="0"/>
        <v>2022</v>
      </c>
      <c r="J23" s="10">
        <f t="shared" si="0"/>
        <v>2023</v>
      </c>
      <c r="K23" s="10">
        <f t="shared" si="0"/>
        <v>2024</v>
      </c>
      <c r="L23" s="10">
        <f t="shared" si="0"/>
        <v>2025</v>
      </c>
      <c r="M23" s="10">
        <f t="shared" si="0"/>
        <v>2026</v>
      </c>
      <c r="N23" s="10">
        <f t="shared" si="0"/>
        <v>2027</v>
      </c>
      <c r="O23" s="10">
        <f t="shared" si="0"/>
        <v>2028</v>
      </c>
      <c r="P23" s="10">
        <f t="shared" si="0"/>
        <v>2029</v>
      </c>
      <c r="Q23" s="10">
        <f t="shared" si="0"/>
        <v>2030</v>
      </c>
      <c r="R23" s="10">
        <f t="shared" si="0"/>
        <v>2031</v>
      </c>
    </row>
    <row r="24" spans="1:18" s="75" customFormat="1" x14ac:dyDescent="0.35">
      <c r="A24" s="75" t="s">
        <v>472</v>
      </c>
      <c r="F24" s="75">
        <v>17</v>
      </c>
      <c r="O24" s="75">
        <v>95</v>
      </c>
    </row>
    <row r="26" spans="1:18" s="10" customFormat="1" x14ac:dyDescent="0.35">
      <c r="A26" s="10" t="s">
        <v>473</v>
      </c>
      <c r="B26" s="10" t="s">
        <v>474</v>
      </c>
      <c r="C26" s="10" t="s">
        <v>475</v>
      </c>
    </row>
    <row r="27" spans="1:18" s="12" customFormat="1" x14ac:dyDescent="0.35">
      <c r="A27" s="12">
        <v>2022</v>
      </c>
    </row>
    <row r="28" spans="1:18" x14ac:dyDescent="0.35">
      <c r="A28" t="s">
        <v>476</v>
      </c>
      <c r="B28" s="34">
        <v>0.34</v>
      </c>
      <c r="C28" t="s">
        <v>480</v>
      </c>
    </row>
    <row r="29" spans="1:18" x14ac:dyDescent="0.35">
      <c r="A29" t="s">
        <v>477</v>
      </c>
      <c r="B29" s="34">
        <v>0.14000000000000001</v>
      </c>
      <c r="C29" t="s">
        <v>481</v>
      </c>
    </row>
    <row r="30" spans="1:18" x14ac:dyDescent="0.35">
      <c r="A30" t="s">
        <v>478</v>
      </c>
      <c r="B30" s="34">
        <v>0.12</v>
      </c>
      <c r="C30" t="s">
        <v>481</v>
      </c>
    </row>
    <row r="31" spans="1:18" x14ac:dyDescent="0.35">
      <c r="A31" t="s">
        <v>479</v>
      </c>
      <c r="B31" s="34">
        <v>0.1</v>
      </c>
      <c r="C31" t="s">
        <v>482</v>
      </c>
    </row>
    <row r="32" spans="1:18" x14ac:dyDescent="0.35">
      <c r="A32" t="s">
        <v>484</v>
      </c>
      <c r="B32" s="34">
        <v>7.0000000000000007E-2</v>
      </c>
      <c r="C32" t="s">
        <v>481</v>
      </c>
    </row>
    <row r="33" spans="1:3" x14ac:dyDescent="0.35">
      <c r="A33" t="s">
        <v>485</v>
      </c>
      <c r="B33" s="34">
        <v>0.05</v>
      </c>
      <c r="C33" t="s">
        <v>481</v>
      </c>
    </row>
    <row r="34" spans="1:3" x14ac:dyDescent="0.35">
      <c r="A34" t="s">
        <v>486</v>
      </c>
      <c r="B34" s="34">
        <v>0.04</v>
      </c>
      <c r="C34" t="s">
        <v>480</v>
      </c>
    </row>
    <row r="35" spans="1:3" x14ac:dyDescent="0.35">
      <c r="A35" t="s">
        <v>487</v>
      </c>
      <c r="B35" s="34">
        <v>0.03</v>
      </c>
      <c r="C35" t="s">
        <v>480</v>
      </c>
    </row>
    <row r="36" spans="1:3" x14ac:dyDescent="0.35">
      <c r="A36" t="s">
        <v>488</v>
      </c>
      <c r="B36" s="34">
        <v>0.02</v>
      </c>
      <c r="C36" t="s">
        <v>480</v>
      </c>
    </row>
    <row r="37" spans="1:3" x14ac:dyDescent="0.35">
      <c r="A37" t="s">
        <v>489</v>
      </c>
      <c r="B37" s="34">
        <v>0.01</v>
      </c>
      <c r="C37" t="s">
        <v>480</v>
      </c>
    </row>
    <row r="38" spans="1:3" s="13" customFormat="1" x14ac:dyDescent="0.35">
      <c r="A38" s="13" t="s">
        <v>483</v>
      </c>
      <c r="B38" s="36">
        <v>0.08</v>
      </c>
      <c r="C38" s="13" t="s">
        <v>483</v>
      </c>
    </row>
    <row r="39" spans="1:3" x14ac:dyDescent="0.35">
      <c r="A39" t="s">
        <v>490</v>
      </c>
      <c r="B39" s="34">
        <f>SUM(B28:B38)</f>
        <v>1.0000000000000002</v>
      </c>
    </row>
    <row r="40" spans="1:3" x14ac:dyDescent="0.35">
      <c r="B40" s="34"/>
    </row>
    <row r="41" spans="1:3" x14ac:dyDescent="0.35">
      <c r="B41" s="34"/>
    </row>
    <row r="42" spans="1:3" x14ac:dyDescent="0.35">
      <c r="B42" s="34"/>
    </row>
    <row r="43" spans="1:3" x14ac:dyDescent="0.35">
      <c r="B43" s="34"/>
    </row>
    <row r="44" spans="1:3" x14ac:dyDescent="0.35">
      <c r="B44" s="34"/>
    </row>
    <row r="45" spans="1:3" x14ac:dyDescent="0.35">
      <c r="B45" s="34"/>
    </row>
    <row r="46" spans="1:3" x14ac:dyDescent="0.35">
      <c r="B46" s="34"/>
    </row>
    <row r="47" spans="1:3" x14ac:dyDescent="0.35">
      <c r="B47" s="34"/>
    </row>
    <row r="48" spans="1:3" x14ac:dyDescent="0.35">
      <c r="B48" s="34"/>
    </row>
    <row r="49" spans="2:2" x14ac:dyDescent="0.35">
      <c r="B49" s="34"/>
    </row>
    <row r="50" spans="2:2" x14ac:dyDescent="0.35">
      <c r="B50" s="34"/>
    </row>
    <row r="51" spans="2:2" x14ac:dyDescent="0.35">
      <c r="B51" s="34"/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H196"/>
  <sheetViews>
    <sheetView tabSelected="1" zoomScale="70" zoomScaleNormal="70" workbookViewId="0">
      <pane xSplit="2" ySplit="7" topLeftCell="L113" activePane="bottomRight" state="frozen"/>
      <selection pane="topRight" activeCell="C1" sqref="C1"/>
      <selection pane="bottomLeft" activeCell="A4" sqref="A4"/>
      <selection pane="bottomRight" activeCell="AD137" sqref="AD137"/>
    </sheetView>
  </sheetViews>
  <sheetFormatPr defaultRowHeight="14.5" x14ac:dyDescent="0.35"/>
  <cols>
    <col min="2" max="2" width="23.90625" customWidth="1"/>
    <col min="5" max="5" width="9.453125" style="40" bestFit="1" customWidth="1"/>
    <col min="6" max="11" width="9.453125" customWidth="1"/>
    <col min="12" max="12" width="9.54296875" bestFit="1" customWidth="1"/>
    <col min="13" max="13" width="10.54296875" bestFit="1" customWidth="1"/>
    <col min="15" max="15" width="8.7265625" style="40" customWidth="1"/>
    <col min="16" max="16" width="9.453125" bestFit="1" customWidth="1"/>
    <col min="17" max="17" width="9.54296875" bestFit="1" customWidth="1"/>
    <col min="19" max="19" width="8.7265625" style="40" customWidth="1"/>
    <col min="20" max="20" width="9.54296875" bestFit="1" customWidth="1"/>
    <col min="21" max="21" width="10.54296875" bestFit="1" customWidth="1"/>
    <col min="22" max="22" width="10.453125" bestFit="1" customWidth="1"/>
    <col min="23" max="23" width="9.453125" style="40" bestFit="1" customWidth="1"/>
    <col min="24" max="24" width="9.54296875" bestFit="1" customWidth="1"/>
    <col min="25" max="25" width="10.54296875" bestFit="1" customWidth="1"/>
    <col min="26" max="26" width="10.453125" bestFit="1" customWidth="1"/>
    <col min="27" max="27" width="9.453125" style="40" bestFit="1" customWidth="1"/>
    <col min="28" max="29" width="9.453125" bestFit="1" customWidth="1"/>
    <col min="38" max="40" width="9.453125" bestFit="1" customWidth="1"/>
    <col min="41" max="43" width="8.81640625" bestFit="1" customWidth="1"/>
    <col min="44" max="49" width="8.90625" bestFit="1" customWidth="1"/>
    <col min="50" max="50" width="9.453125" bestFit="1" customWidth="1"/>
    <col min="51" max="52" width="9.81640625" bestFit="1" customWidth="1"/>
    <col min="53" max="53" width="10.81640625" bestFit="1" customWidth="1"/>
    <col min="54" max="59" width="9.453125" bestFit="1" customWidth="1"/>
  </cols>
  <sheetData>
    <row r="1" spans="2:59" x14ac:dyDescent="0.35">
      <c r="B1" t="s">
        <v>12</v>
      </c>
      <c r="K1" t="s">
        <v>492</v>
      </c>
      <c r="L1" t="s">
        <v>493</v>
      </c>
      <c r="M1" t="s">
        <v>494</v>
      </c>
      <c r="N1" t="s">
        <v>495</v>
      </c>
      <c r="O1" s="40" t="s">
        <v>496</v>
      </c>
      <c r="P1" t="s">
        <v>497</v>
      </c>
      <c r="Q1" t="s">
        <v>498</v>
      </c>
      <c r="R1" t="s">
        <v>499</v>
      </c>
      <c r="S1" s="40" t="s">
        <v>500</v>
      </c>
      <c r="T1" t="s">
        <v>501</v>
      </c>
      <c r="U1" t="s">
        <v>502</v>
      </c>
      <c r="V1" t="s">
        <v>503</v>
      </c>
      <c r="W1" s="40" t="s">
        <v>430</v>
      </c>
      <c r="X1" t="s">
        <v>431</v>
      </c>
      <c r="Y1" t="s">
        <v>432</v>
      </c>
      <c r="Z1" t="s">
        <v>433</v>
      </c>
      <c r="AA1" s="40" t="s">
        <v>434</v>
      </c>
      <c r="AB1" t="s">
        <v>435</v>
      </c>
    </row>
    <row r="2" spans="2:59" x14ac:dyDescent="0.35">
      <c r="B2" t="s">
        <v>13</v>
      </c>
      <c r="E2" s="41">
        <v>43600</v>
      </c>
      <c r="F2" s="39"/>
      <c r="G2" s="39"/>
      <c r="H2" s="39"/>
      <c r="I2" s="39"/>
      <c r="J2" s="39"/>
      <c r="K2" s="39"/>
      <c r="L2" s="39">
        <v>43689</v>
      </c>
      <c r="M2" s="39">
        <v>43781</v>
      </c>
      <c r="O2" s="41">
        <v>43955</v>
      </c>
      <c r="P2" s="39">
        <v>44050</v>
      </c>
      <c r="Q2" s="39">
        <v>44144</v>
      </c>
      <c r="S2" s="41">
        <v>44349</v>
      </c>
      <c r="T2" s="39">
        <v>44425</v>
      </c>
      <c r="U2" s="39">
        <v>44515</v>
      </c>
      <c r="W2" s="41">
        <v>44697</v>
      </c>
      <c r="X2" s="39">
        <v>44784</v>
      </c>
      <c r="Y2" s="39">
        <v>44875</v>
      </c>
      <c r="AA2" s="41">
        <v>45055</v>
      </c>
      <c r="AB2" s="39">
        <v>45146</v>
      </c>
      <c r="AC2" s="39">
        <v>45239</v>
      </c>
      <c r="AX2" s="39">
        <v>43556</v>
      </c>
      <c r="AY2" s="39">
        <v>43903</v>
      </c>
      <c r="AZ2" s="39">
        <v>44280</v>
      </c>
      <c r="BA2" s="39">
        <v>44649</v>
      </c>
      <c r="BB2" s="39">
        <v>45001</v>
      </c>
    </row>
    <row r="3" spans="2:59" s="39" customFormat="1" x14ac:dyDescent="0.35">
      <c r="B3" s="39" t="s">
        <v>14</v>
      </c>
      <c r="E3" s="41"/>
      <c r="L3" s="39">
        <v>44377</v>
      </c>
      <c r="M3" s="39">
        <v>44469</v>
      </c>
      <c r="O3" s="41">
        <v>43921</v>
      </c>
      <c r="P3" s="39">
        <v>44012</v>
      </c>
      <c r="Q3" s="39">
        <v>44104</v>
      </c>
      <c r="S3" s="41">
        <v>44286</v>
      </c>
      <c r="T3" s="39">
        <v>44377</v>
      </c>
      <c r="U3" s="39">
        <v>44469</v>
      </c>
      <c r="V3" s="39">
        <v>44561</v>
      </c>
      <c r="W3" s="41">
        <v>44651</v>
      </c>
      <c r="X3" s="39">
        <v>44742</v>
      </c>
      <c r="Y3" s="39">
        <v>44834</v>
      </c>
      <c r="Z3" s="39">
        <v>44926</v>
      </c>
      <c r="AA3" s="41">
        <v>45016</v>
      </c>
      <c r="AB3" s="39">
        <v>45107</v>
      </c>
      <c r="AC3" s="39">
        <v>45199</v>
      </c>
      <c r="AL3" s="64">
        <f t="shared" ref="AL3:AZ3" si="0">AM3-1</f>
        <v>2006</v>
      </c>
      <c r="AM3" s="64">
        <f t="shared" si="0"/>
        <v>2007</v>
      </c>
      <c r="AN3" s="64">
        <f t="shared" si="0"/>
        <v>2008</v>
      </c>
      <c r="AO3" s="64">
        <f t="shared" si="0"/>
        <v>2009</v>
      </c>
      <c r="AP3" s="64">
        <f t="shared" si="0"/>
        <v>2010</v>
      </c>
      <c r="AQ3" s="64">
        <f t="shared" si="0"/>
        <v>2011</v>
      </c>
      <c r="AR3" s="64">
        <f t="shared" si="0"/>
        <v>2012</v>
      </c>
      <c r="AS3" s="64">
        <f t="shared" si="0"/>
        <v>2013</v>
      </c>
      <c r="AT3" s="64">
        <f t="shared" si="0"/>
        <v>2014</v>
      </c>
      <c r="AU3" s="64">
        <f t="shared" si="0"/>
        <v>2015</v>
      </c>
      <c r="AV3" s="64">
        <f t="shared" si="0"/>
        <v>2016</v>
      </c>
      <c r="AW3" s="64">
        <f t="shared" si="0"/>
        <v>2017</v>
      </c>
      <c r="AX3" s="64">
        <f t="shared" si="0"/>
        <v>2018</v>
      </c>
      <c r="AY3" s="64">
        <f t="shared" si="0"/>
        <v>2019</v>
      </c>
      <c r="AZ3" s="64">
        <f t="shared" si="0"/>
        <v>2020</v>
      </c>
      <c r="BA3" s="64">
        <v>2021</v>
      </c>
      <c r="BB3" s="64">
        <f t="shared" ref="BB3:BG3" si="1">BA3+1</f>
        <v>2022</v>
      </c>
      <c r="BC3" s="64">
        <f t="shared" si="1"/>
        <v>2023</v>
      </c>
      <c r="BD3" s="64">
        <f t="shared" si="1"/>
        <v>2024</v>
      </c>
      <c r="BE3" s="64">
        <f t="shared" si="1"/>
        <v>2025</v>
      </c>
      <c r="BF3" s="64">
        <f t="shared" si="1"/>
        <v>2026</v>
      </c>
      <c r="BG3" s="64">
        <f t="shared" si="1"/>
        <v>2027</v>
      </c>
    </row>
    <row r="4" spans="2:59" s="10" customFormat="1" x14ac:dyDescent="0.35">
      <c r="B4" s="10" t="s">
        <v>423</v>
      </c>
      <c r="E4" s="42"/>
      <c r="L4" s="63"/>
      <c r="M4" s="63"/>
      <c r="O4" s="42"/>
      <c r="P4" s="63"/>
      <c r="Q4" s="63"/>
      <c r="S4" s="42"/>
      <c r="T4" s="63"/>
      <c r="U4" s="63"/>
      <c r="V4" s="63"/>
      <c r="W4" s="42"/>
      <c r="X4" s="63"/>
      <c r="Y4" s="63"/>
      <c r="Z4" s="63"/>
      <c r="AA4" s="65"/>
      <c r="AB4" s="63"/>
      <c r="AC4" s="63"/>
      <c r="AD4" s="63"/>
      <c r="AE4" s="63"/>
      <c r="AF4" s="63"/>
      <c r="AG4" s="63"/>
      <c r="AH4" s="63"/>
      <c r="AI4" s="63"/>
    </row>
    <row r="5" spans="2:59" s="76" customFormat="1" x14ac:dyDescent="0.35">
      <c r="B5" s="76" t="s">
        <v>424</v>
      </c>
      <c r="E5" s="77"/>
      <c r="O5" s="77">
        <v>10.1</v>
      </c>
      <c r="P5" s="76">
        <v>10.27</v>
      </c>
      <c r="Q5" s="76">
        <v>10.27</v>
      </c>
      <c r="R5" s="76">
        <v>20.93</v>
      </c>
      <c r="S5" s="77">
        <v>25.2</v>
      </c>
      <c r="T5" s="76">
        <v>14.29</v>
      </c>
      <c r="U5" s="76">
        <v>15.91</v>
      </c>
      <c r="V5" s="76">
        <v>10.25</v>
      </c>
      <c r="W5" s="77">
        <v>9.5399999999999991</v>
      </c>
      <c r="X5" s="76">
        <v>6.68</v>
      </c>
      <c r="Y5" s="76">
        <v>3.5</v>
      </c>
      <c r="Z5" s="76">
        <v>2.77</v>
      </c>
      <c r="AA5" s="77">
        <v>1.83</v>
      </c>
      <c r="AB5" s="76">
        <v>2.46</v>
      </c>
      <c r="AC5" s="76">
        <v>2.91</v>
      </c>
      <c r="AD5" s="76">
        <v>1.89</v>
      </c>
      <c r="AY5" s="76">
        <v>11.72</v>
      </c>
      <c r="AZ5" s="76">
        <v>20.93</v>
      </c>
      <c r="BA5" s="76">
        <v>15.91</v>
      </c>
      <c r="BB5" s="76">
        <v>6.86</v>
      </c>
    </row>
    <row r="6" spans="2:59" s="76" customFormat="1" x14ac:dyDescent="0.35">
      <c r="B6" s="76" t="s">
        <v>425</v>
      </c>
      <c r="E6" s="77"/>
      <c r="O6" s="77">
        <v>9.16</v>
      </c>
      <c r="P6" s="76">
        <v>9.85</v>
      </c>
      <c r="Q6" s="76">
        <v>10.08</v>
      </c>
      <c r="R6" s="76">
        <v>10.1</v>
      </c>
      <c r="S6" s="77">
        <v>11.1</v>
      </c>
      <c r="T6" s="76">
        <v>10.31</v>
      </c>
      <c r="U6" s="76">
        <v>7.83</v>
      </c>
      <c r="V6" s="76">
        <v>5.51</v>
      </c>
      <c r="W6" s="77">
        <v>4.7699999999999996</v>
      </c>
      <c r="X6" s="76">
        <v>2.09</v>
      </c>
      <c r="Y6" s="76">
        <v>1.83</v>
      </c>
      <c r="Z6" s="76">
        <v>1.38</v>
      </c>
      <c r="AA6" s="77">
        <v>1.04</v>
      </c>
      <c r="AB6" s="76">
        <v>0.88</v>
      </c>
      <c r="AC6" s="76">
        <v>1.53</v>
      </c>
      <c r="AD6" s="76">
        <v>0.84</v>
      </c>
      <c r="AY6" s="76">
        <v>9.7100000000000009</v>
      </c>
      <c r="AZ6" s="76">
        <v>9.85</v>
      </c>
      <c r="BA6" s="76">
        <v>5.51</v>
      </c>
      <c r="BB6" s="76">
        <v>1.38</v>
      </c>
    </row>
    <row r="7" spans="2:59" s="84" customFormat="1" x14ac:dyDescent="0.35">
      <c r="B7" s="84" t="s">
        <v>426</v>
      </c>
      <c r="E7" s="85"/>
      <c r="O7" s="85">
        <v>9.9700000000000006</v>
      </c>
      <c r="P7" s="84">
        <v>10.06</v>
      </c>
      <c r="Q7" s="84">
        <v>10.17</v>
      </c>
      <c r="R7" s="84">
        <v>11.89</v>
      </c>
      <c r="S7" s="85">
        <v>16.37</v>
      </c>
      <c r="T7" s="84">
        <v>11.82</v>
      </c>
      <c r="U7" s="84">
        <v>10.51</v>
      </c>
      <c r="V7" s="84">
        <v>7.93</v>
      </c>
      <c r="W7" s="85">
        <v>6.51</v>
      </c>
      <c r="X7" s="84">
        <v>4.33</v>
      </c>
      <c r="Y7" s="84">
        <v>2.4</v>
      </c>
      <c r="Z7" s="84">
        <v>2.04</v>
      </c>
      <c r="AA7" s="85">
        <v>1.46</v>
      </c>
      <c r="AB7" s="84">
        <v>1.42</v>
      </c>
      <c r="AC7" s="84">
        <v>2.14</v>
      </c>
      <c r="AD7" s="84">
        <v>1.34</v>
      </c>
      <c r="AY7" s="84">
        <v>9.8699999999999992</v>
      </c>
      <c r="AZ7" s="84">
        <v>10.7</v>
      </c>
      <c r="BA7" s="84">
        <v>10.1</v>
      </c>
      <c r="BB7" s="84">
        <v>2.92</v>
      </c>
    </row>
    <row r="8" spans="2:59" x14ac:dyDescent="0.35">
      <c r="C8" s="7"/>
      <c r="D8" s="7"/>
      <c r="E8" s="53"/>
      <c r="F8" s="7"/>
      <c r="G8" s="7"/>
      <c r="H8" s="7"/>
      <c r="I8" s="7"/>
      <c r="J8" s="7"/>
      <c r="K8" s="7"/>
      <c r="L8" s="7"/>
      <c r="M8" s="7"/>
      <c r="N8" s="7"/>
      <c r="O8" s="53"/>
      <c r="P8" s="7"/>
      <c r="Q8" s="7"/>
      <c r="R8" s="7"/>
      <c r="S8" s="53"/>
      <c r="T8" s="7"/>
      <c r="U8" s="7"/>
    </row>
    <row r="9" spans="2:59" s="10" customFormat="1" x14ac:dyDescent="0.35">
      <c r="B9" s="10" t="s">
        <v>15</v>
      </c>
      <c r="C9" s="28"/>
      <c r="D9" s="28"/>
      <c r="E9" s="54"/>
      <c r="F9" s="28"/>
      <c r="G9" s="28"/>
      <c r="H9" s="28"/>
      <c r="I9" s="28"/>
      <c r="J9" s="28"/>
      <c r="K9" s="28"/>
      <c r="L9" s="28"/>
      <c r="M9" s="28"/>
      <c r="N9" s="28"/>
      <c r="O9" s="54"/>
      <c r="P9" s="28"/>
      <c r="Q9" s="28"/>
      <c r="R9" s="28"/>
      <c r="S9" s="54"/>
      <c r="T9" s="28"/>
      <c r="U9" s="28"/>
      <c r="W9" s="42"/>
      <c r="AA9" s="42"/>
    </row>
    <row r="10" spans="2:59" s="86" customFormat="1" x14ac:dyDescent="0.35">
      <c r="B10" s="86" t="s">
        <v>509</v>
      </c>
      <c r="C10" s="87"/>
      <c r="D10" s="87"/>
      <c r="E10" s="88"/>
      <c r="F10" s="87"/>
      <c r="G10" s="87"/>
      <c r="H10" s="87"/>
      <c r="I10" s="87"/>
      <c r="J10" s="87"/>
      <c r="K10" s="87"/>
      <c r="L10" s="87"/>
      <c r="M10" s="87"/>
      <c r="N10" s="87"/>
      <c r="O10" s="88"/>
      <c r="P10" s="87"/>
      <c r="Q10" s="87"/>
      <c r="R10" s="87"/>
      <c r="S10" s="88"/>
      <c r="T10" s="87">
        <v>21650</v>
      </c>
      <c r="U10" s="87">
        <v>19720</v>
      </c>
      <c r="W10" s="89">
        <v>19838</v>
      </c>
      <c r="X10" s="86">
        <v>33946</v>
      </c>
      <c r="Y10" s="86">
        <v>26542</v>
      </c>
      <c r="AA10" s="89">
        <v>32612</v>
      </c>
      <c r="AB10" s="86">
        <v>46122</v>
      </c>
      <c r="AC10" s="86">
        <v>36289</v>
      </c>
    </row>
    <row r="11" spans="2:59" s="90" customFormat="1" x14ac:dyDescent="0.35">
      <c r="B11" s="90" t="s">
        <v>510</v>
      </c>
      <c r="C11" s="91"/>
      <c r="D11" s="91"/>
      <c r="E11" s="92"/>
      <c r="F11" s="91"/>
      <c r="G11" s="91"/>
      <c r="H11" s="91"/>
      <c r="I11" s="91"/>
      <c r="J11" s="91"/>
      <c r="K11" s="91"/>
      <c r="L11" s="91"/>
      <c r="M11" s="91"/>
      <c r="N11" s="91"/>
      <c r="O11" s="92"/>
      <c r="P11" s="91"/>
      <c r="Q11" s="91"/>
      <c r="R11" s="91"/>
      <c r="S11" s="92"/>
      <c r="T11" s="91">
        <v>7434</v>
      </c>
      <c r="U11" s="91">
        <v>12072</v>
      </c>
      <c r="W11" s="93">
        <v>13404</v>
      </c>
      <c r="X11" s="90">
        <v>24622</v>
      </c>
      <c r="Y11" s="90">
        <v>7394</v>
      </c>
      <c r="Z11" s="96"/>
      <c r="AA11" s="93">
        <v>3149</v>
      </c>
      <c r="AB11" s="90">
        <v>18520</v>
      </c>
      <c r="AC11" s="90">
        <v>24611</v>
      </c>
    </row>
    <row r="12" spans="2:59" s="5" customFormat="1" x14ac:dyDescent="0.35">
      <c r="B12" s="5" t="s">
        <v>16</v>
      </c>
      <c r="C12" s="31"/>
      <c r="D12" s="31"/>
      <c r="E12" s="55"/>
      <c r="F12" s="31"/>
      <c r="G12" s="31"/>
      <c r="H12" s="31"/>
      <c r="I12" s="31"/>
      <c r="J12" s="31"/>
      <c r="K12" s="31"/>
      <c r="L12" s="31"/>
      <c r="M12" s="31"/>
      <c r="N12" s="31"/>
      <c r="O12" s="55"/>
      <c r="P12" s="31"/>
      <c r="Q12" s="31">
        <v>23945</v>
      </c>
      <c r="R12" s="31"/>
      <c r="S12" s="94">
        <v>12484</v>
      </c>
      <c r="T12" s="95">
        <f t="shared" ref="T12" si="2">SUM(T10:T11)</f>
        <v>29084</v>
      </c>
      <c r="U12" s="95">
        <f t="shared" ref="U12" si="3">SUM(U10:U11)</f>
        <v>31792</v>
      </c>
      <c r="V12" s="95">
        <f t="shared" ref="V12" si="4">SUM(V10:V11)</f>
        <v>0</v>
      </c>
      <c r="W12" s="94">
        <f>SUM(W10:W11)</f>
        <v>33242</v>
      </c>
      <c r="X12" s="95">
        <f t="shared" ref="X12:Z12" si="5">SUM(X10:X11)</f>
        <v>58568</v>
      </c>
      <c r="Y12" s="95">
        <f t="shared" si="5"/>
        <v>33936</v>
      </c>
      <c r="Z12" s="95">
        <f t="shared" si="5"/>
        <v>0</v>
      </c>
      <c r="AA12" s="95">
        <f t="shared" ref="AA12" si="6">SUM(AA10:AA11)</f>
        <v>35761</v>
      </c>
      <c r="AB12" s="95">
        <f t="shared" ref="AB12" si="7">SUM(AB10:AB11)</f>
        <v>64642</v>
      </c>
      <c r="AC12" s="95">
        <f t="shared" ref="AC12" si="8">SUM(AC10:AC11)</f>
        <v>60900</v>
      </c>
      <c r="AZ12" s="5">
        <v>82655</v>
      </c>
      <c r="BA12" s="5">
        <v>131516</v>
      </c>
      <c r="BB12" s="5">
        <v>185035</v>
      </c>
    </row>
    <row r="13" spans="2:59" s="5" customFormat="1" x14ac:dyDescent="0.35">
      <c r="B13" s="5" t="s">
        <v>17</v>
      </c>
      <c r="C13" s="31"/>
      <c r="D13" s="31"/>
      <c r="E13" s="55"/>
      <c r="F13" s="31"/>
      <c r="G13" s="31"/>
      <c r="H13" s="31"/>
      <c r="I13" s="31"/>
      <c r="J13" s="31"/>
      <c r="K13" s="31"/>
      <c r="L13" s="31"/>
      <c r="M13" s="31"/>
      <c r="N13" s="31"/>
      <c r="O13" s="55"/>
      <c r="P13" s="31"/>
      <c r="Q13" s="31">
        <v>6446</v>
      </c>
      <c r="R13" s="31"/>
      <c r="S13" s="55">
        <v>2327</v>
      </c>
      <c r="T13" s="5">
        <v>4231</v>
      </c>
      <c r="U13" s="31">
        <v>4908</v>
      </c>
      <c r="V13" s="5">
        <f>BA13-U13-T13-S13</f>
        <v>8076</v>
      </c>
      <c r="W13" s="43">
        <v>2751</v>
      </c>
      <c r="X13" s="5">
        <v>4880</v>
      </c>
      <c r="Y13" s="5">
        <v>3432</v>
      </c>
      <c r="Z13" s="5">
        <f>BB13-Y13-X13-W13</f>
        <v>4746</v>
      </c>
      <c r="AA13" s="43">
        <v>10185</v>
      </c>
      <c r="AB13" s="5">
        <v>9337</v>
      </c>
      <c r="AC13" s="5">
        <v>19034</v>
      </c>
      <c r="AZ13" s="5">
        <v>24314</v>
      </c>
      <c r="BA13" s="5">
        <v>19542</v>
      </c>
      <c r="BB13" s="5">
        <v>15809</v>
      </c>
    </row>
    <row r="14" spans="2:59" s="16" customFormat="1" x14ac:dyDescent="0.35">
      <c r="B14" s="16" t="s">
        <v>428</v>
      </c>
      <c r="C14" s="32"/>
      <c r="D14" s="32"/>
      <c r="E14" s="56"/>
      <c r="F14" s="32"/>
      <c r="G14" s="32"/>
      <c r="H14" s="32"/>
      <c r="I14" s="32"/>
      <c r="J14" s="32"/>
      <c r="K14" s="32"/>
      <c r="L14" s="32"/>
      <c r="M14" s="32"/>
      <c r="N14" s="32"/>
      <c r="O14" s="56"/>
      <c r="P14" s="32"/>
      <c r="Q14" s="32">
        <v>362</v>
      </c>
      <c r="R14" s="32"/>
      <c r="S14" s="56">
        <v>127</v>
      </c>
      <c r="T14" s="16">
        <v>57</v>
      </c>
      <c r="U14" s="32">
        <v>194</v>
      </c>
      <c r="V14" s="16">
        <f>BA14-U14-T14-S14</f>
        <v>540</v>
      </c>
      <c r="W14" s="44">
        <v>675</v>
      </c>
      <c r="X14" s="16">
        <v>966</v>
      </c>
      <c r="Y14" s="16">
        <v>1248</v>
      </c>
      <c r="Z14" s="16">
        <f>BB14-Y14-X14-W14</f>
        <v>762</v>
      </c>
      <c r="AA14" s="44">
        <v>1027</v>
      </c>
      <c r="AB14" s="16">
        <v>974</v>
      </c>
      <c r="AC14" s="16">
        <v>182</v>
      </c>
      <c r="AZ14" s="16">
        <v>549</v>
      </c>
      <c r="BA14" s="16">
        <v>918</v>
      </c>
      <c r="BB14" s="16">
        <v>3651</v>
      </c>
    </row>
    <row r="15" spans="2:59" s="17" customFormat="1" x14ac:dyDescent="0.35">
      <c r="B15" s="17" t="s">
        <v>18</v>
      </c>
      <c r="C15" s="33"/>
      <c r="D15" s="33"/>
      <c r="E15" s="57"/>
      <c r="F15" s="33"/>
      <c r="G15" s="33"/>
      <c r="H15" s="33"/>
      <c r="I15" s="33"/>
      <c r="J15" s="33"/>
      <c r="K15" s="33"/>
      <c r="L15" s="33"/>
      <c r="M15" s="33"/>
      <c r="N15" s="33"/>
      <c r="O15" s="57"/>
      <c r="P15" s="33"/>
      <c r="Q15" s="17">
        <f t="shared" ref="Q15" si="9">SUM(Q12:Q14)</f>
        <v>30753</v>
      </c>
      <c r="R15" s="33"/>
      <c r="S15" s="57">
        <f>SUM(S12:S14)</f>
        <v>14938</v>
      </c>
      <c r="T15" s="17">
        <f t="shared" ref="T15:Y15" si="10">SUM(T12:T14)</f>
        <v>33372</v>
      </c>
      <c r="U15" s="17">
        <f t="shared" si="10"/>
        <v>36894</v>
      </c>
      <c r="V15" s="17">
        <f t="shared" si="10"/>
        <v>8616</v>
      </c>
      <c r="W15" s="45">
        <f t="shared" si="10"/>
        <v>36668</v>
      </c>
      <c r="X15" s="17">
        <f t="shared" si="10"/>
        <v>64414</v>
      </c>
      <c r="Y15" s="17">
        <f t="shared" si="10"/>
        <v>38616</v>
      </c>
      <c r="Z15" s="17">
        <f t="shared" ref="Z15" si="11">SUM(Z12:Z14)</f>
        <v>5508</v>
      </c>
      <c r="AA15" s="45">
        <f t="shared" ref="AA15" si="12">SUM(AA12:AA14)</f>
        <v>46973</v>
      </c>
      <c r="AB15" s="17">
        <f t="shared" ref="AB15" si="13">SUM(AB12:AB14)</f>
        <v>74953</v>
      </c>
      <c r="AC15" s="17">
        <f t="shared" ref="AC15" si="14">SUM(AC12:AC14)</f>
        <v>80116</v>
      </c>
      <c r="AD15" s="17">
        <f t="shared" ref="AD15" si="15">SUM(AD12:AD14)</f>
        <v>0</v>
      </c>
      <c r="AL15" s="17">
        <f t="shared" ref="AL15:BA15" si="16">SUM(AL12:AL14)</f>
        <v>0</v>
      </c>
      <c r="AM15" s="17">
        <f t="shared" si="16"/>
        <v>0</v>
      </c>
      <c r="AN15" s="17">
        <f t="shared" si="16"/>
        <v>0</v>
      </c>
      <c r="AO15" s="17">
        <f t="shared" si="16"/>
        <v>0</v>
      </c>
      <c r="AP15" s="17">
        <f t="shared" si="16"/>
        <v>0</v>
      </c>
      <c r="AQ15" s="17">
        <f t="shared" si="16"/>
        <v>0</v>
      </c>
      <c r="AR15" s="17">
        <f t="shared" si="16"/>
        <v>0</v>
      </c>
      <c r="AS15" s="17">
        <f t="shared" si="16"/>
        <v>0</v>
      </c>
      <c r="AT15" s="17">
        <f t="shared" si="16"/>
        <v>0</v>
      </c>
      <c r="AU15" s="17">
        <f t="shared" si="16"/>
        <v>0</v>
      </c>
      <c r="AV15" s="17">
        <f t="shared" si="16"/>
        <v>0</v>
      </c>
      <c r="AW15" s="17">
        <f t="shared" si="16"/>
        <v>0</v>
      </c>
      <c r="AX15" s="17">
        <f t="shared" si="16"/>
        <v>0</v>
      </c>
      <c r="AY15" s="17">
        <f t="shared" si="16"/>
        <v>0</v>
      </c>
      <c r="AZ15" s="17">
        <f t="shared" si="16"/>
        <v>107518</v>
      </c>
      <c r="BA15" s="17">
        <f t="shared" si="16"/>
        <v>151976</v>
      </c>
      <c r="BB15" s="17">
        <f t="shared" ref="BB15" si="17">SUM(BB12:BB14)</f>
        <v>204495</v>
      </c>
      <c r="BC15" s="17">
        <f t="shared" ref="BC15" si="18">SUM(BC12:BC14)</f>
        <v>0</v>
      </c>
      <c r="BD15" s="17">
        <f t="shared" ref="BD15" si="19">SUM(BD12:BD14)</f>
        <v>0</v>
      </c>
      <c r="BE15" s="17">
        <f t="shared" ref="BE15" si="20">SUM(BE12:BE14)</f>
        <v>0</v>
      </c>
    </row>
    <row r="16" spans="2:59" s="34" customFormat="1" x14ac:dyDescent="0.35">
      <c r="B16" s="34" t="s">
        <v>19</v>
      </c>
      <c r="C16" s="35"/>
      <c r="D16" s="35"/>
      <c r="E16" s="58"/>
      <c r="F16" s="35"/>
      <c r="G16" s="35"/>
      <c r="H16" s="35"/>
      <c r="I16" s="35"/>
      <c r="J16" s="35"/>
      <c r="K16" s="35"/>
      <c r="L16" s="35"/>
      <c r="M16" s="35"/>
      <c r="N16" s="35"/>
      <c r="O16" s="66" t="e">
        <f t="shared" ref="O16:Y16" si="21">O12/O15</f>
        <v>#DIV/0!</v>
      </c>
      <c r="P16" s="34" t="e">
        <f t="shared" si="21"/>
        <v>#DIV/0!</v>
      </c>
      <c r="Q16" s="34">
        <f t="shared" si="21"/>
        <v>0.77862322375052839</v>
      </c>
      <c r="R16" s="34" t="e">
        <f t="shared" si="21"/>
        <v>#DIV/0!</v>
      </c>
      <c r="S16" s="66">
        <f t="shared" si="21"/>
        <v>0.83572098005087692</v>
      </c>
      <c r="T16" s="34">
        <f t="shared" si="21"/>
        <v>0.87150904950257702</v>
      </c>
      <c r="U16" s="34">
        <f t="shared" si="21"/>
        <v>0.86171193147937331</v>
      </c>
      <c r="V16" s="34">
        <f t="shared" si="21"/>
        <v>0</v>
      </c>
      <c r="W16" s="66">
        <f t="shared" si="21"/>
        <v>0.9065670339260391</v>
      </c>
      <c r="X16" s="34">
        <f t="shared" si="21"/>
        <v>0.90924333219486442</v>
      </c>
      <c r="Y16" s="34">
        <f t="shared" si="21"/>
        <v>0.87880671224362961</v>
      </c>
      <c r="Z16" s="34">
        <f t="shared" ref="Z16" si="22">Z12/Z15</f>
        <v>0</v>
      </c>
      <c r="AA16" s="66">
        <f t="shared" ref="AA16" si="23">AA12/AA15</f>
        <v>0.761309688544483</v>
      </c>
      <c r="AB16" s="34">
        <f t="shared" ref="AB16" si="24">AB12/AB15</f>
        <v>0.86243379184288826</v>
      </c>
      <c r="AC16" s="34">
        <f t="shared" ref="AC16" si="25">AC12/AC15</f>
        <v>0.7601477857107195</v>
      </c>
      <c r="AD16" s="34" t="e">
        <f t="shared" ref="AD16" si="26">AD12/AD15</f>
        <v>#DIV/0!</v>
      </c>
      <c r="AZ16" s="34">
        <f>AZ12/AZ15</f>
        <v>0.76875499916293089</v>
      </c>
      <c r="BA16" s="34">
        <f>BA12/BA15</f>
        <v>0.8653734800231615</v>
      </c>
      <c r="BB16" s="34">
        <f t="shared" ref="BB16:BE16" si="27">BB12/BB15</f>
        <v>0.90483874911367024</v>
      </c>
      <c r="BC16" s="34" t="e">
        <f t="shared" si="27"/>
        <v>#DIV/0!</v>
      </c>
      <c r="BD16" s="34" t="e">
        <f t="shared" si="27"/>
        <v>#DIV/0!</v>
      </c>
      <c r="BE16" s="34" t="e">
        <f t="shared" si="27"/>
        <v>#DIV/0!</v>
      </c>
    </row>
    <row r="17" spans="1:86" s="34" customFormat="1" x14ac:dyDescent="0.35">
      <c r="B17" s="34" t="s">
        <v>20</v>
      </c>
      <c r="C17" s="35"/>
      <c r="D17" s="35"/>
      <c r="E17" s="58"/>
      <c r="F17" s="35"/>
      <c r="G17" s="35"/>
      <c r="H17" s="35"/>
      <c r="I17" s="35"/>
      <c r="J17" s="35"/>
      <c r="K17" s="35"/>
      <c r="L17" s="35"/>
      <c r="M17" s="35"/>
      <c r="N17" s="35"/>
      <c r="O17" s="66" t="e">
        <f t="shared" ref="O17:Y17" si="28">O13/O15</f>
        <v>#DIV/0!</v>
      </c>
      <c r="P17" s="34" t="e">
        <f t="shared" si="28"/>
        <v>#DIV/0!</v>
      </c>
      <c r="Q17" s="34">
        <f t="shared" si="28"/>
        <v>0.20960556693655905</v>
      </c>
      <c r="R17" s="34" t="e">
        <f t="shared" si="28"/>
        <v>#DIV/0!</v>
      </c>
      <c r="S17" s="66">
        <f t="shared" si="28"/>
        <v>0.15577721247824342</v>
      </c>
      <c r="T17" s="34">
        <f t="shared" si="28"/>
        <v>0.12678293179911304</v>
      </c>
      <c r="U17" s="34">
        <f t="shared" si="28"/>
        <v>0.13302976093673768</v>
      </c>
      <c r="V17" s="34">
        <f t="shared" si="28"/>
        <v>0.93732590529247906</v>
      </c>
      <c r="W17" s="66">
        <f t="shared" si="28"/>
        <v>7.5024544562015932E-2</v>
      </c>
      <c r="X17" s="34">
        <f t="shared" si="28"/>
        <v>7.5759927965970128E-2</v>
      </c>
      <c r="Y17" s="34">
        <f t="shared" si="28"/>
        <v>8.8875077688004969E-2</v>
      </c>
      <c r="Z17" s="34">
        <f t="shared" ref="Z17:AD17" si="29">Z13/Z15</f>
        <v>0.86165577342047928</v>
      </c>
      <c r="AA17" s="66">
        <f t="shared" si="29"/>
        <v>0.21682668767164115</v>
      </c>
      <c r="AB17" s="34">
        <f t="shared" si="29"/>
        <v>0.1245713980761277</v>
      </c>
      <c r="AC17" s="34">
        <f t="shared" si="29"/>
        <v>0.23758050826301863</v>
      </c>
      <c r="AD17" s="34" t="e">
        <f t="shared" si="29"/>
        <v>#DIV/0!</v>
      </c>
      <c r="AZ17" s="34">
        <f>AZ13/AZ15</f>
        <v>0.22613887907141131</v>
      </c>
      <c r="BA17" s="34">
        <f>BA13/BA15</f>
        <v>0.12858609254092751</v>
      </c>
      <c r="BB17" s="34">
        <f t="shared" ref="BB17:BE17" si="30">BB13/BB15</f>
        <v>7.7307513631140121E-2</v>
      </c>
      <c r="BC17" s="34" t="e">
        <f t="shared" si="30"/>
        <v>#DIV/0!</v>
      </c>
      <c r="BD17" s="34" t="e">
        <f t="shared" si="30"/>
        <v>#DIV/0!</v>
      </c>
      <c r="BE17" s="34" t="e">
        <f t="shared" si="30"/>
        <v>#DIV/0!</v>
      </c>
    </row>
    <row r="18" spans="1:86" s="36" customFormat="1" x14ac:dyDescent="0.35">
      <c r="B18" s="36" t="s">
        <v>429</v>
      </c>
      <c r="C18" s="37"/>
      <c r="D18" s="37"/>
      <c r="E18" s="59"/>
      <c r="F18" s="37"/>
      <c r="G18" s="37"/>
      <c r="H18" s="37"/>
      <c r="I18" s="37"/>
      <c r="J18" s="37"/>
      <c r="K18" s="37"/>
      <c r="L18" s="37"/>
      <c r="M18" s="37"/>
      <c r="N18" s="37"/>
      <c r="O18" s="67" t="e">
        <f t="shared" ref="O18:Y18" si="31">O14/O15</f>
        <v>#DIV/0!</v>
      </c>
      <c r="P18" s="36" t="e">
        <f t="shared" si="31"/>
        <v>#DIV/0!</v>
      </c>
      <c r="Q18" s="36">
        <f t="shared" si="31"/>
        <v>1.1771209312912562E-2</v>
      </c>
      <c r="R18" s="36" t="e">
        <f t="shared" si="31"/>
        <v>#DIV/0!</v>
      </c>
      <c r="S18" s="67">
        <f t="shared" si="31"/>
        <v>8.5018074708796357E-3</v>
      </c>
      <c r="T18" s="36">
        <f t="shared" si="31"/>
        <v>1.7080186983099604E-3</v>
      </c>
      <c r="U18" s="36">
        <f t="shared" si="31"/>
        <v>5.2583075838889791E-3</v>
      </c>
      <c r="V18" s="36">
        <f t="shared" si="31"/>
        <v>6.2674094707520889E-2</v>
      </c>
      <c r="W18" s="67">
        <f t="shared" si="31"/>
        <v>1.8408421511945019E-2</v>
      </c>
      <c r="X18" s="36">
        <f t="shared" si="31"/>
        <v>1.4996739839165399E-2</v>
      </c>
      <c r="Y18" s="36">
        <f t="shared" si="31"/>
        <v>3.2318210068365445E-2</v>
      </c>
      <c r="Z18" s="36">
        <f t="shared" ref="Z18:AD18" si="32">Z14/Z15</f>
        <v>0.1383442265795207</v>
      </c>
      <c r="AA18" s="67">
        <f t="shared" si="32"/>
        <v>2.1863623783875845E-2</v>
      </c>
      <c r="AB18" s="36">
        <f t="shared" si="32"/>
        <v>1.2994810080984083E-2</v>
      </c>
      <c r="AC18" s="36">
        <f t="shared" si="32"/>
        <v>2.2717060262619202E-3</v>
      </c>
      <c r="AD18" s="36" t="e">
        <f t="shared" si="32"/>
        <v>#DIV/0!</v>
      </c>
      <c r="AZ18" s="36">
        <f>AZ14/AZ15</f>
        <v>5.1061217656578435E-3</v>
      </c>
      <c r="BA18" s="36">
        <f>BA14/BA15</f>
        <v>6.0404274359109333E-3</v>
      </c>
      <c r="BB18" s="36">
        <f t="shared" ref="BB18:BE18" si="33">BB14/BB15</f>
        <v>1.7853737255189614E-2</v>
      </c>
      <c r="BC18" s="36" t="e">
        <f t="shared" si="33"/>
        <v>#DIV/0!</v>
      </c>
      <c r="BD18" s="36" t="e">
        <f t="shared" si="33"/>
        <v>#DIV/0!</v>
      </c>
      <c r="BE18" s="36" t="e">
        <f t="shared" si="33"/>
        <v>#DIV/0!</v>
      </c>
    </row>
    <row r="19" spans="1:86" s="15" customFormat="1" x14ac:dyDescent="0.35">
      <c r="B19" s="15" t="s">
        <v>21</v>
      </c>
      <c r="C19" s="30"/>
      <c r="D19" s="30"/>
      <c r="E19" s="60"/>
      <c r="F19" s="30"/>
      <c r="G19" s="30"/>
      <c r="H19" s="30"/>
      <c r="I19" s="30"/>
      <c r="J19" s="30"/>
      <c r="K19" s="30"/>
      <c r="L19" s="30"/>
      <c r="M19" s="30"/>
      <c r="N19" s="30"/>
      <c r="O19" s="68" t="e">
        <f t="shared" ref="O19:Y19" si="34">SUM(O16:O18)</f>
        <v>#DIV/0!</v>
      </c>
      <c r="P19" s="38" t="e">
        <f t="shared" si="34"/>
        <v>#DIV/0!</v>
      </c>
      <c r="Q19" s="38">
        <f t="shared" si="34"/>
        <v>1</v>
      </c>
      <c r="R19" s="38" t="e">
        <f t="shared" si="34"/>
        <v>#DIV/0!</v>
      </c>
      <c r="S19" s="68">
        <f t="shared" si="34"/>
        <v>0.99999999999999989</v>
      </c>
      <c r="T19" s="38">
        <f t="shared" si="34"/>
        <v>1</v>
      </c>
      <c r="U19" s="38">
        <f t="shared" si="34"/>
        <v>1</v>
      </c>
      <c r="V19" s="38">
        <f t="shared" si="34"/>
        <v>1</v>
      </c>
      <c r="W19" s="68">
        <f t="shared" si="34"/>
        <v>1</v>
      </c>
      <c r="X19" s="38">
        <f t="shared" si="34"/>
        <v>0.99999999999999989</v>
      </c>
      <c r="Y19" s="38">
        <f t="shared" si="34"/>
        <v>1</v>
      </c>
      <c r="Z19" s="38">
        <f t="shared" ref="Z19" si="35">SUM(Z16:Z18)</f>
        <v>1</v>
      </c>
      <c r="AA19" s="68">
        <f t="shared" ref="AA19" si="36">SUM(AA16:AA18)</f>
        <v>1</v>
      </c>
      <c r="AB19" s="38">
        <f t="shared" ref="AB19" si="37">SUM(AB16:AB18)</f>
        <v>1</v>
      </c>
      <c r="AC19" s="38">
        <f t="shared" ref="AC19" si="38">SUM(AC16:AC18)</f>
        <v>1</v>
      </c>
      <c r="AD19" s="38" t="e">
        <f t="shared" ref="AD19" si="39">SUM(AD16:AD18)</f>
        <v>#DIV/0!</v>
      </c>
      <c r="AL19" s="38">
        <f t="shared" ref="AL19:BA19" si="40">SUM(AL16:AL18)</f>
        <v>0</v>
      </c>
      <c r="AM19" s="38">
        <f t="shared" si="40"/>
        <v>0</v>
      </c>
      <c r="AN19" s="38">
        <f t="shared" si="40"/>
        <v>0</v>
      </c>
      <c r="AO19" s="38">
        <f t="shared" si="40"/>
        <v>0</v>
      </c>
      <c r="AP19" s="38">
        <f t="shared" si="40"/>
        <v>0</v>
      </c>
      <c r="AQ19" s="38">
        <f t="shared" si="40"/>
        <v>0</v>
      </c>
      <c r="AR19" s="38">
        <f t="shared" si="40"/>
        <v>0</v>
      </c>
      <c r="AS19" s="38">
        <f t="shared" si="40"/>
        <v>0</v>
      </c>
      <c r="AT19" s="38">
        <f t="shared" si="40"/>
        <v>0</v>
      </c>
      <c r="AU19" s="38">
        <f t="shared" si="40"/>
        <v>0</v>
      </c>
      <c r="AV19" s="38">
        <f t="shared" si="40"/>
        <v>0</v>
      </c>
      <c r="AW19" s="38">
        <f t="shared" si="40"/>
        <v>0</v>
      </c>
      <c r="AX19" s="38">
        <f t="shared" si="40"/>
        <v>0</v>
      </c>
      <c r="AY19" s="38">
        <f t="shared" si="40"/>
        <v>0</v>
      </c>
      <c r="AZ19" s="38">
        <f t="shared" si="40"/>
        <v>1</v>
      </c>
      <c r="BA19" s="38">
        <f t="shared" si="40"/>
        <v>1</v>
      </c>
      <c r="BB19" s="38">
        <f t="shared" ref="BB19" si="41">SUM(BB16:BB18)</f>
        <v>0.99999999999999989</v>
      </c>
      <c r="BC19" s="38" t="e">
        <f t="shared" ref="BC19" si="42">SUM(BC16:BC18)</f>
        <v>#DIV/0!</v>
      </c>
      <c r="BD19" s="38" t="e">
        <f t="shared" ref="BD19" si="43">SUM(BD16:BD18)</f>
        <v>#DIV/0!</v>
      </c>
      <c r="BE19" s="38" t="e">
        <f t="shared" ref="BE19" si="44">SUM(BE16:BE18)</f>
        <v>#DIV/0!</v>
      </c>
    </row>
    <row r="20" spans="1:86" s="12" customFormat="1" x14ac:dyDescent="0.35">
      <c r="C20" s="29"/>
      <c r="D20" s="29"/>
      <c r="E20" s="61"/>
      <c r="F20" s="29"/>
      <c r="G20" s="29"/>
      <c r="H20" s="29"/>
      <c r="I20" s="29"/>
      <c r="J20" s="29"/>
      <c r="K20" s="29"/>
      <c r="L20" s="29"/>
      <c r="M20" s="29"/>
      <c r="N20" s="29"/>
      <c r="O20" s="61"/>
      <c r="P20" s="29"/>
      <c r="Q20" s="29"/>
      <c r="R20" s="29"/>
      <c r="S20" s="61"/>
      <c r="T20" s="29"/>
      <c r="U20" s="29"/>
      <c r="W20" s="46"/>
      <c r="AA20" s="46"/>
    </row>
    <row r="27" spans="1:86" s="8" customFormat="1" x14ac:dyDescent="0.35">
      <c r="B27" s="9" t="s">
        <v>22</v>
      </c>
      <c r="C27" s="10"/>
      <c r="D27" s="10"/>
      <c r="E27" s="42"/>
      <c r="F27" s="10"/>
      <c r="G27" s="10"/>
      <c r="H27" s="10"/>
      <c r="I27" s="10"/>
      <c r="J27" s="10"/>
      <c r="K27" s="10"/>
      <c r="L27" s="10"/>
      <c r="M27" s="10"/>
      <c r="N27" s="10"/>
      <c r="O27" s="42"/>
      <c r="P27" s="10"/>
      <c r="Q27" s="10"/>
      <c r="R27" s="10"/>
      <c r="S27" s="42"/>
      <c r="T27" s="10"/>
      <c r="U27" s="10"/>
      <c r="W27" s="47"/>
      <c r="AA27" s="47"/>
    </row>
    <row r="28" spans="1:86" s="15" customFormat="1" x14ac:dyDescent="0.35">
      <c r="A28" s="17"/>
      <c r="B28" s="17" t="s">
        <v>23</v>
      </c>
      <c r="C28" s="17"/>
      <c r="D28" s="17"/>
      <c r="E28" s="45"/>
      <c r="F28" s="17"/>
      <c r="G28" s="17"/>
      <c r="H28" s="17"/>
      <c r="I28" s="17"/>
      <c r="J28" s="17"/>
      <c r="K28" s="17"/>
      <c r="L28" s="17"/>
      <c r="M28" s="17"/>
      <c r="N28" s="17"/>
      <c r="O28" s="45"/>
      <c r="P28" s="17"/>
      <c r="Q28" s="17">
        <v>30753</v>
      </c>
      <c r="R28" s="17"/>
      <c r="S28" s="45">
        <v>14938</v>
      </c>
      <c r="T28" s="17">
        <v>33372</v>
      </c>
      <c r="U28" s="17">
        <v>36894</v>
      </c>
      <c r="V28" s="17">
        <f>BA28-U28-T28-S28</f>
        <v>66772</v>
      </c>
      <c r="W28" s="45">
        <v>36668</v>
      </c>
      <c r="X28" s="17">
        <v>64414</v>
      </c>
      <c r="Y28" s="17">
        <v>38616</v>
      </c>
      <c r="Z28" s="17">
        <f>BB28-Y28-X28-W28</f>
        <v>64797</v>
      </c>
      <c r="AA28" s="45">
        <v>46973</v>
      </c>
      <c r="AB28" s="17">
        <v>74953</v>
      </c>
      <c r="AC28" s="17">
        <v>80116</v>
      </c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>
        <v>76434</v>
      </c>
      <c r="AZ28" s="17">
        <v>107518</v>
      </c>
      <c r="BA28" s="17">
        <v>151976</v>
      </c>
      <c r="BB28" s="17">
        <v>204495</v>
      </c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</row>
    <row r="29" spans="1:86" s="13" customFormat="1" x14ac:dyDescent="0.35">
      <c r="A29" s="16"/>
      <c r="B29" s="16" t="s">
        <v>24</v>
      </c>
      <c r="C29" s="16"/>
      <c r="D29" s="16"/>
      <c r="E29" s="44"/>
      <c r="F29" s="16"/>
      <c r="G29" s="16"/>
      <c r="H29" s="16"/>
      <c r="I29" s="16"/>
      <c r="J29" s="16"/>
      <c r="K29" s="16"/>
      <c r="L29" s="16"/>
      <c r="M29" s="16"/>
      <c r="N29" s="16"/>
      <c r="O29" s="44"/>
      <c r="P29" s="16"/>
      <c r="Q29" s="16">
        <v>-27075</v>
      </c>
      <c r="R29" s="16"/>
      <c r="S29" s="44">
        <v>-16175</v>
      </c>
      <c r="T29" s="16">
        <v>-40146</v>
      </c>
      <c r="U29" s="16">
        <v>-72779</v>
      </c>
      <c r="V29" s="16">
        <f>BA29-U29-T29-S29</f>
        <v>-65619</v>
      </c>
      <c r="W29" s="44">
        <v>-36655</v>
      </c>
      <c r="X29" s="16">
        <v>-59573</v>
      </c>
      <c r="Y29" s="16">
        <v>-36623</v>
      </c>
      <c r="Z29" s="16">
        <f>BB29-Y29-X29-W29</f>
        <v>-62571</v>
      </c>
      <c r="AA29" s="44">
        <v>-42115</v>
      </c>
      <c r="AB29" s="16">
        <v>-63492</v>
      </c>
      <c r="AC29" s="16">
        <v>-62232</v>
      </c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>
        <v>-76665</v>
      </c>
      <c r="AZ29" s="16">
        <v>-90378</v>
      </c>
      <c r="BA29" s="16">
        <v>-194719</v>
      </c>
      <c r="BB29" s="16">
        <v>-195422</v>
      </c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</row>
    <row r="30" spans="1:86" s="15" customFormat="1" x14ac:dyDescent="0.35">
      <c r="A30" s="17"/>
      <c r="B30" s="17" t="s">
        <v>25</v>
      </c>
      <c r="C30" s="17"/>
      <c r="D30" s="17"/>
      <c r="E30" s="45"/>
      <c r="F30" s="17"/>
      <c r="G30" s="17"/>
      <c r="H30" s="17"/>
      <c r="I30" s="17"/>
      <c r="J30" s="17"/>
      <c r="K30" s="17"/>
      <c r="L30" s="17"/>
      <c r="M30" s="17"/>
      <c r="N30" s="17"/>
      <c r="O30" s="45">
        <f t="shared" ref="O30:Y30" si="45">SUM(O28:O29)</f>
        <v>0</v>
      </c>
      <c r="P30" s="17">
        <f t="shared" si="45"/>
        <v>0</v>
      </c>
      <c r="Q30" s="17">
        <f t="shared" si="45"/>
        <v>3678</v>
      </c>
      <c r="R30" s="17">
        <f t="shared" si="45"/>
        <v>0</v>
      </c>
      <c r="S30" s="45">
        <f t="shared" si="45"/>
        <v>-1237</v>
      </c>
      <c r="T30" s="17">
        <f t="shared" si="45"/>
        <v>-6774</v>
      </c>
      <c r="U30" s="17">
        <f t="shared" si="45"/>
        <v>-35885</v>
      </c>
      <c r="V30" s="17">
        <f t="shared" si="45"/>
        <v>1153</v>
      </c>
      <c r="W30" s="45">
        <f t="shared" si="45"/>
        <v>13</v>
      </c>
      <c r="X30" s="17">
        <f t="shared" si="45"/>
        <v>4841</v>
      </c>
      <c r="Y30" s="17">
        <f t="shared" si="45"/>
        <v>1993</v>
      </c>
      <c r="Z30" s="17">
        <f t="shared" ref="Z30" si="46">SUM(Z28:Z29)</f>
        <v>2226</v>
      </c>
      <c r="AA30" s="45">
        <f t="shared" ref="AA30:AB30" si="47">SUM(AA28:AA29)</f>
        <v>4858</v>
      </c>
      <c r="AB30" s="17">
        <f t="shared" si="47"/>
        <v>11461</v>
      </c>
      <c r="AC30" s="17">
        <f t="shared" ref="AC30" si="48">SUM(AC28:AC29)</f>
        <v>17884</v>
      </c>
      <c r="AD30" s="17">
        <f t="shared" ref="AD30" si="49">SUM(AD28:AD29)</f>
        <v>0</v>
      </c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>
        <f t="shared" ref="AR30:BA30" si="50">SUM(AR28:AR29)</f>
        <v>0</v>
      </c>
      <c r="AS30" s="17">
        <f t="shared" si="50"/>
        <v>0</v>
      </c>
      <c r="AT30" s="17">
        <f t="shared" si="50"/>
        <v>0</v>
      </c>
      <c r="AU30" s="17">
        <f t="shared" si="50"/>
        <v>0</v>
      </c>
      <c r="AV30" s="17">
        <f t="shared" si="50"/>
        <v>0</v>
      </c>
      <c r="AW30" s="17">
        <f t="shared" si="50"/>
        <v>0</v>
      </c>
      <c r="AX30" s="17">
        <f t="shared" si="50"/>
        <v>0</v>
      </c>
      <c r="AY30" s="17">
        <f t="shared" si="50"/>
        <v>-231</v>
      </c>
      <c r="AZ30" s="17">
        <f t="shared" si="50"/>
        <v>17140</v>
      </c>
      <c r="BA30" s="17">
        <f t="shared" si="50"/>
        <v>-42743</v>
      </c>
      <c r="BB30" s="17">
        <f t="shared" ref="BB30" si="51">SUM(BB28:BB29)</f>
        <v>9073</v>
      </c>
      <c r="BC30" s="17">
        <f t="shared" ref="BC30" si="52">SUM(BC28:BC29)</f>
        <v>0</v>
      </c>
      <c r="BD30" s="17">
        <f t="shared" ref="BD30" si="53">SUM(BD28:BD29)</f>
        <v>0</v>
      </c>
      <c r="BE30" s="17">
        <f t="shared" ref="BE30" si="54">SUM(BE28:BE29)</f>
        <v>0</v>
      </c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</row>
    <row r="31" spans="1:86" s="82" customFormat="1" x14ac:dyDescent="0.35">
      <c r="B31" s="82" t="s">
        <v>448</v>
      </c>
      <c r="E31" s="83"/>
      <c r="O31" s="83"/>
      <c r="S31" s="83">
        <f>S30/S28</f>
        <v>-8.2808943633685905E-2</v>
      </c>
      <c r="T31" s="82">
        <f>T30/T28</f>
        <v>-0.20298453793599425</v>
      </c>
      <c r="U31" s="82">
        <f>U30/U28</f>
        <v>-0.97265137962812387</v>
      </c>
      <c r="V31" s="82">
        <f>V30/V28</f>
        <v>1.7267717007128737E-2</v>
      </c>
      <c r="W31" s="83">
        <f>W30/W28</f>
        <v>3.5453256245227444E-4</v>
      </c>
      <c r="X31" s="82">
        <f>X30/X28</f>
        <v>7.5154469525258491E-2</v>
      </c>
      <c r="Y31" s="82">
        <f>Y30/Y28</f>
        <v>5.1610731303086806E-2</v>
      </c>
      <c r="Z31" s="82">
        <f>Z30/Z28</f>
        <v>3.4353442288994861E-2</v>
      </c>
      <c r="AA31" s="83">
        <f>AA30/AA28</f>
        <v>0.10342111425712644</v>
      </c>
      <c r="AB31" s="82">
        <f>AB30/AB28</f>
        <v>0.15290915640468028</v>
      </c>
      <c r="AC31" s="82">
        <f>AC30/AC28</f>
        <v>0.22322632183334165</v>
      </c>
      <c r="AD31" s="82" t="e">
        <f>AD30/AD28</f>
        <v>#DIV/0!</v>
      </c>
    </row>
    <row r="32" spans="1:86" s="12" customFormat="1" x14ac:dyDescent="0.35">
      <c r="A32" s="18"/>
      <c r="B32" s="18" t="s">
        <v>26</v>
      </c>
      <c r="C32" s="18"/>
      <c r="D32" s="18"/>
      <c r="E32" s="48"/>
      <c r="F32" s="18"/>
      <c r="G32" s="18"/>
      <c r="H32" s="18"/>
      <c r="I32" s="18"/>
      <c r="J32" s="18"/>
      <c r="K32" s="18"/>
      <c r="L32" s="18"/>
      <c r="M32" s="18"/>
      <c r="N32" s="18"/>
      <c r="O32" s="48"/>
      <c r="P32" s="18"/>
      <c r="Q32" s="18"/>
      <c r="R32" s="18"/>
      <c r="S32" s="48"/>
      <c r="T32" s="18"/>
      <c r="U32" s="18"/>
      <c r="V32" s="18"/>
      <c r="W32" s="48"/>
      <c r="X32" s="18"/>
      <c r="Y32" s="18"/>
      <c r="Z32" s="18"/>
      <c r="AA32" s="4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</row>
    <row r="33" spans="1:86" x14ac:dyDescent="0.35">
      <c r="A33" s="5"/>
      <c r="B33" s="5" t="s">
        <v>27</v>
      </c>
      <c r="C33" s="5"/>
      <c r="D33" s="5"/>
      <c r="E33" s="43"/>
      <c r="F33" s="5"/>
      <c r="G33" s="5"/>
      <c r="H33" s="5"/>
      <c r="I33" s="5"/>
      <c r="J33" s="5"/>
      <c r="K33" s="5"/>
      <c r="L33" s="5"/>
      <c r="M33" s="5"/>
      <c r="N33" s="5"/>
      <c r="O33" s="43"/>
      <c r="P33" s="5"/>
      <c r="Q33" s="5">
        <v>-4721</v>
      </c>
      <c r="R33" s="5"/>
      <c r="S33" s="43">
        <v>-4574</v>
      </c>
      <c r="T33" s="5">
        <v>-6178</v>
      </c>
      <c r="U33" s="5">
        <v>-57058</v>
      </c>
      <c r="V33" s="5">
        <f>BA33-U33-T33-S33</f>
        <v>-33822</v>
      </c>
      <c r="W33" s="43">
        <v>-26101</v>
      </c>
      <c r="X33" s="5">
        <v>-34335</v>
      </c>
      <c r="Y33" s="5">
        <v>-22585</v>
      </c>
      <c r="Z33" s="5">
        <f>BB33-Y33-X33-W33</f>
        <v>-21551</v>
      </c>
      <c r="AA33" s="43">
        <v>-20385</v>
      </c>
      <c r="AB33" s="5">
        <v>-23560</v>
      </c>
      <c r="AC33" s="5">
        <v>-25402</v>
      </c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>
        <v>-15166</v>
      </c>
      <c r="AZ33" s="5">
        <v>-18849</v>
      </c>
      <c r="BA33" s="5">
        <v>-101632</v>
      </c>
      <c r="BB33" s="5">
        <v>-104572</v>
      </c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</row>
    <row r="34" spans="1:86" x14ac:dyDescent="0.35">
      <c r="A34" s="5"/>
      <c r="B34" s="5" t="s">
        <v>28</v>
      </c>
      <c r="C34" s="5"/>
      <c r="D34" s="5"/>
      <c r="E34" s="43"/>
      <c r="F34" s="5"/>
      <c r="G34" s="5"/>
      <c r="H34" s="5"/>
      <c r="I34" s="5"/>
      <c r="J34" s="5"/>
      <c r="K34" s="5"/>
      <c r="L34" s="5"/>
      <c r="M34" s="5"/>
      <c r="N34" s="5"/>
      <c r="O34" s="43"/>
      <c r="P34" s="5"/>
      <c r="Q34" s="5">
        <v>-4558</v>
      </c>
      <c r="R34" s="5"/>
      <c r="S34" s="43">
        <v>-3786</v>
      </c>
      <c r="T34" s="5">
        <v>-5895</v>
      </c>
      <c r="U34" s="5">
        <v>-13518</v>
      </c>
      <c r="V34" s="5">
        <f>BA34-U34-T34-S34</f>
        <v>-11186</v>
      </c>
      <c r="W34" s="43">
        <v>-11309</v>
      </c>
      <c r="X34" s="5">
        <v>-10244</v>
      </c>
      <c r="Y34" s="5">
        <v>-11457</v>
      </c>
      <c r="Z34" s="5">
        <f>BB34-Y34-X34-W34</f>
        <v>-10498</v>
      </c>
      <c r="AA34" s="43">
        <v>-10861</v>
      </c>
      <c r="AB34" s="5">
        <v>-9507</v>
      </c>
      <c r="AC34" s="5">
        <v>-13241</v>
      </c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>
        <v>-25995</v>
      </c>
      <c r="AZ34" s="5">
        <v>-16637</v>
      </c>
      <c r="BA34" s="5">
        <v>-34385</v>
      </c>
      <c r="BB34" s="5">
        <v>-43508</v>
      </c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</row>
    <row r="35" spans="1:86" s="13" customFormat="1" x14ac:dyDescent="0.35">
      <c r="A35" s="16"/>
      <c r="B35" s="16" t="s">
        <v>29</v>
      </c>
      <c r="C35" s="16"/>
      <c r="D35" s="16"/>
      <c r="E35" s="44"/>
      <c r="F35" s="16"/>
      <c r="G35" s="16"/>
      <c r="H35" s="16"/>
      <c r="I35" s="16"/>
      <c r="J35" s="16"/>
      <c r="K35" s="16"/>
      <c r="L35" s="16"/>
      <c r="M35" s="16"/>
      <c r="N35" s="16"/>
      <c r="O35" s="44"/>
      <c r="P35" s="16"/>
      <c r="Q35" s="16">
        <v>-3456</v>
      </c>
      <c r="R35" s="16"/>
      <c r="S35" s="44">
        <v>-3156</v>
      </c>
      <c r="T35" s="16">
        <v>-3706</v>
      </c>
      <c r="U35" s="16">
        <v>-7380</v>
      </c>
      <c r="V35" s="16">
        <f>BA35-U35-T35-S35</f>
        <v>-7189</v>
      </c>
      <c r="W35" s="44">
        <v>-5998</v>
      </c>
      <c r="X35" s="16">
        <v>-5810</v>
      </c>
      <c r="Y35" s="16">
        <v>-5561</v>
      </c>
      <c r="Z35" s="16">
        <f>BB35-Y35-X35-W35</f>
        <v>-5242</v>
      </c>
      <c r="AA35" s="44">
        <v>-4988</v>
      </c>
      <c r="AB35" s="16">
        <v>-5897</v>
      </c>
      <c r="AC35" s="16">
        <v>-6031</v>
      </c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>
        <v>-15712</v>
      </c>
      <c r="AZ35" s="16">
        <v>-13761</v>
      </c>
      <c r="BA35" s="16">
        <v>-21431</v>
      </c>
      <c r="BB35" s="16">
        <v>-22611</v>
      </c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</row>
    <row r="36" spans="1:86" s="15" customFormat="1" x14ac:dyDescent="0.35">
      <c r="A36" s="17"/>
      <c r="B36" s="17" t="s">
        <v>30</v>
      </c>
      <c r="C36" s="17"/>
      <c r="D36" s="17"/>
      <c r="E36" s="45"/>
      <c r="F36" s="17"/>
      <c r="G36" s="17"/>
      <c r="H36" s="17"/>
      <c r="I36" s="17"/>
      <c r="J36" s="17"/>
      <c r="K36" s="17"/>
      <c r="L36" s="17"/>
      <c r="M36" s="17"/>
      <c r="N36" s="17"/>
      <c r="O36" s="45">
        <f t="shared" ref="O36:Y36" si="55">SUM(O33:O35)</f>
        <v>0</v>
      </c>
      <c r="P36" s="17">
        <f t="shared" si="55"/>
        <v>0</v>
      </c>
      <c r="Q36" s="17">
        <f t="shared" si="55"/>
        <v>-12735</v>
      </c>
      <c r="R36" s="17">
        <f t="shared" si="55"/>
        <v>0</v>
      </c>
      <c r="S36" s="45">
        <f t="shared" si="55"/>
        <v>-11516</v>
      </c>
      <c r="T36" s="17">
        <f t="shared" si="55"/>
        <v>-15779</v>
      </c>
      <c r="U36" s="17">
        <f t="shared" si="55"/>
        <v>-77956</v>
      </c>
      <c r="V36" s="17">
        <f t="shared" si="55"/>
        <v>-52197</v>
      </c>
      <c r="W36" s="45">
        <f t="shared" si="55"/>
        <v>-43408</v>
      </c>
      <c r="X36" s="17">
        <f t="shared" si="55"/>
        <v>-50389</v>
      </c>
      <c r="Y36" s="17">
        <f t="shared" si="55"/>
        <v>-39603</v>
      </c>
      <c r="Z36" s="17">
        <f t="shared" ref="Z36" si="56">SUM(Z33:Z35)</f>
        <v>-37291</v>
      </c>
      <c r="AA36" s="45">
        <f t="shared" ref="AA36:AB36" si="57">SUM(AA33:AA35)</f>
        <v>-36234</v>
      </c>
      <c r="AB36" s="17">
        <f t="shared" si="57"/>
        <v>-38964</v>
      </c>
      <c r="AC36" s="17">
        <f t="shared" ref="AC36" si="58">SUM(AC33:AC35)</f>
        <v>-44674</v>
      </c>
      <c r="AD36" s="17">
        <f t="shared" ref="AD36" si="59">SUM(AD33:AD35)</f>
        <v>0</v>
      </c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>
        <f t="shared" ref="AR36:BA36" si="60">SUM(AR33:AR35)</f>
        <v>0</v>
      </c>
      <c r="AS36" s="17">
        <f t="shared" si="60"/>
        <v>0</v>
      </c>
      <c r="AT36" s="17">
        <f t="shared" si="60"/>
        <v>0</v>
      </c>
      <c r="AU36" s="17">
        <f t="shared" si="60"/>
        <v>0</v>
      </c>
      <c r="AV36" s="17">
        <f t="shared" si="60"/>
        <v>0</v>
      </c>
      <c r="AW36" s="17">
        <f t="shared" si="60"/>
        <v>0</v>
      </c>
      <c r="AX36" s="17">
        <f t="shared" si="60"/>
        <v>0</v>
      </c>
      <c r="AY36" s="17">
        <f t="shared" si="60"/>
        <v>-56873</v>
      </c>
      <c r="AZ36" s="17">
        <f t="shared" si="60"/>
        <v>-49247</v>
      </c>
      <c r="BA36" s="17">
        <f t="shared" si="60"/>
        <v>-157448</v>
      </c>
      <c r="BB36" s="17">
        <f t="shared" ref="BB36" si="61">SUM(BB33:BB35)</f>
        <v>-170691</v>
      </c>
      <c r="BC36" s="17">
        <f t="shared" ref="BC36" si="62">SUM(BC33:BC35)</f>
        <v>0</v>
      </c>
      <c r="BD36" s="17">
        <f t="shared" ref="BD36" si="63">SUM(BD33:BD35)</f>
        <v>0</v>
      </c>
      <c r="BE36" s="17">
        <f t="shared" ref="BE36" si="64">SUM(BE33:BE35)</f>
        <v>0</v>
      </c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</row>
    <row r="37" spans="1:86" s="13" customFormat="1" x14ac:dyDescent="0.35">
      <c r="A37" s="16"/>
      <c r="B37" s="16" t="s">
        <v>31</v>
      </c>
      <c r="C37" s="16"/>
      <c r="D37" s="16"/>
      <c r="E37" s="44"/>
      <c r="F37" s="16"/>
      <c r="G37" s="16"/>
      <c r="H37" s="16"/>
      <c r="I37" s="16"/>
      <c r="J37" s="16"/>
      <c r="K37" s="16"/>
      <c r="L37" s="16"/>
      <c r="M37" s="16"/>
      <c r="N37" s="16"/>
      <c r="O37" s="44"/>
      <c r="P37" s="16"/>
      <c r="Q37" s="16">
        <v>-39</v>
      </c>
      <c r="R37" s="16"/>
      <c r="S37" s="44">
        <v>1918</v>
      </c>
      <c r="T37" s="16">
        <v>213</v>
      </c>
      <c r="U37" s="16">
        <v>545</v>
      </c>
      <c r="V37" s="16">
        <f>BA37-U37-T37-S37</f>
        <v>3451</v>
      </c>
      <c r="W37" s="44">
        <v>137</v>
      </c>
      <c r="X37" s="16">
        <v>576</v>
      </c>
      <c r="Y37" s="16">
        <v>520</v>
      </c>
      <c r="Z37" s="16">
        <f>BB37-Y37-X37-W37</f>
        <v>439</v>
      </c>
      <c r="AA37" s="44">
        <v>77</v>
      </c>
      <c r="AB37" s="16">
        <v>637</v>
      </c>
      <c r="AC37" s="16">
        <v>442</v>
      </c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>
        <v>3243</v>
      </c>
      <c r="AZ37" s="16">
        <v>3000</v>
      </c>
      <c r="BA37" s="16">
        <v>6127</v>
      </c>
      <c r="BB37" s="16">
        <v>1672</v>
      </c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</row>
    <row r="38" spans="1:86" s="15" customFormat="1" x14ac:dyDescent="0.35">
      <c r="A38" s="17"/>
      <c r="B38" s="17" t="s">
        <v>32</v>
      </c>
      <c r="C38" s="17"/>
      <c r="D38" s="17"/>
      <c r="E38" s="45"/>
      <c r="F38" s="17"/>
      <c r="G38" s="17"/>
      <c r="H38" s="17"/>
      <c r="I38" s="17"/>
      <c r="J38" s="17"/>
      <c r="K38" s="17"/>
      <c r="L38" s="17"/>
      <c r="M38" s="17"/>
      <c r="N38" s="17"/>
      <c r="O38" s="45">
        <f t="shared" ref="O38:Y38" si="65">O30+SUM(O36:O37)</f>
        <v>0</v>
      </c>
      <c r="P38" s="17">
        <f t="shared" si="65"/>
        <v>0</v>
      </c>
      <c r="Q38" s="17">
        <f t="shared" si="65"/>
        <v>-9096</v>
      </c>
      <c r="R38" s="17">
        <f t="shared" si="65"/>
        <v>0</v>
      </c>
      <c r="S38" s="45">
        <f t="shared" si="65"/>
        <v>-10835</v>
      </c>
      <c r="T38" s="17">
        <f t="shared" si="65"/>
        <v>-22340</v>
      </c>
      <c r="U38" s="17">
        <f t="shared" si="65"/>
        <v>-113296</v>
      </c>
      <c r="V38" s="17">
        <f t="shared" si="65"/>
        <v>-47593</v>
      </c>
      <c r="W38" s="45">
        <f t="shared" si="65"/>
        <v>-43258</v>
      </c>
      <c r="X38" s="17">
        <f t="shared" si="65"/>
        <v>-44972</v>
      </c>
      <c r="Y38" s="17">
        <f t="shared" si="65"/>
        <v>-37090</v>
      </c>
      <c r="Z38" s="17">
        <f t="shared" ref="Z38" si="66">Z30+SUM(Z36:Z37)</f>
        <v>-34626</v>
      </c>
      <c r="AA38" s="45">
        <f t="shared" ref="AA38:AB38" si="67">AA30+SUM(AA36:AA37)</f>
        <v>-31299</v>
      </c>
      <c r="AB38" s="17">
        <f t="shared" si="67"/>
        <v>-26866</v>
      </c>
      <c r="AC38" s="17">
        <f t="shared" ref="AC38" si="68">AC30+SUM(AC36:AC37)</f>
        <v>-26348</v>
      </c>
      <c r="AD38" s="17">
        <f t="shared" ref="AD38" si="69">AD30+SUM(AD36:AD37)</f>
        <v>0</v>
      </c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>
        <f t="shared" ref="AR38:BA38" si="70">AR30+SUM(AR36:AR37)</f>
        <v>0</v>
      </c>
      <c r="AS38" s="17">
        <f t="shared" si="70"/>
        <v>0</v>
      </c>
      <c r="AT38" s="17">
        <f t="shared" si="70"/>
        <v>0</v>
      </c>
      <c r="AU38" s="17">
        <f t="shared" si="70"/>
        <v>0</v>
      </c>
      <c r="AV38" s="17">
        <f t="shared" si="70"/>
        <v>0</v>
      </c>
      <c r="AW38" s="17">
        <f t="shared" si="70"/>
        <v>0</v>
      </c>
      <c r="AX38" s="17">
        <f t="shared" si="70"/>
        <v>0</v>
      </c>
      <c r="AY38" s="17">
        <f t="shared" si="70"/>
        <v>-53861</v>
      </c>
      <c r="AZ38" s="17">
        <f t="shared" si="70"/>
        <v>-29107</v>
      </c>
      <c r="BA38" s="17">
        <f t="shared" si="70"/>
        <v>-194064</v>
      </c>
      <c r="BB38" s="17">
        <f t="shared" ref="BB38" si="71">BB30+SUM(BB36:BB37)</f>
        <v>-159946</v>
      </c>
      <c r="BC38" s="17">
        <f t="shared" ref="BC38" si="72">BC30+SUM(BC36:BC37)</f>
        <v>0</v>
      </c>
      <c r="BD38" s="17">
        <f t="shared" ref="BD38" si="73">BD30+SUM(BD36:BD37)</f>
        <v>0</v>
      </c>
      <c r="BE38" s="17">
        <f t="shared" ref="BE38" si="74">BE30+SUM(BE36:BE37)</f>
        <v>0</v>
      </c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</row>
    <row r="39" spans="1:86" s="82" customFormat="1" x14ac:dyDescent="0.35">
      <c r="B39" s="82" t="s">
        <v>449</v>
      </c>
      <c r="E39" s="83"/>
      <c r="O39" s="83"/>
      <c r="S39" s="83">
        <f>S38/S28</f>
        <v>-0.72533136966126655</v>
      </c>
      <c r="T39" s="82">
        <f>T38/T28</f>
        <v>-0.66942346877621961</v>
      </c>
      <c r="U39" s="82">
        <f>U38/U28</f>
        <v>-3.0708516289911638</v>
      </c>
      <c r="V39" s="82">
        <f>V38/V28</f>
        <v>-0.71276882525609542</v>
      </c>
      <c r="W39" s="83">
        <f>W38/W28</f>
        <v>-1.1797207374277299</v>
      </c>
      <c r="X39" s="82">
        <f>X38/X28</f>
        <v>-0.69817120501754282</v>
      </c>
      <c r="Y39" s="82">
        <f>Y38/Y28</f>
        <v>-0.96048270147089287</v>
      </c>
      <c r="Z39" s="82">
        <f>Z38/Z28</f>
        <v>-0.53437659150886618</v>
      </c>
      <c r="AA39" s="83">
        <f>AA38/AA28</f>
        <v>-0.66631894918357359</v>
      </c>
      <c r="AB39" s="82">
        <f>AB38/AB28</f>
        <v>-0.35843795445145626</v>
      </c>
      <c r="AC39" s="82">
        <f>AC38/AC28</f>
        <v>-0.32887313395576412</v>
      </c>
      <c r="AD39" s="82" t="e">
        <f>AD38/AD28</f>
        <v>#DIV/0!</v>
      </c>
    </row>
    <row r="40" spans="1:86" s="12" customFormat="1" x14ac:dyDescent="0.35">
      <c r="A40" s="18"/>
      <c r="B40" s="18" t="s">
        <v>33</v>
      </c>
      <c r="C40" s="18"/>
      <c r="D40" s="18"/>
      <c r="E40" s="48"/>
      <c r="F40" s="18"/>
      <c r="G40" s="18"/>
      <c r="H40" s="18"/>
      <c r="I40" s="18"/>
      <c r="J40" s="18"/>
      <c r="K40" s="18"/>
      <c r="L40" s="18"/>
      <c r="M40" s="18"/>
      <c r="N40" s="18"/>
      <c r="O40" s="48"/>
      <c r="P40" s="18"/>
      <c r="Q40" s="18"/>
      <c r="R40" s="18"/>
      <c r="S40" s="48"/>
      <c r="T40" s="18"/>
      <c r="U40" s="18"/>
      <c r="V40" s="18"/>
      <c r="W40" s="48"/>
      <c r="X40" s="18"/>
      <c r="Y40" s="18"/>
      <c r="Z40" s="18"/>
      <c r="AA40" s="4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</row>
    <row r="41" spans="1:86" x14ac:dyDescent="0.35">
      <c r="A41" s="5"/>
      <c r="B41" s="5" t="s">
        <v>34</v>
      </c>
      <c r="C41" s="5"/>
      <c r="D41" s="5"/>
      <c r="E41" s="43"/>
      <c r="F41" s="5"/>
      <c r="G41" s="5"/>
      <c r="H41" s="5"/>
      <c r="I41" s="5"/>
      <c r="J41" s="5"/>
      <c r="K41" s="5"/>
      <c r="L41" s="5"/>
      <c r="M41" s="5"/>
      <c r="N41" s="5"/>
      <c r="O41" s="43"/>
      <c r="P41" s="5"/>
      <c r="Q41" s="5">
        <v>66</v>
      </c>
      <c r="R41" s="5"/>
      <c r="S41" s="43">
        <v>96</v>
      </c>
      <c r="T41" s="5">
        <v>111</v>
      </c>
      <c r="U41" s="5">
        <v>97</v>
      </c>
      <c r="V41" s="5">
        <f>BA41-U41-T41-S41</f>
        <v>142</v>
      </c>
      <c r="W41" s="43">
        <v>314</v>
      </c>
      <c r="X41" s="5">
        <v>420</v>
      </c>
      <c r="Y41" s="5">
        <v>870</v>
      </c>
      <c r="Z41" s="5">
        <f>BB41-Y41-X41-W41</f>
        <v>1575</v>
      </c>
      <c r="AA41" s="43">
        <v>1381</v>
      </c>
      <c r="AB41" s="5">
        <v>1518</v>
      </c>
      <c r="AC41" s="5">
        <v>582</v>
      </c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>
        <v>884</v>
      </c>
      <c r="AZ41" s="5">
        <v>571</v>
      </c>
      <c r="BA41" s="5">
        <v>446</v>
      </c>
      <c r="BB41" s="5">
        <v>3179</v>
      </c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</row>
    <row r="42" spans="1:86" x14ac:dyDescent="0.35">
      <c r="A42" s="5"/>
      <c r="B42" s="5" t="s">
        <v>35</v>
      </c>
      <c r="C42" s="5"/>
      <c r="D42" s="5"/>
      <c r="E42" s="43"/>
      <c r="F42" s="5"/>
      <c r="G42" s="5"/>
      <c r="H42" s="5"/>
      <c r="I42" s="5"/>
      <c r="J42" s="5"/>
      <c r="K42" s="5"/>
      <c r="L42" s="5"/>
      <c r="M42" s="5"/>
      <c r="N42" s="5"/>
      <c r="O42" s="43"/>
      <c r="P42" s="5"/>
      <c r="Q42" s="5">
        <v>-1397</v>
      </c>
      <c r="R42" s="5"/>
      <c r="S42" s="43">
        <v>-1846</v>
      </c>
      <c r="T42" s="5">
        <v>-1537</v>
      </c>
      <c r="U42" s="5">
        <v>-1247</v>
      </c>
      <c r="V42" s="5">
        <f>BA42-U42-T42-S42</f>
        <v>-781</v>
      </c>
      <c r="W42" s="43">
        <v>-796</v>
      </c>
      <c r="X42" s="5">
        <v>-895</v>
      </c>
      <c r="Y42" s="5">
        <v>-774</v>
      </c>
      <c r="Z42" s="5">
        <f>BB42-Y42-X42-W42</f>
        <v>-858</v>
      </c>
      <c r="AA42" s="43">
        <v>-459</v>
      </c>
      <c r="AB42" s="5">
        <v>-487</v>
      </c>
      <c r="AC42" s="5">
        <v>-491</v>
      </c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>
        <v>-6352</v>
      </c>
      <c r="AZ42" s="5">
        <v>-5738</v>
      </c>
      <c r="BA42" s="5">
        <v>-5411</v>
      </c>
      <c r="BB42" s="5">
        <v>-3323</v>
      </c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</row>
    <row r="43" spans="1:86" x14ac:dyDescent="0.35">
      <c r="A43" s="5"/>
      <c r="B43" s="5" t="s">
        <v>36</v>
      </c>
      <c r="C43" s="5"/>
      <c r="D43" s="5"/>
      <c r="E43" s="43"/>
      <c r="F43" s="5"/>
      <c r="G43" s="5"/>
      <c r="H43" s="5"/>
      <c r="I43" s="5"/>
      <c r="J43" s="5"/>
      <c r="K43" s="5"/>
      <c r="L43" s="5"/>
      <c r="M43" s="5"/>
      <c r="N43" s="5"/>
      <c r="O43" s="43"/>
      <c r="P43" s="5"/>
      <c r="Q43" s="5">
        <v>0</v>
      </c>
      <c r="R43" s="5"/>
      <c r="S43" s="43">
        <v>-3600</v>
      </c>
      <c r="T43" s="5">
        <v>-3243</v>
      </c>
      <c r="U43" s="5">
        <v>-3018</v>
      </c>
      <c r="V43" s="5">
        <f>BA43-U43-T43-S43</f>
        <v>0</v>
      </c>
      <c r="W43" s="43">
        <v>0</v>
      </c>
      <c r="X43" s="5">
        <v>0</v>
      </c>
      <c r="Y43" s="5">
        <v>0</v>
      </c>
      <c r="Z43" s="5">
        <f>BB43-Y43-X43-W43</f>
        <v>0</v>
      </c>
      <c r="AA43" s="43">
        <v>0</v>
      </c>
      <c r="AB43" s="5">
        <v>0</v>
      </c>
      <c r="AC43" s="5">
        <v>-42</v>
      </c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>
        <v>0</v>
      </c>
      <c r="AZ43" s="5">
        <v>0</v>
      </c>
      <c r="BA43" s="5">
        <v>-9861</v>
      </c>
      <c r="BB43" s="5">
        <v>0</v>
      </c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</row>
    <row r="44" spans="1:86" x14ac:dyDescent="0.35">
      <c r="A44" s="5"/>
      <c r="B44" s="5" t="s">
        <v>37</v>
      </c>
      <c r="C44" s="5"/>
      <c r="D44" s="5"/>
      <c r="E44" s="43"/>
      <c r="F44" s="5"/>
      <c r="G44" s="5"/>
      <c r="H44" s="5"/>
      <c r="I44" s="5"/>
      <c r="J44" s="5"/>
      <c r="K44" s="5"/>
      <c r="L44" s="5"/>
      <c r="M44" s="5"/>
      <c r="N44" s="5"/>
      <c r="O44" s="43"/>
      <c r="P44" s="5"/>
      <c r="Q44" s="5">
        <v>0</v>
      </c>
      <c r="R44" s="5"/>
      <c r="S44" s="43">
        <v>0</v>
      </c>
      <c r="T44" s="5">
        <v>0</v>
      </c>
      <c r="U44" s="5">
        <v>1113</v>
      </c>
      <c r="V44" s="5">
        <f>BA44-U44-T44-S44</f>
        <v>1356</v>
      </c>
      <c r="W44" s="43">
        <v>-435</v>
      </c>
      <c r="X44" s="5">
        <v>1255</v>
      </c>
      <c r="Y44" s="5">
        <v>101</v>
      </c>
      <c r="Z44" s="5">
        <f>BB44-Y44-X44-W44</f>
        <v>58</v>
      </c>
      <c r="AA44" s="43">
        <v>17</v>
      </c>
      <c r="AB44" s="5">
        <v>0</v>
      </c>
      <c r="AC44" s="5">
        <v>0</v>
      </c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>
        <v>0</v>
      </c>
      <c r="AZ44" s="5">
        <v>0</v>
      </c>
      <c r="BA44" s="5">
        <v>2469</v>
      </c>
      <c r="BB44" s="5">
        <v>979</v>
      </c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</row>
    <row r="45" spans="1:86" s="13" customFormat="1" x14ac:dyDescent="0.35">
      <c r="A45" s="16"/>
      <c r="B45" s="16" t="s">
        <v>38</v>
      </c>
      <c r="C45" s="16"/>
      <c r="D45" s="16"/>
      <c r="E45" s="44"/>
      <c r="F45" s="16"/>
      <c r="G45" s="16"/>
      <c r="H45" s="16"/>
      <c r="I45" s="16"/>
      <c r="J45" s="16"/>
      <c r="K45" s="16"/>
      <c r="L45" s="16"/>
      <c r="M45" s="16"/>
      <c r="N45" s="16"/>
      <c r="O45" s="44"/>
      <c r="P45" s="16"/>
      <c r="Q45" s="16">
        <v>68</v>
      </c>
      <c r="R45" s="16"/>
      <c r="S45" s="44">
        <v>-5</v>
      </c>
      <c r="T45" s="16">
        <v>49</v>
      </c>
      <c r="U45" s="16">
        <v>-19</v>
      </c>
      <c r="V45" s="16">
        <f>BA45-U45-T45-S45</f>
        <v>-87</v>
      </c>
      <c r="W45" s="44">
        <v>399</v>
      </c>
      <c r="X45" s="16">
        <v>10</v>
      </c>
      <c r="Y45" s="16">
        <v>349</v>
      </c>
      <c r="Z45" s="16">
        <f>BB45-Y45-X45-W45</f>
        <v>186</v>
      </c>
      <c r="AA45" s="44">
        <v>789</v>
      </c>
      <c r="AB45" s="16">
        <v>-243</v>
      </c>
      <c r="AC45" s="16">
        <v>127</v>
      </c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>
        <v>-145</v>
      </c>
      <c r="AZ45" s="16">
        <v>650</v>
      </c>
      <c r="BA45" s="16">
        <v>-62</v>
      </c>
      <c r="BB45" s="16">
        <v>944</v>
      </c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</row>
    <row r="46" spans="1:86" s="15" customFormat="1" x14ac:dyDescent="0.35">
      <c r="A46" s="17"/>
      <c r="B46" s="17" t="s">
        <v>39</v>
      </c>
      <c r="C46" s="17"/>
      <c r="D46" s="17"/>
      <c r="E46" s="45"/>
      <c r="F46" s="17"/>
      <c r="G46" s="17"/>
      <c r="H46" s="17"/>
      <c r="I46" s="17"/>
      <c r="J46" s="17"/>
      <c r="K46" s="17"/>
      <c r="L46" s="17"/>
      <c r="M46" s="17"/>
      <c r="N46" s="17"/>
      <c r="O46" s="45">
        <f t="shared" ref="O46:Y46" si="75">O38+SUM(O41:O45)</f>
        <v>0</v>
      </c>
      <c r="P46" s="17">
        <f t="shared" si="75"/>
        <v>0</v>
      </c>
      <c r="Q46" s="17">
        <f t="shared" si="75"/>
        <v>-10359</v>
      </c>
      <c r="R46" s="17">
        <f t="shared" si="75"/>
        <v>0</v>
      </c>
      <c r="S46" s="45">
        <f t="shared" si="75"/>
        <v>-16190</v>
      </c>
      <c r="T46" s="17">
        <f t="shared" si="75"/>
        <v>-26960</v>
      </c>
      <c r="U46" s="17">
        <f t="shared" si="75"/>
        <v>-116370</v>
      </c>
      <c r="V46" s="17">
        <f t="shared" si="75"/>
        <v>-46963</v>
      </c>
      <c r="W46" s="45">
        <f t="shared" si="75"/>
        <v>-43776</v>
      </c>
      <c r="X46" s="17">
        <f t="shared" si="75"/>
        <v>-44182</v>
      </c>
      <c r="Y46" s="17">
        <f t="shared" si="75"/>
        <v>-36544</v>
      </c>
      <c r="Z46" s="17">
        <f t="shared" ref="Z46" si="76">Z38+SUM(Z41:Z45)</f>
        <v>-33665</v>
      </c>
      <c r="AA46" s="45">
        <f t="shared" ref="AA46:AB46" si="77">AA38+SUM(AA41:AA45)</f>
        <v>-29571</v>
      </c>
      <c r="AB46" s="17">
        <f t="shared" si="77"/>
        <v>-26078</v>
      </c>
      <c r="AC46" s="17">
        <f t="shared" ref="AC46" si="78">AC38+SUM(AC41:AC45)</f>
        <v>-26172</v>
      </c>
      <c r="AD46" s="17">
        <f t="shared" ref="AD46" si="79">AD38+SUM(AD41:AD45)</f>
        <v>0</v>
      </c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>
        <f t="shared" ref="AR46:BA46" si="80">AR38+SUM(AR41:AR45)</f>
        <v>0</v>
      </c>
      <c r="AS46" s="17">
        <f t="shared" si="80"/>
        <v>0</v>
      </c>
      <c r="AT46" s="17">
        <f t="shared" si="80"/>
        <v>0</v>
      </c>
      <c r="AU46" s="17">
        <f t="shared" si="80"/>
        <v>0</v>
      </c>
      <c r="AV46" s="17">
        <f t="shared" si="80"/>
        <v>0</v>
      </c>
      <c r="AW46" s="17">
        <f t="shared" si="80"/>
        <v>0</v>
      </c>
      <c r="AX46" s="17">
        <f t="shared" si="80"/>
        <v>0</v>
      </c>
      <c r="AY46" s="17">
        <f t="shared" si="80"/>
        <v>-59474</v>
      </c>
      <c r="AZ46" s="17">
        <f t="shared" si="80"/>
        <v>-33624</v>
      </c>
      <c r="BA46" s="17">
        <f t="shared" si="80"/>
        <v>-206483</v>
      </c>
      <c r="BB46" s="17">
        <f t="shared" ref="BB46" si="81">BB38+SUM(BB41:BB45)</f>
        <v>-158167</v>
      </c>
      <c r="BC46" s="17">
        <f t="shared" ref="BC46" si="82">BC38+SUM(BC41:BC45)</f>
        <v>0</v>
      </c>
      <c r="BD46" s="17">
        <f t="shared" ref="BD46" si="83">BD38+SUM(BD41:BD45)</f>
        <v>0</v>
      </c>
      <c r="BE46" s="17">
        <f t="shared" ref="BE46" si="84">BE38+SUM(BE41:BE45)</f>
        <v>0</v>
      </c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</row>
    <row r="47" spans="1:86" s="13" customFormat="1" x14ac:dyDescent="0.35">
      <c r="A47" s="16"/>
      <c r="B47" s="16" t="s">
        <v>491</v>
      </c>
      <c r="C47" s="16"/>
      <c r="D47" s="16"/>
      <c r="E47" s="44"/>
      <c r="F47" s="16"/>
      <c r="G47" s="16"/>
      <c r="H47" s="16"/>
      <c r="I47" s="16"/>
      <c r="J47" s="16"/>
      <c r="K47" s="16"/>
      <c r="L47" s="16"/>
      <c r="M47" s="16"/>
      <c r="N47" s="16"/>
      <c r="O47" s="44"/>
      <c r="P47" s="16"/>
      <c r="Q47" s="16">
        <v>270</v>
      </c>
      <c r="R47" s="16"/>
      <c r="S47" s="44">
        <v>-109</v>
      </c>
      <c r="T47" s="16">
        <v>-109</v>
      </c>
      <c r="U47" s="16">
        <v>-106</v>
      </c>
      <c r="V47" s="16">
        <f>BA47-U47-T47-S47</f>
        <v>324</v>
      </c>
      <c r="W47" s="44">
        <v>0</v>
      </c>
      <c r="X47" s="16">
        <v>0</v>
      </c>
      <c r="Y47" s="16">
        <v>0</v>
      </c>
      <c r="Z47" s="16">
        <f>BB47-Y47-X47-W47</f>
        <v>-33</v>
      </c>
      <c r="AA47" s="44">
        <v>0</v>
      </c>
      <c r="AB47" s="16">
        <v>0</v>
      </c>
      <c r="AC47" s="16">
        <v>0</v>
      </c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>
        <v>-189</v>
      </c>
      <c r="AZ47" s="16">
        <v>-1</v>
      </c>
      <c r="BA47" s="16">
        <v>0</v>
      </c>
      <c r="BB47" s="16">
        <v>-33</v>
      </c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</row>
    <row r="48" spans="1:86" s="15" customFormat="1" x14ac:dyDescent="0.35">
      <c r="A48" s="17"/>
      <c r="B48" s="17" t="s">
        <v>40</v>
      </c>
      <c r="C48" s="17"/>
      <c r="D48" s="17"/>
      <c r="E48" s="45"/>
      <c r="F48" s="17"/>
      <c r="G48" s="17"/>
      <c r="H48" s="17"/>
      <c r="I48" s="17"/>
      <c r="J48" s="17"/>
      <c r="K48" s="17"/>
      <c r="L48" s="17"/>
      <c r="M48" s="17"/>
      <c r="N48" s="17"/>
      <c r="O48" s="45">
        <f t="shared" ref="O48:Y48" si="85">SUM(O46:O47)</f>
        <v>0</v>
      </c>
      <c r="P48" s="17">
        <f t="shared" si="85"/>
        <v>0</v>
      </c>
      <c r="Q48" s="17">
        <f t="shared" si="85"/>
        <v>-10089</v>
      </c>
      <c r="R48" s="17">
        <f t="shared" si="85"/>
        <v>0</v>
      </c>
      <c r="S48" s="45">
        <f t="shared" si="85"/>
        <v>-16299</v>
      </c>
      <c r="T48" s="17">
        <f t="shared" si="85"/>
        <v>-27069</v>
      </c>
      <c r="U48" s="17">
        <f t="shared" si="85"/>
        <v>-116476</v>
      </c>
      <c r="V48" s="17">
        <f t="shared" si="85"/>
        <v>-46639</v>
      </c>
      <c r="W48" s="45">
        <f t="shared" si="85"/>
        <v>-43776</v>
      </c>
      <c r="X48" s="17">
        <f t="shared" si="85"/>
        <v>-44182</v>
      </c>
      <c r="Y48" s="17">
        <f t="shared" si="85"/>
        <v>-36544</v>
      </c>
      <c r="Z48" s="17">
        <f t="shared" ref="Z48" si="86">SUM(Z46:Z47)</f>
        <v>-33698</v>
      </c>
      <c r="AA48" s="45">
        <f t="shared" ref="AA48:AB48" si="87">SUM(AA46:AA47)</f>
        <v>-29571</v>
      </c>
      <c r="AB48" s="17">
        <f t="shared" si="87"/>
        <v>-26078</v>
      </c>
      <c r="AC48" s="17">
        <f t="shared" ref="AC48" si="88">SUM(AC46:AC47)</f>
        <v>-26172</v>
      </c>
      <c r="AD48" s="17">
        <f t="shared" ref="AD48" si="89">SUM(AD46:AD47)</f>
        <v>0</v>
      </c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>
        <f t="shared" ref="AR48:BA48" si="90">SUM(AR46:AR47)</f>
        <v>0</v>
      </c>
      <c r="AS48" s="17">
        <f t="shared" si="90"/>
        <v>0</v>
      </c>
      <c r="AT48" s="17">
        <f t="shared" si="90"/>
        <v>0</v>
      </c>
      <c r="AU48" s="17">
        <f t="shared" si="90"/>
        <v>0</v>
      </c>
      <c r="AV48" s="17">
        <f t="shared" si="90"/>
        <v>0</v>
      </c>
      <c r="AW48" s="17">
        <f t="shared" si="90"/>
        <v>0</v>
      </c>
      <c r="AX48" s="17">
        <f t="shared" si="90"/>
        <v>0</v>
      </c>
      <c r="AY48" s="17">
        <f t="shared" si="90"/>
        <v>-59663</v>
      </c>
      <c r="AZ48" s="17">
        <f t="shared" si="90"/>
        <v>-33625</v>
      </c>
      <c r="BA48" s="17">
        <f t="shared" si="90"/>
        <v>-206483</v>
      </c>
      <c r="BB48" s="17">
        <f t="shared" ref="BB48" si="91">SUM(BB46:BB47)</f>
        <v>-158200</v>
      </c>
      <c r="BC48" s="17">
        <f t="shared" ref="BC48" si="92">SUM(BC46:BC47)</f>
        <v>0</v>
      </c>
      <c r="BD48" s="17">
        <f t="shared" ref="BD48" si="93">SUM(BD46:BD47)</f>
        <v>0</v>
      </c>
      <c r="BE48" s="17">
        <f t="shared" ref="BE48" si="94">SUM(BE46:BE47)</f>
        <v>0</v>
      </c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</row>
    <row r="49" spans="1:86" s="13" customFormat="1" x14ac:dyDescent="0.35">
      <c r="A49" s="16"/>
      <c r="B49" s="16" t="s">
        <v>41</v>
      </c>
      <c r="C49" s="16"/>
      <c r="D49" s="16"/>
      <c r="E49" s="44"/>
      <c r="F49" s="16"/>
      <c r="G49" s="16"/>
      <c r="H49" s="16"/>
      <c r="I49" s="16"/>
      <c r="J49" s="16"/>
      <c r="K49" s="16"/>
      <c r="L49" s="16"/>
      <c r="M49" s="16"/>
      <c r="N49" s="16"/>
      <c r="O49" s="44"/>
      <c r="P49" s="16"/>
      <c r="Q49" s="16">
        <v>0</v>
      </c>
      <c r="R49" s="16"/>
      <c r="S49" s="44">
        <v>0</v>
      </c>
      <c r="T49" s="16">
        <v>0</v>
      </c>
      <c r="U49" s="16">
        <v>0</v>
      </c>
      <c r="V49" s="16">
        <f>BA49-U49-T49-S49</f>
        <v>0</v>
      </c>
      <c r="W49" s="44">
        <v>0</v>
      </c>
      <c r="X49" s="16">
        <v>0</v>
      </c>
      <c r="Y49" s="16">
        <v>0</v>
      </c>
      <c r="Z49" s="16">
        <f>BB49-Y49-X49-W49</f>
        <v>0</v>
      </c>
      <c r="AA49" s="44">
        <v>10</v>
      </c>
      <c r="AB49" s="16">
        <v>11</v>
      </c>
      <c r="AC49" s="16">
        <v>-42</v>
      </c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>
        <v>-2123</v>
      </c>
      <c r="AZ49" s="16">
        <v>0</v>
      </c>
      <c r="BA49" s="16">
        <v>0</v>
      </c>
      <c r="BB49" s="16">
        <v>0</v>
      </c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</row>
    <row r="50" spans="1:86" s="15" customFormat="1" x14ac:dyDescent="0.35">
      <c r="A50" s="17"/>
      <c r="B50" s="17" t="s">
        <v>42</v>
      </c>
      <c r="C50" s="17"/>
      <c r="D50" s="17"/>
      <c r="E50" s="45"/>
      <c r="F50" s="17"/>
      <c r="G50" s="17"/>
      <c r="H50" s="17"/>
      <c r="I50" s="17"/>
      <c r="J50" s="17"/>
      <c r="K50" s="17"/>
      <c r="L50" s="17"/>
      <c r="M50" s="17"/>
      <c r="N50" s="17"/>
      <c r="O50" s="45">
        <f t="shared" ref="O50:Y50" si="95">O48-O49</f>
        <v>0</v>
      </c>
      <c r="P50" s="17">
        <f t="shared" si="95"/>
        <v>0</v>
      </c>
      <c r="Q50" s="17">
        <f t="shared" si="95"/>
        <v>-10089</v>
      </c>
      <c r="R50" s="17">
        <f t="shared" si="95"/>
        <v>0</v>
      </c>
      <c r="S50" s="45">
        <f t="shared" si="95"/>
        <v>-16299</v>
      </c>
      <c r="T50" s="17">
        <f t="shared" si="95"/>
        <v>-27069</v>
      </c>
      <c r="U50" s="17">
        <f t="shared" si="95"/>
        <v>-116476</v>
      </c>
      <c r="V50" s="17">
        <f t="shared" si="95"/>
        <v>-46639</v>
      </c>
      <c r="W50" s="45">
        <f t="shared" si="95"/>
        <v>-43776</v>
      </c>
      <c r="X50" s="17">
        <f t="shared" si="95"/>
        <v>-44182</v>
      </c>
      <c r="Y50" s="17">
        <f t="shared" si="95"/>
        <v>-36544</v>
      </c>
      <c r="Z50" s="17">
        <f t="shared" ref="Z50" si="96">Z48-Z49</f>
        <v>-33698</v>
      </c>
      <c r="AA50" s="45">
        <f t="shared" ref="AA50:AB50" si="97">AA48-AA49</f>
        <v>-29581</v>
      </c>
      <c r="AB50" s="17">
        <f t="shared" si="97"/>
        <v>-26089</v>
      </c>
      <c r="AC50" s="17">
        <f t="shared" ref="AC50" si="98">AC48-AC49</f>
        <v>-26130</v>
      </c>
      <c r="AD50" s="17">
        <f t="shared" ref="AD50" si="99">AD48-AD49</f>
        <v>0</v>
      </c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>
        <f>AY48-AY49</f>
        <v>-57540</v>
      </c>
      <c r="AZ50" s="17">
        <f>AZ48-AZ49</f>
        <v>-33625</v>
      </c>
      <c r="BA50" s="17">
        <f>BA48-BA49</f>
        <v>-206483</v>
      </c>
      <c r="BB50" s="17">
        <f t="shared" ref="BB50:BE50" si="100">BB48-BB49</f>
        <v>-158200</v>
      </c>
      <c r="BC50" s="17">
        <f t="shared" si="100"/>
        <v>0</v>
      </c>
      <c r="BD50" s="17">
        <f t="shared" si="100"/>
        <v>0</v>
      </c>
      <c r="BE50" s="17">
        <f t="shared" si="100"/>
        <v>0</v>
      </c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</row>
    <row r="51" spans="1:86" x14ac:dyDescent="0.35">
      <c r="A51" s="5"/>
      <c r="B51" s="5" t="s">
        <v>43</v>
      </c>
      <c r="C51" s="5"/>
      <c r="D51" s="5"/>
      <c r="E51" s="43"/>
      <c r="F51" s="5"/>
      <c r="G51" s="5"/>
      <c r="H51" s="5"/>
      <c r="I51" s="5"/>
      <c r="J51" s="5"/>
      <c r="K51" s="5"/>
      <c r="L51" s="5"/>
      <c r="M51" s="5"/>
      <c r="N51" s="5"/>
      <c r="O51" s="43"/>
      <c r="P51" s="5"/>
      <c r="Q51" s="5">
        <v>975</v>
      </c>
      <c r="R51" s="5"/>
      <c r="S51" s="43">
        <v>1003</v>
      </c>
      <c r="T51" s="5">
        <v>1003</v>
      </c>
      <c r="U51" s="5">
        <v>1003</v>
      </c>
      <c r="V51" s="5">
        <f>BA51-U51-T51-S51</f>
        <v>-752</v>
      </c>
      <c r="W51" s="43">
        <v>0</v>
      </c>
      <c r="X51" s="5">
        <v>0</v>
      </c>
      <c r="Y51" s="5">
        <v>0</v>
      </c>
      <c r="Z51" s="5">
        <f>BB51-Y51-X51-W51</f>
        <v>0</v>
      </c>
      <c r="AA51" s="43">
        <v>0</v>
      </c>
      <c r="AB51" s="5">
        <v>0</v>
      </c>
      <c r="AC51" s="5">
        <v>0</v>
      </c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>
        <v>4102</v>
      </c>
      <c r="AZ51" s="5">
        <v>3897</v>
      </c>
      <c r="BA51" s="5">
        <v>2257</v>
      </c>
      <c r="BB51" s="5">
        <v>0</v>
      </c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</row>
    <row r="52" spans="1:86" x14ac:dyDescent="0.35">
      <c r="A52" s="5"/>
      <c r="B52" s="5" t="s">
        <v>44</v>
      </c>
      <c r="C52" s="5"/>
      <c r="D52" s="5"/>
      <c r="E52" s="43"/>
      <c r="F52" s="5"/>
      <c r="G52" s="5"/>
      <c r="H52" s="5"/>
      <c r="I52" s="5"/>
      <c r="J52" s="5"/>
      <c r="K52" s="5"/>
      <c r="L52" s="5"/>
      <c r="M52" s="5"/>
      <c r="N52" s="5"/>
      <c r="O52" s="43"/>
      <c r="P52" s="5"/>
      <c r="Q52" s="5">
        <v>2216</v>
      </c>
      <c r="R52" s="5"/>
      <c r="S52" s="43">
        <v>2281</v>
      </c>
      <c r="T52" s="5">
        <v>2281</v>
      </c>
      <c r="U52" s="5">
        <v>2281</v>
      </c>
      <c r="V52" s="5">
        <f>BA52-U52-T52-S52</f>
        <v>-1711</v>
      </c>
      <c r="W52" s="43">
        <v>0</v>
      </c>
      <c r="X52" s="5">
        <v>0</v>
      </c>
      <c r="Y52" s="5">
        <v>0</v>
      </c>
      <c r="Z52" s="5">
        <f>BB52-Y52-X52-W52</f>
        <v>0</v>
      </c>
      <c r="AA52" s="43">
        <v>0</v>
      </c>
      <c r="AB52" s="5">
        <v>0</v>
      </c>
      <c r="AC52" s="5">
        <v>0</v>
      </c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>
        <v>7948</v>
      </c>
      <c r="AZ52" s="5">
        <v>8866</v>
      </c>
      <c r="BA52" s="5">
        <v>5132</v>
      </c>
      <c r="BB52" s="5">
        <v>0</v>
      </c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</row>
    <row r="53" spans="1:86" x14ac:dyDescent="0.35">
      <c r="A53" s="5"/>
      <c r="B53" s="5" t="s">
        <v>45</v>
      </c>
      <c r="C53" s="5"/>
      <c r="D53" s="5"/>
      <c r="E53" s="43"/>
      <c r="F53" s="5"/>
      <c r="G53" s="5"/>
      <c r="H53" s="5"/>
      <c r="I53" s="5"/>
      <c r="J53" s="5"/>
      <c r="K53" s="5"/>
      <c r="L53" s="5"/>
      <c r="M53" s="5"/>
      <c r="N53" s="5"/>
      <c r="O53" s="43"/>
      <c r="P53" s="5"/>
      <c r="Q53" s="5">
        <v>4662</v>
      </c>
      <c r="R53" s="5"/>
      <c r="S53" s="43">
        <v>4759</v>
      </c>
      <c r="T53" s="5">
        <v>4759</v>
      </c>
      <c r="U53" s="5">
        <v>4759</v>
      </c>
      <c r="V53" s="5">
        <f>BA53-U53-T53-S53</f>
        <v>-3569</v>
      </c>
      <c r="W53" s="43">
        <v>0</v>
      </c>
      <c r="X53" s="5">
        <v>0</v>
      </c>
      <c r="Y53" s="5">
        <v>0</v>
      </c>
      <c r="Z53" s="5">
        <f>BB53-Y53-X53-W53</f>
        <v>0</v>
      </c>
      <c r="AA53" s="43">
        <v>0</v>
      </c>
      <c r="AB53" s="5">
        <v>0</v>
      </c>
      <c r="AC53" s="5">
        <v>0</v>
      </c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>
        <v>30839</v>
      </c>
      <c r="AZ53" s="5">
        <v>18648</v>
      </c>
      <c r="BA53" s="5">
        <v>10708</v>
      </c>
      <c r="BB53" s="5">
        <v>0</v>
      </c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</row>
    <row r="54" spans="1:86" s="13" customFormat="1" x14ac:dyDescent="0.35">
      <c r="A54" s="16"/>
      <c r="B54" s="16" t="s">
        <v>46</v>
      </c>
      <c r="C54" s="16"/>
      <c r="D54" s="16"/>
      <c r="E54" s="44"/>
      <c r="F54" s="16"/>
      <c r="G54" s="16"/>
      <c r="H54" s="16"/>
      <c r="I54" s="16"/>
      <c r="J54" s="16"/>
      <c r="K54" s="16"/>
      <c r="L54" s="16"/>
      <c r="M54" s="16"/>
      <c r="N54" s="16"/>
      <c r="O54" s="44"/>
      <c r="P54" s="16"/>
      <c r="Q54" s="16">
        <v>4002</v>
      </c>
      <c r="R54" s="16"/>
      <c r="S54" s="44">
        <v>3971</v>
      </c>
      <c r="T54" s="16">
        <v>4036</v>
      </c>
      <c r="U54" s="16">
        <v>4036</v>
      </c>
      <c r="V54" s="16">
        <f>BA54-U54-T54-S54</f>
        <v>-2520</v>
      </c>
      <c r="W54" s="44">
        <v>0</v>
      </c>
      <c r="X54" s="16">
        <v>0</v>
      </c>
      <c r="Y54" s="16">
        <v>0</v>
      </c>
      <c r="Z54" s="16">
        <f>BB54-Y54-X54-W54</f>
        <v>0</v>
      </c>
      <c r="AA54" s="44">
        <v>0</v>
      </c>
      <c r="AB54" s="16">
        <v>0</v>
      </c>
      <c r="AC54" s="16">
        <v>0</v>
      </c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>
        <v>15050</v>
      </c>
      <c r="AZ54" s="16">
        <v>15927</v>
      </c>
      <c r="BA54" s="16">
        <v>9523</v>
      </c>
      <c r="BB54" s="16">
        <v>0</v>
      </c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</row>
    <row r="55" spans="1:86" s="15" customFormat="1" x14ac:dyDescent="0.35">
      <c r="A55" s="17"/>
      <c r="B55" s="17" t="s">
        <v>47</v>
      </c>
      <c r="C55" s="17"/>
      <c r="D55" s="17"/>
      <c r="E55" s="45"/>
      <c r="F55" s="17"/>
      <c r="G55" s="17"/>
      <c r="H55" s="17"/>
      <c r="I55" s="17"/>
      <c r="J55" s="17"/>
      <c r="K55" s="17"/>
      <c r="L55" s="17"/>
      <c r="M55" s="17"/>
      <c r="N55" s="17"/>
      <c r="O55" s="45">
        <f t="shared" ref="O55:Y55" si="101">O50-SUM(O51:O54)</f>
        <v>0</v>
      </c>
      <c r="P55" s="17">
        <f t="shared" si="101"/>
        <v>0</v>
      </c>
      <c r="Q55" s="17">
        <f t="shared" si="101"/>
        <v>-21944</v>
      </c>
      <c r="R55" s="17">
        <f t="shared" si="101"/>
        <v>0</v>
      </c>
      <c r="S55" s="45">
        <f t="shared" si="101"/>
        <v>-28313</v>
      </c>
      <c r="T55" s="17">
        <f t="shared" si="101"/>
        <v>-39148</v>
      </c>
      <c r="U55" s="17">
        <f t="shared" si="101"/>
        <v>-128555</v>
      </c>
      <c r="V55" s="17">
        <f t="shared" si="101"/>
        <v>-38087</v>
      </c>
      <c r="W55" s="45">
        <f t="shared" si="101"/>
        <v>-43776</v>
      </c>
      <c r="X55" s="17">
        <f t="shared" si="101"/>
        <v>-44182</v>
      </c>
      <c r="Y55" s="17">
        <f t="shared" si="101"/>
        <v>-36544</v>
      </c>
      <c r="Z55" s="17">
        <f t="shared" ref="Z55" si="102">Z50-SUM(Z51:Z54)</f>
        <v>-33698</v>
      </c>
      <c r="AA55" s="45">
        <f t="shared" ref="AA55:AB55" si="103">AA50-SUM(AA51:AA54)</f>
        <v>-29581</v>
      </c>
      <c r="AB55" s="17">
        <f t="shared" si="103"/>
        <v>-26089</v>
      </c>
      <c r="AC55" s="17">
        <f t="shared" ref="AC55" si="104">AC50-SUM(AC51:AC54)</f>
        <v>-26130</v>
      </c>
      <c r="AD55" s="17">
        <f t="shared" ref="AD55" si="105">AD50-SUM(AD51:AD54)</f>
        <v>0</v>
      </c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>
        <f t="shared" ref="AR55:BA55" si="106">AR50-SUM(AR51:AR54)</f>
        <v>0</v>
      </c>
      <c r="AS55" s="17">
        <f t="shared" si="106"/>
        <v>0</v>
      </c>
      <c r="AT55" s="17">
        <f t="shared" si="106"/>
        <v>0</v>
      </c>
      <c r="AU55" s="17">
        <f t="shared" si="106"/>
        <v>0</v>
      </c>
      <c r="AV55" s="17">
        <f t="shared" si="106"/>
        <v>0</v>
      </c>
      <c r="AW55" s="17">
        <f t="shared" si="106"/>
        <v>0</v>
      </c>
      <c r="AX55" s="17">
        <f t="shared" si="106"/>
        <v>0</v>
      </c>
      <c r="AY55" s="17">
        <f t="shared" si="106"/>
        <v>-115479</v>
      </c>
      <c r="AZ55" s="17">
        <f t="shared" si="106"/>
        <v>-80963</v>
      </c>
      <c r="BA55" s="17">
        <f t="shared" si="106"/>
        <v>-234103</v>
      </c>
      <c r="BB55" s="17">
        <f t="shared" ref="BB55" si="107">BB50-SUM(BB51:BB54)</f>
        <v>-158200</v>
      </c>
      <c r="BC55" s="17">
        <f t="shared" ref="BC55" si="108">BC50-SUM(BC51:BC54)</f>
        <v>0</v>
      </c>
      <c r="BD55" s="17">
        <f t="shared" ref="BD55" si="109">BD50-SUM(BD51:BD54)</f>
        <v>0</v>
      </c>
      <c r="BE55" s="17">
        <f t="shared" ref="BE55" si="110">BE50-SUM(BE51:BE54)</f>
        <v>0</v>
      </c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</row>
    <row r="56" spans="1:86" s="15" customFormat="1" x14ac:dyDescent="0.35">
      <c r="A56" s="17"/>
      <c r="B56" s="17"/>
      <c r="C56" s="17"/>
      <c r="D56" s="17"/>
      <c r="E56" s="45"/>
      <c r="F56" s="17"/>
      <c r="G56" s="17"/>
      <c r="H56" s="17"/>
      <c r="I56" s="17"/>
      <c r="J56" s="17"/>
      <c r="K56" s="17"/>
      <c r="L56" s="17"/>
      <c r="M56" s="17"/>
      <c r="N56" s="17"/>
      <c r="O56" s="45"/>
      <c r="P56" s="17"/>
      <c r="Q56" s="17"/>
      <c r="R56" s="17"/>
      <c r="S56" s="45"/>
      <c r="T56" s="17"/>
      <c r="U56" s="17"/>
      <c r="V56" s="17"/>
      <c r="W56" s="45"/>
      <c r="X56" s="17"/>
      <c r="Y56" s="17"/>
      <c r="Z56" s="17"/>
      <c r="AA56" s="45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</row>
    <row r="57" spans="1:86" s="5" customFormat="1" x14ac:dyDescent="0.35">
      <c r="B57" s="5" t="s">
        <v>48</v>
      </c>
      <c r="E57" s="43"/>
      <c r="O57" s="69" t="e">
        <f t="shared" ref="O57:Y57" si="111">O55/O58</f>
        <v>#DIV/0!</v>
      </c>
      <c r="P57" s="22" t="e">
        <f t="shared" si="111"/>
        <v>#DIV/0!</v>
      </c>
      <c r="Q57" s="22">
        <f t="shared" si="111"/>
        <v>-0.22159322804470724</v>
      </c>
      <c r="R57" s="22" t="e">
        <f t="shared" si="111"/>
        <v>#DIV/0!</v>
      </c>
      <c r="S57" s="69">
        <f t="shared" si="111"/>
        <v>-0.28590817834623572</v>
      </c>
      <c r="T57" s="22">
        <f t="shared" si="111"/>
        <v>-0.39532134941187563</v>
      </c>
      <c r="U57" s="22">
        <f t="shared" si="111"/>
        <v>-0.52716506534460206</v>
      </c>
      <c r="V57" s="22" t="e">
        <f t="shared" si="111"/>
        <v>#DIV/0!</v>
      </c>
      <c r="W57" s="69">
        <f t="shared" si="111"/>
        <v>-0.1464849357563705</v>
      </c>
      <c r="X57" s="22">
        <f t="shared" si="111"/>
        <v>-0.14699623807475051</v>
      </c>
      <c r="Y57" s="22">
        <f t="shared" si="111"/>
        <v>-0.11943381365266016</v>
      </c>
      <c r="Z57" s="22" t="e">
        <f t="shared" ref="Z57" si="112">Z55/Z58</f>
        <v>#DIV/0!</v>
      </c>
      <c r="AA57" s="69">
        <f t="shared" ref="AA57:AB57" si="113">AA55/AA58</f>
        <v>-9.6131209999065326E-2</v>
      </c>
      <c r="AB57" s="22">
        <f t="shared" si="113"/>
        <v>-8.4775549932028779E-2</v>
      </c>
      <c r="AC57" s="22">
        <f t="shared" ref="AC57" si="114">AC55/AC58</f>
        <v>-8.3453510806959771E-2</v>
      </c>
      <c r="AD57" s="22">
        <f t="shared" ref="AD57" si="115">AD55/AD58</f>
        <v>0</v>
      </c>
      <c r="AY57" s="22">
        <f>AY55/AY58</f>
        <v>-1.1661212350243688</v>
      </c>
      <c r="AZ57" s="22">
        <f>AZ55/AZ58</f>
        <v>-0.81757439492269568</v>
      </c>
      <c r="BA57" s="22">
        <f>BA55/BA58</f>
        <v>-1.2593191516125626</v>
      </c>
    </row>
    <row r="58" spans="1:86" x14ac:dyDescent="0.35">
      <c r="A58" s="5"/>
      <c r="B58" s="5" t="s">
        <v>49</v>
      </c>
      <c r="C58" s="5"/>
      <c r="D58" s="5"/>
      <c r="E58" s="43"/>
      <c r="F58" s="5"/>
      <c r="G58" s="5"/>
      <c r="H58" s="5"/>
      <c r="I58" s="5"/>
      <c r="J58" s="5"/>
      <c r="K58" s="5"/>
      <c r="L58" s="5"/>
      <c r="M58" s="5"/>
      <c r="N58" s="5"/>
      <c r="O58" s="43"/>
      <c r="P58" s="5"/>
      <c r="Q58" s="5">
        <v>99028.297000000006</v>
      </c>
      <c r="R58" s="5"/>
      <c r="S58" s="43">
        <v>99028.297000000006</v>
      </c>
      <c r="T58" s="5">
        <v>99028.297000000006</v>
      </c>
      <c r="U58" s="5">
        <v>243861</v>
      </c>
      <c r="V58" s="5"/>
      <c r="W58" s="43">
        <v>298843.016</v>
      </c>
      <c r="X58" s="5">
        <v>300565.51500000001</v>
      </c>
      <c r="Y58" s="5">
        <v>305977</v>
      </c>
      <c r="Z58" s="5"/>
      <c r="AA58" s="43">
        <v>307714.84100000001</v>
      </c>
      <c r="AB58" s="5">
        <v>307742.03200000001</v>
      </c>
      <c r="AC58" s="5">
        <v>313108.45699999999</v>
      </c>
      <c r="AD58" s="5">
        <v>313108.45699999999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>
        <f>99028297/1000</f>
        <v>99028.297000000006</v>
      </c>
      <c r="AZ58" s="5">
        <f>99028297/1000</f>
        <v>99028.297000000006</v>
      </c>
      <c r="BA58" s="5">
        <f>185896482/1000</f>
        <v>185896.48199999999</v>
      </c>
      <c r="BB58" s="5">
        <v>303279.18800000002</v>
      </c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</row>
    <row r="59" spans="1:86" s="15" customFormat="1" x14ac:dyDescent="0.35">
      <c r="A59" s="17"/>
      <c r="B59" s="17"/>
      <c r="C59" s="17"/>
      <c r="D59" s="17"/>
      <c r="E59" s="45"/>
      <c r="F59" s="17"/>
      <c r="G59" s="17"/>
      <c r="H59" s="17"/>
      <c r="I59" s="17"/>
      <c r="J59" s="17"/>
      <c r="K59" s="17"/>
      <c r="L59" s="17"/>
      <c r="M59" s="17"/>
      <c r="N59" s="17"/>
      <c r="O59" s="45"/>
      <c r="P59" s="17"/>
      <c r="Q59" s="17"/>
      <c r="R59" s="17"/>
      <c r="S59" s="45"/>
      <c r="T59" s="70"/>
      <c r="U59" s="17"/>
      <c r="V59" s="17"/>
      <c r="W59" s="45"/>
      <c r="X59" s="17"/>
      <c r="Y59" s="17"/>
      <c r="Z59" s="17"/>
      <c r="AA59" s="45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</row>
    <row r="60" spans="1:86" x14ac:dyDescent="0.35">
      <c r="A60" s="5"/>
      <c r="B60" s="5"/>
      <c r="C60" s="5"/>
      <c r="D60" s="5"/>
      <c r="E60" s="43"/>
      <c r="F60" s="5"/>
      <c r="G60" s="5"/>
      <c r="H60" s="5"/>
      <c r="I60" s="5"/>
      <c r="J60" s="5"/>
      <c r="K60" s="5"/>
      <c r="L60" s="5"/>
      <c r="M60" s="5"/>
      <c r="N60" s="5"/>
      <c r="O60" s="43"/>
      <c r="P60" s="5"/>
      <c r="Q60" s="5"/>
      <c r="R60" s="5"/>
      <c r="S60" s="43"/>
      <c r="T60" s="5"/>
      <c r="U60" s="5"/>
      <c r="V60" s="5"/>
      <c r="W60" s="43"/>
      <c r="X60" s="5"/>
      <c r="Y60" s="5"/>
      <c r="Z60" s="5"/>
      <c r="AA60" s="43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</row>
    <row r="61" spans="1:86" s="8" customFormat="1" x14ac:dyDescent="0.35">
      <c r="A61" s="19"/>
      <c r="B61" s="20" t="s">
        <v>50</v>
      </c>
      <c r="C61" s="21"/>
      <c r="D61" s="21"/>
      <c r="E61" s="62"/>
      <c r="F61" s="21"/>
      <c r="G61" s="21"/>
      <c r="H61" s="21"/>
      <c r="I61" s="21"/>
      <c r="J61" s="21"/>
      <c r="K61" s="21"/>
      <c r="L61" s="21"/>
      <c r="M61" s="21"/>
      <c r="N61" s="21"/>
      <c r="O61" s="62"/>
      <c r="P61" s="21"/>
      <c r="Q61" s="21"/>
      <c r="R61" s="21"/>
      <c r="S61" s="62"/>
      <c r="T61" s="21"/>
      <c r="U61" s="21"/>
      <c r="V61" s="19"/>
      <c r="W61" s="49"/>
      <c r="X61" s="19"/>
      <c r="Y61" s="19"/>
      <c r="Z61" s="19"/>
      <c r="AA61" s="4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</row>
    <row r="62" spans="1:86" s="12" customFormat="1" x14ac:dyDescent="0.35">
      <c r="A62" s="18"/>
      <c r="B62" s="18" t="s">
        <v>51</v>
      </c>
      <c r="C62" s="18"/>
      <c r="D62" s="18"/>
      <c r="E62" s="48"/>
      <c r="F62" s="18"/>
      <c r="G62" s="18"/>
      <c r="H62" s="18"/>
      <c r="I62" s="18"/>
      <c r="J62" s="18"/>
      <c r="K62" s="18"/>
      <c r="L62" s="18"/>
      <c r="M62" s="18"/>
      <c r="N62" s="18"/>
      <c r="O62" s="48"/>
      <c r="P62" s="18"/>
      <c r="Q62" s="18"/>
      <c r="R62" s="18"/>
      <c r="S62" s="48"/>
      <c r="T62" s="18"/>
      <c r="U62" s="18"/>
      <c r="V62" s="18"/>
      <c r="W62" s="48"/>
      <c r="X62" s="18"/>
      <c r="Y62" s="18"/>
      <c r="Z62" s="18"/>
      <c r="AA62" s="4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</row>
    <row r="63" spans="1:86" x14ac:dyDescent="0.35">
      <c r="A63" s="5"/>
      <c r="B63" s="5" t="s">
        <v>52</v>
      </c>
      <c r="C63" s="5"/>
      <c r="D63" s="5"/>
      <c r="E63" s="43"/>
      <c r="F63" s="5"/>
      <c r="G63" s="5"/>
      <c r="H63" s="5"/>
      <c r="I63" s="5"/>
      <c r="J63" s="5"/>
      <c r="K63" s="5"/>
      <c r="L63" s="5"/>
      <c r="M63" s="5"/>
      <c r="N63" s="5"/>
      <c r="O63" s="43"/>
      <c r="P63" s="5"/>
      <c r="Q63" s="5"/>
      <c r="R63" s="5">
        <v>21496</v>
      </c>
      <c r="S63" s="43"/>
      <c r="T63" s="5"/>
      <c r="U63" s="5">
        <v>572609</v>
      </c>
      <c r="V63" s="5">
        <v>480931</v>
      </c>
      <c r="W63" s="43">
        <v>416165</v>
      </c>
      <c r="X63" s="5">
        <v>333867</v>
      </c>
      <c r="Y63" s="5">
        <v>295816</v>
      </c>
      <c r="Z63" s="5">
        <f t="shared" ref="Z63:Z69" si="116">BB63</f>
        <v>231420</v>
      </c>
      <c r="AA63" s="43">
        <v>200305</v>
      </c>
      <c r="AB63" s="5">
        <v>142766</v>
      </c>
      <c r="AC63" s="5">
        <v>67398</v>
      </c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>
        <v>21496</v>
      </c>
      <c r="BA63" s="5">
        <v>480931</v>
      </c>
      <c r="BB63" s="5">
        <v>231420</v>
      </c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</row>
    <row r="64" spans="1:86" x14ac:dyDescent="0.35">
      <c r="A64" s="5"/>
      <c r="B64" s="5" t="s">
        <v>53</v>
      </c>
      <c r="C64" s="5"/>
      <c r="D64" s="5"/>
      <c r="E64" s="43"/>
      <c r="F64" s="5"/>
      <c r="G64" s="5"/>
      <c r="H64" s="5"/>
      <c r="I64" s="5"/>
      <c r="J64" s="5"/>
      <c r="K64" s="5"/>
      <c r="L64" s="5"/>
      <c r="M64" s="5"/>
      <c r="N64" s="5"/>
      <c r="O64" s="43"/>
      <c r="P64" s="5"/>
      <c r="Q64" s="5"/>
      <c r="R64" s="5">
        <v>19700</v>
      </c>
      <c r="S64" s="43"/>
      <c r="T64" s="5"/>
      <c r="U64" s="5">
        <v>39900</v>
      </c>
      <c r="V64" s="5">
        <v>55178</v>
      </c>
      <c r="W64" s="43">
        <v>54568</v>
      </c>
      <c r="X64" s="5">
        <v>63065</v>
      </c>
      <c r="Y64" s="5">
        <v>83179</v>
      </c>
      <c r="Z64" s="5">
        <f t="shared" si="116"/>
        <v>95802</v>
      </c>
      <c r="AA64" s="43">
        <f>60164+25313</f>
        <v>85477</v>
      </c>
      <c r="AB64" s="5">
        <f>27542+25490</f>
        <v>53032</v>
      </c>
      <c r="AC64" s="5">
        <f>21803+25496</f>
        <v>47299</v>
      </c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>
        <v>19700</v>
      </c>
      <c r="BA64" s="5">
        <v>55178</v>
      </c>
      <c r="BB64" s="5">
        <f>70732+25070</f>
        <v>95802</v>
      </c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</row>
    <row r="65" spans="1:86" x14ac:dyDescent="0.35">
      <c r="A65" s="5"/>
      <c r="B65" s="5" t="s">
        <v>54</v>
      </c>
      <c r="C65" s="5"/>
      <c r="D65" s="5"/>
      <c r="E65" s="43"/>
      <c r="F65" s="5"/>
      <c r="G65" s="5"/>
      <c r="H65" s="5"/>
      <c r="I65" s="5"/>
      <c r="J65" s="5"/>
      <c r="K65" s="5"/>
      <c r="L65" s="5"/>
      <c r="M65" s="5"/>
      <c r="N65" s="5"/>
      <c r="O65" s="43"/>
      <c r="P65" s="5"/>
      <c r="Q65" s="5"/>
      <c r="R65" s="5">
        <v>76298</v>
      </c>
      <c r="S65" s="43"/>
      <c r="T65" s="5"/>
      <c r="U65" s="5">
        <v>67243</v>
      </c>
      <c r="V65" s="5">
        <v>88717</v>
      </c>
      <c r="W65" s="43">
        <v>79970</v>
      </c>
      <c r="X65" s="5">
        <v>104992</v>
      </c>
      <c r="Y65" s="5">
        <v>82707</v>
      </c>
      <c r="Z65" s="5">
        <f t="shared" si="116"/>
        <v>119304</v>
      </c>
      <c r="AA65" s="43">
        <v>88911</v>
      </c>
      <c r="AB65" s="5">
        <v>106094</v>
      </c>
      <c r="AC65" s="5">
        <v>116300</v>
      </c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>
        <v>76298</v>
      </c>
      <c r="BA65" s="5">
        <v>88717</v>
      </c>
      <c r="BB65" s="5">
        <v>119304</v>
      </c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</row>
    <row r="66" spans="1:86" x14ac:dyDescent="0.35">
      <c r="A66" s="5"/>
      <c r="B66" s="5" t="s">
        <v>55</v>
      </c>
      <c r="C66" s="5"/>
      <c r="D66" s="5"/>
      <c r="E66" s="43"/>
      <c r="F66" s="5"/>
      <c r="G66" s="5"/>
      <c r="H66" s="5"/>
      <c r="I66" s="5"/>
      <c r="J66" s="5"/>
      <c r="K66" s="5"/>
      <c r="L66" s="5"/>
      <c r="M66" s="5"/>
      <c r="N66" s="5"/>
      <c r="O66" s="43"/>
      <c r="P66" s="5"/>
      <c r="Q66" s="5"/>
      <c r="R66" s="5">
        <v>20839</v>
      </c>
      <c r="S66" s="43"/>
      <c r="T66" s="5"/>
      <c r="U66" s="5">
        <v>10260</v>
      </c>
      <c r="V66" s="5">
        <v>11144</v>
      </c>
      <c r="W66" s="43">
        <v>24688</v>
      </c>
      <c r="X66" s="5">
        <v>30448</v>
      </c>
      <c r="Y66" s="5">
        <v>4505</v>
      </c>
      <c r="Z66" s="5">
        <f t="shared" si="116"/>
        <v>2196</v>
      </c>
      <c r="AA66" s="43">
        <v>21202</v>
      </c>
      <c r="AB66" s="5">
        <v>17724</v>
      </c>
      <c r="AC66" s="5">
        <v>20161</v>
      </c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>
        <v>20839</v>
      </c>
      <c r="BA66" s="5">
        <v>11144</v>
      </c>
      <c r="BB66" s="5">
        <v>2196</v>
      </c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</row>
    <row r="67" spans="1:86" x14ac:dyDescent="0.35">
      <c r="A67" s="5"/>
      <c r="B67" s="5" t="s">
        <v>56</v>
      </c>
      <c r="C67" s="5"/>
      <c r="D67" s="5"/>
      <c r="E67" s="43"/>
      <c r="F67" s="5"/>
      <c r="G67" s="5"/>
      <c r="H67" s="5"/>
      <c r="I67" s="5"/>
      <c r="J67" s="5"/>
      <c r="K67" s="5"/>
      <c r="L67" s="5"/>
      <c r="M67" s="5"/>
      <c r="N67" s="5"/>
      <c r="O67" s="43"/>
      <c r="P67" s="5"/>
      <c r="Q67" s="5"/>
      <c r="R67" s="5">
        <v>44968</v>
      </c>
      <c r="S67" s="43"/>
      <c r="T67" s="5"/>
      <c r="U67" s="5">
        <v>47820</v>
      </c>
      <c r="V67" s="5">
        <v>53424</v>
      </c>
      <c r="W67" s="43">
        <v>58081</v>
      </c>
      <c r="X67" s="5">
        <v>64460</v>
      </c>
      <c r="Y67" s="5">
        <v>82262</v>
      </c>
      <c r="Z67" s="5">
        <f t="shared" si="116"/>
        <v>84252</v>
      </c>
      <c r="AA67" s="43">
        <v>87669</v>
      </c>
      <c r="AB67" s="5">
        <v>86760</v>
      </c>
      <c r="AC67" s="5">
        <v>126913</v>
      </c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>
        <v>44968</v>
      </c>
      <c r="BA67" s="5">
        <v>53424</v>
      </c>
      <c r="BB67" s="5">
        <v>84252</v>
      </c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</row>
    <row r="68" spans="1:86" x14ac:dyDescent="0.35">
      <c r="A68" s="5"/>
      <c r="B68" s="5" t="s">
        <v>57</v>
      </c>
      <c r="C68" s="5"/>
      <c r="D68" s="5"/>
      <c r="E68" s="43"/>
      <c r="F68" s="5"/>
      <c r="G68" s="5"/>
      <c r="H68" s="5"/>
      <c r="I68" s="5"/>
      <c r="J68" s="5"/>
      <c r="K68" s="5"/>
      <c r="L68" s="5"/>
      <c r="M68" s="5"/>
      <c r="N68" s="5"/>
      <c r="O68" s="43"/>
      <c r="P68" s="5"/>
      <c r="Q68" s="5"/>
      <c r="R68" s="5">
        <v>6022</v>
      </c>
      <c r="S68" s="43"/>
      <c r="T68" s="5"/>
      <c r="U68" s="5">
        <v>12964</v>
      </c>
      <c r="V68" s="5">
        <v>17127</v>
      </c>
      <c r="W68" s="43">
        <v>19691</v>
      </c>
      <c r="X68" s="5">
        <v>14531</v>
      </c>
      <c r="Y68" s="5">
        <v>19060</v>
      </c>
      <c r="Z68" s="5">
        <f t="shared" si="116"/>
        <v>12093</v>
      </c>
      <c r="AA68" s="43">
        <v>13472</v>
      </c>
      <c r="AB68" s="5">
        <v>20620</v>
      </c>
      <c r="AC68" s="5">
        <v>25840</v>
      </c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>
        <v>6022</v>
      </c>
      <c r="BA68" s="5">
        <v>17127</v>
      </c>
      <c r="BB68" s="5">
        <v>12093</v>
      </c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</row>
    <row r="69" spans="1:86" s="13" customFormat="1" x14ac:dyDescent="0.35">
      <c r="A69" s="16"/>
      <c r="B69" s="16" t="s">
        <v>58</v>
      </c>
      <c r="C69" s="16"/>
      <c r="D69" s="16"/>
      <c r="E69" s="44"/>
      <c r="F69" s="16"/>
      <c r="G69" s="16"/>
      <c r="H69" s="16"/>
      <c r="I69" s="16"/>
      <c r="J69" s="16"/>
      <c r="K69" s="16"/>
      <c r="L69" s="16"/>
      <c r="M69" s="16"/>
      <c r="N69" s="16"/>
      <c r="O69" s="44"/>
      <c r="P69" s="16"/>
      <c r="Q69" s="16"/>
      <c r="R69" s="16">
        <v>0</v>
      </c>
      <c r="S69" s="44"/>
      <c r="T69" s="16"/>
      <c r="U69" s="16">
        <v>128</v>
      </c>
      <c r="V69" s="16">
        <v>85</v>
      </c>
      <c r="W69" s="44">
        <v>0</v>
      </c>
      <c r="X69" s="16">
        <v>0</v>
      </c>
      <c r="Y69" s="16">
        <v>0</v>
      </c>
      <c r="Z69" s="16">
        <f t="shared" si="116"/>
        <v>0</v>
      </c>
      <c r="AA69" s="44">
        <v>0</v>
      </c>
      <c r="AB69" s="16">
        <v>0</v>
      </c>
      <c r="AC69" s="16">
        <v>0</v>
      </c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>
        <v>0</v>
      </c>
      <c r="BA69" s="16">
        <v>85</v>
      </c>
      <c r="BB69" s="16">
        <v>0</v>
      </c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</row>
    <row r="70" spans="1:86" s="15" customFormat="1" x14ac:dyDescent="0.35">
      <c r="A70" s="17"/>
      <c r="B70" s="17" t="s">
        <v>59</v>
      </c>
      <c r="C70" s="17"/>
      <c r="D70" s="17"/>
      <c r="E70" s="45"/>
      <c r="F70" s="17"/>
      <c r="G70" s="17"/>
      <c r="H70" s="17"/>
      <c r="I70" s="17"/>
      <c r="J70" s="17"/>
      <c r="K70" s="17"/>
      <c r="L70" s="17"/>
      <c r="M70" s="17"/>
      <c r="N70" s="17"/>
      <c r="O70" s="45">
        <f t="shared" ref="O70:U70" si="117">SUM(O63:O69)</f>
        <v>0</v>
      </c>
      <c r="P70" s="17">
        <f t="shared" si="117"/>
        <v>0</v>
      </c>
      <c r="Q70" s="17">
        <f t="shared" si="117"/>
        <v>0</v>
      </c>
      <c r="R70" s="17">
        <f t="shared" si="117"/>
        <v>189323</v>
      </c>
      <c r="S70" s="45">
        <f t="shared" si="117"/>
        <v>0</v>
      </c>
      <c r="T70" s="17">
        <f t="shared" si="117"/>
        <v>0</v>
      </c>
      <c r="U70" s="17">
        <f t="shared" si="117"/>
        <v>750924</v>
      </c>
      <c r="V70" s="17">
        <f>SUM(V63:V69)</f>
        <v>706606</v>
      </c>
      <c r="W70" s="45">
        <f>SUM(W63:W69)</f>
        <v>653163</v>
      </c>
      <c r="X70" s="17">
        <f>SUM(X63:X69)</f>
        <v>611363</v>
      </c>
      <c r="Y70" s="17">
        <f>SUM(Y63:Y69)</f>
        <v>567529</v>
      </c>
      <c r="Z70" s="17">
        <f t="shared" ref="Z70:AD70" si="118">SUM(Z63:Z69)</f>
        <v>545067</v>
      </c>
      <c r="AA70" s="45">
        <f t="shared" si="118"/>
        <v>497036</v>
      </c>
      <c r="AB70" s="17">
        <f t="shared" si="118"/>
        <v>426996</v>
      </c>
      <c r="AC70" s="17">
        <f t="shared" si="118"/>
        <v>403911</v>
      </c>
      <c r="AD70" s="17">
        <f t="shared" si="118"/>
        <v>0</v>
      </c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>
        <f t="shared" ref="AR70:BA70" si="119">SUM(AR63:AR69)</f>
        <v>0</v>
      </c>
      <c r="AS70" s="17">
        <f t="shared" si="119"/>
        <v>0</v>
      </c>
      <c r="AT70" s="17">
        <f t="shared" si="119"/>
        <v>0</v>
      </c>
      <c r="AU70" s="17">
        <f t="shared" si="119"/>
        <v>0</v>
      </c>
      <c r="AV70" s="17">
        <f t="shared" si="119"/>
        <v>0</v>
      </c>
      <c r="AW70" s="17">
        <f t="shared" si="119"/>
        <v>0</v>
      </c>
      <c r="AX70" s="17">
        <f t="shared" si="119"/>
        <v>0</v>
      </c>
      <c r="AY70" s="17">
        <f t="shared" si="119"/>
        <v>0</v>
      </c>
      <c r="AZ70" s="17">
        <f t="shared" si="119"/>
        <v>189323</v>
      </c>
      <c r="BA70" s="17">
        <f t="shared" si="119"/>
        <v>706606</v>
      </c>
      <c r="BB70" s="17">
        <f t="shared" ref="BB70" si="120">SUM(BB63:BB69)</f>
        <v>545067</v>
      </c>
      <c r="BC70" s="17">
        <f t="shared" ref="BC70" si="121">SUM(BC63:BC69)</f>
        <v>0</v>
      </c>
      <c r="BD70" s="17">
        <f t="shared" ref="BD70" si="122">SUM(BD63:BD69)</f>
        <v>0</v>
      </c>
      <c r="BE70" s="17">
        <f t="shared" ref="BE70" si="123">SUM(BE63:BE69)</f>
        <v>0</v>
      </c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</row>
    <row r="71" spans="1:86" s="12" customFormat="1" x14ac:dyDescent="0.35">
      <c r="A71" s="18"/>
      <c r="B71" s="18" t="s">
        <v>60</v>
      </c>
      <c r="C71" s="18"/>
      <c r="D71" s="18"/>
      <c r="E71" s="48"/>
      <c r="F71" s="18"/>
      <c r="G71" s="18"/>
      <c r="H71" s="18"/>
      <c r="I71" s="18"/>
      <c r="J71" s="18"/>
      <c r="K71" s="18"/>
      <c r="L71" s="18"/>
      <c r="M71" s="18"/>
      <c r="N71" s="18"/>
      <c r="O71" s="48"/>
      <c r="P71" s="18"/>
      <c r="Q71" s="18"/>
      <c r="R71" s="18"/>
      <c r="S71" s="48"/>
      <c r="T71" s="18"/>
      <c r="U71" s="18"/>
      <c r="V71" s="18"/>
      <c r="W71" s="48"/>
      <c r="X71" s="18"/>
      <c r="Y71" s="18"/>
      <c r="Z71" s="18"/>
      <c r="AA71" s="4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</row>
    <row r="72" spans="1:86" x14ac:dyDescent="0.35">
      <c r="A72" s="5"/>
      <c r="B72" s="5" t="s">
        <v>61</v>
      </c>
      <c r="C72" s="5"/>
      <c r="D72" s="5"/>
      <c r="E72" s="43"/>
      <c r="F72" s="5"/>
      <c r="G72" s="5"/>
      <c r="H72" s="5"/>
      <c r="I72" s="5"/>
      <c r="J72" s="5"/>
      <c r="K72" s="5"/>
      <c r="L72" s="5"/>
      <c r="M72" s="5"/>
      <c r="N72" s="5"/>
      <c r="O72" s="43"/>
      <c r="P72" s="5"/>
      <c r="Q72" s="5"/>
      <c r="R72" s="5">
        <v>0</v>
      </c>
      <c r="S72" s="43"/>
      <c r="T72" s="5"/>
      <c r="U72" s="5">
        <v>0</v>
      </c>
      <c r="V72" s="5">
        <v>0</v>
      </c>
      <c r="W72" s="43">
        <v>0</v>
      </c>
      <c r="X72" s="5">
        <v>0</v>
      </c>
      <c r="Y72" s="5">
        <v>36704</v>
      </c>
      <c r="Z72" s="5">
        <f t="shared" ref="Z72:Z77" si="124">BB72</f>
        <v>465</v>
      </c>
      <c r="AA72" s="43">
        <v>11</v>
      </c>
      <c r="AB72" s="5">
        <v>11</v>
      </c>
      <c r="AC72" s="5">
        <v>11</v>
      </c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>
        <v>0</v>
      </c>
      <c r="BA72" s="5">
        <v>0</v>
      </c>
      <c r="BB72" s="5">
        <v>465</v>
      </c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</row>
    <row r="73" spans="1:86" x14ac:dyDescent="0.35">
      <c r="A73" s="5"/>
      <c r="B73" s="5" t="s">
        <v>62</v>
      </c>
      <c r="C73" s="5"/>
      <c r="D73" s="5"/>
      <c r="E73" s="43"/>
      <c r="F73" s="5"/>
      <c r="G73" s="5"/>
      <c r="H73" s="5"/>
      <c r="I73" s="5"/>
      <c r="J73" s="5"/>
      <c r="K73" s="5"/>
      <c r="L73" s="5"/>
      <c r="M73" s="5"/>
      <c r="N73" s="5"/>
      <c r="O73" s="43"/>
      <c r="P73" s="5"/>
      <c r="Q73" s="5"/>
      <c r="R73" s="5">
        <v>198017</v>
      </c>
      <c r="S73" s="43"/>
      <c r="T73" s="5"/>
      <c r="U73" s="5">
        <v>222771</v>
      </c>
      <c r="V73" s="5">
        <v>253057</v>
      </c>
      <c r="W73" s="43">
        <v>271248</v>
      </c>
      <c r="X73" s="5">
        <v>278443</v>
      </c>
      <c r="Y73" s="5">
        <v>286346</v>
      </c>
      <c r="Z73" s="5">
        <f t="shared" si="124"/>
        <v>335140</v>
      </c>
      <c r="AA73" s="43">
        <v>443051</v>
      </c>
      <c r="AB73" s="5">
        <v>497847</v>
      </c>
      <c r="AC73" s="5">
        <v>549544</v>
      </c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>
        <v>198017</v>
      </c>
      <c r="BA73" s="5">
        <v>253057</v>
      </c>
      <c r="BB73" s="5">
        <v>335140</v>
      </c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</row>
    <row r="74" spans="1:86" x14ac:dyDescent="0.35">
      <c r="A74" s="5"/>
      <c r="B74" s="5" t="s">
        <v>63</v>
      </c>
      <c r="C74" s="5"/>
      <c r="D74" s="5"/>
      <c r="E74" s="43"/>
      <c r="F74" s="5"/>
      <c r="G74" s="5"/>
      <c r="H74" s="5"/>
      <c r="I74" s="5"/>
      <c r="J74" s="5"/>
      <c r="K74" s="5"/>
      <c r="L74" s="5"/>
      <c r="M74" s="5"/>
      <c r="N74" s="5"/>
      <c r="O74" s="43"/>
      <c r="P74" s="5"/>
      <c r="Q74" s="5"/>
      <c r="R74" s="5">
        <v>14001</v>
      </c>
      <c r="S74" s="43"/>
      <c r="T74" s="5"/>
      <c r="U74" s="5">
        <v>13935</v>
      </c>
      <c r="V74" s="5">
        <v>14008</v>
      </c>
      <c r="W74" s="43">
        <v>13999</v>
      </c>
      <c r="X74" s="5">
        <v>13171</v>
      </c>
      <c r="Y74" s="5">
        <v>12328</v>
      </c>
      <c r="Z74" s="5">
        <f t="shared" si="124"/>
        <v>12639</v>
      </c>
      <c r="AA74" s="43">
        <v>12618</v>
      </c>
      <c r="AB74" s="5">
        <v>11878</v>
      </c>
      <c r="AC74" s="5">
        <v>11734</v>
      </c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>
        <v>14001</v>
      </c>
      <c r="BA74" s="5">
        <v>14008</v>
      </c>
      <c r="BB74" s="5">
        <v>12639</v>
      </c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</row>
    <row r="75" spans="1:86" x14ac:dyDescent="0.35">
      <c r="A75" s="5"/>
      <c r="B75" s="5" t="s">
        <v>64</v>
      </c>
      <c r="C75" s="5"/>
      <c r="D75" s="5"/>
      <c r="E75" s="43"/>
      <c r="F75" s="5"/>
      <c r="G75" s="5"/>
      <c r="H75" s="5"/>
      <c r="I75" s="5"/>
      <c r="J75" s="5"/>
      <c r="K75" s="5"/>
      <c r="L75" s="5"/>
      <c r="M75" s="5"/>
      <c r="N75" s="5"/>
      <c r="O75" s="43"/>
      <c r="P75" s="5"/>
      <c r="Q75" s="5"/>
      <c r="R75" s="5">
        <v>2279</v>
      </c>
      <c r="S75" s="43"/>
      <c r="T75" s="5"/>
      <c r="U75" s="5">
        <v>2024</v>
      </c>
      <c r="V75" s="5">
        <v>1882</v>
      </c>
      <c r="W75" s="43">
        <v>1821</v>
      </c>
      <c r="X75" s="5">
        <v>1758</v>
      </c>
      <c r="Y75" s="5">
        <v>1696</v>
      </c>
      <c r="Z75" s="5">
        <f t="shared" si="124"/>
        <v>1636</v>
      </c>
      <c r="AA75" s="43">
        <v>3691</v>
      </c>
      <c r="AB75" s="5">
        <v>3343</v>
      </c>
      <c r="AC75" s="5">
        <v>3210</v>
      </c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>
        <v>2279</v>
      </c>
      <c r="BA75" s="5">
        <v>1882</v>
      </c>
      <c r="BB75" s="5">
        <v>1636</v>
      </c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</row>
    <row r="76" spans="1:86" x14ac:dyDescent="0.35">
      <c r="A76" s="5"/>
      <c r="B76" s="5" t="s">
        <v>65</v>
      </c>
      <c r="C76" s="5"/>
      <c r="D76" s="5"/>
      <c r="E76" s="43"/>
      <c r="F76" s="5"/>
      <c r="G76" s="5"/>
      <c r="H76" s="5"/>
      <c r="I76" s="5"/>
      <c r="J76" s="5"/>
      <c r="K76" s="5"/>
      <c r="L76" s="5"/>
      <c r="M76" s="5"/>
      <c r="N76" s="5"/>
      <c r="O76" s="43"/>
      <c r="P76" s="5"/>
      <c r="Q76" s="5"/>
      <c r="R76" s="5">
        <v>0</v>
      </c>
      <c r="S76" s="43"/>
      <c r="T76" s="5"/>
      <c r="U76" s="5">
        <v>0</v>
      </c>
      <c r="V76" s="5">
        <v>0</v>
      </c>
      <c r="W76" s="43">
        <v>18388</v>
      </c>
      <c r="X76" s="5">
        <v>17123</v>
      </c>
      <c r="Y76" s="5">
        <v>15509</v>
      </c>
      <c r="Z76" s="5">
        <f t="shared" si="124"/>
        <v>16368</v>
      </c>
      <c r="AA76" s="43">
        <v>18461</v>
      </c>
      <c r="AB76" s="5">
        <v>21001</v>
      </c>
      <c r="AC76" s="5">
        <v>19612</v>
      </c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>
        <v>0</v>
      </c>
      <c r="BA76" s="5">
        <v>0</v>
      </c>
      <c r="BB76" s="5">
        <v>16368</v>
      </c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</row>
    <row r="77" spans="1:86" s="13" customFormat="1" x14ac:dyDescent="0.35">
      <c r="A77" s="16"/>
      <c r="B77" s="16" t="s">
        <v>66</v>
      </c>
      <c r="C77" s="16"/>
      <c r="D77" s="16"/>
      <c r="E77" s="44"/>
      <c r="F77" s="16"/>
      <c r="G77" s="16"/>
      <c r="H77" s="16"/>
      <c r="I77" s="16"/>
      <c r="J77" s="16"/>
      <c r="K77" s="16"/>
      <c r="L77" s="16"/>
      <c r="M77" s="16"/>
      <c r="N77" s="16"/>
      <c r="O77" s="44"/>
      <c r="P77" s="16"/>
      <c r="Q77" s="16"/>
      <c r="R77" s="16">
        <v>890</v>
      </c>
      <c r="S77" s="44"/>
      <c r="T77" s="16"/>
      <c r="U77" s="16">
        <v>702</v>
      </c>
      <c r="V77" s="16">
        <v>19738</v>
      </c>
      <c r="W77" s="44">
        <v>40096</v>
      </c>
      <c r="X77" s="16">
        <v>49786</v>
      </c>
      <c r="Y77" s="16">
        <v>52816</v>
      </c>
      <c r="Z77" s="5">
        <f t="shared" si="124"/>
        <v>73642</v>
      </c>
      <c r="AA77" s="44">
        <v>29113</v>
      </c>
      <c r="AB77" s="16">
        <v>36596</v>
      </c>
      <c r="AC77" s="16">
        <v>28540</v>
      </c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>
        <v>890</v>
      </c>
      <c r="BA77" s="16">
        <v>19738</v>
      </c>
      <c r="BB77" s="16">
        <v>73642</v>
      </c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</row>
    <row r="78" spans="1:86" s="14" customFormat="1" x14ac:dyDescent="0.35">
      <c r="A78" s="24"/>
      <c r="B78" s="24" t="s">
        <v>67</v>
      </c>
      <c r="C78" s="24"/>
      <c r="D78" s="24"/>
      <c r="E78" s="50"/>
      <c r="F78" s="24"/>
      <c r="G78" s="24"/>
      <c r="H78" s="24"/>
      <c r="I78" s="24"/>
      <c r="J78" s="24"/>
      <c r="K78" s="24"/>
      <c r="L78" s="24"/>
      <c r="M78" s="24"/>
      <c r="N78" s="24"/>
      <c r="O78" s="50">
        <f t="shared" ref="O78:U78" si="125">SUM(O72:O77)</f>
        <v>0</v>
      </c>
      <c r="P78" s="24">
        <f t="shared" si="125"/>
        <v>0</v>
      </c>
      <c r="Q78" s="24">
        <f t="shared" si="125"/>
        <v>0</v>
      </c>
      <c r="R78" s="24">
        <f t="shared" si="125"/>
        <v>215187</v>
      </c>
      <c r="S78" s="50">
        <f t="shared" si="125"/>
        <v>0</v>
      </c>
      <c r="T78" s="24">
        <f t="shared" si="125"/>
        <v>0</v>
      </c>
      <c r="U78" s="24">
        <f t="shared" si="125"/>
        <v>239432</v>
      </c>
      <c r="V78" s="24">
        <f>SUM(V72:V77)</f>
        <v>288685</v>
      </c>
      <c r="W78" s="50">
        <f>SUM(W72:W77)</f>
        <v>345552</v>
      </c>
      <c r="X78" s="24">
        <f>SUM(X72:X77)</f>
        <v>360281</v>
      </c>
      <c r="Y78" s="24">
        <f>SUM(Y72:Y77)</f>
        <v>405399</v>
      </c>
      <c r="Z78" s="24">
        <f t="shared" ref="Z78:AD78" si="126">SUM(Z72:Z77)</f>
        <v>439890</v>
      </c>
      <c r="AA78" s="50">
        <f t="shared" si="126"/>
        <v>506945</v>
      </c>
      <c r="AB78" s="24">
        <f t="shared" si="126"/>
        <v>570676</v>
      </c>
      <c r="AC78" s="24">
        <f t="shared" si="126"/>
        <v>612651</v>
      </c>
      <c r="AD78" s="24">
        <f t="shared" si="126"/>
        <v>0</v>
      </c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>
        <f>SUM(AR72:AR77)</f>
        <v>0</v>
      </c>
      <c r="AS78" s="24">
        <f t="shared" ref="AS78:BE78" si="127">SUM(AS72:AS77)</f>
        <v>0</v>
      </c>
      <c r="AT78" s="24">
        <f t="shared" si="127"/>
        <v>0</v>
      </c>
      <c r="AU78" s="24">
        <f t="shared" si="127"/>
        <v>0</v>
      </c>
      <c r="AV78" s="24">
        <f t="shared" si="127"/>
        <v>0</v>
      </c>
      <c r="AW78" s="24">
        <f t="shared" si="127"/>
        <v>0</v>
      </c>
      <c r="AX78" s="24">
        <f t="shared" si="127"/>
        <v>0</v>
      </c>
      <c r="AY78" s="24">
        <f t="shared" si="127"/>
        <v>0</v>
      </c>
      <c r="AZ78" s="24">
        <f t="shared" si="127"/>
        <v>215187</v>
      </c>
      <c r="BA78" s="24">
        <f t="shared" si="127"/>
        <v>288685</v>
      </c>
      <c r="BB78" s="24">
        <f t="shared" si="127"/>
        <v>439890</v>
      </c>
      <c r="BC78" s="24">
        <f t="shared" si="127"/>
        <v>0</v>
      </c>
      <c r="BD78" s="24">
        <f t="shared" si="127"/>
        <v>0</v>
      </c>
      <c r="BE78" s="24">
        <f t="shared" si="127"/>
        <v>0</v>
      </c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</row>
    <row r="79" spans="1:86" s="15" customFormat="1" x14ac:dyDescent="0.35">
      <c r="A79" s="17"/>
      <c r="B79" s="17" t="s">
        <v>68</v>
      </c>
      <c r="C79" s="17"/>
      <c r="D79" s="17"/>
      <c r="E79" s="45"/>
      <c r="F79" s="17"/>
      <c r="G79" s="17"/>
      <c r="H79" s="17"/>
      <c r="I79" s="17"/>
      <c r="J79" s="17"/>
      <c r="K79" s="17"/>
      <c r="L79" s="17"/>
      <c r="M79" s="17"/>
      <c r="N79" s="17"/>
      <c r="O79" s="45">
        <f t="shared" ref="O79:U79" si="128">O78+O70</f>
        <v>0</v>
      </c>
      <c r="P79" s="17">
        <f t="shared" si="128"/>
        <v>0</v>
      </c>
      <c r="Q79" s="17">
        <f t="shared" si="128"/>
        <v>0</v>
      </c>
      <c r="R79" s="17">
        <f t="shared" si="128"/>
        <v>404510</v>
      </c>
      <c r="S79" s="45">
        <f t="shared" si="128"/>
        <v>0</v>
      </c>
      <c r="T79" s="17">
        <f t="shared" si="128"/>
        <v>0</v>
      </c>
      <c r="U79" s="17">
        <f t="shared" si="128"/>
        <v>990356</v>
      </c>
      <c r="V79" s="17">
        <f>V78+V70</f>
        <v>995291</v>
      </c>
      <c r="W79" s="45">
        <f>W78+W70</f>
        <v>998715</v>
      </c>
      <c r="X79" s="17">
        <f>X78+X70</f>
        <v>971644</v>
      </c>
      <c r="Y79" s="17">
        <f>Y78+Y70</f>
        <v>972928</v>
      </c>
      <c r="Z79" s="17">
        <f t="shared" ref="Z79:AD79" si="129">Z78+Z70</f>
        <v>984957</v>
      </c>
      <c r="AA79" s="45">
        <f t="shared" si="129"/>
        <v>1003981</v>
      </c>
      <c r="AB79" s="17">
        <f t="shared" si="129"/>
        <v>997672</v>
      </c>
      <c r="AC79" s="17">
        <f t="shared" si="129"/>
        <v>1016562</v>
      </c>
      <c r="AD79" s="17">
        <f t="shared" si="129"/>
        <v>0</v>
      </c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>
        <f t="shared" ref="AR79:BA79" si="130">AR78+AR70</f>
        <v>0</v>
      </c>
      <c r="AS79" s="17">
        <f t="shared" si="130"/>
        <v>0</v>
      </c>
      <c r="AT79" s="17">
        <f t="shared" si="130"/>
        <v>0</v>
      </c>
      <c r="AU79" s="17">
        <f t="shared" si="130"/>
        <v>0</v>
      </c>
      <c r="AV79" s="17">
        <f t="shared" si="130"/>
        <v>0</v>
      </c>
      <c r="AW79" s="17">
        <f t="shared" si="130"/>
        <v>0</v>
      </c>
      <c r="AX79" s="17">
        <f t="shared" si="130"/>
        <v>0</v>
      </c>
      <c r="AY79" s="17">
        <f t="shared" si="130"/>
        <v>0</v>
      </c>
      <c r="AZ79" s="17">
        <f t="shared" si="130"/>
        <v>404510</v>
      </c>
      <c r="BA79" s="17">
        <f t="shared" si="130"/>
        <v>995291</v>
      </c>
      <c r="BB79" s="17">
        <f t="shared" ref="BB79" si="131">BB78+BB70</f>
        <v>984957</v>
      </c>
      <c r="BC79" s="17">
        <f t="shared" ref="BC79" si="132">BC78+BC70</f>
        <v>0</v>
      </c>
      <c r="BD79" s="17">
        <f t="shared" ref="BD79" si="133">BD78+BD70</f>
        <v>0</v>
      </c>
      <c r="BE79" s="17">
        <f t="shared" ref="BE79" si="134">BE78+BE70</f>
        <v>0</v>
      </c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</row>
    <row r="80" spans="1:86" s="12" customFormat="1" x14ac:dyDescent="0.35">
      <c r="A80" s="18"/>
      <c r="B80" s="18" t="s">
        <v>69</v>
      </c>
      <c r="C80" s="18"/>
      <c r="D80" s="18"/>
      <c r="E80" s="48"/>
      <c r="F80" s="18"/>
      <c r="G80" s="18"/>
      <c r="H80" s="18"/>
      <c r="I80" s="18"/>
      <c r="J80" s="18"/>
      <c r="K80" s="18"/>
      <c r="L80" s="18"/>
      <c r="M80" s="18"/>
      <c r="N80" s="18"/>
      <c r="O80" s="48"/>
      <c r="P80" s="18"/>
      <c r="Q80" s="18"/>
      <c r="R80" s="18"/>
      <c r="S80" s="48"/>
      <c r="T80" s="18"/>
      <c r="U80" s="18"/>
      <c r="V80" s="18"/>
      <c r="W80" s="48"/>
      <c r="X80" s="18"/>
      <c r="Y80" s="18"/>
      <c r="Z80" s="18"/>
      <c r="AA80" s="4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</row>
    <row r="81" spans="1:86" x14ac:dyDescent="0.35">
      <c r="A81" s="5"/>
      <c r="B81" s="5" t="s">
        <v>70</v>
      </c>
      <c r="C81" s="5"/>
      <c r="D81" s="5"/>
      <c r="E81" s="43"/>
      <c r="F81" s="5"/>
      <c r="G81" s="5"/>
      <c r="H81" s="5"/>
      <c r="I81" s="5"/>
      <c r="J81" s="5"/>
      <c r="K81" s="5"/>
      <c r="L81" s="5"/>
      <c r="M81" s="5"/>
      <c r="N81" s="5"/>
      <c r="O81" s="43"/>
      <c r="P81" s="5"/>
      <c r="Q81" s="5"/>
      <c r="R81" s="5">
        <v>42007</v>
      </c>
      <c r="S81" s="43"/>
      <c r="T81" s="5"/>
      <c r="U81" s="5">
        <v>36557</v>
      </c>
      <c r="V81" s="5">
        <v>40408</v>
      </c>
      <c r="W81" s="43">
        <v>32007</v>
      </c>
      <c r="X81" s="5">
        <v>39578</v>
      </c>
      <c r="Y81" s="5">
        <v>35972</v>
      </c>
      <c r="Z81" s="5">
        <f t="shared" ref="Z81:Z87" si="135">BB81</f>
        <v>44985</v>
      </c>
      <c r="AA81" s="43">
        <v>41243</v>
      </c>
      <c r="AB81" s="5">
        <v>54319</v>
      </c>
      <c r="AC81" s="5">
        <v>95294</v>
      </c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>
        <v>42007</v>
      </c>
      <c r="BA81" s="5">
        <v>40408</v>
      </c>
      <c r="BB81" s="5">
        <v>44985</v>
      </c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</row>
    <row r="82" spans="1:86" x14ac:dyDescent="0.35">
      <c r="A82" s="5"/>
      <c r="B82" s="5" t="s">
        <v>71</v>
      </c>
      <c r="C82" s="5"/>
      <c r="D82" s="5"/>
      <c r="E82" s="43"/>
      <c r="F82" s="5"/>
      <c r="G82" s="5"/>
      <c r="H82" s="5"/>
      <c r="I82" s="5"/>
      <c r="J82" s="5"/>
      <c r="K82" s="5"/>
      <c r="L82" s="5"/>
      <c r="M82" s="5"/>
      <c r="N82" s="5"/>
      <c r="O82" s="43"/>
      <c r="P82" s="5"/>
      <c r="Q82" s="5"/>
      <c r="R82" s="5">
        <v>2446</v>
      </c>
      <c r="S82" s="43"/>
      <c r="T82" s="5"/>
      <c r="U82" s="5">
        <v>2343</v>
      </c>
      <c r="V82" s="5">
        <v>60953</v>
      </c>
      <c r="W82" s="43">
        <v>3601</v>
      </c>
      <c r="X82" s="5">
        <v>4558</v>
      </c>
      <c r="Y82" s="5">
        <v>72811</v>
      </c>
      <c r="Z82" s="5">
        <f t="shared" si="135"/>
        <v>68441</v>
      </c>
      <c r="AA82" s="43">
        <v>67804</v>
      </c>
      <c r="AB82" s="5">
        <v>50114</v>
      </c>
      <c r="AC82" s="5">
        <v>39329</v>
      </c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>
        <v>2446</v>
      </c>
      <c r="BA82" s="5">
        <v>1526</v>
      </c>
      <c r="BB82" s="5">
        <v>68441</v>
      </c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</row>
    <row r="83" spans="1:86" x14ac:dyDescent="0.35">
      <c r="A83" s="5"/>
      <c r="B83" s="5" t="s">
        <v>72</v>
      </c>
      <c r="C83" s="5"/>
      <c r="D83" s="5"/>
      <c r="E83" s="43"/>
      <c r="F83" s="5"/>
      <c r="G83" s="5"/>
      <c r="H83" s="5"/>
      <c r="I83" s="5"/>
      <c r="J83" s="5"/>
      <c r="K83" s="5"/>
      <c r="L83" s="5"/>
      <c r="M83" s="5"/>
      <c r="N83" s="5"/>
      <c r="O83" s="43"/>
      <c r="P83" s="5"/>
      <c r="Q83" s="5"/>
      <c r="R83" s="5">
        <v>60628</v>
      </c>
      <c r="S83" s="43"/>
      <c r="T83" s="5"/>
      <c r="U83" s="5">
        <v>48065</v>
      </c>
      <c r="V83" s="5">
        <v>58740</v>
      </c>
      <c r="W83" s="43">
        <v>61103</v>
      </c>
      <c r="X83" s="5">
        <v>66793</v>
      </c>
      <c r="Y83" s="5">
        <v>79520</v>
      </c>
      <c r="Z83" s="5">
        <f t="shared" si="135"/>
        <v>66720</v>
      </c>
      <c r="AA83" s="43">
        <v>93147</v>
      </c>
      <c r="AB83" s="5">
        <v>116449</v>
      </c>
      <c r="AC83" s="5">
        <v>121816</v>
      </c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>
        <v>60628</v>
      </c>
      <c r="BA83" s="5">
        <v>58740</v>
      </c>
      <c r="BB83" s="5">
        <v>66720</v>
      </c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</row>
    <row r="84" spans="1:86" x14ac:dyDescent="0.35">
      <c r="A84" s="5"/>
      <c r="B84" s="5" t="s">
        <v>73</v>
      </c>
      <c r="C84" s="5"/>
      <c r="D84" s="5"/>
      <c r="E84" s="43"/>
      <c r="F84" s="5"/>
      <c r="G84" s="5"/>
      <c r="H84" s="5"/>
      <c r="I84" s="5"/>
      <c r="J84" s="5"/>
      <c r="K84" s="5"/>
      <c r="L84" s="5"/>
      <c r="M84" s="5"/>
      <c r="N84" s="5"/>
      <c r="O84" s="43"/>
      <c r="P84" s="5"/>
      <c r="Q84" s="5"/>
      <c r="R84" s="5">
        <v>664</v>
      </c>
      <c r="S84" s="43"/>
      <c r="T84" s="5"/>
      <c r="U84" s="5">
        <v>665</v>
      </c>
      <c r="V84" s="5">
        <v>1526</v>
      </c>
      <c r="W84" s="43">
        <v>667</v>
      </c>
      <c r="X84" s="5">
        <v>661</v>
      </c>
      <c r="Y84" s="5">
        <v>6589</v>
      </c>
      <c r="Z84" s="5">
        <f t="shared" si="135"/>
        <v>54207</v>
      </c>
      <c r="AA84" s="43">
        <v>53059</v>
      </c>
      <c r="AB84" s="5">
        <v>53058</v>
      </c>
      <c r="AC84" s="5">
        <v>54482</v>
      </c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>
        <v>664</v>
      </c>
      <c r="BA84" s="5">
        <v>666</v>
      </c>
      <c r="BB84" s="5">
        <v>54207</v>
      </c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</row>
    <row r="85" spans="1:86" x14ac:dyDescent="0.35">
      <c r="A85" s="5"/>
      <c r="B85" s="5" t="s">
        <v>74</v>
      </c>
      <c r="C85" s="5"/>
      <c r="D85" s="5"/>
      <c r="E85" s="43"/>
      <c r="F85" s="5"/>
      <c r="G85" s="5"/>
      <c r="H85" s="5"/>
      <c r="I85" s="5"/>
      <c r="J85" s="5"/>
      <c r="K85" s="5"/>
      <c r="L85" s="5"/>
      <c r="M85" s="5"/>
      <c r="N85" s="5"/>
      <c r="O85" s="43"/>
      <c r="P85" s="5"/>
      <c r="Q85" s="5"/>
      <c r="R85" s="5">
        <v>12184</v>
      </c>
      <c r="S85" s="43"/>
      <c r="T85" s="5"/>
      <c r="U85" s="5">
        <v>22851</v>
      </c>
      <c r="V85" s="5">
        <v>13301</v>
      </c>
      <c r="W85" s="43">
        <v>13335</v>
      </c>
      <c r="X85" s="5">
        <v>8807</v>
      </c>
      <c r="Y85" s="5">
        <v>7029</v>
      </c>
      <c r="Z85" s="5">
        <f t="shared" si="135"/>
        <v>17398</v>
      </c>
      <c r="AA85" s="43">
        <v>21842</v>
      </c>
      <c r="AB85" s="5">
        <v>18117</v>
      </c>
      <c r="AC85" s="5">
        <v>24818</v>
      </c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>
        <v>12184</v>
      </c>
      <c r="BA85" s="5">
        <v>13301</v>
      </c>
      <c r="BB85" s="5">
        <v>17398</v>
      </c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</row>
    <row r="86" spans="1:86" x14ac:dyDescent="0.35">
      <c r="A86" s="5"/>
      <c r="B86" s="5" t="s">
        <v>75</v>
      </c>
      <c r="C86" s="5"/>
      <c r="D86" s="5"/>
      <c r="E86" s="43"/>
      <c r="F86" s="5"/>
      <c r="G86" s="5"/>
      <c r="H86" s="5"/>
      <c r="I86" s="5"/>
      <c r="J86" s="5"/>
      <c r="K86" s="5"/>
      <c r="L86" s="5"/>
      <c r="M86" s="5"/>
      <c r="N86" s="5"/>
      <c r="O86" s="43"/>
      <c r="P86" s="5"/>
      <c r="Q86" s="5"/>
      <c r="R86" s="5">
        <v>35782</v>
      </c>
      <c r="S86" s="43"/>
      <c r="T86" s="5"/>
      <c r="U86" s="5">
        <v>43131</v>
      </c>
      <c r="V86" s="5">
        <v>666</v>
      </c>
      <c r="W86" s="43">
        <v>70677</v>
      </c>
      <c r="X86" s="5">
        <v>76605</v>
      </c>
      <c r="Y86" s="5">
        <v>655</v>
      </c>
      <c r="Z86" s="5">
        <f t="shared" si="135"/>
        <v>658</v>
      </c>
      <c r="AA86" s="43">
        <v>658</v>
      </c>
      <c r="AB86" s="5">
        <v>653</v>
      </c>
      <c r="AC86" s="5">
        <v>652</v>
      </c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>
        <v>35782</v>
      </c>
      <c r="BA86" s="5">
        <v>60953</v>
      </c>
      <c r="BB86" s="5">
        <v>658</v>
      </c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</row>
    <row r="87" spans="1:86" s="13" customFormat="1" x14ac:dyDescent="0.35">
      <c r="A87" s="16"/>
      <c r="B87" s="16" t="s">
        <v>76</v>
      </c>
      <c r="C87" s="16"/>
      <c r="D87" s="16"/>
      <c r="E87" s="44"/>
      <c r="F87" s="16"/>
      <c r="G87" s="16"/>
      <c r="H87" s="16"/>
      <c r="I87" s="16"/>
      <c r="J87" s="16"/>
      <c r="K87" s="16"/>
      <c r="L87" s="16"/>
      <c r="M87" s="16"/>
      <c r="N87" s="16"/>
      <c r="O87" s="44"/>
      <c r="P87" s="16"/>
      <c r="Q87" s="16"/>
      <c r="R87" s="16">
        <v>29915</v>
      </c>
      <c r="S87" s="44"/>
      <c r="T87" s="16"/>
      <c r="U87" s="16">
        <v>0</v>
      </c>
      <c r="V87" s="16">
        <v>0</v>
      </c>
      <c r="W87" s="44">
        <v>0</v>
      </c>
      <c r="X87" s="16">
        <v>29259</v>
      </c>
      <c r="Y87" s="16">
        <v>29259</v>
      </c>
      <c r="Z87" s="5">
        <f t="shared" si="135"/>
        <v>0</v>
      </c>
      <c r="AA87" s="44">
        <v>0</v>
      </c>
      <c r="AB87" s="16">
        <v>0</v>
      </c>
      <c r="AC87" s="16">
        <v>0</v>
      </c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>
        <v>29915</v>
      </c>
      <c r="BA87" s="16">
        <v>0</v>
      </c>
      <c r="BB87" s="16">
        <v>0</v>
      </c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</row>
    <row r="88" spans="1:86" s="15" customFormat="1" x14ac:dyDescent="0.35">
      <c r="A88" s="17"/>
      <c r="B88" s="17" t="s">
        <v>77</v>
      </c>
      <c r="C88" s="17"/>
      <c r="D88" s="17"/>
      <c r="E88" s="45"/>
      <c r="F88" s="17"/>
      <c r="G88" s="17"/>
      <c r="H88" s="17"/>
      <c r="I88" s="17"/>
      <c r="J88" s="17"/>
      <c r="K88" s="17"/>
      <c r="L88" s="17"/>
      <c r="M88" s="17"/>
      <c r="N88" s="17"/>
      <c r="O88" s="45">
        <f t="shared" ref="O88:U88" si="136">SUM(O81:O87)</f>
        <v>0</v>
      </c>
      <c r="P88" s="17">
        <f t="shared" si="136"/>
        <v>0</v>
      </c>
      <c r="Q88" s="17">
        <f t="shared" si="136"/>
        <v>0</v>
      </c>
      <c r="R88" s="17">
        <f t="shared" si="136"/>
        <v>183626</v>
      </c>
      <c r="S88" s="45">
        <f t="shared" si="136"/>
        <v>0</v>
      </c>
      <c r="T88" s="17">
        <f t="shared" si="136"/>
        <v>0</v>
      </c>
      <c r="U88" s="17">
        <f t="shared" si="136"/>
        <v>153612</v>
      </c>
      <c r="V88" s="17">
        <f>SUM(V81:V87)</f>
        <v>175594</v>
      </c>
      <c r="W88" s="45">
        <f>SUM(W81:W87)</f>
        <v>181390</v>
      </c>
      <c r="X88" s="17">
        <f>SUM(X81:X87)</f>
        <v>226261</v>
      </c>
      <c r="Y88" s="17">
        <f>SUM(Y81:Y87)</f>
        <v>231835</v>
      </c>
      <c r="Z88" s="17">
        <f t="shared" ref="Z88:AD88" si="137">SUM(Z81:Z87)</f>
        <v>252409</v>
      </c>
      <c r="AA88" s="45">
        <f t="shared" si="137"/>
        <v>277753</v>
      </c>
      <c r="AB88" s="17">
        <f t="shared" si="137"/>
        <v>292710</v>
      </c>
      <c r="AC88" s="17">
        <f t="shared" si="137"/>
        <v>336391</v>
      </c>
      <c r="AD88" s="17">
        <f t="shared" si="137"/>
        <v>0</v>
      </c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>
        <f t="shared" ref="AR88:BA88" si="138">SUM(AR81:AR87)</f>
        <v>0</v>
      </c>
      <c r="AS88" s="17">
        <f t="shared" si="138"/>
        <v>0</v>
      </c>
      <c r="AT88" s="17">
        <f t="shared" si="138"/>
        <v>0</v>
      </c>
      <c r="AU88" s="17">
        <f t="shared" si="138"/>
        <v>0</v>
      </c>
      <c r="AV88" s="17">
        <f t="shared" si="138"/>
        <v>0</v>
      </c>
      <c r="AW88" s="17">
        <f t="shared" si="138"/>
        <v>0</v>
      </c>
      <c r="AX88" s="17">
        <f t="shared" si="138"/>
        <v>0</v>
      </c>
      <c r="AY88" s="17">
        <f t="shared" si="138"/>
        <v>0</v>
      </c>
      <c r="AZ88" s="17">
        <f t="shared" si="138"/>
        <v>183626</v>
      </c>
      <c r="BA88" s="17">
        <f t="shared" si="138"/>
        <v>175594</v>
      </c>
      <c r="BB88" s="17">
        <f t="shared" ref="BB88" si="139">SUM(BB81:BB87)</f>
        <v>252409</v>
      </c>
      <c r="BC88" s="17">
        <f t="shared" ref="BC88" si="140">SUM(BC81:BC87)</f>
        <v>0</v>
      </c>
      <c r="BD88" s="17">
        <f t="shared" ref="BD88" si="141">SUM(BD81:BD87)</f>
        <v>0</v>
      </c>
      <c r="BE88" s="17">
        <f t="shared" ref="BE88" si="142">SUM(BE81:BE87)</f>
        <v>0</v>
      </c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</row>
    <row r="89" spans="1:86" s="12" customFormat="1" x14ac:dyDescent="0.35">
      <c r="A89" s="18"/>
      <c r="B89" s="18" t="s">
        <v>78</v>
      </c>
      <c r="C89" s="18"/>
      <c r="D89" s="18"/>
      <c r="E89" s="48"/>
      <c r="F89" s="18"/>
      <c r="G89" s="18"/>
      <c r="H89" s="18"/>
      <c r="I89" s="18"/>
      <c r="J89" s="18"/>
      <c r="K89" s="18"/>
      <c r="L89" s="18"/>
      <c r="M89" s="18"/>
      <c r="N89" s="18"/>
      <c r="O89" s="48"/>
      <c r="P89" s="18"/>
      <c r="Q89" s="18"/>
      <c r="R89" s="18"/>
      <c r="S89" s="48"/>
      <c r="T89" s="18"/>
      <c r="U89" s="18"/>
      <c r="V89" s="18"/>
      <c r="W89" s="48"/>
      <c r="X89" s="18"/>
      <c r="Y89" s="18"/>
      <c r="Z89" s="18"/>
      <c r="AA89" s="4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</row>
    <row r="90" spans="1:86" x14ac:dyDescent="0.35">
      <c r="A90" s="5"/>
      <c r="B90" s="5" t="s">
        <v>79</v>
      </c>
      <c r="C90" s="5"/>
      <c r="D90" s="5"/>
      <c r="E90" s="43"/>
      <c r="F90" s="5"/>
      <c r="G90" s="5"/>
      <c r="H90" s="5"/>
      <c r="I90" s="5"/>
      <c r="J90" s="5"/>
      <c r="K90" s="5"/>
      <c r="L90" s="5"/>
      <c r="M90" s="5"/>
      <c r="N90" s="5"/>
      <c r="O90" s="43"/>
      <c r="P90" s="5"/>
      <c r="Q90" s="5"/>
      <c r="R90" s="5">
        <v>21792</v>
      </c>
      <c r="S90" s="43"/>
      <c r="T90" s="5"/>
      <c r="U90" s="5">
        <v>0</v>
      </c>
      <c r="V90" s="5">
        <v>0</v>
      </c>
      <c r="W90" s="43">
        <v>0</v>
      </c>
      <c r="X90" s="5">
        <v>0</v>
      </c>
      <c r="Y90" s="5">
        <v>43888</v>
      </c>
      <c r="Z90" s="5">
        <f t="shared" ref="Z90:Z96" si="143">BB90</f>
        <v>0</v>
      </c>
      <c r="AA90" s="43">
        <v>0</v>
      </c>
      <c r="AB90" s="5">
        <v>0</v>
      </c>
      <c r="AC90" s="5">
        <v>0</v>
      </c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>
        <v>21792</v>
      </c>
      <c r="BA90" s="5">
        <v>0</v>
      </c>
      <c r="BB90" s="5">
        <v>0</v>
      </c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</row>
    <row r="91" spans="1:86" x14ac:dyDescent="0.35">
      <c r="A91" s="5"/>
      <c r="B91" s="5" t="s">
        <v>422</v>
      </c>
      <c r="C91" s="5"/>
      <c r="D91" s="5"/>
      <c r="E91" s="43"/>
      <c r="F91" s="5"/>
      <c r="G91" s="5"/>
      <c r="H91" s="5"/>
      <c r="I91" s="5"/>
      <c r="J91" s="5"/>
      <c r="K91" s="5"/>
      <c r="L91" s="5"/>
      <c r="M91" s="5"/>
      <c r="N91" s="5"/>
      <c r="O91" s="43"/>
      <c r="P91" s="5"/>
      <c r="Q91" s="5"/>
      <c r="R91" s="5">
        <v>0</v>
      </c>
      <c r="S91" s="43"/>
      <c r="T91" s="5"/>
      <c r="U91" s="5">
        <v>0</v>
      </c>
      <c r="V91" s="5">
        <v>0</v>
      </c>
      <c r="W91" s="43">
        <v>0</v>
      </c>
      <c r="X91" s="5">
        <v>0</v>
      </c>
      <c r="Y91" s="5">
        <v>0</v>
      </c>
      <c r="Z91" s="5">
        <f t="shared" si="143"/>
        <v>28997</v>
      </c>
      <c r="AA91" s="43">
        <v>43888</v>
      </c>
      <c r="AB91" s="5">
        <v>31029</v>
      </c>
      <c r="AC91" s="5">
        <v>43888</v>
      </c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>
        <v>0</v>
      </c>
      <c r="BA91" s="5">
        <v>0</v>
      </c>
      <c r="BB91" s="5">
        <v>28997</v>
      </c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</row>
    <row r="92" spans="1:86" x14ac:dyDescent="0.35">
      <c r="A92" s="5"/>
      <c r="B92" s="5" t="s">
        <v>80</v>
      </c>
      <c r="C92" s="5"/>
      <c r="D92" s="5"/>
      <c r="E92" s="43"/>
      <c r="F92" s="5"/>
      <c r="G92" s="5"/>
      <c r="H92" s="5"/>
      <c r="I92" s="5"/>
      <c r="J92" s="5"/>
      <c r="K92" s="5"/>
      <c r="L92" s="5"/>
      <c r="M92" s="5"/>
      <c r="N92" s="5"/>
      <c r="O92" s="43"/>
      <c r="P92" s="5"/>
      <c r="Q92" s="5"/>
      <c r="R92" s="5">
        <v>73147</v>
      </c>
      <c r="S92" s="43"/>
      <c r="T92" s="5"/>
      <c r="U92" s="5">
        <v>73147</v>
      </c>
      <c r="V92" s="5">
        <v>73147</v>
      </c>
      <c r="W92" s="43">
        <v>73147</v>
      </c>
      <c r="X92" s="5">
        <v>43888</v>
      </c>
      <c r="Y92" s="5">
        <v>37956</v>
      </c>
      <c r="Z92" s="5">
        <f t="shared" si="143"/>
        <v>43888</v>
      </c>
      <c r="AA92" s="43">
        <v>29122</v>
      </c>
      <c r="AB92" s="5">
        <v>43888</v>
      </c>
      <c r="AC92" s="5">
        <v>30839</v>
      </c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>
        <v>73147</v>
      </c>
      <c r="BA92" s="5">
        <v>73147</v>
      </c>
      <c r="BB92" s="5">
        <v>43888</v>
      </c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</row>
    <row r="93" spans="1:86" x14ac:dyDescent="0.35">
      <c r="A93" s="5"/>
      <c r="B93" s="5" t="s">
        <v>81</v>
      </c>
      <c r="C93" s="5"/>
      <c r="D93" s="5"/>
      <c r="E93" s="43"/>
      <c r="F93" s="5"/>
      <c r="G93" s="5"/>
      <c r="H93" s="5"/>
      <c r="I93" s="5"/>
      <c r="J93" s="5"/>
      <c r="K93" s="5"/>
      <c r="L93" s="5"/>
      <c r="M93" s="5"/>
      <c r="N93" s="5"/>
      <c r="O93" s="43"/>
      <c r="P93" s="5"/>
      <c r="Q93" s="5"/>
      <c r="R93" s="5">
        <v>0</v>
      </c>
      <c r="S93" s="43"/>
      <c r="T93" s="5"/>
      <c r="U93" s="5">
        <v>2461</v>
      </c>
      <c r="V93" s="5">
        <v>1105</v>
      </c>
      <c r="W93" s="43">
        <v>1540</v>
      </c>
      <c r="X93" s="5">
        <v>285</v>
      </c>
      <c r="Y93" s="5">
        <v>184</v>
      </c>
      <c r="Z93" s="5">
        <f t="shared" si="143"/>
        <v>126</v>
      </c>
      <c r="AA93" s="43">
        <v>109</v>
      </c>
      <c r="AB93" s="5">
        <v>109</v>
      </c>
      <c r="AC93" s="5">
        <v>151</v>
      </c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>
        <v>0</v>
      </c>
      <c r="BA93" s="5">
        <v>1105</v>
      </c>
      <c r="BB93" s="5">
        <v>126</v>
      </c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</row>
    <row r="94" spans="1:86" x14ac:dyDescent="0.35">
      <c r="A94" s="5"/>
      <c r="B94" s="5" t="s">
        <v>82</v>
      </c>
      <c r="C94" s="5"/>
      <c r="D94" s="5"/>
      <c r="E94" s="43"/>
      <c r="F94" s="5"/>
      <c r="G94" s="5"/>
      <c r="H94" s="5"/>
      <c r="I94" s="5"/>
      <c r="J94" s="5"/>
      <c r="K94" s="5"/>
      <c r="L94" s="5"/>
      <c r="M94" s="5"/>
      <c r="N94" s="5"/>
      <c r="O94" s="43"/>
      <c r="P94" s="5"/>
      <c r="Q94" s="5"/>
      <c r="R94" s="5">
        <v>0</v>
      </c>
      <c r="S94" s="43"/>
      <c r="T94" s="5"/>
      <c r="U94" s="5">
        <v>8841</v>
      </c>
      <c r="V94" s="5">
        <v>18925</v>
      </c>
      <c r="W94" s="43">
        <v>32884</v>
      </c>
      <c r="X94" s="5">
        <v>99</v>
      </c>
      <c r="Y94" s="5">
        <v>115</v>
      </c>
      <c r="Z94" s="5">
        <f t="shared" si="143"/>
        <v>131</v>
      </c>
      <c r="AA94" s="43">
        <v>138</v>
      </c>
      <c r="AB94" s="5">
        <v>170</v>
      </c>
      <c r="AC94" s="5">
        <v>187</v>
      </c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>
        <v>0</v>
      </c>
      <c r="BA94" s="5">
        <v>18925</v>
      </c>
      <c r="BB94" s="5">
        <v>131</v>
      </c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</row>
    <row r="95" spans="1:86" x14ac:dyDescent="0.35">
      <c r="A95" s="5"/>
      <c r="B95" s="5" t="s">
        <v>83</v>
      </c>
      <c r="C95" s="5"/>
      <c r="D95" s="5"/>
      <c r="E95" s="43"/>
      <c r="F95" s="5"/>
      <c r="G95" s="5"/>
      <c r="H95" s="5"/>
      <c r="I95" s="5"/>
      <c r="J95" s="5"/>
      <c r="K95" s="5"/>
      <c r="L95" s="5"/>
      <c r="M95" s="5"/>
      <c r="N95" s="5"/>
      <c r="O95" s="43"/>
      <c r="P95" s="5"/>
      <c r="Q95" s="5"/>
      <c r="R95" s="5">
        <v>0</v>
      </c>
      <c r="S95" s="43"/>
      <c r="T95" s="5"/>
      <c r="U95" s="5">
        <v>0</v>
      </c>
      <c r="V95" s="5">
        <v>0</v>
      </c>
      <c r="W95" s="43">
        <v>16146</v>
      </c>
      <c r="X95" s="5">
        <v>14936</v>
      </c>
      <c r="Y95" s="5">
        <v>13530</v>
      </c>
      <c r="Z95" s="5">
        <f t="shared" si="143"/>
        <v>14347</v>
      </c>
      <c r="AA95" s="43">
        <v>15825</v>
      </c>
      <c r="AB95" s="5">
        <v>18003</v>
      </c>
      <c r="AC95" s="5">
        <v>16951</v>
      </c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>
        <v>0</v>
      </c>
      <c r="BA95" s="5">
        <v>0</v>
      </c>
      <c r="BB95" s="5">
        <v>14347</v>
      </c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</row>
    <row r="96" spans="1:86" s="13" customFormat="1" x14ac:dyDescent="0.35">
      <c r="A96" s="16"/>
      <c r="B96" s="16" t="s">
        <v>84</v>
      </c>
      <c r="C96" s="16"/>
      <c r="D96" s="16"/>
      <c r="E96" s="44"/>
      <c r="F96" s="16"/>
      <c r="G96" s="16"/>
      <c r="H96" s="16"/>
      <c r="I96" s="16"/>
      <c r="J96" s="16"/>
      <c r="K96" s="16"/>
      <c r="L96" s="16"/>
      <c r="M96" s="16"/>
      <c r="N96" s="16"/>
      <c r="O96" s="44"/>
      <c r="P96" s="16"/>
      <c r="Q96" s="16"/>
      <c r="R96" s="16">
        <v>110597</v>
      </c>
      <c r="S96" s="44"/>
      <c r="T96" s="16"/>
      <c r="U96" s="16">
        <v>35511</v>
      </c>
      <c r="V96" s="16">
        <v>39822</v>
      </c>
      <c r="W96" s="44">
        <v>36233</v>
      </c>
      <c r="X96" s="16">
        <v>32171</v>
      </c>
      <c r="Y96" s="16">
        <v>29564</v>
      </c>
      <c r="Z96" s="5">
        <f t="shared" si="143"/>
        <v>32082</v>
      </c>
      <c r="AA96" s="44">
        <v>31317</v>
      </c>
      <c r="AB96" s="16">
        <v>32046</v>
      </c>
      <c r="AC96" s="16">
        <v>20817</v>
      </c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>
        <v>110597</v>
      </c>
      <c r="BA96" s="16">
        <v>39822</v>
      </c>
      <c r="BB96" s="16">
        <v>32082</v>
      </c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</row>
    <row r="97" spans="1:86" s="26" customFormat="1" x14ac:dyDescent="0.35">
      <c r="A97" s="25"/>
      <c r="B97" s="25" t="s">
        <v>85</v>
      </c>
      <c r="C97" s="25"/>
      <c r="D97" s="25"/>
      <c r="E97" s="51"/>
      <c r="F97" s="25"/>
      <c r="G97" s="25"/>
      <c r="H97" s="25"/>
      <c r="I97" s="25"/>
      <c r="J97" s="25"/>
      <c r="K97" s="25"/>
      <c r="L97" s="25"/>
      <c r="M97" s="25"/>
      <c r="N97" s="25"/>
      <c r="O97" s="51">
        <f t="shared" ref="O97:Y97" si="144">SUM(O90:O96)</f>
        <v>0</v>
      </c>
      <c r="P97" s="25">
        <f t="shared" si="144"/>
        <v>0</v>
      </c>
      <c r="Q97" s="25">
        <f t="shared" si="144"/>
        <v>0</v>
      </c>
      <c r="R97" s="25">
        <f t="shared" si="144"/>
        <v>205536</v>
      </c>
      <c r="S97" s="51">
        <f t="shared" si="144"/>
        <v>0</v>
      </c>
      <c r="T97" s="25">
        <f t="shared" si="144"/>
        <v>0</v>
      </c>
      <c r="U97" s="25">
        <f t="shared" si="144"/>
        <v>119960</v>
      </c>
      <c r="V97" s="25">
        <f t="shared" si="144"/>
        <v>132999</v>
      </c>
      <c r="W97" s="51">
        <f t="shared" si="144"/>
        <v>159950</v>
      </c>
      <c r="X97" s="25">
        <f t="shared" si="144"/>
        <v>91379</v>
      </c>
      <c r="Y97" s="25">
        <f t="shared" si="144"/>
        <v>125237</v>
      </c>
      <c r="Z97" s="25">
        <f t="shared" ref="Z97" si="145">SUM(Z90:Z96)</f>
        <v>119571</v>
      </c>
      <c r="AA97" s="51">
        <f t="shared" ref="AA97:AB97" si="146">SUM(AA90:AA96)</f>
        <v>120399</v>
      </c>
      <c r="AB97" s="25">
        <f t="shared" si="146"/>
        <v>125245</v>
      </c>
      <c r="AC97" s="25">
        <f t="shared" ref="AC97" si="147">SUM(AC90:AC96)</f>
        <v>112833</v>
      </c>
      <c r="AD97" s="25">
        <f t="shared" ref="AD97" si="148">SUM(AD90:AD96)</f>
        <v>0</v>
      </c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>
        <f t="shared" ref="AR97:BA97" si="149">SUM(AR90:AR96)</f>
        <v>0</v>
      </c>
      <c r="AS97" s="25">
        <f t="shared" si="149"/>
        <v>0</v>
      </c>
      <c r="AT97" s="25">
        <f t="shared" si="149"/>
        <v>0</v>
      </c>
      <c r="AU97" s="25">
        <f t="shared" si="149"/>
        <v>0</v>
      </c>
      <c r="AV97" s="25">
        <f t="shared" si="149"/>
        <v>0</v>
      </c>
      <c r="AW97" s="25">
        <f t="shared" si="149"/>
        <v>0</v>
      </c>
      <c r="AX97" s="25">
        <f t="shared" si="149"/>
        <v>0</v>
      </c>
      <c r="AY97" s="25">
        <f t="shared" si="149"/>
        <v>0</v>
      </c>
      <c r="AZ97" s="25">
        <f t="shared" si="149"/>
        <v>205536</v>
      </c>
      <c r="BA97" s="25">
        <f t="shared" si="149"/>
        <v>132999</v>
      </c>
      <c r="BB97" s="25">
        <f t="shared" ref="BB97" si="150">SUM(BB90:BB96)</f>
        <v>119571</v>
      </c>
      <c r="BC97" s="25">
        <f t="shared" ref="BC97" si="151">SUM(BC90:BC96)</f>
        <v>0</v>
      </c>
      <c r="BD97" s="25">
        <f t="shared" ref="BD97" si="152">SUM(BD90:BD96)</f>
        <v>0</v>
      </c>
      <c r="BE97" s="25">
        <f t="shared" ref="BE97" si="153">SUM(BE90:BE96)</f>
        <v>0</v>
      </c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</row>
    <row r="98" spans="1:86" s="15" customFormat="1" x14ac:dyDescent="0.35">
      <c r="A98" s="17"/>
      <c r="B98" s="17" t="s">
        <v>86</v>
      </c>
      <c r="C98" s="17"/>
      <c r="D98" s="17"/>
      <c r="E98" s="45"/>
      <c r="F98" s="17"/>
      <c r="G98" s="17"/>
      <c r="H98" s="17"/>
      <c r="I98" s="17"/>
      <c r="J98" s="17"/>
      <c r="K98" s="17"/>
      <c r="L98" s="17"/>
      <c r="M98" s="17"/>
      <c r="N98" s="17"/>
      <c r="O98" s="45">
        <f t="shared" ref="O98:Y98" si="154">O97+O88</f>
        <v>0</v>
      </c>
      <c r="P98" s="17">
        <f t="shared" si="154"/>
        <v>0</v>
      </c>
      <c r="Q98" s="17">
        <f t="shared" si="154"/>
        <v>0</v>
      </c>
      <c r="R98" s="17">
        <f t="shared" si="154"/>
        <v>389162</v>
      </c>
      <c r="S98" s="45">
        <f t="shared" si="154"/>
        <v>0</v>
      </c>
      <c r="T98" s="17">
        <f t="shared" si="154"/>
        <v>0</v>
      </c>
      <c r="U98" s="17">
        <f t="shared" si="154"/>
        <v>273572</v>
      </c>
      <c r="V98" s="17">
        <f t="shared" si="154"/>
        <v>308593</v>
      </c>
      <c r="W98" s="45">
        <f t="shared" si="154"/>
        <v>341340</v>
      </c>
      <c r="X98" s="17">
        <f t="shared" si="154"/>
        <v>317640</v>
      </c>
      <c r="Y98" s="17">
        <f t="shared" si="154"/>
        <v>357072</v>
      </c>
      <c r="Z98" s="17">
        <f t="shared" ref="Z98" si="155">Z97+Z88</f>
        <v>371980</v>
      </c>
      <c r="AA98" s="45">
        <f t="shared" ref="AA98:AB98" si="156">AA97+AA88</f>
        <v>398152</v>
      </c>
      <c r="AB98" s="17">
        <f t="shared" si="156"/>
        <v>417955</v>
      </c>
      <c r="AC98" s="17">
        <f t="shared" ref="AC98" si="157">AC97+AC88</f>
        <v>449224</v>
      </c>
      <c r="AD98" s="17">
        <f t="shared" ref="AD98" si="158">AD97+AD88</f>
        <v>0</v>
      </c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>
        <f t="shared" ref="AR98:BA98" si="159">AR97+AR88</f>
        <v>0</v>
      </c>
      <c r="AS98" s="17">
        <f t="shared" si="159"/>
        <v>0</v>
      </c>
      <c r="AT98" s="17">
        <f t="shared" si="159"/>
        <v>0</v>
      </c>
      <c r="AU98" s="17">
        <f t="shared" si="159"/>
        <v>0</v>
      </c>
      <c r="AV98" s="17">
        <f t="shared" si="159"/>
        <v>0</v>
      </c>
      <c r="AW98" s="17">
        <f t="shared" si="159"/>
        <v>0</v>
      </c>
      <c r="AX98" s="17">
        <f t="shared" si="159"/>
        <v>0</v>
      </c>
      <c r="AY98" s="17">
        <f t="shared" si="159"/>
        <v>0</v>
      </c>
      <c r="AZ98" s="17">
        <f t="shared" si="159"/>
        <v>389162</v>
      </c>
      <c r="BA98" s="17">
        <f t="shared" si="159"/>
        <v>308593</v>
      </c>
      <c r="BB98" s="17">
        <f t="shared" ref="BB98" si="160">BB97+BB88</f>
        <v>371980</v>
      </c>
      <c r="BC98" s="17">
        <f t="shared" ref="BC98" si="161">BC97+BC88</f>
        <v>0</v>
      </c>
      <c r="BD98" s="17">
        <f t="shared" ref="BD98" si="162">BD97+BD88</f>
        <v>0</v>
      </c>
      <c r="BE98" s="17">
        <f t="shared" ref="BE98" si="163">BE97+BE88</f>
        <v>0</v>
      </c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</row>
    <row r="99" spans="1:86" s="12" customFormat="1" x14ac:dyDescent="0.35">
      <c r="A99" s="18"/>
      <c r="B99" s="18" t="s">
        <v>87</v>
      </c>
      <c r="C99" s="18"/>
      <c r="D99" s="18"/>
      <c r="E99" s="48"/>
      <c r="F99" s="18"/>
      <c r="G99" s="18"/>
      <c r="H99" s="18"/>
      <c r="I99" s="18"/>
      <c r="J99" s="18"/>
      <c r="K99" s="18"/>
      <c r="L99" s="18"/>
      <c r="M99" s="18"/>
      <c r="N99" s="18"/>
      <c r="O99" s="48"/>
      <c r="P99" s="18"/>
      <c r="Q99" s="18"/>
      <c r="R99" s="18"/>
      <c r="S99" s="48"/>
      <c r="T99" s="18"/>
      <c r="U99" s="18"/>
      <c r="V99" s="18"/>
      <c r="W99" s="48"/>
      <c r="X99" s="18"/>
      <c r="Y99" s="18"/>
      <c r="Z99" s="18"/>
      <c r="AA99" s="4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</row>
    <row r="100" spans="1:86" x14ac:dyDescent="0.35">
      <c r="A100" s="5"/>
      <c r="B100" s="5" t="s">
        <v>88</v>
      </c>
      <c r="C100" s="5"/>
      <c r="D100" s="5"/>
      <c r="E100" s="43"/>
      <c r="F100" s="5"/>
      <c r="G100" s="5"/>
      <c r="H100" s="5"/>
      <c r="I100" s="5"/>
      <c r="J100" s="5"/>
      <c r="K100" s="5"/>
      <c r="L100" s="5"/>
      <c r="M100" s="5"/>
      <c r="N100" s="5"/>
      <c r="O100" s="43"/>
      <c r="P100" s="5"/>
      <c r="Q100" s="5"/>
      <c r="R100" s="5">
        <v>80581</v>
      </c>
      <c r="S100" s="43"/>
      <c r="T100" s="5"/>
      <c r="U100" s="5">
        <v>0</v>
      </c>
      <c r="V100" s="5">
        <v>0</v>
      </c>
      <c r="W100" s="43">
        <v>0</v>
      </c>
      <c r="X100" s="5">
        <v>0</v>
      </c>
      <c r="Y100" s="5">
        <v>0</v>
      </c>
      <c r="Z100" s="5">
        <f>BB100</f>
        <v>0</v>
      </c>
      <c r="AA100" s="43">
        <v>0</v>
      </c>
      <c r="AB100" s="5">
        <v>0</v>
      </c>
      <c r="AC100" s="5">
        <v>0</v>
      </c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>
        <v>80581</v>
      </c>
      <c r="BA100" s="5">
        <v>0</v>
      </c>
      <c r="BB100" s="5">
        <v>0</v>
      </c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</row>
    <row r="101" spans="1:86" x14ac:dyDescent="0.35">
      <c r="A101" s="5"/>
      <c r="B101" s="5" t="s">
        <v>89</v>
      </c>
      <c r="C101" s="5"/>
      <c r="D101" s="5"/>
      <c r="E101" s="43"/>
      <c r="F101" s="5"/>
      <c r="G101" s="5"/>
      <c r="H101" s="5"/>
      <c r="I101" s="5"/>
      <c r="J101" s="5"/>
      <c r="K101" s="5"/>
      <c r="L101" s="5"/>
      <c r="M101" s="5"/>
      <c r="N101" s="5"/>
      <c r="O101" s="43"/>
      <c r="P101" s="5"/>
      <c r="Q101" s="5"/>
      <c r="R101" s="5">
        <v>81966</v>
      </c>
      <c r="S101" s="43"/>
      <c r="T101" s="5"/>
      <c r="U101" s="5">
        <v>0</v>
      </c>
      <c r="V101" s="5">
        <v>0</v>
      </c>
      <c r="W101" s="43">
        <v>0</v>
      </c>
      <c r="X101" s="5">
        <v>0</v>
      </c>
      <c r="Y101" s="5">
        <v>0</v>
      </c>
      <c r="Z101" s="5">
        <f>BB101</f>
        <v>0</v>
      </c>
      <c r="AA101" s="43">
        <v>0</v>
      </c>
      <c r="AB101" s="5">
        <v>0</v>
      </c>
      <c r="AC101" s="5">
        <v>0</v>
      </c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>
        <v>81966</v>
      </c>
      <c r="BA101" s="5">
        <v>0</v>
      </c>
      <c r="BB101" s="5">
        <v>0</v>
      </c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</row>
    <row r="102" spans="1:86" x14ac:dyDescent="0.35">
      <c r="A102" s="5"/>
      <c r="B102" s="5" t="s">
        <v>90</v>
      </c>
      <c r="C102" s="5"/>
      <c r="D102" s="5"/>
      <c r="E102" s="43"/>
      <c r="F102" s="5"/>
      <c r="G102" s="5"/>
      <c r="H102" s="5"/>
      <c r="I102" s="5"/>
      <c r="J102" s="5"/>
      <c r="K102" s="5"/>
      <c r="L102" s="5"/>
      <c r="M102" s="5"/>
      <c r="N102" s="5"/>
      <c r="O102" s="43"/>
      <c r="P102" s="5"/>
      <c r="Q102" s="5"/>
      <c r="R102" s="5">
        <v>146583</v>
      </c>
      <c r="S102" s="43"/>
      <c r="T102" s="5"/>
      <c r="U102" s="5">
        <v>0</v>
      </c>
      <c r="V102" s="5">
        <v>0</v>
      </c>
      <c r="W102" s="43">
        <v>0</v>
      </c>
      <c r="X102" s="5">
        <v>0</v>
      </c>
      <c r="Y102" s="5">
        <v>0</v>
      </c>
      <c r="Z102" s="5">
        <f>BB102</f>
        <v>0</v>
      </c>
      <c r="AA102" s="43">
        <v>0</v>
      </c>
      <c r="AB102" s="5">
        <v>0</v>
      </c>
      <c r="AC102" s="5">
        <v>0</v>
      </c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>
        <v>146583</v>
      </c>
      <c r="BA102" s="5">
        <v>0</v>
      </c>
      <c r="BB102" s="5">
        <v>0</v>
      </c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</row>
    <row r="103" spans="1:86" s="13" customFormat="1" x14ac:dyDescent="0.35">
      <c r="A103" s="16"/>
      <c r="B103" s="16" t="s">
        <v>91</v>
      </c>
      <c r="C103" s="16"/>
      <c r="D103" s="16"/>
      <c r="E103" s="44"/>
      <c r="F103" s="16"/>
      <c r="G103" s="16"/>
      <c r="H103" s="16"/>
      <c r="I103" s="16"/>
      <c r="J103" s="16"/>
      <c r="K103" s="16"/>
      <c r="L103" s="16"/>
      <c r="M103" s="16"/>
      <c r="N103" s="16"/>
      <c r="O103" s="44"/>
      <c r="P103" s="16"/>
      <c r="Q103" s="16"/>
      <c r="R103" s="16">
        <v>90820</v>
      </c>
      <c r="S103" s="44"/>
      <c r="T103" s="16"/>
      <c r="U103" s="16">
        <v>0</v>
      </c>
      <c r="V103" s="16">
        <v>0</v>
      </c>
      <c r="W103" s="44">
        <v>0</v>
      </c>
      <c r="X103" s="16">
        <v>0</v>
      </c>
      <c r="Y103" s="16">
        <v>0</v>
      </c>
      <c r="Z103" s="16">
        <f>BB103</f>
        <v>0</v>
      </c>
      <c r="AA103" s="44">
        <v>0</v>
      </c>
      <c r="AB103" s="16">
        <v>0</v>
      </c>
      <c r="AC103" s="16">
        <v>0</v>
      </c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>
        <v>90820</v>
      </c>
      <c r="BA103" s="16">
        <v>0</v>
      </c>
      <c r="BB103" s="16">
        <v>0</v>
      </c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</row>
    <row r="104" spans="1:86" s="15" customFormat="1" x14ac:dyDescent="0.35">
      <c r="A104" s="17"/>
      <c r="B104" s="17" t="s">
        <v>92</v>
      </c>
      <c r="C104" s="17"/>
      <c r="D104" s="17"/>
      <c r="E104" s="45"/>
      <c r="F104" s="17"/>
      <c r="G104" s="17"/>
      <c r="H104" s="17"/>
      <c r="I104" s="17"/>
      <c r="J104" s="17"/>
      <c r="K104" s="17"/>
      <c r="L104" s="17"/>
      <c r="M104" s="17"/>
      <c r="N104" s="17"/>
      <c r="O104" s="45"/>
      <c r="P104" s="17"/>
      <c r="Q104" s="17"/>
      <c r="R104" s="17">
        <f>SUM(R100:R103)</f>
        <v>399950</v>
      </c>
      <c r="S104" s="45"/>
      <c r="T104" s="17"/>
      <c r="U104" s="17">
        <f>SUM(U100:U103)</f>
        <v>0</v>
      </c>
      <c r="V104" s="17">
        <f>SUM(V100:V103)</f>
        <v>0</v>
      </c>
      <c r="W104" s="45">
        <f>SUM(W100:W103)</f>
        <v>0</v>
      </c>
      <c r="X104" s="17">
        <f>SUM(X100:X103)</f>
        <v>0</v>
      </c>
      <c r="Y104" s="17">
        <f>SUM(Y100:Y103)</f>
        <v>0</v>
      </c>
      <c r="Z104" s="17">
        <f t="shared" ref="Z104:AD104" si="164">SUM(Z100:Z103)</f>
        <v>0</v>
      </c>
      <c r="AA104" s="45">
        <f t="shared" si="164"/>
        <v>0</v>
      </c>
      <c r="AB104" s="17">
        <f t="shared" si="164"/>
        <v>0</v>
      </c>
      <c r="AC104" s="17">
        <f t="shared" si="164"/>
        <v>0</v>
      </c>
      <c r="AD104" s="17">
        <f t="shared" si="164"/>
        <v>0</v>
      </c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>
        <f t="shared" ref="AR104:BA104" si="165">SUM(AR100:AR103)</f>
        <v>0</v>
      </c>
      <c r="AS104" s="17">
        <f t="shared" si="165"/>
        <v>0</v>
      </c>
      <c r="AT104" s="17">
        <f t="shared" si="165"/>
        <v>0</v>
      </c>
      <c r="AU104" s="17">
        <f t="shared" si="165"/>
        <v>0</v>
      </c>
      <c r="AV104" s="17">
        <f t="shared" si="165"/>
        <v>0</v>
      </c>
      <c r="AW104" s="17">
        <f t="shared" si="165"/>
        <v>0</v>
      </c>
      <c r="AX104" s="17">
        <f t="shared" si="165"/>
        <v>0</v>
      </c>
      <c r="AY104" s="17">
        <f t="shared" si="165"/>
        <v>0</v>
      </c>
      <c r="AZ104" s="17">
        <f t="shared" si="165"/>
        <v>399950</v>
      </c>
      <c r="BA104" s="17">
        <f t="shared" si="165"/>
        <v>0</v>
      </c>
      <c r="BB104" s="17">
        <f t="shared" ref="BB104" si="166">SUM(BB100:BB103)</f>
        <v>0</v>
      </c>
      <c r="BC104" s="17">
        <f t="shared" ref="BC104" si="167">SUM(BC100:BC103)</f>
        <v>0</v>
      </c>
      <c r="BD104" s="17">
        <f t="shared" ref="BD104" si="168">SUM(BD100:BD103)</f>
        <v>0</v>
      </c>
      <c r="BE104" s="17">
        <f t="shared" ref="BE104" si="169">SUM(BE100:BE103)</f>
        <v>0</v>
      </c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</row>
    <row r="105" spans="1:86" s="11" customFormat="1" x14ac:dyDescent="0.35">
      <c r="A105" s="23"/>
      <c r="B105" s="27" t="s">
        <v>93</v>
      </c>
      <c r="C105" s="23"/>
      <c r="D105" s="23"/>
      <c r="E105" s="52"/>
      <c r="F105" s="23"/>
      <c r="G105" s="23"/>
      <c r="H105" s="23"/>
      <c r="I105" s="23"/>
      <c r="J105" s="23"/>
      <c r="K105" s="23"/>
      <c r="L105" s="23"/>
      <c r="M105" s="23"/>
      <c r="N105" s="23"/>
      <c r="O105" s="52"/>
      <c r="P105" s="23"/>
      <c r="Q105" s="23"/>
      <c r="R105" s="23"/>
      <c r="S105" s="52"/>
      <c r="T105" s="23"/>
      <c r="U105" s="23"/>
      <c r="V105" s="23"/>
      <c r="W105" s="52"/>
      <c r="X105" s="23"/>
      <c r="Y105" s="23"/>
      <c r="Z105" s="23"/>
      <c r="AA105" s="52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</row>
    <row r="106" spans="1:86" x14ac:dyDescent="0.35">
      <c r="A106" s="5"/>
      <c r="B106" s="5" t="s">
        <v>94</v>
      </c>
      <c r="C106" s="5"/>
      <c r="D106" s="5"/>
      <c r="E106" s="43"/>
      <c r="F106" s="5"/>
      <c r="G106" s="5"/>
      <c r="H106" s="5"/>
      <c r="I106" s="5"/>
      <c r="J106" s="5"/>
      <c r="K106" s="5"/>
      <c r="L106" s="5"/>
      <c r="M106" s="5"/>
      <c r="N106" s="5"/>
      <c r="O106" s="43"/>
      <c r="P106" s="5"/>
      <c r="Q106" s="5"/>
      <c r="R106" s="5">
        <v>6</v>
      </c>
      <c r="S106" s="43"/>
      <c r="T106" s="5"/>
      <c r="U106" s="5">
        <v>30</v>
      </c>
      <c r="V106" s="5">
        <v>30</v>
      </c>
      <c r="W106" s="43">
        <v>30</v>
      </c>
      <c r="X106" s="5">
        <v>30</v>
      </c>
      <c r="Y106" s="5">
        <v>31</v>
      </c>
      <c r="Z106" s="5">
        <f>BB106</f>
        <v>31</v>
      </c>
      <c r="AA106" s="43">
        <v>31</v>
      </c>
      <c r="AB106" s="5">
        <v>31</v>
      </c>
      <c r="AC106" s="5">
        <v>32</v>
      </c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>
        <v>6</v>
      </c>
      <c r="BA106" s="5">
        <v>30</v>
      </c>
      <c r="BB106" s="5">
        <v>31</v>
      </c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</row>
    <row r="107" spans="1:86" x14ac:dyDescent="0.35">
      <c r="A107" s="5"/>
      <c r="B107" s="5" t="s">
        <v>95</v>
      </c>
      <c r="C107" s="5"/>
      <c r="D107" s="5"/>
      <c r="E107" s="43"/>
      <c r="F107" s="5"/>
      <c r="G107" s="5"/>
      <c r="H107" s="5"/>
      <c r="I107" s="5"/>
      <c r="J107" s="5"/>
      <c r="K107" s="5"/>
      <c r="L107" s="5"/>
      <c r="M107" s="5"/>
      <c r="N107" s="5"/>
      <c r="O107" s="43"/>
      <c r="P107" s="5"/>
      <c r="Q107" s="5"/>
      <c r="R107" s="5">
        <v>0</v>
      </c>
      <c r="S107" s="43"/>
      <c r="T107" s="5"/>
      <c r="U107" s="5">
        <v>1291199</v>
      </c>
      <c r="V107" s="5">
        <v>1306034</v>
      </c>
      <c r="W107" s="43">
        <v>1320367</v>
      </c>
      <c r="X107" s="5">
        <v>1378774</v>
      </c>
      <c r="Y107" s="5">
        <v>1398171</v>
      </c>
      <c r="Z107" s="5">
        <f>BB107</f>
        <v>1416160</v>
      </c>
      <c r="AA107" s="43">
        <v>1434221</v>
      </c>
      <c r="AB107" s="5">
        <v>1452189</v>
      </c>
      <c r="AC107" s="5">
        <v>1468173</v>
      </c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>
        <v>0</v>
      </c>
      <c r="BA107" s="5">
        <v>1306034</v>
      </c>
      <c r="BB107" s="5">
        <v>1416160</v>
      </c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</row>
    <row r="108" spans="1:86" x14ac:dyDescent="0.35">
      <c r="A108" s="5"/>
      <c r="B108" s="5" t="s">
        <v>96</v>
      </c>
      <c r="C108" s="5"/>
      <c r="D108" s="5"/>
      <c r="E108" s="43"/>
      <c r="F108" s="5"/>
      <c r="G108" s="5"/>
      <c r="H108" s="5"/>
      <c r="I108" s="5"/>
      <c r="J108" s="5"/>
      <c r="K108" s="5"/>
      <c r="L108" s="5"/>
      <c r="M108" s="5"/>
      <c r="N108" s="5"/>
      <c r="O108" s="43"/>
      <c r="P108" s="5"/>
      <c r="Q108" s="5"/>
      <c r="R108" s="5">
        <v>6032</v>
      </c>
      <c r="S108" s="43"/>
      <c r="T108" s="5"/>
      <c r="U108" s="5">
        <v>6032</v>
      </c>
      <c r="V108" s="5">
        <v>6032</v>
      </c>
      <c r="W108" s="43">
        <v>6032</v>
      </c>
      <c r="X108" s="5">
        <v>6032</v>
      </c>
      <c r="Y108" s="5">
        <v>6032</v>
      </c>
      <c r="Z108" s="5">
        <f>BB108</f>
        <v>6032</v>
      </c>
      <c r="AA108" s="43">
        <v>6032</v>
      </c>
      <c r="AB108" s="5">
        <v>6032</v>
      </c>
      <c r="AC108" s="5">
        <v>6032</v>
      </c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>
        <v>6032</v>
      </c>
      <c r="BA108" s="5">
        <v>6032</v>
      </c>
      <c r="BB108" s="5">
        <v>6032</v>
      </c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</row>
    <row r="109" spans="1:86" x14ac:dyDescent="0.35">
      <c r="A109" s="5"/>
      <c r="B109" s="5" t="s">
        <v>97</v>
      </c>
      <c r="C109" s="5"/>
      <c r="D109" s="5"/>
      <c r="E109" s="43"/>
      <c r="F109" s="5"/>
      <c r="G109" s="5"/>
      <c r="H109" s="5"/>
      <c r="I109" s="5"/>
      <c r="J109" s="5"/>
      <c r="K109" s="5"/>
      <c r="L109" s="5"/>
      <c r="M109" s="5"/>
      <c r="N109" s="5"/>
      <c r="O109" s="43"/>
      <c r="P109" s="5"/>
      <c r="Q109" s="5"/>
      <c r="R109" s="5">
        <v>-397996</v>
      </c>
      <c r="S109" s="43"/>
      <c r="T109" s="5"/>
      <c r="U109" s="5">
        <v>-585460</v>
      </c>
      <c r="V109" s="5">
        <v>-632099</v>
      </c>
      <c r="W109" s="43">
        <v>-676741</v>
      </c>
      <c r="X109" s="5">
        <v>-720923</v>
      </c>
      <c r="Y109" s="5">
        <v>-757467</v>
      </c>
      <c r="Z109" s="5">
        <f>BB109</f>
        <v>-791165</v>
      </c>
      <c r="AA109" s="43">
        <v>-820746</v>
      </c>
      <c r="AB109" s="5">
        <v>-846835</v>
      </c>
      <c r="AC109" s="5">
        <v>-872965</v>
      </c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>
        <v>-397996</v>
      </c>
      <c r="BA109" s="5">
        <v>-632099</v>
      </c>
      <c r="BB109" s="5">
        <v>-791165</v>
      </c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</row>
    <row r="110" spans="1:86" x14ac:dyDescent="0.35">
      <c r="A110" s="5"/>
      <c r="B110" s="5" t="s">
        <v>98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43"/>
      <c r="P110" s="5"/>
      <c r="Q110" s="5"/>
      <c r="R110" s="5">
        <v>7356</v>
      </c>
      <c r="S110" s="43"/>
      <c r="T110" s="5"/>
      <c r="U110" s="5">
        <v>4983</v>
      </c>
      <c r="V110" s="5">
        <v>6701</v>
      </c>
      <c r="W110" s="43">
        <v>7687</v>
      </c>
      <c r="X110" s="5">
        <v>-9909</v>
      </c>
      <c r="Y110" s="5">
        <v>-30911</v>
      </c>
      <c r="Z110" s="5">
        <f>BB110</f>
        <v>-18081</v>
      </c>
      <c r="AA110" s="43">
        <v>-15861</v>
      </c>
      <c r="AB110" s="5">
        <v>-33745</v>
      </c>
      <c r="AC110" s="5">
        <v>-35925</v>
      </c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>
        <v>7356</v>
      </c>
      <c r="BA110" s="5">
        <v>6701</v>
      </c>
      <c r="BB110" s="5">
        <v>-18081</v>
      </c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</row>
    <row r="111" spans="1:86" s="13" customFormat="1" x14ac:dyDescent="0.35">
      <c r="A111" s="16"/>
      <c r="B111" s="16" t="s">
        <v>427</v>
      </c>
      <c r="C111" s="16"/>
      <c r="D111" s="16"/>
      <c r="E111" s="44"/>
      <c r="F111" s="16"/>
      <c r="G111" s="16"/>
      <c r="H111" s="16"/>
      <c r="I111" s="16"/>
      <c r="J111" s="16"/>
      <c r="K111" s="16"/>
      <c r="L111" s="16"/>
      <c r="M111" s="16"/>
      <c r="N111" s="16"/>
      <c r="O111" s="44"/>
      <c r="P111" s="16"/>
      <c r="Q111" s="16"/>
      <c r="R111" s="16">
        <v>0</v>
      </c>
      <c r="S111" s="44"/>
      <c r="T111" s="16"/>
      <c r="U111" s="16">
        <v>0</v>
      </c>
      <c r="V111" s="16">
        <v>0</v>
      </c>
      <c r="W111" s="44">
        <v>0</v>
      </c>
      <c r="X111" s="16">
        <v>0</v>
      </c>
      <c r="Y111" s="16">
        <v>0</v>
      </c>
      <c r="Z111" s="16">
        <v>0</v>
      </c>
      <c r="AA111" s="44">
        <v>2152</v>
      </c>
      <c r="AB111" s="16">
        <v>2045</v>
      </c>
      <c r="AC111" s="16">
        <v>1991</v>
      </c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>
        <v>0</v>
      </c>
      <c r="BA111" s="16">
        <v>0</v>
      </c>
      <c r="BB111" s="16">
        <v>0</v>
      </c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</row>
    <row r="112" spans="1:86" s="26" customFormat="1" x14ac:dyDescent="0.35">
      <c r="A112" s="25"/>
      <c r="B112" s="25" t="s">
        <v>99</v>
      </c>
      <c r="C112" s="25"/>
      <c r="D112" s="25"/>
      <c r="E112" s="51"/>
      <c r="F112" s="25"/>
      <c r="G112" s="25"/>
      <c r="H112" s="25"/>
      <c r="I112" s="25"/>
      <c r="J112" s="25"/>
      <c r="K112" s="25"/>
      <c r="L112" s="25"/>
      <c r="M112" s="25"/>
      <c r="N112" s="25"/>
      <c r="O112" s="51">
        <f>SUM(O106:O111)</f>
        <v>0</v>
      </c>
      <c r="P112" s="25">
        <f>SUM(P106:P111)</f>
        <v>0</v>
      </c>
      <c r="Q112" s="25">
        <f t="shared" ref="Q112:AD112" si="170">SUM(Q106:Q111)</f>
        <v>0</v>
      </c>
      <c r="R112" s="25">
        <f t="shared" si="170"/>
        <v>-384602</v>
      </c>
      <c r="S112" s="51">
        <f t="shared" si="170"/>
        <v>0</v>
      </c>
      <c r="T112" s="25">
        <f t="shared" si="170"/>
        <v>0</v>
      </c>
      <c r="U112" s="25">
        <f t="shared" si="170"/>
        <v>716784</v>
      </c>
      <c r="V112" s="25">
        <f t="shared" si="170"/>
        <v>686698</v>
      </c>
      <c r="W112" s="51">
        <f t="shared" si="170"/>
        <v>657375</v>
      </c>
      <c r="X112" s="25">
        <f t="shared" si="170"/>
        <v>654004</v>
      </c>
      <c r="Y112" s="25">
        <f t="shared" si="170"/>
        <v>615856</v>
      </c>
      <c r="Z112" s="25">
        <f t="shared" si="170"/>
        <v>612977</v>
      </c>
      <c r="AA112" s="51">
        <f t="shared" si="170"/>
        <v>605829</v>
      </c>
      <c r="AB112" s="25">
        <f t="shared" si="170"/>
        <v>579717</v>
      </c>
      <c r="AC112" s="25">
        <f t="shared" si="170"/>
        <v>567338</v>
      </c>
      <c r="AD112" s="25">
        <f t="shared" si="170"/>
        <v>0</v>
      </c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>
        <f t="shared" ref="AR112" si="171">SUM(AR106:AR111)</f>
        <v>0</v>
      </c>
      <c r="AS112" s="25">
        <f t="shared" ref="AS112" si="172">SUM(AS106:AS111)</f>
        <v>0</v>
      </c>
      <c r="AT112" s="25">
        <f t="shared" ref="AT112" si="173">SUM(AT106:AT111)</f>
        <v>0</v>
      </c>
      <c r="AU112" s="25">
        <f t="shared" ref="AU112" si="174">SUM(AU106:AU111)</f>
        <v>0</v>
      </c>
      <c r="AV112" s="25">
        <f t="shared" ref="AV112" si="175">SUM(AV106:AV111)</f>
        <v>0</v>
      </c>
      <c r="AW112" s="25">
        <f t="shared" ref="AW112" si="176">SUM(AW106:AW111)</f>
        <v>0</v>
      </c>
      <c r="AX112" s="25">
        <f t="shared" ref="AX112" si="177">SUM(AX106:AX111)</f>
        <v>0</v>
      </c>
      <c r="AY112" s="25">
        <f t="shared" ref="AY112" si="178">SUM(AY106:AY111)</f>
        <v>0</v>
      </c>
      <c r="AZ112" s="25">
        <f t="shared" ref="AZ112" si="179">SUM(AZ106:AZ111)</f>
        <v>-384602</v>
      </c>
      <c r="BA112" s="25">
        <f t="shared" ref="BA112" si="180">SUM(BA106:BA111)</f>
        <v>686698</v>
      </c>
      <c r="BB112" s="25">
        <f t="shared" ref="BB112" si="181">SUM(BB106:BB111)</f>
        <v>612977</v>
      </c>
      <c r="BC112" s="25">
        <f t="shared" ref="BC112" si="182">SUM(BC106:BC111)</f>
        <v>0</v>
      </c>
      <c r="BD112" s="25">
        <f t="shared" ref="BD112" si="183">SUM(BD106:BD111)</f>
        <v>0</v>
      </c>
      <c r="BE112" s="25">
        <f t="shared" ref="BE112" si="184">SUM(BE106:BE111)</f>
        <v>0</v>
      </c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</row>
    <row r="113" spans="1:86" s="15" customFormat="1" x14ac:dyDescent="0.35">
      <c r="A113" s="17"/>
      <c r="B113" s="17" t="s">
        <v>100</v>
      </c>
      <c r="C113" s="17"/>
      <c r="D113" s="17"/>
      <c r="E113" s="45"/>
      <c r="F113" s="17"/>
      <c r="G113" s="17"/>
      <c r="H113" s="17"/>
      <c r="I113" s="17"/>
      <c r="J113" s="17"/>
      <c r="K113" s="17"/>
      <c r="L113" s="17"/>
      <c r="M113" s="17"/>
      <c r="N113" s="17"/>
      <c r="O113" s="45">
        <f t="shared" ref="O113:Y113" si="185">O112+O98</f>
        <v>0</v>
      </c>
      <c r="P113" s="17">
        <f t="shared" si="185"/>
        <v>0</v>
      </c>
      <c r="Q113" s="17">
        <f t="shared" si="185"/>
        <v>0</v>
      </c>
      <c r="R113" s="17">
        <f t="shared" si="185"/>
        <v>4560</v>
      </c>
      <c r="S113" s="45">
        <f t="shared" si="185"/>
        <v>0</v>
      </c>
      <c r="T113" s="17">
        <f t="shared" si="185"/>
        <v>0</v>
      </c>
      <c r="U113" s="17">
        <f t="shared" si="185"/>
        <v>990356</v>
      </c>
      <c r="V113" s="17">
        <f t="shared" si="185"/>
        <v>995291</v>
      </c>
      <c r="W113" s="45">
        <f t="shared" si="185"/>
        <v>998715</v>
      </c>
      <c r="X113" s="17">
        <f t="shared" si="185"/>
        <v>971644</v>
      </c>
      <c r="Y113" s="17">
        <f t="shared" si="185"/>
        <v>972928</v>
      </c>
      <c r="Z113" s="17">
        <f t="shared" ref="Z113" si="186">Z112+Z98</f>
        <v>984957</v>
      </c>
      <c r="AA113" s="45">
        <f t="shared" ref="AA113:AB113" si="187">AA112+AA98</f>
        <v>1003981</v>
      </c>
      <c r="AB113" s="17">
        <f t="shared" si="187"/>
        <v>997672</v>
      </c>
      <c r="AC113" s="17">
        <f t="shared" ref="AC113" si="188">AC112+AC98</f>
        <v>1016562</v>
      </c>
      <c r="AD113" s="17">
        <f t="shared" ref="AD113" si="189">AD112+AD98</f>
        <v>0</v>
      </c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>
        <f t="shared" ref="AR113" si="190">AR112+AR98</f>
        <v>0</v>
      </c>
      <c r="AS113" s="17">
        <f t="shared" ref="AS113" si="191">AS112+AS98</f>
        <v>0</v>
      </c>
      <c r="AT113" s="17">
        <f t="shared" ref="AT113" si="192">AT112+AT98</f>
        <v>0</v>
      </c>
      <c r="AU113" s="17">
        <f t="shared" ref="AU113" si="193">AU112+AU98</f>
        <v>0</v>
      </c>
      <c r="AV113" s="17">
        <f t="shared" ref="AV113" si="194">AV112+AV98</f>
        <v>0</v>
      </c>
      <c r="AW113" s="17">
        <f t="shared" ref="AW113" si="195">AW112+AW98</f>
        <v>0</v>
      </c>
      <c r="AX113" s="17">
        <f t="shared" ref="AX113" si="196">AX112+AX98</f>
        <v>0</v>
      </c>
      <c r="AY113" s="17">
        <f t="shared" ref="AY113" si="197">AY112+AY98</f>
        <v>0</v>
      </c>
      <c r="AZ113" s="17">
        <f t="shared" ref="AZ113" si="198">AZ112+AZ98</f>
        <v>4560</v>
      </c>
      <c r="BA113" s="17">
        <f t="shared" ref="BA113" si="199">BA112+BA98</f>
        <v>995291</v>
      </c>
      <c r="BB113" s="17">
        <f t="shared" ref="BB113" si="200">BB112+BB98</f>
        <v>984957</v>
      </c>
      <c r="BC113" s="17">
        <f t="shared" ref="BC113" si="201">BC112+BC98</f>
        <v>0</v>
      </c>
      <c r="BD113" s="17">
        <f t="shared" ref="BD113" si="202">BD112+BD98</f>
        <v>0</v>
      </c>
      <c r="BE113" s="17">
        <f t="shared" ref="BE113" si="203">BE112+BE98</f>
        <v>0</v>
      </c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</row>
    <row r="114" spans="1:86" x14ac:dyDescent="0.35">
      <c r="A114" s="5"/>
      <c r="B114" s="5"/>
      <c r="C114" s="5"/>
      <c r="D114" s="5"/>
      <c r="E114" s="43"/>
      <c r="F114" s="5"/>
      <c r="G114" s="5"/>
      <c r="H114" s="5"/>
      <c r="I114" s="5"/>
      <c r="J114" s="5"/>
      <c r="K114" s="5"/>
      <c r="L114" s="5"/>
      <c r="M114" s="5"/>
      <c r="N114" s="5"/>
      <c r="O114" s="43"/>
      <c r="P114" s="5"/>
      <c r="Q114" s="5"/>
      <c r="R114" s="5"/>
      <c r="S114" s="43"/>
      <c r="T114" s="5"/>
      <c r="U114" s="5"/>
      <c r="V114" s="5"/>
      <c r="W114" s="43"/>
      <c r="X114" s="5"/>
      <c r="Y114" s="5"/>
      <c r="Z114" s="5"/>
      <c r="AA114" s="43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</row>
    <row r="115" spans="1:86" x14ac:dyDescent="0.35">
      <c r="A115" s="5"/>
      <c r="B115" s="5"/>
      <c r="C115" s="5"/>
      <c r="D115" s="5"/>
      <c r="E115" s="43"/>
      <c r="F115" s="5"/>
      <c r="G115" s="5"/>
      <c r="H115" s="5"/>
      <c r="I115" s="5"/>
      <c r="J115" s="5"/>
      <c r="K115" s="5"/>
      <c r="L115" s="5"/>
      <c r="M115" s="5"/>
      <c r="N115" s="5"/>
      <c r="O115" s="43"/>
      <c r="P115" s="5"/>
      <c r="Q115" s="5"/>
      <c r="R115" s="5"/>
      <c r="S115" s="43"/>
      <c r="T115" s="5"/>
      <c r="U115" s="5"/>
      <c r="V115" s="5"/>
      <c r="W115" s="43"/>
      <c r="X115" s="5"/>
      <c r="Y115" s="5"/>
      <c r="Z115" s="5"/>
      <c r="AA115" s="43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</row>
    <row r="116" spans="1:86" x14ac:dyDescent="0.35">
      <c r="A116" s="5"/>
      <c r="B116" s="5"/>
      <c r="C116" s="5"/>
      <c r="D116" s="5"/>
      <c r="E116" s="43"/>
      <c r="F116" s="5"/>
      <c r="G116" s="5"/>
      <c r="H116" s="5"/>
      <c r="I116" s="5"/>
      <c r="J116" s="5"/>
      <c r="K116" s="5"/>
      <c r="L116" s="5"/>
      <c r="M116" s="5"/>
      <c r="N116" s="5"/>
      <c r="O116" s="43"/>
      <c r="P116" s="5"/>
      <c r="Q116" s="5"/>
      <c r="R116" s="5"/>
      <c r="S116" s="43"/>
      <c r="T116" s="5"/>
      <c r="U116" s="5"/>
      <c r="V116" s="5"/>
      <c r="W116" s="43"/>
      <c r="X116" s="5"/>
      <c r="Y116" s="5"/>
      <c r="Z116" s="5"/>
      <c r="AA116" s="43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</row>
    <row r="117" spans="1:86" x14ac:dyDescent="0.35">
      <c r="A117" s="5"/>
      <c r="B117" s="5"/>
      <c r="C117" s="5"/>
      <c r="D117" s="5"/>
      <c r="E117" s="43"/>
      <c r="F117" s="5"/>
      <c r="G117" s="5"/>
      <c r="H117" s="5"/>
      <c r="I117" s="5"/>
      <c r="J117" s="5"/>
      <c r="K117" s="5"/>
      <c r="L117" s="5"/>
      <c r="M117" s="5"/>
      <c r="N117" s="5"/>
      <c r="O117" s="43"/>
      <c r="P117" s="5"/>
      <c r="Q117" s="5"/>
      <c r="R117" s="5"/>
      <c r="S117" s="43"/>
      <c r="T117" s="5"/>
      <c r="U117" s="5"/>
      <c r="V117" s="5"/>
      <c r="W117" s="43"/>
      <c r="X117" s="5"/>
      <c r="Y117" s="5"/>
      <c r="Z117" s="5"/>
      <c r="AA117" s="43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</row>
    <row r="118" spans="1:86" s="8" customFormat="1" x14ac:dyDescent="0.35">
      <c r="A118" s="19"/>
      <c r="B118" s="20" t="s">
        <v>436</v>
      </c>
      <c r="C118" s="21"/>
      <c r="D118" s="21"/>
      <c r="E118" s="62"/>
      <c r="F118" s="21"/>
      <c r="G118" s="21"/>
      <c r="H118" s="21"/>
      <c r="I118" s="21"/>
      <c r="J118" s="21"/>
      <c r="K118" s="21"/>
      <c r="L118" s="21"/>
      <c r="M118" s="21"/>
      <c r="N118" s="21"/>
      <c r="O118" s="62"/>
      <c r="P118" s="21"/>
      <c r="Q118" s="21"/>
      <c r="R118" s="21"/>
      <c r="S118" s="62"/>
      <c r="T118" s="21"/>
      <c r="U118" s="21"/>
      <c r="V118" s="19"/>
      <c r="W118" s="49"/>
      <c r="X118" s="19"/>
      <c r="Y118" s="19"/>
      <c r="Z118" s="19"/>
      <c r="AA118" s="4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</row>
    <row r="119" spans="1:86" x14ac:dyDescent="0.35">
      <c r="A119" s="5"/>
      <c r="B119" s="5" t="s">
        <v>101</v>
      </c>
      <c r="C119" s="5"/>
      <c r="D119" s="5"/>
      <c r="E119" s="43"/>
      <c r="F119" s="5"/>
      <c r="G119" s="5"/>
      <c r="H119" s="5"/>
      <c r="I119" s="5"/>
      <c r="J119" s="5"/>
      <c r="K119" s="5"/>
      <c r="L119" s="5"/>
      <c r="M119" s="5"/>
      <c r="N119" s="5"/>
      <c r="O119" s="43"/>
      <c r="P119" s="5"/>
      <c r="Q119" s="5">
        <v>5799</v>
      </c>
      <c r="R119" s="5"/>
      <c r="S119" s="43">
        <v>-2174</v>
      </c>
      <c r="T119" s="5">
        <f>-15025</f>
        <v>-15025</v>
      </c>
      <c r="U119" s="5">
        <f>-24653</f>
        <v>-24653</v>
      </c>
      <c r="V119" s="5">
        <f>BA119</f>
        <v>-45039</v>
      </c>
      <c r="W119" s="43">
        <v>-24914</v>
      </c>
      <c r="X119" s="5">
        <f>-63535</f>
        <v>-63535</v>
      </c>
      <c r="Y119" s="5">
        <f>-58595</f>
        <v>-58595</v>
      </c>
      <c r="Z119" s="5">
        <f>BB119</f>
        <v>-53928</v>
      </c>
      <c r="AA119" s="43">
        <v>-11166</v>
      </c>
      <c r="AB119" s="5">
        <f>-41008</f>
        <v>-41008</v>
      </c>
      <c r="AC119" s="5">
        <v>-70350</v>
      </c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>
        <v>13371</v>
      </c>
      <c r="AZ119" s="5">
        <v>15556</v>
      </c>
      <c r="BA119" s="5">
        <v>-45039</v>
      </c>
      <c r="BB119" s="5">
        <v>-53928</v>
      </c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</row>
    <row r="120" spans="1:86" s="13" customFormat="1" x14ac:dyDescent="0.35">
      <c r="A120" s="16"/>
      <c r="B120" s="16" t="s">
        <v>102</v>
      </c>
      <c r="C120" s="16"/>
      <c r="D120" s="16"/>
      <c r="E120" s="44"/>
      <c r="F120" s="16"/>
      <c r="G120" s="16"/>
      <c r="H120" s="16"/>
      <c r="I120" s="16"/>
      <c r="J120" s="16"/>
      <c r="K120" s="16"/>
      <c r="L120" s="16"/>
      <c r="M120" s="16"/>
      <c r="N120" s="16"/>
      <c r="O120" s="44"/>
      <c r="P120" s="16"/>
      <c r="Q120" s="16">
        <v>-15375</v>
      </c>
      <c r="R120" s="16"/>
      <c r="S120" s="44">
        <v>-25429</v>
      </c>
      <c r="T120" s="16">
        <f>-29858</f>
        <v>-29858</v>
      </c>
      <c r="U120" s="16">
        <f>-40718</f>
        <v>-40718</v>
      </c>
      <c r="V120" s="16">
        <f>BA120</f>
        <v>-87862</v>
      </c>
      <c r="W120" s="44">
        <v>-41061</v>
      </c>
      <c r="X120" s="16">
        <f>-6791</f>
        <v>-6791</v>
      </c>
      <c r="Y120" s="16">
        <f>-84722</f>
        <v>-84722</v>
      </c>
      <c r="Z120" s="16">
        <f>BB120</f>
        <v>-150880</v>
      </c>
      <c r="AA120" s="44">
        <v>-35922</v>
      </c>
      <c r="AB120" s="16">
        <f>-93630</f>
        <v>-93630</v>
      </c>
      <c r="AC120" s="16">
        <v>-153574</v>
      </c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>
        <v>-20260</v>
      </c>
      <c r="AZ120" s="16">
        <v>-18645</v>
      </c>
      <c r="BA120" s="16">
        <v>-87862</v>
      </c>
      <c r="BB120" s="16">
        <v>-150880</v>
      </c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</row>
    <row r="121" spans="1:86" s="15" customFormat="1" x14ac:dyDescent="0.35">
      <c r="A121" s="17"/>
      <c r="B121" s="17" t="s">
        <v>103</v>
      </c>
      <c r="C121" s="17"/>
      <c r="D121" s="17"/>
      <c r="E121" s="17">
        <f>SUM(E119:E120)</f>
        <v>0</v>
      </c>
      <c r="F121" s="17"/>
      <c r="G121" s="17"/>
      <c r="H121" s="17"/>
      <c r="I121" s="17"/>
      <c r="J121" s="17"/>
      <c r="K121" s="17"/>
      <c r="L121" s="17">
        <f t="shared" ref="L121:Y121" si="204">SUM(L119:L120)</f>
        <v>0</v>
      </c>
      <c r="M121" s="17">
        <f t="shared" si="204"/>
        <v>0</v>
      </c>
      <c r="N121" s="17">
        <f t="shared" si="204"/>
        <v>0</v>
      </c>
      <c r="O121" s="45">
        <f t="shared" si="204"/>
        <v>0</v>
      </c>
      <c r="P121" s="17">
        <f t="shared" si="204"/>
        <v>0</v>
      </c>
      <c r="Q121" s="17">
        <f t="shared" si="204"/>
        <v>-9576</v>
      </c>
      <c r="R121" s="17">
        <f t="shared" si="204"/>
        <v>0</v>
      </c>
      <c r="S121" s="45">
        <f t="shared" si="204"/>
        <v>-27603</v>
      </c>
      <c r="T121" s="17">
        <f t="shared" si="204"/>
        <v>-44883</v>
      </c>
      <c r="U121" s="17">
        <f t="shared" si="204"/>
        <v>-65371</v>
      </c>
      <c r="V121" s="17">
        <f t="shared" si="204"/>
        <v>-132901</v>
      </c>
      <c r="W121" s="45">
        <f t="shared" si="204"/>
        <v>-65975</v>
      </c>
      <c r="X121" s="17">
        <f t="shared" si="204"/>
        <v>-70326</v>
      </c>
      <c r="Y121" s="17">
        <f t="shared" si="204"/>
        <v>-143317</v>
      </c>
      <c r="Z121" s="17">
        <f t="shared" ref="Z121" si="205">SUM(Z119:Z120)</f>
        <v>-204808</v>
      </c>
      <c r="AA121" s="45">
        <f t="shared" ref="AA121" si="206">SUM(AA119:AA120)</f>
        <v>-47088</v>
      </c>
      <c r="AB121" s="17">
        <f t="shared" ref="AB121" si="207">SUM(AB119:AB120)</f>
        <v>-134638</v>
      </c>
      <c r="AC121" s="17">
        <f t="shared" ref="AC121" si="208">SUM(AC119:AC120)</f>
        <v>-223924</v>
      </c>
      <c r="AD121" s="17">
        <f t="shared" ref="AD121" si="209">SUM(AD119:AD120)</f>
        <v>0</v>
      </c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>
        <f t="shared" ref="AR121:BA121" si="210">SUM(AR119:AR120)</f>
        <v>0</v>
      </c>
      <c r="AS121" s="17">
        <f t="shared" si="210"/>
        <v>0</v>
      </c>
      <c r="AT121" s="17">
        <f t="shared" si="210"/>
        <v>0</v>
      </c>
      <c r="AU121" s="17">
        <f t="shared" si="210"/>
        <v>0</v>
      </c>
      <c r="AV121" s="17">
        <f t="shared" si="210"/>
        <v>0</v>
      </c>
      <c r="AW121" s="17">
        <f t="shared" si="210"/>
        <v>0</v>
      </c>
      <c r="AX121" s="17">
        <f t="shared" si="210"/>
        <v>0</v>
      </c>
      <c r="AY121" s="17">
        <f t="shared" si="210"/>
        <v>-6889</v>
      </c>
      <c r="AZ121" s="17">
        <f t="shared" si="210"/>
        <v>-3089</v>
      </c>
      <c r="BA121" s="17">
        <f t="shared" si="210"/>
        <v>-132901</v>
      </c>
      <c r="BB121" s="17">
        <f t="shared" ref="BB121" si="211">SUM(BB119:BB120)</f>
        <v>-204808</v>
      </c>
      <c r="BC121" s="17">
        <f t="shared" ref="BC121" si="212">SUM(BC119:BC120)</f>
        <v>0</v>
      </c>
      <c r="BD121" s="17">
        <f t="shared" ref="BD121" si="213">SUM(BD119:BD120)</f>
        <v>0</v>
      </c>
      <c r="BE121" s="17">
        <f t="shared" ref="BE121" si="214">SUM(BE119:BE120)</f>
        <v>0</v>
      </c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</row>
    <row r="122" spans="1:86" x14ac:dyDescent="0.35">
      <c r="A122" s="5"/>
      <c r="B122" s="5"/>
      <c r="C122" s="5"/>
      <c r="D122" s="5"/>
      <c r="E122" s="43"/>
      <c r="F122" s="5"/>
      <c r="G122" s="5"/>
      <c r="H122" s="5"/>
      <c r="I122" s="5"/>
      <c r="J122" s="5"/>
      <c r="K122" s="5"/>
      <c r="L122" s="5"/>
      <c r="M122" s="5"/>
      <c r="N122" s="5"/>
      <c r="O122" s="43"/>
      <c r="P122" s="5"/>
      <c r="Q122" s="5"/>
      <c r="R122" s="5"/>
      <c r="S122" s="43"/>
      <c r="T122" s="5"/>
      <c r="U122" s="5"/>
      <c r="V122" s="5"/>
      <c r="W122" s="43"/>
      <c r="X122" s="5"/>
      <c r="Y122" s="5"/>
      <c r="Z122" s="5"/>
      <c r="AA122" s="43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</row>
    <row r="123" spans="1:86" x14ac:dyDescent="0.35">
      <c r="A123" s="5"/>
      <c r="B123" s="5" t="s">
        <v>418</v>
      </c>
      <c r="C123" s="5"/>
      <c r="D123" s="5"/>
      <c r="E123" s="43"/>
      <c r="F123" s="5"/>
      <c r="G123" s="5"/>
      <c r="H123" s="5"/>
      <c r="I123" s="5"/>
      <c r="J123" s="5"/>
      <c r="K123" s="5"/>
      <c r="L123" s="5"/>
      <c r="M123" s="5"/>
      <c r="N123" s="5"/>
      <c r="O123" s="43"/>
      <c r="P123" s="5"/>
      <c r="Q123" s="5">
        <v>0</v>
      </c>
      <c r="R123" s="5"/>
      <c r="S123" s="43">
        <v>0</v>
      </c>
      <c r="T123" s="5"/>
      <c r="U123" s="5">
        <v>0</v>
      </c>
      <c r="V123" s="5">
        <f>BA123-U123-T123-S123</f>
        <v>0</v>
      </c>
      <c r="W123" s="43">
        <v>0</v>
      </c>
      <c r="X123" s="5">
        <v>0</v>
      </c>
      <c r="Y123" s="5">
        <v>0</v>
      </c>
      <c r="Z123" s="5"/>
      <c r="AA123" s="43">
        <v>0</v>
      </c>
      <c r="AB123" s="5">
        <v>0</v>
      </c>
      <c r="AC123" s="5">
        <v>0</v>
      </c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>
        <v>0</v>
      </c>
      <c r="BA123" s="5">
        <v>0</v>
      </c>
      <c r="BB123" s="5">
        <v>0</v>
      </c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</row>
    <row r="124" spans="1:86" x14ac:dyDescent="0.35">
      <c r="A124" s="5"/>
      <c r="B124" s="5" t="s">
        <v>419</v>
      </c>
      <c r="C124" s="5"/>
      <c r="D124" s="5"/>
      <c r="E124" s="43"/>
      <c r="F124" s="5"/>
      <c r="G124" s="5"/>
      <c r="H124" s="5"/>
      <c r="I124" s="5"/>
      <c r="J124" s="5"/>
      <c r="K124" s="5"/>
      <c r="L124" s="5"/>
      <c r="M124" s="5"/>
      <c r="N124" s="5"/>
      <c r="O124" s="43"/>
      <c r="P124" s="5"/>
      <c r="Q124" s="5">
        <v>0</v>
      </c>
      <c r="R124" s="5"/>
      <c r="S124" s="43">
        <v>0</v>
      </c>
      <c r="T124" s="5"/>
      <c r="U124" s="5">
        <v>58290</v>
      </c>
      <c r="V124" s="5">
        <f>BA124</f>
        <v>82894</v>
      </c>
      <c r="W124" s="43">
        <v>28130</v>
      </c>
      <c r="X124" s="5">
        <f>53650</f>
        <v>53650</v>
      </c>
      <c r="Y124" s="5">
        <f>72925</f>
        <v>72925</v>
      </c>
      <c r="Z124" s="5"/>
      <c r="AA124" s="43">
        <v>17929</v>
      </c>
      <c r="AB124" s="5">
        <f>35779</f>
        <v>35779</v>
      </c>
      <c r="AC124" s="5">
        <v>51641</v>
      </c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>
        <v>0</v>
      </c>
      <c r="BA124" s="5">
        <v>82894</v>
      </c>
      <c r="BB124" s="5">
        <v>90808</v>
      </c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</row>
    <row r="125" spans="1:86" x14ac:dyDescent="0.35">
      <c r="A125" s="5"/>
      <c r="B125" s="5" t="s">
        <v>420</v>
      </c>
      <c r="C125" s="5"/>
      <c r="D125" s="5"/>
      <c r="E125" s="43"/>
      <c r="F125" s="5"/>
      <c r="G125" s="5"/>
      <c r="H125" s="5"/>
      <c r="I125" s="5"/>
      <c r="J125" s="5"/>
      <c r="K125" s="5"/>
      <c r="L125" s="5"/>
      <c r="M125" s="5"/>
      <c r="N125" s="5"/>
      <c r="O125" s="43"/>
      <c r="P125" s="5"/>
      <c r="Q125" s="5">
        <v>0</v>
      </c>
      <c r="R125" s="5"/>
      <c r="S125" s="43">
        <v>0</v>
      </c>
      <c r="T125" s="5"/>
      <c r="U125" s="5">
        <v>0</v>
      </c>
      <c r="V125" s="5">
        <f>BA125-U125-T125-S125</f>
        <v>0</v>
      </c>
      <c r="W125" s="43">
        <v>0</v>
      </c>
      <c r="X125" s="5">
        <v>0</v>
      </c>
      <c r="Y125" s="5">
        <v>0</v>
      </c>
      <c r="Z125" s="5"/>
      <c r="AA125" s="43">
        <v>0</v>
      </c>
      <c r="AB125" s="5">
        <v>0</v>
      </c>
      <c r="AC125" s="5">
        <v>0</v>
      </c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>
        <v>0</v>
      </c>
      <c r="BA125" s="5">
        <v>0</v>
      </c>
      <c r="BB125" s="5">
        <v>0</v>
      </c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</row>
    <row r="126" spans="1:86" x14ac:dyDescent="0.35">
      <c r="A126" s="5"/>
      <c r="B126" s="5" t="s">
        <v>421</v>
      </c>
      <c r="C126" s="5"/>
      <c r="D126" s="5"/>
      <c r="E126" s="43"/>
      <c r="F126" s="5"/>
      <c r="G126" s="5"/>
      <c r="H126" s="5"/>
      <c r="I126" s="5"/>
      <c r="J126" s="5"/>
      <c r="K126" s="5"/>
      <c r="L126" s="5"/>
      <c r="M126" s="5"/>
      <c r="N126" s="5"/>
      <c r="O126" s="43"/>
      <c r="P126" s="5"/>
      <c r="Q126" s="5">
        <v>0</v>
      </c>
      <c r="R126" s="5"/>
      <c r="S126" s="43">
        <v>0</v>
      </c>
      <c r="T126" s="5"/>
      <c r="U126" s="5">
        <v>0</v>
      </c>
      <c r="V126" s="5">
        <f>BA126-U126-T126-S126</f>
        <v>0</v>
      </c>
      <c r="W126" s="43">
        <v>0</v>
      </c>
      <c r="X126" s="5">
        <v>0</v>
      </c>
      <c r="Y126" s="5">
        <v>0</v>
      </c>
      <c r="Z126" s="5"/>
      <c r="AA126" s="43">
        <v>0</v>
      </c>
      <c r="AB126" s="5">
        <v>0</v>
      </c>
      <c r="AC126" s="5">
        <v>0</v>
      </c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>
        <v>0</v>
      </c>
      <c r="BA126" s="5">
        <v>0</v>
      </c>
      <c r="BB126" s="5">
        <v>0</v>
      </c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</row>
    <row r="127" spans="1:86" x14ac:dyDescent="0.35">
      <c r="A127" s="5"/>
      <c r="B127" s="5"/>
      <c r="C127" s="5"/>
      <c r="D127" s="5"/>
      <c r="E127" s="43"/>
      <c r="F127" s="5"/>
      <c r="G127" s="5"/>
      <c r="H127" s="5"/>
      <c r="I127" s="5"/>
      <c r="J127" s="5"/>
      <c r="K127" s="5"/>
      <c r="L127" s="5"/>
      <c r="M127" s="5"/>
      <c r="N127" s="5"/>
      <c r="O127" s="43"/>
      <c r="P127" s="5"/>
      <c r="Q127" s="5"/>
      <c r="R127" s="5"/>
      <c r="S127" s="43"/>
      <c r="T127" s="5"/>
      <c r="U127" s="5"/>
      <c r="V127" s="5"/>
      <c r="W127" s="43"/>
      <c r="X127" s="5"/>
      <c r="Y127" s="5"/>
      <c r="Z127" s="5"/>
      <c r="AA127" s="43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</row>
    <row r="128" spans="1:86" s="12" customFormat="1" x14ac:dyDescent="0.35">
      <c r="A128" s="18"/>
      <c r="B128" s="18" t="s">
        <v>508</v>
      </c>
      <c r="C128" s="18"/>
      <c r="D128" s="18"/>
      <c r="E128" s="48"/>
      <c r="F128" s="18"/>
      <c r="G128" s="18"/>
      <c r="H128" s="18"/>
      <c r="I128" s="18"/>
      <c r="J128" s="18"/>
      <c r="K128" s="18"/>
      <c r="L128" s="18"/>
      <c r="M128" s="18"/>
      <c r="N128" s="18"/>
      <c r="O128" s="48"/>
      <c r="P128" s="18"/>
      <c r="Q128" s="18"/>
      <c r="R128" s="18"/>
      <c r="S128" s="48"/>
      <c r="T128" s="18"/>
      <c r="U128" s="18"/>
      <c r="V128" s="18"/>
      <c r="W128" s="48"/>
      <c r="X128" s="18"/>
      <c r="Y128" s="18"/>
      <c r="Z128" s="18"/>
      <c r="AA128" s="4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</row>
    <row r="129" spans="1:86" x14ac:dyDescent="0.35">
      <c r="A129" s="5"/>
      <c r="B129" s="5"/>
      <c r="C129" s="5"/>
      <c r="D129" s="5"/>
      <c r="E129" s="43"/>
      <c r="F129" s="5"/>
      <c r="G129" s="5"/>
      <c r="H129" s="5"/>
      <c r="I129" s="5"/>
      <c r="J129" s="5"/>
      <c r="K129" s="5"/>
      <c r="L129" s="5"/>
      <c r="M129" s="5"/>
      <c r="N129" s="5"/>
      <c r="O129" s="43"/>
      <c r="P129" s="5"/>
      <c r="Q129" s="5"/>
      <c r="R129" s="5"/>
      <c r="S129" s="43"/>
      <c r="T129" s="5"/>
      <c r="U129" s="5"/>
      <c r="V129" s="5"/>
      <c r="W129" s="43"/>
      <c r="X129" s="5"/>
      <c r="Y129" s="5"/>
      <c r="Z129" s="5"/>
      <c r="AA129" s="43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</row>
    <row r="130" spans="1:86" x14ac:dyDescent="0.35">
      <c r="A130" s="5"/>
      <c r="B130" s="5"/>
      <c r="C130" s="5"/>
      <c r="D130" s="5"/>
      <c r="E130" s="43"/>
      <c r="F130" s="5"/>
      <c r="G130" s="5"/>
      <c r="H130" s="5"/>
      <c r="I130" s="5"/>
      <c r="J130" s="5"/>
      <c r="K130" s="5"/>
      <c r="L130" s="5"/>
      <c r="M130" s="5"/>
      <c r="N130" s="5"/>
      <c r="O130" s="43"/>
      <c r="P130" s="5"/>
      <c r="Q130" s="5"/>
      <c r="R130" s="5"/>
      <c r="S130" s="43"/>
      <c r="T130" s="5"/>
      <c r="U130" s="5"/>
      <c r="V130" s="5"/>
      <c r="W130" s="43"/>
      <c r="X130" s="5"/>
      <c r="Y130" s="5"/>
      <c r="Z130" s="5"/>
      <c r="AA130" s="43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</row>
    <row r="131" spans="1:86" x14ac:dyDescent="0.35">
      <c r="A131" s="5"/>
      <c r="B131" s="5"/>
      <c r="C131" s="5"/>
      <c r="D131" s="5"/>
      <c r="E131" s="43"/>
      <c r="F131" s="5"/>
      <c r="G131" s="5"/>
      <c r="H131" s="5"/>
      <c r="I131" s="5"/>
      <c r="J131" s="5"/>
      <c r="K131" s="5"/>
      <c r="L131" s="5"/>
      <c r="M131" s="5"/>
      <c r="N131" s="5"/>
      <c r="O131" s="43"/>
      <c r="P131" s="5"/>
      <c r="Q131" s="5"/>
      <c r="R131" s="5"/>
      <c r="S131" s="43"/>
      <c r="T131" s="5"/>
      <c r="U131" s="5"/>
      <c r="V131" s="5"/>
      <c r="W131" s="43"/>
      <c r="X131" s="5"/>
      <c r="Y131" s="5"/>
      <c r="Z131" s="5"/>
      <c r="AA131" s="43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</row>
    <row r="132" spans="1:86" x14ac:dyDescent="0.35">
      <c r="A132" s="5"/>
      <c r="B132" s="5"/>
      <c r="C132" s="5"/>
      <c r="D132" s="5"/>
      <c r="E132" s="43"/>
      <c r="F132" s="5"/>
      <c r="G132" s="5"/>
      <c r="H132" s="5"/>
      <c r="I132" s="5"/>
      <c r="J132" s="5"/>
      <c r="K132" s="5"/>
      <c r="L132" s="5"/>
      <c r="M132" s="5"/>
      <c r="N132" s="5"/>
      <c r="O132" s="43"/>
      <c r="P132" s="5"/>
      <c r="Q132" s="5"/>
      <c r="R132" s="5"/>
      <c r="S132" s="43"/>
      <c r="T132" s="5"/>
      <c r="U132" s="5"/>
      <c r="V132" s="5"/>
      <c r="W132" s="43"/>
      <c r="X132" s="5"/>
      <c r="Y132" s="5"/>
      <c r="Z132" s="5"/>
      <c r="AA132" s="43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</row>
    <row r="133" spans="1:86" x14ac:dyDescent="0.35">
      <c r="A133" s="5"/>
      <c r="B133" s="5"/>
      <c r="C133" s="5"/>
      <c r="D133" s="5"/>
      <c r="E133" s="43"/>
      <c r="F133" s="5"/>
      <c r="G133" s="5"/>
      <c r="H133" s="5"/>
      <c r="I133" s="5"/>
      <c r="J133" s="5"/>
      <c r="K133" s="5"/>
      <c r="L133" s="5"/>
      <c r="M133" s="5"/>
      <c r="N133" s="5"/>
      <c r="O133" s="43"/>
      <c r="P133" s="5"/>
      <c r="Q133" s="5"/>
      <c r="R133" s="5"/>
      <c r="S133" s="43"/>
      <c r="T133" s="5"/>
      <c r="U133" s="5"/>
      <c r="V133" s="5"/>
      <c r="W133" s="43"/>
      <c r="X133" s="5"/>
      <c r="Y133" s="5"/>
      <c r="Z133" s="5"/>
      <c r="AA133" s="43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</row>
    <row r="134" spans="1:86" x14ac:dyDescent="0.35">
      <c r="A134" s="5"/>
      <c r="B134" s="5"/>
      <c r="C134" s="5"/>
      <c r="D134" s="5"/>
      <c r="E134" s="43"/>
      <c r="F134" s="5"/>
      <c r="G134" s="5"/>
      <c r="H134" s="5"/>
      <c r="I134" s="5"/>
      <c r="J134" s="5"/>
      <c r="K134" s="5"/>
      <c r="L134" s="5"/>
      <c r="M134" s="5"/>
      <c r="N134" s="5"/>
      <c r="O134" s="43"/>
      <c r="P134" s="5"/>
      <c r="Q134" s="5"/>
      <c r="R134" s="5"/>
      <c r="S134" s="43"/>
      <c r="T134" s="5"/>
      <c r="U134" s="5"/>
      <c r="V134" s="5"/>
      <c r="W134" s="43"/>
      <c r="X134" s="5"/>
      <c r="Y134" s="5"/>
      <c r="Z134" s="5"/>
      <c r="AA134" s="43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</row>
    <row r="135" spans="1:86" s="10" customFormat="1" x14ac:dyDescent="0.35">
      <c r="A135" s="21"/>
      <c r="B135" s="21" t="s">
        <v>437</v>
      </c>
      <c r="C135" s="21"/>
      <c r="D135" s="21"/>
      <c r="E135" s="62"/>
      <c r="F135" s="21"/>
      <c r="G135" s="21"/>
      <c r="H135" s="21"/>
      <c r="I135" s="21"/>
      <c r="J135" s="21"/>
      <c r="K135" s="21"/>
      <c r="L135" s="21"/>
      <c r="M135" s="21"/>
      <c r="N135" s="21"/>
      <c r="O135" s="62"/>
      <c r="P135" s="21"/>
      <c r="Q135" s="21"/>
      <c r="R135" s="21"/>
      <c r="S135" s="62"/>
      <c r="T135" s="21"/>
      <c r="U135" s="21"/>
      <c r="V135" s="21"/>
      <c r="W135" s="62"/>
      <c r="X135" s="21"/>
      <c r="Y135" s="21"/>
      <c r="Z135" s="21"/>
      <c r="AA135" s="62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</row>
    <row r="136" spans="1:86" x14ac:dyDescent="0.35">
      <c r="A136" s="5"/>
      <c r="B136" s="5" t="s">
        <v>438</v>
      </c>
      <c r="C136" s="5"/>
      <c r="D136" s="5"/>
      <c r="E136" s="43"/>
      <c r="F136" s="5"/>
      <c r="G136" s="5"/>
      <c r="H136" s="5"/>
      <c r="I136" s="5"/>
      <c r="J136" s="5"/>
      <c r="K136" s="5"/>
      <c r="L136" s="5"/>
      <c r="M136" s="5"/>
      <c r="N136" s="5"/>
      <c r="O136" s="43"/>
      <c r="P136" s="5"/>
      <c r="Q136" s="5"/>
      <c r="R136" s="5"/>
      <c r="S136" s="43"/>
      <c r="T136" s="5"/>
      <c r="U136" s="5"/>
      <c r="V136" s="5">
        <f t="shared" ref="V136:AA136" si="215">V7*V137</f>
        <v>0</v>
      </c>
      <c r="W136" s="43">
        <f t="shared" si="215"/>
        <v>1945468.03416</v>
      </c>
      <c r="X136" s="5">
        <f t="shared" si="215"/>
        <v>1301448.67995</v>
      </c>
      <c r="Y136" s="5">
        <f t="shared" si="215"/>
        <v>734344.79999999993</v>
      </c>
      <c r="Z136" s="5">
        <f t="shared" si="215"/>
        <v>0</v>
      </c>
      <c r="AA136" s="43">
        <f t="shared" si="215"/>
        <v>449263.66785999999</v>
      </c>
      <c r="AB136" s="5">
        <f>AB7*AB137</f>
        <v>436993.68543999997</v>
      </c>
      <c r="AC136" s="5">
        <f t="shared" ref="AC136:AD136" si="216">AC7*AC137</f>
        <v>670052.09798000008</v>
      </c>
      <c r="AD136" s="5">
        <f t="shared" si="216"/>
        <v>419565.33238000004</v>
      </c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>
        <f>AZ7*AZ137</f>
        <v>1059602.7779000001</v>
      </c>
      <c r="BA136" s="5">
        <f t="shared" ref="BA136:BE136" si="217">BA7*BA137</f>
        <v>1877554.4681999998</v>
      </c>
      <c r="BB136" s="5">
        <f t="shared" si="217"/>
        <v>885575.22896000009</v>
      </c>
      <c r="BC136" s="5">
        <f t="shared" si="217"/>
        <v>0</v>
      </c>
      <c r="BD136" s="5">
        <f t="shared" si="217"/>
        <v>0</v>
      </c>
      <c r="BE136" s="5">
        <f t="shared" si="217"/>
        <v>0</v>
      </c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</row>
    <row r="137" spans="1:86" x14ac:dyDescent="0.35">
      <c r="A137" s="5"/>
      <c r="B137" s="5" t="s">
        <v>1</v>
      </c>
      <c r="C137" s="5"/>
      <c r="D137" s="5"/>
      <c r="E137" s="43"/>
      <c r="F137" s="5"/>
      <c r="G137" s="5"/>
      <c r="H137" s="5"/>
      <c r="I137" s="5"/>
      <c r="J137" s="5"/>
      <c r="K137" s="5"/>
      <c r="L137" s="5"/>
      <c r="M137" s="5"/>
      <c r="N137" s="5"/>
      <c r="O137" s="43"/>
      <c r="P137" s="5"/>
      <c r="Q137" s="5"/>
      <c r="R137" s="5"/>
      <c r="S137" s="43"/>
      <c r="T137" s="5"/>
      <c r="U137" s="5"/>
      <c r="V137" s="5">
        <f t="shared" ref="V137:AA137" si="218">V58</f>
        <v>0</v>
      </c>
      <c r="W137" s="43">
        <f t="shared" si="218"/>
        <v>298843.016</v>
      </c>
      <c r="X137" s="5">
        <f t="shared" si="218"/>
        <v>300565.51500000001</v>
      </c>
      <c r="Y137" s="5">
        <f t="shared" si="218"/>
        <v>305977</v>
      </c>
      <c r="Z137" s="5">
        <f t="shared" si="218"/>
        <v>0</v>
      </c>
      <c r="AA137" s="43">
        <f t="shared" si="218"/>
        <v>307714.84100000001</v>
      </c>
      <c r="AB137" s="5">
        <f>AB58</f>
        <v>307742.03200000001</v>
      </c>
      <c r="AC137" s="5">
        <f t="shared" ref="AC137:AD137" si="219">AC58</f>
        <v>313108.45699999999</v>
      </c>
      <c r="AD137" s="5">
        <f t="shared" si="219"/>
        <v>313108.45699999999</v>
      </c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>
        <f>AZ58</f>
        <v>99028.297000000006</v>
      </c>
      <c r="BA137" s="5">
        <f t="shared" ref="BA137:BE137" si="220">BA58</f>
        <v>185896.48199999999</v>
      </c>
      <c r="BB137" s="5">
        <f t="shared" si="220"/>
        <v>303279.18800000002</v>
      </c>
      <c r="BC137" s="5">
        <f t="shared" si="220"/>
        <v>0</v>
      </c>
      <c r="BD137" s="5">
        <f t="shared" si="220"/>
        <v>0</v>
      </c>
      <c r="BE137" s="5">
        <f t="shared" si="220"/>
        <v>0</v>
      </c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</row>
    <row r="138" spans="1:86" s="78" customFormat="1" x14ac:dyDescent="0.35">
      <c r="B138" s="78" t="s">
        <v>439</v>
      </c>
      <c r="E138" s="79"/>
      <c r="O138" s="79"/>
      <c r="S138" s="79"/>
      <c r="V138" s="78">
        <f t="shared" ref="V138:AA138" si="221">V136/SUM(S28:V28)</f>
        <v>0</v>
      </c>
      <c r="W138" s="79">
        <f t="shared" si="221"/>
        <v>11.199774527995579</v>
      </c>
      <c r="X138" s="78">
        <f t="shared" si="221"/>
        <v>6.3563437979858168</v>
      </c>
      <c r="Y138" s="78">
        <f t="shared" si="221"/>
        <v>3.5566658594468925</v>
      </c>
      <c r="Z138" s="78">
        <f t="shared" si="221"/>
        <v>0</v>
      </c>
      <c r="AA138" s="79">
        <f t="shared" si="221"/>
        <v>2.0915440775605214</v>
      </c>
      <c r="AB138" s="78">
        <f>AB136/SUM(Y28:AB28)</f>
        <v>1.9392723205481517</v>
      </c>
      <c r="AC138" s="78">
        <f t="shared" ref="AC138:AD138" si="222">AC136/SUM(Z28:AC28)</f>
        <v>2.511072586765803</v>
      </c>
      <c r="AD138" s="78">
        <f t="shared" si="222"/>
        <v>2.0766243275160612</v>
      </c>
      <c r="AZ138" s="78">
        <f>AZ136/AZ28</f>
        <v>9.8551198673710463</v>
      </c>
      <c r="BA138" s="78">
        <f t="shared" ref="BA138:BE138" si="223">BA136/BA28</f>
        <v>12.354282703847975</v>
      </c>
      <c r="BB138" s="78">
        <f t="shared" si="223"/>
        <v>4.3305470987554715</v>
      </c>
      <c r="BC138" s="78" t="e">
        <f t="shared" si="223"/>
        <v>#DIV/0!</v>
      </c>
      <c r="BD138" s="78" t="e">
        <f t="shared" si="223"/>
        <v>#DIV/0!</v>
      </c>
      <c r="BE138" s="78" t="e">
        <f t="shared" si="223"/>
        <v>#DIV/0!</v>
      </c>
    </row>
    <row r="139" spans="1:86" s="78" customFormat="1" x14ac:dyDescent="0.35">
      <c r="B139" s="78" t="s">
        <v>440</v>
      </c>
      <c r="E139" s="79"/>
      <c r="O139" s="79"/>
      <c r="S139" s="79"/>
      <c r="V139" s="78">
        <f t="shared" ref="V139:AA139" si="224">V136/SUM(S55:V55)</f>
        <v>0</v>
      </c>
      <c r="W139" s="79">
        <f t="shared" si="224"/>
        <v>-7.7954049596499528</v>
      </c>
      <c r="X139" s="78">
        <f t="shared" si="224"/>
        <v>-5.1117387272191674</v>
      </c>
      <c r="Y139" s="78">
        <f t="shared" si="224"/>
        <v>-4.5165712317561457</v>
      </c>
      <c r="Z139" s="78">
        <f t="shared" si="224"/>
        <v>0</v>
      </c>
      <c r="AA139" s="79">
        <f t="shared" si="224"/>
        <v>-3.119778256727197</v>
      </c>
      <c r="AB139" s="78">
        <f>AB136/SUM(Y55:AB55)</f>
        <v>-3.4706277832136729</v>
      </c>
      <c r="AC139" s="78">
        <f t="shared" ref="AC139:AD139" si="225">AC136/SUM(Z55:AC55)</f>
        <v>-5.8014173230705302</v>
      </c>
      <c r="AD139" s="78">
        <f t="shared" si="225"/>
        <v>-5.1291605425427873</v>
      </c>
      <c r="AZ139" s="78">
        <f>AZ136/AZ55</f>
        <v>-13.087494014549858</v>
      </c>
      <c r="BA139" s="78">
        <f t="shared" ref="BA139:BE139" si="226">BA136/BA55</f>
        <v>-8.0202067816303071</v>
      </c>
      <c r="BB139" s="78">
        <f t="shared" si="226"/>
        <v>-5.5978206634639704</v>
      </c>
      <c r="BC139" s="78" t="e">
        <f t="shared" si="226"/>
        <v>#DIV/0!</v>
      </c>
      <c r="BD139" s="78" t="e">
        <f t="shared" si="226"/>
        <v>#DIV/0!</v>
      </c>
      <c r="BE139" s="78" t="e">
        <f t="shared" si="226"/>
        <v>#DIV/0!</v>
      </c>
    </row>
    <row r="140" spans="1:86" s="78" customFormat="1" x14ac:dyDescent="0.35">
      <c r="B140" s="78" t="s">
        <v>441</v>
      </c>
      <c r="E140" s="79"/>
      <c r="O140" s="79"/>
      <c r="S140" s="79"/>
      <c r="V140" s="78">
        <f t="shared" ref="V140:AA140" si="227">V136/V112</f>
        <v>0</v>
      </c>
      <c r="W140" s="79">
        <f t="shared" si="227"/>
        <v>2.9594493769309755</v>
      </c>
      <c r="X140" s="78">
        <f t="shared" si="227"/>
        <v>1.9899705199815292</v>
      </c>
      <c r="Y140" s="78">
        <f t="shared" si="227"/>
        <v>1.1923969239562493</v>
      </c>
      <c r="Z140" s="78">
        <f t="shared" si="227"/>
        <v>0</v>
      </c>
      <c r="AA140" s="79">
        <f t="shared" si="227"/>
        <v>0.74156844234924379</v>
      </c>
      <c r="AB140" s="78">
        <f>AB136/AB112</f>
        <v>0.75380519363758514</v>
      </c>
      <c r="AC140" s="78">
        <f t="shared" ref="AC140:AD140" si="228">AC136/AC112</f>
        <v>1.1810456870155006</v>
      </c>
      <c r="AD140" s="78" t="e">
        <f t="shared" si="228"/>
        <v>#DIV/0!</v>
      </c>
      <c r="AZ140" s="78">
        <f>AZ136/AZ112</f>
        <v>-2.7550630987358362</v>
      </c>
      <c r="BA140" s="78">
        <f t="shared" ref="BA140:BE140" si="229">BA136/BA112</f>
        <v>2.7341778601364788</v>
      </c>
      <c r="BB140" s="78">
        <f t="shared" si="229"/>
        <v>1.4447120021795272</v>
      </c>
      <c r="BC140" s="78" t="e">
        <f t="shared" si="229"/>
        <v>#DIV/0!</v>
      </c>
      <c r="BD140" s="78" t="e">
        <f t="shared" si="229"/>
        <v>#DIV/0!</v>
      </c>
      <c r="BE140" s="78" t="e">
        <f t="shared" si="229"/>
        <v>#DIV/0!</v>
      </c>
    </row>
    <row r="141" spans="1:86" s="78" customFormat="1" x14ac:dyDescent="0.35">
      <c r="B141" s="78" t="s">
        <v>442</v>
      </c>
      <c r="E141" s="79"/>
      <c r="O141" s="79"/>
      <c r="S141" s="79"/>
      <c r="V141" s="78">
        <f t="shared" ref="V141:AA141" si="230">V136/SUM(S121:V121)</f>
        <v>0</v>
      </c>
      <c r="W141" s="79">
        <f t="shared" si="230"/>
        <v>-6.2933653613690037</v>
      </c>
      <c r="X141" s="78">
        <f t="shared" si="230"/>
        <v>-3.8898795777005319</v>
      </c>
      <c r="Y141" s="78">
        <f t="shared" si="230"/>
        <v>-1.7801478234941903</v>
      </c>
      <c r="Z141" s="78">
        <f t="shared" si="230"/>
        <v>0</v>
      </c>
      <c r="AA141" s="79">
        <f t="shared" si="230"/>
        <v>-0.96503980946816481</v>
      </c>
      <c r="AB141" s="78">
        <f>AB136/SUM(Y121:AB121)</f>
        <v>-0.82474825081013337</v>
      </c>
      <c r="AC141" s="78">
        <f t="shared" ref="AC141:AD141" si="231">AC136/SUM(Z121:AC121)</f>
        <v>-1.0976219461125909</v>
      </c>
      <c r="AD141" s="78">
        <f t="shared" si="231"/>
        <v>-1.0343037899174166</v>
      </c>
      <c r="AZ141" s="78">
        <f>AZ136/AZ121</f>
        <v>-343.02453153123992</v>
      </c>
      <c r="BA141" s="78">
        <f t="shared" ref="BA141:BE141" si="232">BA136/BA121</f>
        <v>-14.127466822672513</v>
      </c>
      <c r="BB141" s="78">
        <f t="shared" si="232"/>
        <v>-4.3239288941838216</v>
      </c>
      <c r="BC141" s="78" t="e">
        <f t="shared" si="232"/>
        <v>#DIV/0!</v>
      </c>
      <c r="BD141" s="78" t="e">
        <f t="shared" si="232"/>
        <v>#DIV/0!</v>
      </c>
      <c r="BE141" s="78" t="e">
        <f t="shared" si="232"/>
        <v>#DIV/0!</v>
      </c>
    </row>
    <row r="142" spans="1:86" x14ac:dyDescent="0.35">
      <c r="A142" s="5"/>
      <c r="B142" s="5"/>
      <c r="C142" s="5"/>
      <c r="D142" s="5"/>
      <c r="E142" s="43"/>
      <c r="F142" s="5"/>
      <c r="G142" s="5"/>
      <c r="H142" s="5"/>
      <c r="I142" s="5"/>
      <c r="J142" s="5"/>
      <c r="K142" s="5"/>
      <c r="L142" s="5"/>
      <c r="M142" s="5"/>
      <c r="N142" s="5"/>
      <c r="O142" s="43"/>
      <c r="P142" s="5"/>
      <c r="Q142" s="5"/>
      <c r="R142" s="5"/>
      <c r="S142" s="43"/>
      <c r="T142" s="5"/>
      <c r="U142" s="5"/>
      <c r="V142" s="5"/>
      <c r="W142" s="43"/>
      <c r="X142" s="5"/>
      <c r="Y142" s="5"/>
      <c r="Z142" s="5"/>
      <c r="AA142" s="43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</row>
    <row r="143" spans="1:86" x14ac:dyDescent="0.35">
      <c r="A143" s="5"/>
      <c r="B143" s="5"/>
      <c r="C143" s="5"/>
      <c r="D143" s="5"/>
      <c r="E143" s="43"/>
      <c r="F143" s="5"/>
      <c r="G143" s="5"/>
      <c r="H143" s="5"/>
      <c r="I143" s="5"/>
      <c r="J143" s="5"/>
      <c r="K143" s="5"/>
      <c r="L143" s="5"/>
      <c r="M143" s="5"/>
      <c r="N143" s="5"/>
      <c r="O143" s="43"/>
      <c r="P143" s="5"/>
      <c r="Q143" s="5"/>
      <c r="R143" s="5"/>
      <c r="S143" s="43"/>
      <c r="T143" s="5"/>
      <c r="U143" s="5"/>
      <c r="V143" s="5"/>
      <c r="W143" s="43"/>
      <c r="X143" s="5"/>
      <c r="Y143" s="5"/>
      <c r="Z143" s="5"/>
      <c r="AA143" s="43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</row>
    <row r="144" spans="1:86" s="12" customFormat="1" x14ac:dyDescent="0.35">
      <c r="A144" s="18"/>
      <c r="B144" s="18" t="s">
        <v>443</v>
      </c>
      <c r="C144" s="18"/>
      <c r="D144" s="18"/>
      <c r="E144" s="48"/>
      <c r="F144" s="18"/>
      <c r="G144" s="18"/>
      <c r="H144" s="18"/>
      <c r="I144" s="18"/>
      <c r="J144" s="18"/>
      <c r="K144" s="18"/>
      <c r="L144" s="18"/>
      <c r="M144" s="18"/>
      <c r="N144" s="18"/>
      <c r="O144" s="48"/>
      <c r="P144" s="18"/>
      <c r="Q144" s="18"/>
      <c r="R144" s="18"/>
      <c r="S144" s="48"/>
      <c r="T144" s="18"/>
      <c r="U144" s="18"/>
      <c r="V144" s="18"/>
      <c r="W144" s="48"/>
      <c r="X144" s="18"/>
      <c r="Y144" s="18"/>
      <c r="Z144" s="18"/>
      <c r="AA144" s="4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</row>
    <row r="145" spans="1:86" s="80" customFormat="1" x14ac:dyDescent="0.35">
      <c r="B145" s="80" t="s">
        <v>444</v>
      </c>
      <c r="E145" s="81"/>
      <c r="O145" s="81"/>
      <c r="S145" s="81"/>
      <c r="V145" s="80" t="e">
        <f>(V28-R28)/ABS(R28)</f>
        <v>#DIV/0!</v>
      </c>
      <c r="W145" s="81">
        <f t="shared" ref="W145:AA145" si="233">(W28-S28)/ABS(S28)</f>
        <v>1.4546793412772794</v>
      </c>
      <c r="X145" s="80">
        <f t="shared" si="233"/>
        <v>0.9301809900515402</v>
      </c>
      <c r="Y145" s="80">
        <f t="shared" si="233"/>
        <v>4.6674255976581557E-2</v>
      </c>
      <c r="Z145" s="80">
        <f t="shared" si="233"/>
        <v>-2.9578266339184089E-2</v>
      </c>
      <c r="AA145" s="81">
        <f t="shared" si="233"/>
        <v>0.28103523508236067</v>
      </c>
      <c r="AB145" s="80">
        <f>(AB28-X28)/ABS(X28)</f>
        <v>0.16361350017077034</v>
      </c>
      <c r="AZ145" s="80">
        <f>(AZ28-AY28)/ABS(AY28)</f>
        <v>0.40667765654028309</v>
      </c>
      <c r="BA145" s="80">
        <f t="shared" ref="BA145:BE145" si="234">(BA28-AZ28)/ABS(AZ28)</f>
        <v>0.41349355456760728</v>
      </c>
      <c r="BB145" s="80">
        <f t="shared" si="234"/>
        <v>0.34557430120545352</v>
      </c>
      <c r="BC145" s="80">
        <f t="shared" si="234"/>
        <v>-1</v>
      </c>
      <c r="BD145" s="80" t="e">
        <f t="shared" si="234"/>
        <v>#DIV/0!</v>
      </c>
      <c r="BE145" s="80" t="e">
        <f t="shared" si="234"/>
        <v>#DIV/0!</v>
      </c>
    </row>
    <row r="146" spans="1:86" s="80" customFormat="1" x14ac:dyDescent="0.35">
      <c r="B146" s="80" t="s">
        <v>445</v>
      </c>
      <c r="E146" s="81"/>
      <c r="O146" s="81"/>
      <c r="S146" s="81"/>
      <c r="V146" s="80" t="e">
        <f>(V55-R55)/ABS(R55)</f>
        <v>#DIV/0!</v>
      </c>
      <c r="W146" s="81">
        <f t="shared" ref="W146:AA146" si="235">(W55-S55)/ABS(S55)</f>
        <v>-0.54614488044361242</v>
      </c>
      <c r="X146" s="80">
        <f t="shared" si="235"/>
        <v>-0.12858894451823849</v>
      </c>
      <c r="Y146" s="80">
        <f t="shared" si="235"/>
        <v>0.71573256582785583</v>
      </c>
      <c r="Z146" s="80">
        <f t="shared" si="235"/>
        <v>0.11523616982172395</v>
      </c>
      <c r="AA146" s="81">
        <f t="shared" si="235"/>
        <v>0.32426443713450293</v>
      </c>
      <c r="AB146" s="80">
        <f>(AB55-X55)/ABS(X55)</f>
        <v>0.40951066044995699</v>
      </c>
      <c r="AZ146" s="80">
        <f>(AZ55-AY55)/ABS(AY55)</f>
        <v>0.29889417123459677</v>
      </c>
      <c r="BA146" s="80">
        <f t="shared" ref="BA146:BE146" si="236">(BA55-AZ55)/ABS(AZ55)</f>
        <v>-1.8914812939243852</v>
      </c>
      <c r="BB146" s="80">
        <f t="shared" si="236"/>
        <v>0.32422907865341322</v>
      </c>
      <c r="BC146" s="80">
        <f t="shared" si="236"/>
        <v>1</v>
      </c>
      <c r="BD146" s="80" t="e">
        <f t="shared" si="236"/>
        <v>#DIV/0!</v>
      </c>
      <c r="BE146" s="80" t="e">
        <f t="shared" si="236"/>
        <v>#DIV/0!</v>
      </c>
    </row>
    <row r="147" spans="1:86" s="80" customFormat="1" x14ac:dyDescent="0.35">
      <c r="B147" s="80" t="s">
        <v>446</v>
      </c>
      <c r="E147" s="81"/>
      <c r="O147" s="81"/>
      <c r="S147" s="81"/>
      <c r="V147" s="80" t="e">
        <f>(V121-R121)/ABS(R121)</f>
        <v>#DIV/0!</v>
      </c>
      <c r="W147" s="81">
        <f t="shared" ref="W147:AA147" si="237">(W121-S121)/ABS(S121)</f>
        <v>-1.3901387530340905</v>
      </c>
      <c r="X147" s="80">
        <f t="shared" si="237"/>
        <v>-0.56687387206737516</v>
      </c>
      <c r="Y147" s="80">
        <f t="shared" si="237"/>
        <v>-1.1923635862997353</v>
      </c>
      <c r="Z147" s="80">
        <f t="shared" si="237"/>
        <v>-0.54105687692342419</v>
      </c>
      <c r="AA147" s="81">
        <f t="shared" si="237"/>
        <v>0.28627510420613866</v>
      </c>
      <c r="AB147" s="80">
        <f>(AB121-X121)/ABS(X121)</f>
        <v>-0.91448397463242614</v>
      </c>
      <c r="AZ147" s="80">
        <f>(AZ121-AY121)/ABS(AY121)</f>
        <v>0.55160400638699381</v>
      </c>
      <c r="BA147" s="80">
        <f t="shared" ref="BA147:BE147" si="238">(BA121-AZ121)/ABS(AZ121)</f>
        <v>-42.023955972806732</v>
      </c>
      <c r="BB147" s="80">
        <f t="shared" si="238"/>
        <v>-0.54105687692342419</v>
      </c>
      <c r="BC147" s="80">
        <f t="shared" si="238"/>
        <v>1</v>
      </c>
      <c r="BD147" s="80" t="e">
        <f t="shared" si="238"/>
        <v>#DIV/0!</v>
      </c>
      <c r="BE147" s="80" t="e">
        <f t="shared" si="238"/>
        <v>#DIV/0!</v>
      </c>
    </row>
    <row r="148" spans="1:86" x14ac:dyDescent="0.35">
      <c r="A148" s="5"/>
      <c r="B148" s="5"/>
      <c r="C148" s="5"/>
      <c r="D148" s="5"/>
      <c r="E148" s="43"/>
      <c r="F148" s="5"/>
      <c r="G148" s="5"/>
      <c r="H148" s="5"/>
      <c r="I148" s="5"/>
      <c r="J148" s="5"/>
      <c r="K148" s="5"/>
      <c r="L148" s="5"/>
      <c r="M148" s="5"/>
      <c r="N148" s="5"/>
      <c r="O148" s="43"/>
      <c r="P148" s="5"/>
      <c r="Q148" s="5"/>
      <c r="R148" s="5"/>
      <c r="S148" s="43"/>
      <c r="T148" s="5"/>
      <c r="U148" s="5"/>
      <c r="V148" s="5"/>
      <c r="W148" s="43"/>
      <c r="X148" s="5"/>
      <c r="Y148" s="5"/>
      <c r="Z148" s="5"/>
      <c r="AA148" s="43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</row>
    <row r="149" spans="1:86" s="12" customFormat="1" x14ac:dyDescent="0.35">
      <c r="A149" s="18"/>
      <c r="B149" s="18" t="s">
        <v>447</v>
      </c>
      <c r="C149" s="18"/>
      <c r="D149" s="18"/>
      <c r="E149" s="48"/>
      <c r="F149" s="18"/>
      <c r="G149" s="18"/>
      <c r="H149" s="18"/>
      <c r="I149" s="18"/>
      <c r="J149" s="18"/>
      <c r="K149" s="18"/>
      <c r="L149" s="18"/>
      <c r="M149" s="18"/>
      <c r="N149" s="18"/>
      <c r="O149" s="48"/>
      <c r="P149" s="18"/>
      <c r="Q149" s="18"/>
      <c r="R149" s="18"/>
      <c r="S149" s="48"/>
      <c r="T149" s="18"/>
      <c r="U149" s="18"/>
      <c r="V149" s="18"/>
      <c r="W149" s="48"/>
      <c r="X149" s="18"/>
      <c r="Y149" s="18"/>
      <c r="Z149" s="18"/>
      <c r="AA149" s="4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</row>
    <row r="150" spans="1:86" s="80" customFormat="1" x14ac:dyDescent="0.35">
      <c r="B150" s="80" t="s">
        <v>448</v>
      </c>
      <c r="E150" s="81"/>
      <c r="O150" s="81"/>
      <c r="S150" s="81"/>
      <c r="W150" s="81">
        <f>W30/W28</f>
        <v>3.5453256245227444E-4</v>
      </c>
      <c r="X150" s="80">
        <f t="shared" ref="X150:AD150" si="239">X30/X28</f>
        <v>7.5154469525258491E-2</v>
      </c>
      <c r="Y150" s="80">
        <f t="shared" si="239"/>
        <v>5.1610731303086806E-2</v>
      </c>
      <c r="Z150" s="80">
        <f t="shared" si="239"/>
        <v>3.4353442288994861E-2</v>
      </c>
      <c r="AA150" s="81">
        <f t="shared" si="239"/>
        <v>0.10342111425712644</v>
      </c>
      <c r="AB150" s="80">
        <f t="shared" si="239"/>
        <v>0.15290915640468028</v>
      </c>
      <c r="AC150" s="80">
        <f t="shared" si="239"/>
        <v>0.22322632183334165</v>
      </c>
      <c r="AD150" s="80" t="e">
        <f t="shared" si="239"/>
        <v>#DIV/0!</v>
      </c>
      <c r="AZ150" s="80">
        <f>AZ30/AZ28</f>
        <v>0.15941516769285144</v>
      </c>
      <c r="BA150" s="80">
        <f t="shared" ref="BA150:BE150" si="240">BA30/BA28</f>
        <v>-0.2812483550034216</v>
      </c>
      <c r="BB150" s="80">
        <f t="shared" si="240"/>
        <v>4.4367832954350962E-2</v>
      </c>
      <c r="BC150" s="80" t="e">
        <f t="shared" si="240"/>
        <v>#DIV/0!</v>
      </c>
      <c r="BD150" s="80" t="e">
        <f t="shared" si="240"/>
        <v>#DIV/0!</v>
      </c>
      <c r="BE150" s="80" t="e">
        <f t="shared" si="240"/>
        <v>#DIV/0!</v>
      </c>
    </row>
    <row r="151" spans="1:86" s="80" customFormat="1" x14ac:dyDescent="0.35">
      <c r="B151" s="80" t="s">
        <v>449</v>
      </c>
      <c r="E151" s="81"/>
      <c r="O151" s="81"/>
      <c r="S151" s="81"/>
      <c r="W151" s="81">
        <f>W38/W28</f>
        <v>-1.1797207374277299</v>
      </c>
      <c r="X151" s="80">
        <f t="shared" ref="X151:AD151" si="241">X38/X28</f>
        <v>-0.69817120501754282</v>
      </c>
      <c r="Y151" s="80">
        <f t="shared" si="241"/>
        <v>-0.96048270147089287</v>
      </c>
      <c r="Z151" s="80">
        <f t="shared" si="241"/>
        <v>-0.53437659150886618</v>
      </c>
      <c r="AA151" s="81">
        <f t="shared" si="241"/>
        <v>-0.66631894918357359</v>
      </c>
      <c r="AB151" s="80">
        <f t="shared" si="241"/>
        <v>-0.35843795445145626</v>
      </c>
      <c r="AC151" s="80">
        <f t="shared" si="241"/>
        <v>-0.32887313395576412</v>
      </c>
      <c r="AD151" s="80" t="e">
        <f t="shared" si="241"/>
        <v>#DIV/0!</v>
      </c>
      <c r="AZ151" s="80">
        <f>AZ38/AZ28</f>
        <v>-0.27071746126230029</v>
      </c>
      <c r="BA151" s="80">
        <f t="shared" ref="BA151:BE151" si="242">BA38/BA28</f>
        <v>-1.276938463967995</v>
      </c>
      <c r="BB151" s="80">
        <f t="shared" si="242"/>
        <v>-0.78215115283992276</v>
      </c>
      <c r="BC151" s="80" t="e">
        <f t="shared" si="242"/>
        <v>#DIV/0!</v>
      </c>
      <c r="BD151" s="80" t="e">
        <f t="shared" si="242"/>
        <v>#DIV/0!</v>
      </c>
      <c r="BE151" s="80" t="e">
        <f t="shared" si="242"/>
        <v>#DIV/0!</v>
      </c>
    </row>
    <row r="152" spans="1:86" s="80" customFormat="1" x14ac:dyDescent="0.35">
      <c r="B152" s="80" t="s">
        <v>450</v>
      </c>
      <c r="E152" s="81"/>
      <c r="O152" s="81"/>
      <c r="S152" s="81"/>
      <c r="W152" s="81">
        <f>W55/W28</f>
        <v>-1.1938474964546744</v>
      </c>
      <c r="X152" s="80">
        <f t="shared" ref="X152:AD152" si="243">X55/X28</f>
        <v>-0.68590679044928127</v>
      </c>
      <c r="Y152" s="80">
        <f t="shared" si="243"/>
        <v>-0.94634348456598305</v>
      </c>
      <c r="Z152" s="80">
        <f t="shared" si="243"/>
        <v>-0.52005494081516124</v>
      </c>
      <c r="AA152" s="81">
        <f t="shared" si="243"/>
        <v>-0.62974474698230898</v>
      </c>
      <c r="AB152" s="80">
        <f t="shared" si="243"/>
        <v>-0.34807145811375129</v>
      </c>
      <c r="AC152" s="80">
        <f t="shared" si="243"/>
        <v>-0.32615207948474711</v>
      </c>
      <c r="AD152" s="80" t="e">
        <f t="shared" si="243"/>
        <v>#DIV/0!</v>
      </c>
      <c r="AZ152" s="80">
        <f>AZ55/AZ28</f>
        <v>-0.75301809929500174</v>
      </c>
      <c r="BA152" s="80">
        <f t="shared" ref="BA152:BE152" si="244">BA55/BA28</f>
        <v>-1.5403945359793652</v>
      </c>
      <c r="BB152" s="80">
        <f t="shared" si="244"/>
        <v>-0.77361304677375975</v>
      </c>
      <c r="BC152" s="80" t="e">
        <f t="shared" si="244"/>
        <v>#DIV/0!</v>
      </c>
      <c r="BD152" s="80" t="e">
        <f t="shared" si="244"/>
        <v>#DIV/0!</v>
      </c>
      <c r="BE152" s="80" t="e">
        <f t="shared" si="244"/>
        <v>#DIV/0!</v>
      </c>
    </row>
    <row r="153" spans="1:86" x14ac:dyDescent="0.35">
      <c r="A153" s="5"/>
      <c r="B153" s="5"/>
      <c r="C153" s="5"/>
      <c r="D153" s="5"/>
      <c r="E153" s="43"/>
      <c r="F153" s="5"/>
      <c r="G153" s="5"/>
      <c r="H153" s="5"/>
      <c r="I153" s="5"/>
      <c r="J153" s="5"/>
      <c r="K153" s="5"/>
      <c r="L153" s="5"/>
      <c r="M153" s="5"/>
      <c r="N153" s="5"/>
      <c r="O153" s="43"/>
      <c r="P153" s="5"/>
      <c r="Q153" s="5"/>
      <c r="R153" s="5"/>
      <c r="S153" s="43"/>
      <c r="T153" s="5"/>
      <c r="U153" s="5"/>
      <c r="V153" s="5"/>
      <c r="W153" s="43"/>
      <c r="X153" s="5"/>
      <c r="Y153" s="5"/>
      <c r="Z153" s="5"/>
      <c r="AA153" s="43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</row>
    <row r="154" spans="1:86" s="12" customFormat="1" x14ac:dyDescent="0.35">
      <c r="A154" s="18"/>
      <c r="B154" s="18" t="s">
        <v>451</v>
      </c>
      <c r="C154" s="18"/>
      <c r="D154" s="18"/>
      <c r="E154" s="48"/>
      <c r="F154" s="18"/>
      <c r="G154" s="18"/>
      <c r="H154" s="18"/>
      <c r="I154" s="18"/>
      <c r="J154" s="18"/>
      <c r="K154" s="18"/>
      <c r="L154" s="18"/>
      <c r="M154" s="18"/>
      <c r="N154" s="18"/>
      <c r="O154" s="48"/>
      <c r="P154" s="18"/>
      <c r="Q154" s="18"/>
      <c r="R154" s="18"/>
      <c r="S154" s="48"/>
      <c r="T154" s="18"/>
      <c r="U154" s="18"/>
      <c r="V154" s="18"/>
      <c r="W154" s="48"/>
      <c r="X154" s="18"/>
      <c r="Y154" s="18"/>
      <c r="Z154" s="18"/>
      <c r="AA154" s="4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</row>
    <row r="155" spans="1:86" s="78" customFormat="1" x14ac:dyDescent="0.35">
      <c r="B155" s="78" t="s">
        <v>504</v>
      </c>
      <c r="E155" s="79"/>
      <c r="O155" s="79"/>
      <c r="S155" s="79"/>
      <c r="W155" s="79">
        <f>SUM(T28:W28)/W137</f>
        <v>0.58126170162865709</v>
      </c>
      <c r="X155" s="78">
        <f t="shared" ref="X155:AA155" si="245">SUM(U28:X28)/X137</f>
        <v>0.68120921989337335</v>
      </c>
      <c r="Y155" s="78">
        <f t="shared" si="245"/>
        <v>0.67478928154730589</v>
      </c>
      <c r="Z155" s="78" t="e">
        <f t="shared" si="245"/>
        <v>#DIV/0!</v>
      </c>
      <c r="AA155" s="79">
        <f t="shared" si="245"/>
        <v>0.69804887961188711</v>
      </c>
      <c r="AB155" s="78">
        <f>SUM(Y28:AB28)/AB137</f>
        <v>0.7322334181506932</v>
      </c>
    </row>
    <row r="156" spans="1:86" s="78" customFormat="1" x14ac:dyDescent="0.35">
      <c r="B156" s="78" t="s">
        <v>505</v>
      </c>
      <c r="E156" s="79"/>
      <c r="O156" s="79"/>
      <c r="S156" s="79"/>
      <c r="W156" s="79">
        <f>SUM(T38:W38)/W137</f>
        <v>-0.75787951490892458</v>
      </c>
      <c r="X156" s="78">
        <f t="shared" ref="X156:AA156" si="246">SUM(U38:X38)/X137</f>
        <v>-0.82883427262106224</v>
      </c>
      <c r="Y156" s="78">
        <f t="shared" si="246"/>
        <v>-0.56511763956114347</v>
      </c>
      <c r="Z156" s="78" t="e">
        <f t="shared" si="246"/>
        <v>#DIV/0!</v>
      </c>
      <c r="AA156" s="79">
        <f t="shared" si="246"/>
        <v>-0.4809225304800947</v>
      </c>
      <c r="AB156" s="78">
        <f>SUM(Y38:AB38)/AB137</f>
        <v>-0.42204504583241331</v>
      </c>
    </row>
    <row r="157" spans="1:86" s="78" customFormat="1" x14ac:dyDescent="0.35">
      <c r="B157" s="78" t="s">
        <v>452</v>
      </c>
      <c r="E157" s="79"/>
      <c r="O157" s="79"/>
      <c r="S157" s="79"/>
      <c r="W157" s="79">
        <f>W63/W137</f>
        <v>1.3925873375605338</v>
      </c>
      <c r="X157" s="78">
        <f t="shared" ref="X157:AA157" si="247">X63/X137</f>
        <v>1.1107960938233383</v>
      </c>
      <c r="Y157" s="78">
        <f t="shared" si="247"/>
        <v>0.96679162159247267</v>
      </c>
      <c r="Z157" s="78" t="e">
        <f t="shared" si="247"/>
        <v>#DIV/0!</v>
      </c>
      <c r="AA157" s="79">
        <f t="shared" si="247"/>
        <v>0.65094357928612223</v>
      </c>
      <c r="AB157" s="78">
        <f>AB63/AB137</f>
        <v>0.46391452955636558</v>
      </c>
      <c r="AZ157" s="78">
        <f>AZ63/AZ137</f>
        <v>0.21706926859501582</v>
      </c>
      <c r="BA157" s="78">
        <f t="shared" ref="BA157:BE157" si="248">BA63/BA137</f>
        <v>2.5870903786118986</v>
      </c>
      <c r="BB157" s="78">
        <f t="shared" si="248"/>
        <v>0.76305928384376964</v>
      </c>
      <c r="BC157" s="78" t="e">
        <f t="shared" si="248"/>
        <v>#DIV/0!</v>
      </c>
      <c r="BD157" s="78" t="e">
        <f t="shared" si="248"/>
        <v>#DIV/0!</v>
      </c>
      <c r="BE157" s="78" t="e">
        <f t="shared" si="248"/>
        <v>#DIV/0!</v>
      </c>
    </row>
    <row r="158" spans="1:86" s="78" customFormat="1" x14ac:dyDescent="0.35">
      <c r="B158" s="78" t="s">
        <v>453</v>
      </c>
      <c r="E158" s="79"/>
      <c r="O158" s="79"/>
      <c r="S158" s="79"/>
      <c r="W158" s="79">
        <f>(W91+W92)/W137</f>
        <v>0.24476730618994957</v>
      </c>
      <c r="X158" s="78">
        <f t="shared" ref="X158:AA158" si="249">(X91+X92)/X137</f>
        <v>0.14601808194795732</v>
      </c>
      <c r="Y158" s="78">
        <f t="shared" si="249"/>
        <v>0.12404853959611344</v>
      </c>
      <c r="Z158" s="78" t="e">
        <f t="shared" si="249"/>
        <v>#DIV/0!</v>
      </c>
      <c r="AA158" s="79">
        <f t="shared" si="249"/>
        <v>0.23726512430383556</v>
      </c>
      <c r="AB158" s="78">
        <f>(AB91+AB92)/AB137</f>
        <v>0.24344090897534595</v>
      </c>
      <c r="AZ158" s="78">
        <f>(AZ91+AZ92)/AZ137</f>
        <v>0.73864745952361466</v>
      </c>
      <c r="BA158" s="78">
        <f t="shared" ref="BA158:BE158" si="250">(BA91+BA92)/BA137</f>
        <v>0.39348243287358181</v>
      </c>
      <c r="BB158" s="78">
        <f t="shared" si="250"/>
        <v>0.24032311772082426</v>
      </c>
      <c r="BC158" s="78" t="e">
        <f t="shared" si="250"/>
        <v>#DIV/0!</v>
      </c>
      <c r="BD158" s="78" t="e">
        <f t="shared" si="250"/>
        <v>#DIV/0!</v>
      </c>
      <c r="BE158" s="78" t="e">
        <f t="shared" si="250"/>
        <v>#DIV/0!</v>
      </c>
    </row>
    <row r="159" spans="1:86" s="78" customFormat="1" x14ac:dyDescent="0.35">
      <c r="B159" s="78" t="s">
        <v>507</v>
      </c>
      <c r="E159" s="79"/>
      <c r="O159" s="79"/>
      <c r="S159" s="79"/>
      <c r="W159" s="79">
        <f>W112/W137</f>
        <v>2.1997335216292959</v>
      </c>
      <c r="X159" s="78">
        <f t="shared" ref="X159:Z159" si="251">X112/X137</f>
        <v>2.1759116311131033</v>
      </c>
      <c r="Y159" s="78">
        <f t="shared" si="251"/>
        <v>2.0127525925151235</v>
      </c>
      <c r="Z159" s="78" t="e">
        <f t="shared" si="251"/>
        <v>#DIV/0!</v>
      </c>
      <c r="AA159" s="79">
        <f>AA112/AA137</f>
        <v>1.9688000683723927</v>
      </c>
      <c r="AB159" s="78">
        <f>AB112/AB137</f>
        <v>1.8837758242916911</v>
      </c>
    </row>
    <row r="160" spans="1:86" s="12" customFormat="1" x14ac:dyDescent="0.35">
      <c r="A160" s="18"/>
      <c r="B160" s="18" t="s">
        <v>454</v>
      </c>
      <c r="C160" s="18"/>
      <c r="D160" s="18"/>
      <c r="E160" s="48"/>
      <c r="F160" s="18"/>
      <c r="G160" s="18"/>
      <c r="H160" s="18"/>
      <c r="I160" s="18"/>
      <c r="J160" s="18"/>
      <c r="K160" s="18"/>
      <c r="L160" s="18"/>
      <c r="M160" s="18"/>
      <c r="N160" s="18"/>
      <c r="O160" s="48"/>
      <c r="P160" s="18"/>
      <c r="Q160" s="18"/>
      <c r="R160" s="18"/>
      <c r="S160" s="48"/>
      <c r="T160" s="18"/>
      <c r="U160" s="18"/>
      <c r="V160" s="18"/>
      <c r="W160" s="48"/>
      <c r="X160" s="18"/>
      <c r="Y160" s="18"/>
      <c r="Z160" s="18"/>
      <c r="AA160" s="4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</row>
    <row r="161" spans="1:86" x14ac:dyDescent="0.35">
      <c r="A161" s="5"/>
      <c r="B161" s="5" t="s">
        <v>5</v>
      </c>
      <c r="C161" s="5"/>
      <c r="D161" s="5"/>
      <c r="E161" s="43"/>
      <c r="F161" s="5"/>
      <c r="G161" s="5"/>
      <c r="H161" s="5"/>
      <c r="I161" s="5"/>
      <c r="J161" s="5"/>
      <c r="K161" s="5"/>
      <c r="L161" s="5"/>
      <c r="M161" s="5"/>
      <c r="N161" s="5"/>
      <c r="O161" s="43"/>
      <c r="P161" s="5"/>
      <c r="Q161" s="5"/>
      <c r="R161" s="5"/>
      <c r="S161" s="43"/>
      <c r="T161" s="5"/>
      <c r="U161" s="5"/>
      <c r="V161" s="5"/>
      <c r="W161" s="43">
        <f>W136-(W63+W64)+(W81+W82+W91+W92)</f>
        <v>1583490.03416</v>
      </c>
      <c r="X161" s="5">
        <f t="shared" ref="X161:AD161" si="252">X136-(X63+X64)+(X81+X82+X91+X92)</f>
        <v>992540.67995000002</v>
      </c>
      <c r="Y161" s="5">
        <f t="shared" si="252"/>
        <v>502088.79999999993</v>
      </c>
      <c r="Z161" s="5">
        <f t="shared" si="252"/>
        <v>-140911</v>
      </c>
      <c r="AA161" s="43">
        <f t="shared" si="252"/>
        <v>345538.66785999999</v>
      </c>
      <c r="AB161" s="5">
        <f t="shared" si="252"/>
        <v>420545.68543999997</v>
      </c>
      <c r="AC161" s="5">
        <f t="shared" si="252"/>
        <v>764705.09798000008</v>
      </c>
      <c r="AD161" s="5">
        <f t="shared" si="252"/>
        <v>419565.33238000004</v>
      </c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>
        <f t="shared" ref="AZ161:BE161" si="253">AZ136-(AZ63+AZ64)+(AZ81+AZ82+AZ91+AZ92)</f>
        <v>1136006.7779000001</v>
      </c>
      <c r="BA161" s="5">
        <f t="shared" si="253"/>
        <v>1456526.4681999998</v>
      </c>
      <c r="BB161" s="5">
        <f t="shared" si="253"/>
        <v>744664.22896000009</v>
      </c>
      <c r="BC161" s="5">
        <f t="shared" si="253"/>
        <v>0</v>
      </c>
      <c r="BD161" s="5">
        <f t="shared" si="253"/>
        <v>0</v>
      </c>
      <c r="BE161" s="5">
        <f t="shared" si="253"/>
        <v>0</v>
      </c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</row>
    <row r="162" spans="1:86" x14ac:dyDescent="0.35">
      <c r="A162" s="5"/>
      <c r="B162" s="5" t="s">
        <v>455</v>
      </c>
      <c r="C162" s="5"/>
      <c r="D162" s="5"/>
      <c r="E162" s="43"/>
      <c r="F162" s="5"/>
      <c r="G162" s="5"/>
      <c r="H162" s="5"/>
      <c r="I162" s="5"/>
      <c r="J162" s="5"/>
      <c r="K162" s="5"/>
      <c r="L162" s="5"/>
      <c r="M162" s="5"/>
      <c r="N162" s="5"/>
      <c r="O162" s="43"/>
      <c r="P162" s="5"/>
      <c r="Q162" s="5"/>
      <c r="R162" s="5"/>
      <c r="S162" s="43"/>
      <c r="T162" s="5"/>
      <c r="U162" s="5"/>
      <c r="V162" s="5"/>
      <c r="W162" s="43">
        <f>W63-(W85+W86+W91+W92)</f>
        <v>259006</v>
      </c>
      <c r="X162" s="5">
        <f t="shared" ref="X162:AD162" si="254">X63-(X85+X86+X91+X92)</f>
        <v>204567</v>
      </c>
      <c r="Y162" s="5">
        <f t="shared" si="254"/>
        <v>250176</v>
      </c>
      <c r="Z162" s="5">
        <f t="shared" si="254"/>
        <v>140479</v>
      </c>
      <c r="AA162" s="43">
        <f t="shared" si="254"/>
        <v>104795</v>
      </c>
      <c r="AB162" s="5">
        <f t="shared" si="254"/>
        <v>49079</v>
      </c>
      <c r="AC162" s="5">
        <f t="shared" si="254"/>
        <v>-32799</v>
      </c>
      <c r="AD162" s="5">
        <f t="shared" si="254"/>
        <v>0</v>
      </c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>
        <f t="shared" ref="AZ162:BE162" si="255">AZ63-(AZ85+AZ86+AZ91+AZ92)</f>
        <v>-99617</v>
      </c>
      <c r="BA162" s="5">
        <f t="shared" si="255"/>
        <v>333530</v>
      </c>
      <c r="BB162" s="5">
        <f t="shared" si="255"/>
        <v>140479</v>
      </c>
      <c r="BC162" s="5">
        <f t="shared" si="255"/>
        <v>0</v>
      </c>
      <c r="BD162" s="5">
        <f t="shared" si="255"/>
        <v>0</v>
      </c>
      <c r="BE162" s="5">
        <f t="shared" si="255"/>
        <v>0</v>
      </c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</row>
    <row r="163" spans="1:86" x14ac:dyDescent="0.35">
      <c r="A163" s="5"/>
      <c r="B163" s="5" t="s">
        <v>456</v>
      </c>
      <c r="C163" s="5"/>
      <c r="D163" s="5"/>
      <c r="E163" s="43"/>
      <c r="F163" s="5"/>
      <c r="G163" s="5"/>
      <c r="H163" s="5"/>
      <c r="I163" s="5"/>
      <c r="J163" s="5"/>
      <c r="K163" s="5"/>
      <c r="L163" s="5"/>
      <c r="M163" s="5"/>
      <c r="N163" s="5"/>
      <c r="O163" s="43"/>
      <c r="P163" s="5"/>
      <c r="Q163" s="5"/>
      <c r="R163" s="5"/>
      <c r="S163" s="43"/>
      <c r="T163" s="5"/>
      <c r="U163" s="5"/>
      <c r="V163" s="5"/>
      <c r="W163" s="43">
        <f>W79-W98</f>
        <v>657375</v>
      </c>
      <c r="X163" s="5">
        <f t="shared" ref="X163:AD163" si="256">X79-X98</f>
        <v>654004</v>
      </c>
      <c r="Y163" s="5">
        <f t="shared" si="256"/>
        <v>615856</v>
      </c>
      <c r="Z163" s="5">
        <f t="shared" si="256"/>
        <v>612977</v>
      </c>
      <c r="AA163" s="43">
        <f t="shared" si="256"/>
        <v>605829</v>
      </c>
      <c r="AB163" s="5">
        <f t="shared" si="256"/>
        <v>579717</v>
      </c>
      <c r="AC163" s="5">
        <f t="shared" si="256"/>
        <v>567338</v>
      </c>
      <c r="AD163" s="5">
        <f t="shared" si="256"/>
        <v>0</v>
      </c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>
        <f t="shared" ref="AZ163:BE163" si="257">AZ79-AZ98</f>
        <v>15348</v>
      </c>
      <c r="BA163" s="5">
        <f t="shared" si="257"/>
        <v>686698</v>
      </c>
      <c r="BB163" s="5">
        <f t="shared" si="257"/>
        <v>612977</v>
      </c>
      <c r="BC163" s="5">
        <f t="shared" si="257"/>
        <v>0</v>
      </c>
      <c r="BD163" s="5">
        <f t="shared" si="257"/>
        <v>0</v>
      </c>
      <c r="BE163" s="5">
        <f t="shared" si="257"/>
        <v>0</v>
      </c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</row>
    <row r="164" spans="1:86" s="78" customFormat="1" x14ac:dyDescent="0.35">
      <c r="B164" s="78" t="s">
        <v>506</v>
      </c>
      <c r="E164" s="79"/>
      <c r="O164" s="79"/>
      <c r="S164" s="79"/>
      <c r="W164" s="79">
        <f>W78/W88</f>
        <v>1.9050223275814544</v>
      </c>
      <c r="X164" s="78">
        <f t="shared" ref="X164:AD164" si="258">X78/X88</f>
        <v>1.5923247930487356</v>
      </c>
      <c r="Y164" s="78">
        <f t="shared" si="258"/>
        <v>1.7486531369292817</v>
      </c>
      <c r="Z164" s="78">
        <f t="shared" si="258"/>
        <v>1.742766700078048</v>
      </c>
      <c r="AA164" s="79">
        <f t="shared" si="258"/>
        <v>1.8251648047005793</v>
      </c>
      <c r="AB164" s="78">
        <f t="shared" si="258"/>
        <v>1.9496293259540158</v>
      </c>
      <c r="AC164" s="78">
        <f t="shared" si="258"/>
        <v>1.8212467039843516</v>
      </c>
      <c r="AD164" s="78" t="e">
        <f t="shared" si="258"/>
        <v>#DIV/0!</v>
      </c>
      <c r="AZ164" s="78">
        <f t="shared" ref="AZ164:BE164" si="259">AZ78/AZ88</f>
        <v>1.1718765316458453</v>
      </c>
      <c r="BA164" s="78">
        <f t="shared" si="259"/>
        <v>1.6440482021025775</v>
      </c>
      <c r="BB164" s="78">
        <f t="shared" si="259"/>
        <v>1.742766700078048</v>
      </c>
      <c r="BC164" s="78" t="e">
        <f t="shared" si="259"/>
        <v>#DIV/0!</v>
      </c>
      <c r="BD164" s="78" t="e">
        <f t="shared" si="259"/>
        <v>#DIV/0!</v>
      </c>
      <c r="BE164" s="78" t="e">
        <f t="shared" si="259"/>
        <v>#DIV/0!</v>
      </c>
    </row>
    <row r="165" spans="1:86" x14ac:dyDescent="0.35">
      <c r="A165" s="5"/>
      <c r="B165" s="5"/>
      <c r="C165" s="5"/>
      <c r="D165" s="5"/>
      <c r="E165" s="43"/>
      <c r="F165" s="5"/>
      <c r="G165" s="5"/>
      <c r="H165" s="5"/>
      <c r="I165" s="5"/>
      <c r="J165" s="5"/>
      <c r="K165" s="5"/>
      <c r="L165" s="5"/>
      <c r="M165" s="5"/>
      <c r="N165" s="5"/>
      <c r="O165" s="43"/>
      <c r="P165" s="5"/>
      <c r="Q165" s="5"/>
      <c r="R165" s="5"/>
      <c r="S165" s="43"/>
      <c r="T165" s="5"/>
      <c r="U165" s="5"/>
      <c r="V165" s="5"/>
      <c r="W165" s="43"/>
      <c r="X165" s="5"/>
      <c r="Y165" s="5"/>
      <c r="Z165" s="5"/>
      <c r="AA165" s="43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</row>
    <row r="166" spans="1:86" x14ac:dyDescent="0.35">
      <c r="A166" s="5"/>
      <c r="B166" s="5"/>
      <c r="C166" s="5"/>
      <c r="D166" s="5"/>
      <c r="E166" s="43"/>
      <c r="F166" s="5"/>
      <c r="G166" s="5"/>
      <c r="H166" s="5"/>
      <c r="I166" s="5"/>
      <c r="J166" s="5"/>
      <c r="K166" s="5"/>
      <c r="L166" s="5"/>
      <c r="M166" s="5"/>
      <c r="N166" s="5"/>
      <c r="O166" s="43"/>
      <c r="P166" s="5"/>
      <c r="Q166" s="5"/>
      <c r="R166" s="5"/>
      <c r="S166" s="43"/>
      <c r="T166" s="5"/>
      <c r="U166" s="5"/>
      <c r="V166" s="5"/>
      <c r="W166" s="43"/>
      <c r="X166" s="5"/>
      <c r="Y166" s="5"/>
      <c r="Z166" s="5"/>
      <c r="AA166" s="43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</row>
    <row r="167" spans="1:86" x14ac:dyDescent="0.35">
      <c r="A167" s="5"/>
      <c r="B167" s="5"/>
      <c r="C167" s="5"/>
      <c r="D167" s="5"/>
      <c r="E167" s="43"/>
      <c r="F167" s="5"/>
      <c r="G167" s="5"/>
      <c r="H167" s="5"/>
      <c r="I167" s="5"/>
      <c r="J167" s="5"/>
      <c r="K167" s="5"/>
      <c r="L167" s="5"/>
      <c r="M167" s="5"/>
      <c r="N167" s="5"/>
      <c r="O167" s="43"/>
      <c r="P167" s="5"/>
      <c r="Q167" s="5"/>
      <c r="R167" s="5"/>
      <c r="S167" s="43"/>
      <c r="T167" s="5"/>
      <c r="U167" s="5"/>
      <c r="V167" s="5"/>
      <c r="W167" s="43"/>
      <c r="X167" s="5"/>
      <c r="Y167" s="5"/>
      <c r="Z167" s="5"/>
      <c r="AA167" s="43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</row>
    <row r="168" spans="1:86" x14ac:dyDescent="0.35">
      <c r="A168" s="5"/>
      <c r="B168" s="5"/>
      <c r="C168" s="5"/>
      <c r="D168" s="5"/>
      <c r="E168" s="43"/>
      <c r="F168" s="5"/>
      <c r="G168" s="5"/>
      <c r="H168" s="5"/>
      <c r="I168" s="5"/>
      <c r="J168" s="5"/>
      <c r="K168" s="5"/>
      <c r="L168" s="5"/>
      <c r="M168" s="5"/>
      <c r="N168" s="5"/>
      <c r="O168" s="43"/>
      <c r="P168" s="5"/>
      <c r="Q168" s="5"/>
      <c r="R168" s="5"/>
      <c r="S168" s="43"/>
      <c r="T168" s="5"/>
      <c r="U168" s="5"/>
      <c r="V168" s="5"/>
      <c r="W168" s="43"/>
      <c r="X168" s="5"/>
      <c r="Y168" s="5"/>
      <c r="Z168" s="5"/>
      <c r="AA168" s="43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</row>
    <row r="169" spans="1:86" x14ac:dyDescent="0.35">
      <c r="A169" s="5"/>
      <c r="B169" s="5"/>
      <c r="C169" s="5"/>
      <c r="D169" s="5"/>
      <c r="E169" s="43"/>
      <c r="F169" s="5"/>
      <c r="G169" s="5"/>
      <c r="H169" s="5"/>
      <c r="I169" s="5"/>
      <c r="J169" s="5"/>
      <c r="K169" s="5"/>
      <c r="L169" s="5"/>
      <c r="M169" s="5"/>
      <c r="N169" s="5"/>
      <c r="O169" s="43"/>
      <c r="P169" s="5"/>
      <c r="Q169" s="5"/>
      <c r="R169" s="5"/>
      <c r="S169" s="43"/>
      <c r="T169" s="5"/>
      <c r="U169" s="5"/>
      <c r="V169" s="5"/>
      <c r="W169" s="43"/>
      <c r="X169" s="5"/>
      <c r="Y169" s="5"/>
      <c r="Z169" s="5"/>
      <c r="AA169" s="43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</row>
    <row r="170" spans="1:86" x14ac:dyDescent="0.35">
      <c r="A170" s="5"/>
      <c r="B170" s="5"/>
      <c r="C170" s="5"/>
      <c r="D170" s="5"/>
      <c r="E170" s="43"/>
      <c r="F170" s="5"/>
      <c r="G170" s="5"/>
      <c r="H170" s="5"/>
      <c r="I170" s="5"/>
      <c r="J170" s="5"/>
      <c r="K170" s="5"/>
      <c r="L170" s="5"/>
      <c r="M170" s="5"/>
      <c r="N170" s="5"/>
      <c r="O170" s="43"/>
      <c r="P170" s="5"/>
      <c r="Q170" s="5"/>
      <c r="R170" s="5"/>
      <c r="S170" s="43"/>
      <c r="T170" s="5"/>
      <c r="U170" s="5"/>
      <c r="V170" s="5"/>
      <c r="W170" s="43"/>
      <c r="X170" s="5"/>
      <c r="Y170" s="5"/>
      <c r="Z170" s="5"/>
      <c r="AA170" s="43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</row>
    <row r="171" spans="1:86" x14ac:dyDescent="0.35">
      <c r="A171" s="5"/>
      <c r="B171" s="5"/>
      <c r="C171" s="5"/>
      <c r="D171" s="5"/>
      <c r="E171" s="43"/>
      <c r="F171" s="5"/>
      <c r="G171" s="5"/>
      <c r="H171" s="5"/>
      <c r="I171" s="5"/>
      <c r="J171" s="5"/>
      <c r="K171" s="5"/>
      <c r="L171" s="5"/>
      <c r="M171" s="5"/>
      <c r="N171" s="5"/>
      <c r="O171" s="43"/>
      <c r="P171" s="5"/>
      <c r="Q171" s="5"/>
      <c r="R171" s="5"/>
      <c r="S171" s="43"/>
      <c r="T171" s="5"/>
      <c r="U171" s="5"/>
      <c r="V171" s="5"/>
      <c r="W171" s="43"/>
      <c r="X171" s="5"/>
      <c r="Y171" s="5"/>
      <c r="Z171" s="5"/>
      <c r="AA171" s="43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</row>
    <row r="172" spans="1:86" x14ac:dyDescent="0.35">
      <c r="A172" s="5"/>
      <c r="B172" s="5"/>
      <c r="C172" s="5"/>
      <c r="D172" s="5"/>
      <c r="E172" s="43"/>
      <c r="F172" s="5"/>
      <c r="G172" s="5"/>
      <c r="H172" s="5"/>
      <c r="I172" s="5"/>
      <c r="J172" s="5"/>
      <c r="K172" s="5"/>
      <c r="L172" s="5"/>
      <c r="M172" s="5"/>
      <c r="N172" s="5"/>
      <c r="O172" s="43"/>
      <c r="P172" s="5"/>
      <c r="Q172" s="5"/>
      <c r="R172" s="5"/>
      <c r="S172" s="43"/>
      <c r="T172" s="5"/>
      <c r="U172" s="5"/>
      <c r="V172" s="5"/>
      <c r="W172" s="43"/>
      <c r="X172" s="5"/>
      <c r="Y172" s="5"/>
      <c r="Z172" s="5"/>
      <c r="AA172" s="43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</row>
    <row r="173" spans="1:86" x14ac:dyDescent="0.35">
      <c r="A173" s="5"/>
      <c r="B173" s="5"/>
      <c r="C173" s="5"/>
      <c r="D173" s="5"/>
      <c r="E173" s="43"/>
      <c r="F173" s="5"/>
      <c r="G173" s="5"/>
      <c r="H173" s="5"/>
      <c r="I173" s="5"/>
      <c r="J173" s="5"/>
      <c r="K173" s="5"/>
      <c r="L173" s="5"/>
      <c r="M173" s="5"/>
      <c r="N173" s="5"/>
      <c r="O173" s="43"/>
      <c r="P173" s="5"/>
      <c r="Q173" s="5"/>
      <c r="R173" s="5"/>
      <c r="S173" s="43"/>
      <c r="T173" s="5"/>
      <c r="U173" s="5"/>
      <c r="V173" s="5"/>
      <c r="W173" s="43"/>
      <c r="X173" s="5"/>
      <c r="Y173" s="5"/>
      <c r="Z173" s="5"/>
      <c r="AA173" s="43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</row>
    <row r="174" spans="1:86" x14ac:dyDescent="0.35">
      <c r="A174" s="5"/>
      <c r="B174" s="5"/>
      <c r="C174" s="5"/>
      <c r="D174" s="5"/>
      <c r="E174" s="43"/>
      <c r="F174" s="5"/>
      <c r="G174" s="5"/>
      <c r="H174" s="5"/>
      <c r="I174" s="5"/>
      <c r="J174" s="5"/>
      <c r="K174" s="5"/>
      <c r="L174" s="5"/>
      <c r="M174" s="5"/>
      <c r="N174" s="5"/>
      <c r="O174" s="43"/>
      <c r="P174" s="5"/>
      <c r="Q174" s="5"/>
      <c r="R174" s="5"/>
      <c r="S174" s="43"/>
      <c r="T174" s="5"/>
      <c r="U174" s="5"/>
      <c r="V174" s="5"/>
      <c r="W174" s="43"/>
      <c r="X174" s="5"/>
      <c r="Y174" s="5"/>
      <c r="Z174" s="5"/>
      <c r="AA174" s="43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</row>
    <row r="175" spans="1:86" x14ac:dyDescent="0.35">
      <c r="A175" s="5"/>
      <c r="B175" s="5"/>
      <c r="C175" s="5"/>
      <c r="D175" s="5"/>
      <c r="E175" s="43"/>
      <c r="F175" s="5"/>
      <c r="G175" s="5"/>
      <c r="H175" s="5"/>
      <c r="I175" s="5"/>
      <c r="J175" s="5"/>
      <c r="K175" s="5"/>
      <c r="L175" s="5"/>
      <c r="M175" s="5"/>
      <c r="N175" s="5"/>
      <c r="O175" s="43"/>
      <c r="P175" s="5"/>
      <c r="Q175" s="5"/>
      <c r="R175" s="5"/>
      <c r="S175" s="43"/>
      <c r="T175" s="5"/>
      <c r="U175" s="5"/>
      <c r="V175" s="5"/>
      <c r="W175" s="43"/>
      <c r="X175" s="5"/>
      <c r="Y175" s="5"/>
      <c r="Z175" s="5"/>
      <c r="AA175" s="43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</row>
    <row r="176" spans="1:86" x14ac:dyDescent="0.35">
      <c r="A176" s="5"/>
      <c r="B176" s="5"/>
      <c r="C176" s="5"/>
      <c r="D176" s="5"/>
      <c r="E176" s="43"/>
      <c r="F176" s="5"/>
      <c r="G176" s="5"/>
      <c r="H176" s="5"/>
      <c r="I176" s="5"/>
      <c r="J176" s="5"/>
      <c r="K176" s="5"/>
      <c r="L176" s="5"/>
      <c r="M176" s="5"/>
      <c r="N176" s="5"/>
      <c r="O176" s="43"/>
      <c r="P176" s="5"/>
      <c r="Q176" s="5"/>
      <c r="R176" s="5"/>
      <c r="S176" s="43"/>
      <c r="T176" s="5"/>
      <c r="U176" s="5"/>
      <c r="V176" s="5"/>
      <c r="W176" s="43"/>
      <c r="X176" s="5"/>
      <c r="Y176" s="5"/>
      <c r="Z176" s="5"/>
      <c r="AA176" s="43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</row>
    <row r="177" spans="1:86" x14ac:dyDescent="0.35">
      <c r="A177" s="5"/>
      <c r="B177" s="5"/>
      <c r="C177" s="5"/>
      <c r="D177" s="5"/>
      <c r="E177" s="43"/>
      <c r="F177" s="5"/>
      <c r="G177" s="5"/>
      <c r="H177" s="5"/>
      <c r="I177" s="5"/>
      <c r="J177" s="5"/>
      <c r="K177" s="5"/>
      <c r="L177" s="5"/>
      <c r="M177" s="5"/>
      <c r="N177" s="5"/>
      <c r="O177" s="43"/>
      <c r="P177" s="5"/>
      <c r="Q177" s="5"/>
      <c r="R177" s="5"/>
      <c r="S177" s="43"/>
      <c r="T177" s="5"/>
      <c r="U177" s="5"/>
      <c r="V177" s="5"/>
      <c r="W177" s="43"/>
      <c r="X177" s="5"/>
      <c r="Y177" s="5"/>
      <c r="Z177" s="5"/>
      <c r="AA177" s="43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</row>
    <row r="178" spans="1:86" x14ac:dyDescent="0.35">
      <c r="A178" s="5"/>
      <c r="B178" s="5"/>
      <c r="C178" s="5"/>
      <c r="D178" s="5"/>
      <c r="E178" s="43"/>
      <c r="F178" s="5"/>
      <c r="G178" s="5"/>
      <c r="H178" s="5"/>
      <c r="I178" s="5"/>
      <c r="J178" s="5"/>
      <c r="K178" s="5"/>
      <c r="L178" s="5"/>
      <c r="M178" s="5"/>
      <c r="N178" s="5"/>
      <c r="O178" s="43"/>
      <c r="P178" s="5"/>
      <c r="Q178" s="5"/>
      <c r="R178" s="5"/>
      <c r="S178" s="43"/>
      <c r="T178" s="5"/>
      <c r="U178" s="5"/>
      <c r="V178" s="5"/>
      <c r="W178" s="43"/>
      <c r="X178" s="5"/>
      <c r="Y178" s="5"/>
      <c r="Z178" s="5"/>
      <c r="AA178" s="43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</row>
    <row r="179" spans="1:86" x14ac:dyDescent="0.35">
      <c r="A179" s="5"/>
      <c r="B179" s="5"/>
      <c r="C179" s="5"/>
      <c r="D179" s="5"/>
      <c r="E179" s="43"/>
      <c r="F179" s="5"/>
      <c r="G179" s="5"/>
      <c r="H179" s="5"/>
      <c r="I179" s="5"/>
      <c r="J179" s="5"/>
      <c r="K179" s="5"/>
      <c r="L179" s="5"/>
      <c r="M179" s="5"/>
      <c r="N179" s="5"/>
      <c r="O179" s="43"/>
      <c r="P179" s="5"/>
      <c r="Q179" s="5"/>
      <c r="R179" s="5"/>
      <c r="S179" s="43"/>
      <c r="T179" s="5"/>
      <c r="U179" s="5"/>
      <c r="V179" s="5"/>
      <c r="W179" s="43"/>
      <c r="X179" s="5"/>
      <c r="Y179" s="5"/>
      <c r="Z179" s="5"/>
      <c r="AA179" s="43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</row>
    <row r="180" spans="1:86" x14ac:dyDescent="0.35">
      <c r="A180" s="5"/>
      <c r="B180" s="5"/>
      <c r="C180" s="5"/>
      <c r="D180" s="5"/>
      <c r="E180" s="43"/>
      <c r="F180" s="5"/>
      <c r="G180" s="5"/>
      <c r="H180" s="5"/>
      <c r="I180" s="5"/>
      <c r="J180" s="5"/>
      <c r="K180" s="5"/>
      <c r="L180" s="5"/>
      <c r="M180" s="5"/>
      <c r="N180" s="5"/>
      <c r="O180" s="43"/>
      <c r="P180" s="5"/>
      <c r="Q180" s="5"/>
      <c r="R180" s="5"/>
      <c r="S180" s="43"/>
      <c r="T180" s="5"/>
      <c r="U180" s="5"/>
      <c r="V180" s="5"/>
      <c r="W180" s="43"/>
      <c r="X180" s="5"/>
      <c r="Y180" s="5"/>
      <c r="Z180" s="5"/>
      <c r="AA180" s="43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</row>
    <row r="181" spans="1:86" x14ac:dyDescent="0.35">
      <c r="A181" s="5"/>
      <c r="B181" s="5"/>
      <c r="C181" s="5"/>
      <c r="D181" s="5"/>
      <c r="E181" s="43"/>
      <c r="F181" s="5"/>
      <c r="G181" s="5"/>
      <c r="H181" s="5"/>
      <c r="I181" s="5"/>
      <c r="J181" s="5"/>
      <c r="K181" s="5"/>
      <c r="L181" s="5"/>
      <c r="M181" s="5"/>
      <c r="N181" s="5"/>
      <c r="O181" s="43"/>
      <c r="P181" s="5"/>
      <c r="Q181" s="5"/>
      <c r="R181" s="5"/>
      <c r="S181" s="43"/>
      <c r="T181" s="5"/>
      <c r="U181" s="5"/>
      <c r="V181" s="5"/>
      <c r="W181" s="43"/>
      <c r="X181" s="5"/>
      <c r="Y181" s="5"/>
      <c r="Z181" s="5"/>
      <c r="AA181" s="43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</row>
    <row r="182" spans="1:86" x14ac:dyDescent="0.35">
      <c r="A182" s="5"/>
      <c r="B182" s="5"/>
      <c r="C182" s="5"/>
      <c r="D182" s="5"/>
      <c r="E182" s="43"/>
      <c r="F182" s="5"/>
      <c r="G182" s="5"/>
      <c r="H182" s="5"/>
      <c r="I182" s="5"/>
      <c r="J182" s="5"/>
      <c r="K182" s="5"/>
      <c r="L182" s="5"/>
      <c r="M182" s="5"/>
      <c r="N182" s="5"/>
      <c r="O182" s="43"/>
      <c r="P182" s="5"/>
      <c r="Q182" s="5"/>
      <c r="R182" s="5"/>
      <c r="S182" s="43"/>
      <c r="T182" s="5"/>
      <c r="U182" s="5"/>
      <c r="V182" s="5"/>
      <c r="W182" s="43"/>
      <c r="X182" s="5"/>
      <c r="Y182" s="5"/>
      <c r="Z182" s="5"/>
      <c r="AA182" s="43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</row>
    <row r="183" spans="1:86" x14ac:dyDescent="0.35">
      <c r="A183" s="5"/>
      <c r="B183" s="5"/>
      <c r="C183" s="5"/>
      <c r="D183" s="5"/>
      <c r="E183" s="43"/>
      <c r="F183" s="5"/>
      <c r="G183" s="5"/>
      <c r="H183" s="5"/>
      <c r="I183" s="5"/>
      <c r="J183" s="5"/>
      <c r="K183" s="5"/>
      <c r="L183" s="5"/>
      <c r="M183" s="5"/>
      <c r="N183" s="5"/>
      <c r="O183" s="43"/>
      <c r="P183" s="5"/>
      <c r="Q183" s="5"/>
      <c r="R183" s="5"/>
      <c r="S183" s="43"/>
      <c r="T183" s="5"/>
      <c r="U183" s="5"/>
      <c r="V183" s="5"/>
      <c r="W183" s="43"/>
      <c r="X183" s="5"/>
      <c r="Y183" s="5"/>
      <c r="Z183" s="5"/>
      <c r="AA183" s="43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</row>
    <row r="184" spans="1:86" x14ac:dyDescent="0.35">
      <c r="A184" s="5"/>
      <c r="B184" s="5"/>
      <c r="C184" s="5"/>
      <c r="D184" s="5"/>
      <c r="E184" s="43"/>
      <c r="F184" s="5"/>
      <c r="G184" s="5"/>
      <c r="H184" s="5"/>
      <c r="I184" s="5"/>
      <c r="J184" s="5"/>
      <c r="K184" s="5"/>
      <c r="L184" s="5"/>
      <c r="M184" s="5"/>
      <c r="N184" s="5"/>
      <c r="O184" s="43"/>
      <c r="P184" s="5"/>
      <c r="Q184" s="5"/>
      <c r="R184" s="5"/>
      <c r="S184" s="43"/>
      <c r="T184" s="5"/>
      <c r="U184" s="5"/>
      <c r="V184" s="5"/>
      <c r="W184" s="43"/>
      <c r="X184" s="5"/>
      <c r="Y184" s="5"/>
      <c r="Z184" s="5"/>
      <c r="AA184" s="43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</row>
    <row r="185" spans="1:86" x14ac:dyDescent="0.35">
      <c r="A185" s="5"/>
      <c r="B185" s="5"/>
      <c r="C185" s="5"/>
      <c r="D185" s="5"/>
      <c r="E185" s="43"/>
      <c r="F185" s="5"/>
      <c r="G185" s="5"/>
      <c r="H185" s="5"/>
      <c r="I185" s="5"/>
      <c r="J185" s="5"/>
      <c r="K185" s="5"/>
      <c r="L185" s="5"/>
      <c r="M185" s="5"/>
      <c r="N185" s="5"/>
      <c r="O185" s="43"/>
      <c r="P185" s="5"/>
      <c r="Q185" s="5"/>
      <c r="R185" s="5"/>
      <c r="S185" s="43"/>
      <c r="T185" s="5"/>
      <c r="U185" s="5"/>
      <c r="V185" s="5"/>
      <c r="W185" s="43"/>
      <c r="X185" s="5"/>
      <c r="Y185" s="5"/>
      <c r="Z185" s="5"/>
      <c r="AA185" s="43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</row>
    <row r="186" spans="1:86" x14ac:dyDescent="0.35">
      <c r="A186" s="5"/>
      <c r="B186" s="5"/>
      <c r="C186" s="5"/>
      <c r="D186" s="5"/>
      <c r="E186" s="43"/>
      <c r="F186" s="5"/>
      <c r="G186" s="5"/>
      <c r="H186" s="5"/>
      <c r="I186" s="5"/>
      <c r="J186" s="5"/>
      <c r="K186" s="5"/>
      <c r="L186" s="5"/>
      <c r="M186" s="5"/>
      <c r="N186" s="5"/>
      <c r="O186" s="43"/>
      <c r="P186" s="5"/>
      <c r="Q186" s="5"/>
      <c r="R186" s="5"/>
      <c r="S186" s="43"/>
      <c r="T186" s="5"/>
      <c r="U186" s="5"/>
      <c r="V186" s="5"/>
      <c r="W186" s="43"/>
      <c r="X186" s="5"/>
      <c r="Y186" s="5"/>
      <c r="Z186" s="5"/>
      <c r="AA186" s="43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</row>
    <row r="187" spans="1:86" x14ac:dyDescent="0.35">
      <c r="A187" s="5"/>
      <c r="B187" s="5"/>
      <c r="C187" s="5"/>
      <c r="D187" s="5"/>
      <c r="E187" s="43"/>
      <c r="F187" s="5"/>
      <c r="G187" s="5"/>
      <c r="H187" s="5"/>
      <c r="I187" s="5"/>
      <c r="J187" s="5"/>
      <c r="K187" s="5"/>
      <c r="L187" s="5"/>
      <c r="M187" s="5"/>
      <c r="N187" s="5"/>
      <c r="O187" s="43"/>
      <c r="P187" s="5"/>
      <c r="Q187" s="5"/>
      <c r="R187" s="5"/>
      <c r="S187" s="43"/>
      <c r="T187" s="5"/>
      <c r="U187" s="5"/>
      <c r="V187" s="5"/>
      <c r="W187" s="43"/>
      <c r="X187" s="5"/>
      <c r="Y187" s="5"/>
      <c r="Z187" s="5"/>
      <c r="AA187" s="43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</row>
    <row r="188" spans="1:86" x14ac:dyDescent="0.35">
      <c r="A188" s="5"/>
      <c r="B188" s="5"/>
      <c r="C188" s="5"/>
      <c r="D188" s="5"/>
      <c r="E188" s="43"/>
      <c r="F188" s="5"/>
      <c r="G188" s="5"/>
      <c r="H188" s="5"/>
      <c r="I188" s="5"/>
      <c r="J188" s="5"/>
      <c r="K188" s="5"/>
      <c r="L188" s="5"/>
      <c r="M188" s="5"/>
      <c r="N188" s="5"/>
      <c r="O188" s="43"/>
      <c r="P188" s="5"/>
      <c r="Q188" s="5"/>
      <c r="R188" s="5"/>
      <c r="S188" s="43"/>
      <c r="T188" s="5"/>
      <c r="U188" s="5"/>
      <c r="V188" s="5"/>
      <c r="W188" s="43"/>
      <c r="X188" s="5"/>
      <c r="Y188" s="5"/>
      <c r="Z188" s="5"/>
      <c r="AA188" s="43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</row>
    <row r="189" spans="1:86" x14ac:dyDescent="0.35">
      <c r="A189" s="5"/>
      <c r="B189" s="5"/>
      <c r="C189" s="5"/>
      <c r="D189" s="5"/>
      <c r="E189" s="43"/>
      <c r="F189" s="5"/>
      <c r="G189" s="5"/>
      <c r="H189" s="5"/>
      <c r="I189" s="5"/>
      <c r="J189" s="5"/>
      <c r="K189" s="5"/>
      <c r="L189" s="5"/>
      <c r="M189" s="5"/>
      <c r="N189" s="5"/>
      <c r="O189" s="43"/>
      <c r="P189" s="5"/>
      <c r="Q189" s="5"/>
      <c r="R189" s="5"/>
      <c r="S189" s="43"/>
      <c r="T189" s="5"/>
      <c r="U189" s="5"/>
      <c r="V189" s="5"/>
      <c r="W189" s="43"/>
      <c r="X189" s="5"/>
      <c r="Y189" s="5"/>
      <c r="Z189" s="5"/>
      <c r="AA189" s="43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</row>
    <row r="190" spans="1:86" x14ac:dyDescent="0.35">
      <c r="A190" s="5"/>
      <c r="B190" s="5"/>
      <c r="C190" s="5"/>
      <c r="D190" s="5"/>
      <c r="E190" s="43"/>
      <c r="F190" s="5"/>
      <c r="G190" s="5"/>
      <c r="H190" s="5"/>
      <c r="I190" s="5"/>
      <c r="J190" s="5"/>
      <c r="K190" s="5"/>
      <c r="L190" s="5"/>
      <c r="M190" s="5"/>
      <c r="N190" s="5"/>
      <c r="O190" s="43"/>
      <c r="P190" s="5"/>
      <c r="Q190" s="5"/>
      <c r="R190" s="5"/>
      <c r="S190" s="43"/>
      <c r="T190" s="5"/>
      <c r="U190" s="5"/>
      <c r="V190" s="5"/>
      <c r="W190" s="43"/>
      <c r="X190" s="5"/>
      <c r="Y190" s="5"/>
      <c r="Z190" s="5"/>
      <c r="AA190" s="43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</row>
    <row r="191" spans="1:86" x14ac:dyDescent="0.35">
      <c r="A191" s="5"/>
      <c r="B191" s="5"/>
      <c r="C191" s="5"/>
      <c r="D191" s="5"/>
      <c r="E191" s="43"/>
      <c r="F191" s="5"/>
      <c r="G191" s="5"/>
      <c r="H191" s="5"/>
      <c r="I191" s="5"/>
      <c r="J191" s="5"/>
      <c r="K191" s="5"/>
      <c r="L191" s="5"/>
      <c r="M191" s="5"/>
      <c r="N191" s="5"/>
      <c r="O191" s="43"/>
      <c r="P191" s="5"/>
      <c r="Q191" s="5"/>
      <c r="R191" s="5"/>
      <c r="S191" s="43"/>
      <c r="T191" s="5"/>
      <c r="U191" s="5"/>
      <c r="V191" s="5"/>
      <c r="W191" s="43"/>
      <c r="X191" s="5"/>
      <c r="Y191" s="5"/>
      <c r="Z191" s="5"/>
      <c r="AA191" s="43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</row>
    <row r="192" spans="1:86" x14ac:dyDescent="0.35">
      <c r="A192" s="5"/>
      <c r="B192" s="5"/>
      <c r="C192" s="5"/>
      <c r="D192" s="5"/>
      <c r="E192" s="43"/>
      <c r="F192" s="5"/>
      <c r="G192" s="5"/>
      <c r="H192" s="5"/>
      <c r="I192" s="5"/>
      <c r="J192" s="5"/>
      <c r="K192" s="5"/>
      <c r="L192" s="5"/>
      <c r="M192" s="5"/>
      <c r="N192" s="5"/>
      <c r="O192" s="43"/>
      <c r="P192" s="5"/>
      <c r="Q192" s="5"/>
      <c r="R192" s="5"/>
      <c r="S192" s="43"/>
      <c r="T192" s="5"/>
      <c r="U192" s="5"/>
      <c r="V192" s="5"/>
      <c r="W192" s="43"/>
      <c r="X192" s="5"/>
      <c r="Y192" s="5"/>
      <c r="Z192" s="5"/>
      <c r="AA192" s="43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</row>
    <row r="193" spans="1:86" x14ac:dyDescent="0.35">
      <c r="A193" s="5"/>
      <c r="B193" s="5"/>
      <c r="C193" s="5"/>
      <c r="D193" s="5"/>
      <c r="E193" s="43"/>
      <c r="F193" s="5"/>
      <c r="G193" s="5"/>
      <c r="H193" s="5"/>
      <c r="I193" s="5"/>
      <c r="J193" s="5"/>
      <c r="K193" s="5"/>
      <c r="L193" s="5"/>
      <c r="M193" s="5"/>
      <c r="N193" s="5"/>
      <c r="O193" s="43"/>
      <c r="P193" s="5"/>
      <c r="Q193" s="5"/>
      <c r="R193" s="5"/>
      <c r="S193" s="43"/>
      <c r="T193" s="5"/>
      <c r="U193" s="5"/>
      <c r="V193" s="5"/>
      <c r="W193" s="43"/>
      <c r="X193" s="5"/>
      <c r="Y193" s="5"/>
      <c r="Z193" s="5"/>
      <c r="AA193" s="43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</row>
    <row r="194" spans="1:86" x14ac:dyDescent="0.35">
      <c r="A194" s="5"/>
      <c r="B194" s="5"/>
      <c r="C194" s="5"/>
      <c r="D194" s="5"/>
      <c r="E194" s="43"/>
      <c r="F194" s="5"/>
      <c r="G194" s="5"/>
      <c r="H194" s="5"/>
      <c r="I194" s="5"/>
      <c r="J194" s="5"/>
      <c r="K194" s="5"/>
      <c r="L194" s="5"/>
      <c r="M194" s="5"/>
      <c r="N194" s="5"/>
      <c r="O194" s="43"/>
      <c r="P194" s="5"/>
      <c r="Q194" s="5"/>
      <c r="R194" s="5"/>
      <c r="S194" s="43"/>
      <c r="T194" s="5"/>
      <c r="U194" s="5"/>
      <c r="V194" s="5"/>
      <c r="W194" s="43"/>
      <c r="X194" s="5"/>
      <c r="Y194" s="5"/>
      <c r="Z194" s="5"/>
      <c r="AA194" s="43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</row>
    <row r="195" spans="1:86" x14ac:dyDescent="0.35">
      <c r="A195" s="5"/>
      <c r="B195" s="5"/>
      <c r="C195" s="5"/>
      <c r="D195" s="5"/>
      <c r="E195" s="43"/>
      <c r="F195" s="5"/>
      <c r="G195" s="5"/>
      <c r="H195" s="5"/>
      <c r="I195" s="5"/>
      <c r="J195" s="5"/>
      <c r="K195" s="5"/>
      <c r="L195" s="5"/>
      <c r="M195" s="5"/>
      <c r="N195" s="5"/>
      <c r="O195" s="43"/>
      <c r="P195" s="5"/>
      <c r="Q195" s="5"/>
      <c r="R195" s="5"/>
      <c r="S195" s="43"/>
      <c r="T195" s="5"/>
      <c r="U195" s="5"/>
      <c r="V195" s="5"/>
      <c r="W195" s="43"/>
      <c r="X195" s="5"/>
      <c r="Y195" s="5"/>
      <c r="Z195" s="5"/>
      <c r="AA195" s="43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</row>
    <row r="196" spans="1:86" x14ac:dyDescent="0.35">
      <c r="A196" s="5"/>
      <c r="B196" s="5"/>
      <c r="C196" s="5"/>
      <c r="D196" s="5"/>
      <c r="E196" s="43"/>
      <c r="F196" s="5"/>
      <c r="G196" s="5"/>
      <c r="H196" s="5"/>
      <c r="I196" s="5"/>
      <c r="J196" s="5"/>
      <c r="K196" s="5"/>
      <c r="L196" s="5"/>
      <c r="M196" s="5"/>
      <c r="N196" s="5"/>
      <c r="O196" s="43"/>
      <c r="P196" s="5"/>
      <c r="Q196" s="5"/>
      <c r="R196" s="5"/>
      <c r="S196" s="43"/>
      <c r="T196" s="5"/>
      <c r="U196" s="5"/>
      <c r="V196" s="5"/>
      <c r="W196" s="43"/>
      <c r="X196" s="5"/>
      <c r="Y196" s="5"/>
      <c r="Z196" s="5"/>
      <c r="AA196" s="43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</row>
  </sheetData>
  <pageMargins left="0.7" right="0.7" top="0.75" bottom="0.75" header="0.3" footer="0.3"/>
  <pageSetup orientation="portrait"/>
  <ignoredErrors>
    <ignoredError sqref="V36:Z36 V46:Z46 Z48 Z50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5"/>
  <sheetViews>
    <sheetView workbookViewId="0"/>
  </sheetViews>
  <sheetFormatPr defaultRowHeight="14.5" x14ac:dyDescent="0.35"/>
  <sheetData>
    <row r="1" spans="1:18" x14ac:dyDescent="0.35"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</row>
    <row r="2" spans="1:18" x14ac:dyDescent="0.35">
      <c r="A2" s="1" t="s">
        <v>104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</row>
    <row r="3" spans="1:18" x14ac:dyDescent="0.35">
      <c r="A3" s="1" t="s">
        <v>110</v>
      </c>
      <c r="B3" t="s">
        <v>105</v>
      </c>
      <c r="C3" t="s">
        <v>105</v>
      </c>
      <c r="D3" t="s">
        <v>105</v>
      </c>
      <c r="E3" t="s">
        <v>105</v>
      </c>
      <c r="F3" t="s">
        <v>105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111</v>
      </c>
      <c r="P3" t="s">
        <v>112</v>
      </c>
      <c r="Q3" t="s">
        <v>113</v>
      </c>
      <c r="R3" t="s">
        <v>114</v>
      </c>
    </row>
    <row r="4" spans="1:18" x14ac:dyDescent="0.35">
      <c r="A4" s="1" t="s">
        <v>115</v>
      </c>
      <c r="B4" t="s">
        <v>105</v>
      </c>
      <c r="C4" t="s">
        <v>105</v>
      </c>
      <c r="D4" t="s">
        <v>105</v>
      </c>
      <c r="E4" t="s">
        <v>105</v>
      </c>
      <c r="F4" t="s">
        <v>105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116</v>
      </c>
      <c r="P4" t="s">
        <v>117</v>
      </c>
      <c r="Q4" t="s">
        <v>118</v>
      </c>
      <c r="R4" t="s">
        <v>119</v>
      </c>
    </row>
    <row r="5" spans="1:18" x14ac:dyDescent="0.35">
      <c r="A5" s="1" t="s">
        <v>120</v>
      </c>
      <c r="B5" t="s">
        <v>105</v>
      </c>
      <c r="C5" t="s">
        <v>105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</row>
    <row r="6" spans="1:18" x14ac:dyDescent="0.35">
      <c r="A6" s="1" t="s">
        <v>121</v>
      </c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122</v>
      </c>
      <c r="P6" t="s">
        <v>123</v>
      </c>
      <c r="Q6" t="s">
        <v>124</v>
      </c>
      <c r="R6" t="s">
        <v>125</v>
      </c>
    </row>
    <row r="7" spans="1:18" x14ac:dyDescent="0.35">
      <c r="A7" s="1" t="s">
        <v>126</v>
      </c>
      <c r="B7" t="s">
        <v>105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127</v>
      </c>
      <c r="O7" t="s">
        <v>128</v>
      </c>
      <c r="P7" t="s">
        <v>129</v>
      </c>
      <c r="Q7" t="s">
        <v>130</v>
      </c>
      <c r="R7" t="s">
        <v>131</v>
      </c>
    </row>
    <row r="8" spans="1:18" x14ac:dyDescent="0.35">
      <c r="A8" s="1" t="s">
        <v>132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133</v>
      </c>
      <c r="O8" t="s">
        <v>134</v>
      </c>
      <c r="P8" t="s">
        <v>135</v>
      </c>
      <c r="Q8" t="s">
        <v>136</v>
      </c>
      <c r="R8" t="s">
        <v>134</v>
      </c>
    </row>
    <row r="9" spans="1:18" x14ac:dyDescent="0.35">
      <c r="A9" s="1" t="s">
        <v>137</v>
      </c>
      <c r="B9" t="s">
        <v>105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138</v>
      </c>
      <c r="P9" t="s">
        <v>139</v>
      </c>
      <c r="Q9" t="s">
        <v>140</v>
      </c>
      <c r="R9" t="s">
        <v>141</v>
      </c>
    </row>
    <row r="10" spans="1:18" x14ac:dyDescent="0.35">
      <c r="A10" s="1" t="s">
        <v>142</v>
      </c>
      <c r="B10" t="s">
        <v>105</v>
      </c>
      <c r="C10" t="s">
        <v>105</v>
      </c>
      <c r="D10" t="s">
        <v>105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143</v>
      </c>
      <c r="P10" t="s">
        <v>144</v>
      </c>
      <c r="Q10" t="s">
        <v>145</v>
      </c>
      <c r="R10" t="s">
        <v>146</v>
      </c>
    </row>
    <row r="11" spans="1:18" x14ac:dyDescent="0.35">
      <c r="A11" s="1" t="s">
        <v>147</v>
      </c>
      <c r="B11" t="s">
        <v>105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</row>
    <row r="12" spans="1:18" x14ac:dyDescent="0.35">
      <c r="A12" s="1" t="s">
        <v>148</v>
      </c>
      <c r="B12" t="s">
        <v>105</v>
      </c>
      <c r="C12" t="s">
        <v>105</v>
      </c>
      <c r="D12" t="s">
        <v>105</v>
      </c>
      <c r="E12" t="s">
        <v>105</v>
      </c>
      <c r="F12" t="s">
        <v>105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149</v>
      </c>
      <c r="P12" t="s">
        <v>150</v>
      </c>
      <c r="Q12" t="s">
        <v>151</v>
      </c>
      <c r="R12" t="s">
        <v>152</v>
      </c>
    </row>
    <row r="13" spans="1:18" x14ac:dyDescent="0.35">
      <c r="A13" s="1" t="s">
        <v>153</v>
      </c>
      <c r="B13" t="s">
        <v>105</v>
      </c>
      <c r="C13" t="s">
        <v>105</v>
      </c>
      <c r="D13" t="s">
        <v>105</v>
      </c>
      <c r="E13" t="s">
        <v>105</v>
      </c>
      <c r="F13" t="s">
        <v>105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154</v>
      </c>
      <c r="P13" t="s">
        <v>155</v>
      </c>
      <c r="Q13" t="s">
        <v>156</v>
      </c>
      <c r="R13" t="s">
        <v>157</v>
      </c>
    </row>
    <row r="14" spans="1:18" x14ac:dyDescent="0.35">
      <c r="A14" s="1" t="s">
        <v>158</v>
      </c>
      <c r="B14" t="s">
        <v>105</v>
      </c>
      <c r="C14" t="s">
        <v>105</v>
      </c>
      <c r="D14" t="s">
        <v>105</v>
      </c>
      <c r="E14" t="s">
        <v>105</v>
      </c>
      <c r="F14" t="s">
        <v>105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159</v>
      </c>
      <c r="P14" t="s">
        <v>160</v>
      </c>
      <c r="Q14" t="s">
        <v>161</v>
      </c>
      <c r="R14" t="s">
        <v>161</v>
      </c>
    </row>
    <row r="15" spans="1:18" x14ac:dyDescent="0.35">
      <c r="A15" s="1" t="s">
        <v>162</v>
      </c>
      <c r="B15" t="s">
        <v>105</v>
      </c>
      <c r="C15" t="s">
        <v>105</v>
      </c>
      <c r="D15" t="s">
        <v>105</v>
      </c>
      <c r="E15" t="s">
        <v>105</v>
      </c>
      <c r="F15" t="s">
        <v>105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163</v>
      </c>
      <c r="P15" t="s">
        <v>164</v>
      </c>
      <c r="Q15" t="s">
        <v>165</v>
      </c>
      <c r="R15" t="s">
        <v>166</v>
      </c>
    </row>
    <row r="16" spans="1:18" x14ac:dyDescent="0.35">
      <c r="A16" s="1" t="s">
        <v>167</v>
      </c>
      <c r="B16" t="s">
        <v>105</v>
      </c>
      <c r="C16" t="s">
        <v>105</v>
      </c>
      <c r="D16" t="s">
        <v>105</v>
      </c>
      <c r="E16" t="s">
        <v>105</v>
      </c>
      <c r="F16" t="s">
        <v>105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168</v>
      </c>
      <c r="P16" t="s">
        <v>169</v>
      </c>
      <c r="Q16" t="s">
        <v>105</v>
      </c>
      <c r="R16" t="s">
        <v>170</v>
      </c>
    </row>
    <row r="17" spans="1:18" x14ac:dyDescent="0.35">
      <c r="A17" s="1" t="s">
        <v>171</v>
      </c>
      <c r="B17" t="s">
        <v>105</v>
      </c>
      <c r="C17" t="s">
        <v>105</v>
      </c>
      <c r="D17" t="s">
        <v>105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172</v>
      </c>
      <c r="P17" t="s">
        <v>173</v>
      </c>
      <c r="Q17" t="s">
        <v>174</v>
      </c>
      <c r="R17" t="s">
        <v>175</v>
      </c>
    </row>
    <row r="18" spans="1:18" x14ac:dyDescent="0.35">
      <c r="A18" s="1" t="s">
        <v>176</v>
      </c>
      <c r="B18" t="s">
        <v>105</v>
      </c>
      <c r="C18" t="s">
        <v>105</v>
      </c>
      <c r="D18" t="s">
        <v>105</v>
      </c>
      <c r="E18" t="s">
        <v>105</v>
      </c>
      <c r="F18" t="s">
        <v>105</v>
      </c>
      <c r="G18" t="s">
        <v>105</v>
      </c>
      <c r="H18" t="s">
        <v>105</v>
      </c>
      <c r="I18" t="s">
        <v>105</v>
      </c>
      <c r="J18" t="s">
        <v>105</v>
      </c>
      <c r="K18" t="s">
        <v>105</v>
      </c>
      <c r="L18" t="s">
        <v>105</v>
      </c>
      <c r="M18" t="s">
        <v>105</v>
      </c>
      <c r="N18" t="s">
        <v>177</v>
      </c>
      <c r="O18" t="s">
        <v>178</v>
      </c>
      <c r="P18" t="s">
        <v>179</v>
      </c>
      <c r="Q18" t="s">
        <v>180</v>
      </c>
      <c r="R18" t="s">
        <v>181</v>
      </c>
    </row>
    <row r="19" spans="1:18" x14ac:dyDescent="0.35">
      <c r="A19" s="1" t="s">
        <v>182</v>
      </c>
      <c r="B19" t="s">
        <v>105</v>
      </c>
      <c r="C19" t="s">
        <v>105</v>
      </c>
      <c r="D19" t="s">
        <v>105</v>
      </c>
      <c r="E19" t="s">
        <v>105</v>
      </c>
      <c r="F19" t="s">
        <v>105</v>
      </c>
      <c r="G19" t="s">
        <v>105</v>
      </c>
      <c r="H19" t="s">
        <v>105</v>
      </c>
      <c r="I19" t="s">
        <v>105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  <c r="O19" t="s">
        <v>105</v>
      </c>
      <c r="P19" t="s">
        <v>183</v>
      </c>
      <c r="Q19" t="s">
        <v>183</v>
      </c>
      <c r="R19" t="s">
        <v>184</v>
      </c>
    </row>
    <row r="20" spans="1:18" x14ac:dyDescent="0.35">
      <c r="A20" s="1" t="s">
        <v>185</v>
      </c>
      <c r="B20" t="s">
        <v>105</v>
      </c>
      <c r="C20" t="s">
        <v>105</v>
      </c>
      <c r="D20" t="s">
        <v>105</v>
      </c>
      <c r="E20" t="s">
        <v>105</v>
      </c>
      <c r="F20" t="s">
        <v>105</v>
      </c>
      <c r="G20" t="s">
        <v>105</v>
      </c>
      <c r="H20" t="s">
        <v>105</v>
      </c>
      <c r="I20" t="s">
        <v>105</v>
      </c>
      <c r="J20" t="s">
        <v>105</v>
      </c>
      <c r="K20" t="s">
        <v>105</v>
      </c>
      <c r="L20" t="s">
        <v>105</v>
      </c>
      <c r="M20" t="s">
        <v>105</v>
      </c>
      <c r="N20" t="s">
        <v>178</v>
      </c>
      <c r="O20" t="s">
        <v>186</v>
      </c>
      <c r="P20" t="s">
        <v>187</v>
      </c>
      <c r="Q20" t="s">
        <v>188</v>
      </c>
      <c r="R20" t="s">
        <v>189</v>
      </c>
    </row>
    <row r="21" spans="1:18" x14ac:dyDescent="0.35">
      <c r="A21" s="1" t="s">
        <v>190</v>
      </c>
      <c r="B21" t="s">
        <v>105</v>
      </c>
      <c r="C21" t="s">
        <v>105</v>
      </c>
      <c r="D21" t="s">
        <v>105</v>
      </c>
      <c r="E21" t="s">
        <v>105</v>
      </c>
      <c r="F21" t="s">
        <v>105</v>
      </c>
      <c r="G21" t="s">
        <v>105</v>
      </c>
      <c r="H21" t="s">
        <v>105</v>
      </c>
      <c r="I21" t="s">
        <v>105</v>
      </c>
      <c r="J21" t="s">
        <v>105</v>
      </c>
      <c r="K21" t="s">
        <v>105</v>
      </c>
      <c r="L21" t="s">
        <v>105</v>
      </c>
      <c r="M21" t="s">
        <v>105</v>
      </c>
      <c r="N21" t="s">
        <v>105</v>
      </c>
      <c r="O21" t="s">
        <v>191</v>
      </c>
      <c r="P21" t="s">
        <v>192</v>
      </c>
      <c r="Q21" t="s">
        <v>193</v>
      </c>
      <c r="R21" t="s">
        <v>194</v>
      </c>
    </row>
    <row r="22" spans="1:18" x14ac:dyDescent="0.35">
      <c r="A22" s="1" t="s">
        <v>195</v>
      </c>
      <c r="B22" t="s">
        <v>105</v>
      </c>
      <c r="C22" t="s">
        <v>105</v>
      </c>
      <c r="D22" t="s">
        <v>105</v>
      </c>
      <c r="E22" t="s">
        <v>105</v>
      </c>
      <c r="F22" t="s">
        <v>105</v>
      </c>
      <c r="G22" t="s">
        <v>105</v>
      </c>
      <c r="H22" t="s">
        <v>105</v>
      </c>
      <c r="I22" t="s">
        <v>105</v>
      </c>
      <c r="J22" t="s">
        <v>105</v>
      </c>
      <c r="K22" t="s">
        <v>105</v>
      </c>
      <c r="L22" t="s">
        <v>105</v>
      </c>
      <c r="M22" t="s">
        <v>105</v>
      </c>
      <c r="N22" t="s">
        <v>105</v>
      </c>
      <c r="O22" t="s">
        <v>196</v>
      </c>
      <c r="P22" t="s">
        <v>197</v>
      </c>
      <c r="Q22" t="s">
        <v>198</v>
      </c>
      <c r="R22" t="s">
        <v>199</v>
      </c>
    </row>
    <row r="23" spans="1:18" x14ac:dyDescent="0.35">
      <c r="A23" s="1" t="s">
        <v>200</v>
      </c>
      <c r="B23" t="s">
        <v>105</v>
      </c>
      <c r="C23" t="s">
        <v>105</v>
      </c>
      <c r="D23" t="s">
        <v>105</v>
      </c>
      <c r="E23" t="s">
        <v>105</v>
      </c>
      <c r="F23" t="s">
        <v>105</v>
      </c>
      <c r="G23" t="s">
        <v>105</v>
      </c>
      <c r="H23" t="s">
        <v>105</v>
      </c>
      <c r="I23" t="s">
        <v>105</v>
      </c>
      <c r="J23" t="s">
        <v>105</v>
      </c>
      <c r="K23" t="s">
        <v>105</v>
      </c>
      <c r="L23" t="s">
        <v>105</v>
      </c>
      <c r="M23" t="s">
        <v>105</v>
      </c>
      <c r="N23" t="s">
        <v>105</v>
      </c>
      <c r="O23" t="s">
        <v>201</v>
      </c>
      <c r="P23" t="s">
        <v>202</v>
      </c>
      <c r="Q23" t="s">
        <v>203</v>
      </c>
      <c r="R23" t="s">
        <v>204</v>
      </c>
    </row>
    <row r="24" spans="1:18" x14ac:dyDescent="0.35">
      <c r="A24" s="1" t="s">
        <v>205</v>
      </c>
      <c r="B24" t="s">
        <v>105</v>
      </c>
      <c r="C24" t="s">
        <v>105</v>
      </c>
      <c r="D24" t="s">
        <v>105</v>
      </c>
      <c r="E24" t="s">
        <v>105</v>
      </c>
      <c r="F24" t="s">
        <v>105</v>
      </c>
      <c r="G24" t="s">
        <v>105</v>
      </c>
      <c r="H24" t="s">
        <v>105</v>
      </c>
      <c r="I24" t="s">
        <v>105</v>
      </c>
      <c r="J24" t="s">
        <v>105</v>
      </c>
      <c r="K24" t="s">
        <v>105</v>
      </c>
      <c r="L24" t="s">
        <v>105</v>
      </c>
      <c r="M24" t="s">
        <v>105</v>
      </c>
      <c r="N24" t="s">
        <v>105</v>
      </c>
      <c r="O24" t="s">
        <v>206</v>
      </c>
      <c r="P24" t="s">
        <v>206</v>
      </c>
      <c r="Q24" t="s">
        <v>206</v>
      </c>
      <c r="R24" t="s">
        <v>206</v>
      </c>
    </row>
    <row r="25" spans="1:18" x14ac:dyDescent="0.35">
      <c r="A25" s="1" t="s">
        <v>207</v>
      </c>
      <c r="B25" t="s">
        <v>105</v>
      </c>
      <c r="C25" t="s">
        <v>105</v>
      </c>
      <c r="D25" t="s">
        <v>105</v>
      </c>
      <c r="E25" t="s">
        <v>105</v>
      </c>
      <c r="F25" t="s">
        <v>105</v>
      </c>
      <c r="G25" t="s">
        <v>105</v>
      </c>
      <c r="H25" t="s">
        <v>105</v>
      </c>
      <c r="I25" t="s">
        <v>105</v>
      </c>
      <c r="J25" t="s">
        <v>105</v>
      </c>
      <c r="K25" t="s">
        <v>105</v>
      </c>
      <c r="L25" t="s">
        <v>105</v>
      </c>
      <c r="M25" t="s">
        <v>105</v>
      </c>
      <c r="N25" t="s">
        <v>105</v>
      </c>
      <c r="O25" t="s">
        <v>105</v>
      </c>
      <c r="P25" t="s">
        <v>105</v>
      </c>
      <c r="Q25" t="s">
        <v>105</v>
      </c>
      <c r="R25" t="s">
        <v>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9"/>
  <sheetViews>
    <sheetView workbookViewId="0"/>
  </sheetViews>
  <sheetFormatPr defaultRowHeight="14.5" x14ac:dyDescent="0.35"/>
  <sheetData>
    <row r="1" spans="1:5" x14ac:dyDescent="0.35">
      <c r="B1" s="1" t="s">
        <v>208</v>
      </c>
      <c r="C1" s="1" t="s">
        <v>209</v>
      </c>
      <c r="D1" s="1" t="s">
        <v>210</v>
      </c>
      <c r="E1" s="1" t="s">
        <v>211</v>
      </c>
    </row>
    <row r="2" spans="1:5" x14ac:dyDescent="0.35">
      <c r="A2" s="1" t="s">
        <v>23</v>
      </c>
      <c r="B2" t="s">
        <v>105</v>
      </c>
      <c r="C2" t="s">
        <v>149</v>
      </c>
      <c r="D2" t="s">
        <v>150</v>
      </c>
      <c r="E2" t="s">
        <v>151</v>
      </c>
    </row>
    <row r="3" spans="1:5" x14ac:dyDescent="0.35">
      <c r="A3" s="1" t="s">
        <v>212</v>
      </c>
      <c r="B3" t="s">
        <v>105</v>
      </c>
      <c r="C3" t="s">
        <v>213</v>
      </c>
      <c r="D3" t="s">
        <v>214</v>
      </c>
      <c r="E3" t="s">
        <v>215</v>
      </c>
    </row>
    <row r="4" spans="1:5" x14ac:dyDescent="0.35">
      <c r="A4" s="1" t="s">
        <v>25</v>
      </c>
      <c r="B4" t="s">
        <v>105</v>
      </c>
      <c r="C4" t="s">
        <v>177</v>
      </c>
      <c r="D4" t="s">
        <v>160</v>
      </c>
      <c r="E4" t="s">
        <v>216</v>
      </c>
    </row>
    <row r="5" spans="1:5" x14ac:dyDescent="0.35">
      <c r="A5" s="1" t="s">
        <v>217</v>
      </c>
      <c r="B5" t="s">
        <v>105</v>
      </c>
      <c r="C5" t="s">
        <v>218</v>
      </c>
      <c r="D5" t="s">
        <v>219</v>
      </c>
      <c r="E5" t="s">
        <v>220</v>
      </c>
    </row>
    <row r="6" spans="1:5" x14ac:dyDescent="0.35">
      <c r="A6" s="1" t="s">
        <v>26</v>
      </c>
      <c r="B6" t="s">
        <v>105</v>
      </c>
      <c r="C6" t="s">
        <v>221</v>
      </c>
      <c r="D6" t="s">
        <v>222</v>
      </c>
      <c r="E6" t="s">
        <v>223</v>
      </c>
    </row>
    <row r="7" spans="1:5" x14ac:dyDescent="0.35">
      <c r="A7" s="1" t="s">
        <v>224</v>
      </c>
      <c r="B7" t="s">
        <v>105</v>
      </c>
      <c r="C7" t="s">
        <v>225</v>
      </c>
      <c r="D7" t="s">
        <v>160</v>
      </c>
      <c r="E7" t="s">
        <v>226</v>
      </c>
    </row>
    <row r="8" spans="1:5" x14ac:dyDescent="0.35">
      <c r="A8" s="1" t="s">
        <v>227</v>
      </c>
      <c r="B8" t="s">
        <v>105</v>
      </c>
      <c r="C8" t="s">
        <v>228</v>
      </c>
      <c r="D8" t="s">
        <v>229</v>
      </c>
      <c r="E8" t="s">
        <v>230</v>
      </c>
    </row>
    <row r="9" spans="1:5" x14ac:dyDescent="0.35">
      <c r="A9" s="1" t="s">
        <v>231</v>
      </c>
      <c r="B9" t="s">
        <v>105</v>
      </c>
      <c r="C9" t="s">
        <v>159</v>
      </c>
      <c r="D9" t="s">
        <v>232</v>
      </c>
      <c r="E9" t="s">
        <v>233</v>
      </c>
    </row>
    <row r="10" spans="1:5" x14ac:dyDescent="0.35">
      <c r="A10" s="1" t="s">
        <v>234</v>
      </c>
      <c r="B10" t="s">
        <v>105</v>
      </c>
      <c r="C10" t="s">
        <v>235</v>
      </c>
      <c r="D10" t="s">
        <v>236</v>
      </c>
      <c r="E10" t="s">
        <v>161</v>
      </c>
    </row>
    <row r="11" spans="1:5" x14ac:dyDescent="0.35">
      <c r="A11" s="1" t="s">
        <v>237</v>
      </c>
      <c r="B11" t="s">
        <v>105</v>
      </c>
      <c r="C11" t="s">
        <v>238</v>
      </c>
      <c r="D11" t="s">
        <v>238</v>
      </c>
      <c r="E11" t="s">
        <v>239</v>
      </c>
    </row>
    <row r="12" spans="1:5" x14ac:dyDescent="0.35">
      <c r="A12" s="1" t="s">
        <v>240</v>
      </c>
      <c r="B12" t="s">
        <v>105</v>
      </c>
      <c r="C12" t="s">
        <v>241</v>
      </c>
      <c r="D12" t="s">
        <v>242</v>
      </c>
      <c r="E12" t="s">
        <v>243</v>
      </c>
    </row>
    <row r="13" spans="1:5" x14ac:dyDescent="0.35">
      <c r="A13" s="1" t="s">
        <v>244</v>
      </c>
      <c r="B13" t="s">
        <v>105</v>
      </c>
      <c r="C13" t="s">
        <v>245</v>
      </c>
      <c r="D13" t="s">
        <v>245</v>
      </c>
      <c r="E13" t="s">
        <v>178</v>
      </c>
    </row>
    <row r="14" spans="1:5" x14ac:dyDescent="0.35">
      <c r="A14" s="1" t="s">
        <v>246</v>
      </c>
      <c r="B14" t="s">
        <v>105</v>
      </c>
      <c r="C14" t="s">
        <v>179</v>
      </c>
      <c r="D14" t="s">
        <v>179</v>
      </c>
      <c r="E14" t="s">
        <v>247</v>
      </c>
    </row>
    <row r="15" spans="1:5" x14ac:dyDescent="0.35">
      <c r="A15" s="1" t="s">
        <v>248</v>
      </c>
      <c r="B15" t="s">
        <v>105</v>
      </c>
      <c r="C15" t="s">
        <v>159</v>
      </c>
      <c r="D15" t="s">
        <v>160</v>
      </c>
      <c r="E15" t="s">
        <v>161</v>
      </c>
    </row>
    <row r="16" spans="1:5" x14ac:dyDescent="0.35">
      <c r="A16" s="1" t="s">
        <v>249</v>
      </c>
      <c r="B16" t="s">
        <v>105</v>
      </c>
      <c r="C16" t="s">
        <v>250</v>
      </c>
      <c r="D16" t="s">
        <v>251</v>
      </c>
      <c r="E16" t="s">
        <v>252</v>
      </c>
    </row>
    <row r="17" spans="1:5" x14ac:dyDescent="0.35">
      <c r="A17" s="1" t="s">
        <v>253</v>
      </c>
      <c r="B17" t="s">
        <v>105</v>
      </c>
      <c r="C17" t="s">
        <v>254</v>
      </c>
      <c r="D17" t="s">
        <v>255</v>
      </c>
      <c r="E17" t="s">
        <v>256</v>
      </c>
    </row>
    <row r="18" spans="1:5" x14ac:dyDescent="0.35">
      <c r="A18" s="1" t="s">
        <v>32</v>
      </c>
      <c r="B18" t="s">
        <v>105</v>
      </c>
      <c r="C18" t="s">
        <v>257</v>
      </c>
      <c r="D18" t="s">
        <v>258</v>
      </c>
      <c r="E18" t="s">
        <v>259</v>
      </c>
    </row>
    <row r="19" spans="1:5" x14ac:dyDescent="0.35">
      <c r="A19" s="1" t="s">
        <v>260</v>
      </c>
      <c r="B19" t="s">
        <v>105</v>
      </c>
      <c r="C19" t="s">
        <v>261</v>
      </c>
      <c r="D19" t="s">
        <v>262</v>
      </c>
      <c r="E19" t="s">
        <v>263</v>
      </c>
    </row>
    <row r="20" spans="1:5" x14ac:dyDescent="0.35">
      <c r="A20" s="1" t="s">
        <v>264</v>
      </c>
      <c r="B20" t="s">
        <v>105</v>
      </c>
      <c r="C20" t="s">
        <v>239</v>
      </c>
      <c r="D20" t="s">
        <v>265</v>
      </c>
      <c r="E20" t="s">
        <v>266</v>
      </c>
    </row>
    <row r="21" spans="1:5" x14ac:dyDescent="0.35">
      <c r="A21" s="1" t="s">
        <v>267</v>
      </c>
      <c r="B21" t="s">
        <v>105</v>
      </c>
      <c r="C21" t="s">
        <v>268</v>
      </c>
      <c r="D21" t="s">
        <v>269</v>
      </c>
      <c r="E21" t="s">
        <v>270</v>
      </c>
    </row>
    <row r="22" spans="1:5" x14ac:dyDescent="0.35">
      <c r="A22" s="1" t="s">
        <v>271</v>
      </c>
      <c r="B22" t="s">
        <v>105</v>
      </c>
      <c r="C22" t="s">
        <v>272</v>
      </c>
      <c r="D22" t="s">
        <v>273</v>
      </c>
      <c r="E22" t="s">
        <v>274</v>
      </c>
    </row>
    <row r="23" spans="1:5" x14ac:dyDescent="0.35">
      <c r="A23" s="1" t="s">
        <v>275</v>
      </c>
      <c r="B23" t="s">
        <v>105</v>
      </c>
      <c r="C23" t="s">
        <v>178</v>
      </c>
      <c r="D23" t="s">
        <v>178</v>
      </c>
      <c r="E23" t="s">
        <v>105</v>
      </c>
    </row>
    <row r="24" spans="1:5" x14ac:dyDescent="0.35">
      <c r="A24" s="1" t="s">
        <v>40</v>
      </c>
      <c r="B24" t="s">
        <v>105</v>
      </c>
      <c r="C24" t="s">
        <v>163</v>
      </c>
      <c r="D24" t="s">
        <v>164</v>
      </c>
      <c r="E24" t="s">
        <v>165</v>
      </c>
    </row>
    <row r="25" spans="1:5" x14ac:dyDescent="0.35">
      <c r="A25" s="1" t="s">
        <v>276</v>
      </c>
      <c r="B25" t="s">
        <v>105</v>
      </c>
      <c r="C25" t="s">
        <v>277</v>
      </c>
      <c r="D25" t="s">
        <v>278</v>
      </c>
      <c r="E25" t="s">
        <v>279</v>
      </c>
    </row>
    <row r="26" spans="1:5" x14ac:dyDescent="0.35">
      <c r="A26" s="1" t="s">
        <v>280</v>
      </c>
      <c r="B26" t="s">
        <v>105</v>
      </c>
      <c r="C26" t="s">
        <v>281</v>
      </c>
      <c r="D26" t="s">
        <v>282</v>
      </c>
      <c r="E26" t="s">
        <v>283</v>
      </c>
    </row>
    <row r="27" spans="1:5" x14ac:dyDescent="0.35">
      <c r="A27" s="1" t="s">
        <v>284</v>
      </c>
      <c r="B27" t="s">
        <v>105</v>
      </c>
      <c r="C27" t="s">
        <v>281</v>
      </c>
      <c r="D27" t="s">
        <v>282</v>
      </c>
      <c r="E27" t="s">
        <v>283</v>
      </c>
    </row>
    <row r="28" spans="1:5" x14ac:dyDescent="0.35">
      <c r="A28" s="1" t="s">
        <v>285</v>
      </c>
      <c r="B28" t="s">
        <v>133</v>
      </c>
      <c r="C28" t="s">
        <v>134</v>
      </c>
      <c r="D28" t="s">
        <v>135</v>
      </c>
      <c r="E28" t="s">
        <v>136</v>
      </c>
    </row>
    <row r="29" spans="1:5" x14ac:dyDescent="0.35">
      <c r="A29" s="1" t="s">
        <v>286</v>
      </c>
      <c r="B29" t="s">
        <v>133</v>
      </c>
      <c r="C29" t="s">
        <v>134</v>
      </c>
      <c r="D29" t="s">
        <v>135</v>
      </c>
      <c r="E29" t="s">
        <v>136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0"/>
  <sheetViews>
    <sheetView workbookViewId="0"/>
  </sheetViews>
  <sheetFormatPr defaultRowHeight="14.5" x14ac:dyDescent="0.35"/>
  <sheetData>
    <row r="1" spans="1:5" x14ac:dyDescent="0.35">
      <c r="B1" s="1" t="s">
        <v>208</v>
      </c>
      <c r="C1" s="1" t="s">
        <v>209</v>
      </c>
      <c r="D1" s="1" t="s">
        <v>210</v>
      </c>
      <c r="E1" s="1" t="s">
        <v>211</v>
      </c>
    </row>
    <row r="2" spans="1:5" x14ac:dyDescent="0.35">
      <c r="A2" s="1" t="s">
        <v>287</v>
      </c>
      <c r="B2" t="s">
        <v>178</v>
      </c>
      <c r="C2" t="s">
        <v>178</v>
      </c>
      <c r="D2" t="s">
        <v>161</v>
      </c>
      <c r="E2" t="s">
        <v>288</v>
      </c>
    </row>
    <row r="3" spans="1:5" x14ac:dyDescent="0.35">
      <c r="A3" s="1" t="s">
        <v>289</v>
      </c>
      <c r="B3" t="s">
        <v>105</v>
      </c>
      <c r="C3" t="s">
        <v>105</v>
      </c>
      <c r="D3" t="s">
        <v>105</v>
      </c>
      <c r="E3" t="s">
        <v>105</v>
      </c>
    </row>
    <row r="4" spans="1:5" x14ac:dyDescent="0.35">
      <c r="A4" s="1" t="s">
        <v>290</v>
      </c>
      <c r="B4" t="s">
        <v>178</v>
      </c>
      <c r="C4" t="s">
        <v>178</v>
      </c>
      <c r="D4" t="s">
        <v>161</v>
      </c>
      <c r="E4" t="s">
        <v>288</v>
      </c>
    </row>
    <row r="5" spans="1:5" x14ac:dyDescent="0.35">
      <c r="A5" s="1" t="s">
        <v>291</v>
      </c>
      <c r="B5" t="s">
        <v>105</v>
      </c>
      <c r="C5" t="s">
        <v>105</v>
      </c>
      <c r="D5" t="s">
        <v>292</v>
      </c>
      <c r="E5" t="s">
        <v>293</v>
      </c>
    </row>
    <row r="6" spans="1:5" x14ac:dyDescent="0.35">
      <c r="A6" s="1" t="s">
        <v>294</v>
      </c>
      <c r="B6" t="s">
        <v>105</v>
      </c>
      <c r="C6" t="s">
        <v>105</v>
      </c>
      <c r="D6" t="s">
        <v>295</v>
      </c>
      <c r="E6" t="s">
        <v>296</v>
      </c>
    </row>
    <row r="7" spans="1:5" x14ac:dyDescent="0.35">
      <c r="A7" s="1" t="s">
        <v>297</v>
      </c>
      <c r="B7" t="s">
        <v>105</v>
      </c>
      <c r="C7" t="s">
        <v>178</v>
      </c>
      <c r="D7" t="s">
        <v>298</v>
      </c>
      <c r="E7" t="s">
        <v>299</v>
      </c>
    </row>
    <row r="8" spans="1:5" x14ac:dyDescent="0.35">
      <c r="A8" s="1" t="s">
        <v>59</v>
      </c>
      <c r="B8" t="s">
        <v>178</v>
      </c>
      <c r="C8" t="s">
        <v>178</v>
      </c>
      <c r="D8" t="s">
        <v>300</v>
      </c>
      <c r="E8" t="s">
        <v>301</v>
      </c>
    </row>
    <row r="9" spans="1:5" x14ac:dyDescent="0.35">
      <c r="A9" s="1" t="s">
        <v>62</v>
      </c>
      <c r="B9" t="s">
        <v>105</v>
      </c>
      <c r="C9" t="s">
        <v>105</v>
      </c>
      <c r="D9" t="s">
        <v>302</v>
      </c>
      <c r="E9" t="s">
        <v>303</v>
      </c>
    </row>
    <row r="10" spans="1:5" x14ac:dyDescent="0.35">
      <c r="A10" s="1" t="s">
        <v>304</v>
      </c>
      <c r="B10" t="s">
        <v>105</v>
      </c>
      <c r="C10" t="s">
        <v>105</v>
      </c>
      <c r="D10" t="s">
        <v>105</v>
      </c>
      <c r="E10" t="s">
        <v>105</v>
      </c>
    </row>
    <row r="11" spans="1:5" x14ac:dyDescent="0.35">
      <c r="A11" s="1" t="s">
        <v>305</v>
      </c>
      <c r="B11" t="s">
        <v>105</v>
      </c>
      <c r="C11" t="s">
        <v>105</v>
      </c>
      <c r="D11" t="s">
        <v>235</v>
      </c>
      <c r="E11" t="s">
        <v>235</v>
      </c>
    </row>
    <row r="12" spans="1:5" x14ac:dyDescent="0.35">
      <c r="A12" s="1" t="s">
        <v>306</v>
      </c>
      <c r="B12" t="s">
        <v>105</v>
      </c>
      <c r="C12" t="s">
        <v>105</v>
      </c>
      <c r="D12" t="s">
        <v>235</v>
      </c>
      <c r="E12" t="s">
        <v>235</v>
      </c>
    </row>
    <row r="13" spans="1:5" x14ac:dyDescent="0.35">
      <c r="A13" s="1" t="s">
        <v>307</v>
      </c>
      <c r="B13" t="s">
        <v>105</v>
      </c>
      <c r="C13" t="s">
        <v>105</v>
      </c>
      <c r="D13" t="s">
        <v>105</v>
      </c>
      <c r="E13" t="s">
        <v>105</v>
      </c>
    </row>
    <row r="14" spans="1:5" x14ac:dyDescent="0.35">
      <c r="A14" s="1" t="s">
        <v>308</v>
      </c>
      <c r="B14" t="s">
        <v>105</v>
      </c>
      <c r="C14" t="s">
        <v>105</v>
      </c>
      <c r="D14" t="s">
        <v>105</v>
      </c>
      <c r="E14" t="s">
        <v>105</v>
      </c>
    </row>
    <row r="15" spans="1:5" x14ac:dyDescent="0.35">
      <c r="A15" s="1" t="s">
        <v>309</v>
      </c>
      <c r="B15" t="s">
        <v>178</v>
      </c>
      <c r="C15" t="s">
        <v>186</v>
      </c>
      <c r="D15" t="s">
        <v>245</v>
      </c>
      <c r="E15" t="s">
        <v>310</v>
      </c>
    </row>
    <row r="16" spans="1:5" x14ac:dyDescent="0.35">
      <c r="A16" s="1" t="s">
        <v>311</v>
      </c>
      <c r="B16" t="s">
        <v>178</v>
      </c>
      <c r="C16" t="s">
        <v>186</v>
      </c>
      <c r="D16" t="s">
        <v>312</v>
      </c>
      <c r="E16" t="s">
        <v>313</v>
      </c>
    </row>
    <row r="17" spans="1:5" x14ac:dyDescent="0.35">
      <c r="A17" s="1" t="s">
        <v>314</v>
      </c>
      <c r="B17" t="s">
        <v>105</v>
      </c>
      <c r="C17" t="s">
        <v>105</v>
      </c>
      <c r="D17" t="s">
        <v>105</v>
      </c>
      <c r="E17" t="s">
        <v>105</v>
      </c>
    </row>
    <row r="18" spans="1:5" x14ac:dyDescent="0.35">
      <c r="A18" s="1" t="s">
        <v>68</v>
      </c>
      <c r="B18" t="s">
        <v>178</v>
      </c>
      <c r="C18" t="s">
        <v>186</v>
      </c>
      <c r="D18" t="s">
        <v>315</v>
      </c>
      <c r="E18" t="s">
        <v>316</v>
      </c>
    </row>
    <row r="19" spans="1:5" x14ac:dyDescent="0.35">
      <c r="A19" s="1" t="s">
        <v>317</v>
      </c>
      <c r="B19" t="s">
        <v>105</v>
      </c>
      <c r="C19" t="s">
        <v>105</v>
      </c>
      <c r="D19" t="s">
        <v>318</v>
      </c>
      <c r="E19" t="s">
        <v>319</v>
      </c>
    </row>
    <row r="20" spans="1:5" x14ac:dyDescent="0.35">
      <c r="A20" s="1" t="s">
        <v>320</v>
      </c>
      <c r="B20" t="s">
        <v>105</v>
      </c>
      <c r="C20" t="s">
        <v>105</v>
      </c>
      <c r="D20" t="s">
        <v>321</v>
      </c>
      <c r="E20" t="s">
        <v>322</v>
      </c>
    </row>
    <row r="21" spans="1:5" x14ac:dyDescent="0.35">
      <c r="A21" s="1" t="s">
        <v>323</v>
      </c>
      <c r="B21" t="s">
        <v>105</v>
      </c>
      <c r="C21" t="s">
        <v>105</v>
      </c>
      <c r="D21" t="s">
        <v>324</v>
      </c>
      <c r="E21" t="s">
        <v>324</v>
      </c>
    </row>
    <row r="22" spans="1:5" x14ac:dyDescent="0.35">
      <c r="A22" s="1" t="s">
        <v>325</v>
      </c>
      <c r="B22" t="s">
        <v>105</v>
      </c>
      <c r="C22" t="s">
        <v>105</v>
      </c>
      <c r="D22" t="s">
        <v>245</v>
      </c>
      <c r="E22" t="s">
        <v>324</v>
      </c>
    </row>
    <row r="23" spans="1:5" x14ac:dyDescent="0.35">
      <c r="A23" s="1" t="s">
        <v>326</v>
      </c>
      <c r="B23" t="s">
        <v>178</v>
      </c>
      <c r="C23" t="s">
        <v>178</v>
      </c>
      <c r="D23" t="s">
        <v>327</v>
      </c>
      <c r="E23" t="s">
        <v>328</v>
      </c>
    </row>
    <row r="24" spans="1:5" x14ac:dyDescent="0.35">
      <c r="A24" s="1" t="s">
        <v>77</v>
      </c>
      <c r="B24" t="s">
        <v>178</v>
      </c>
      <c r="C24" t="s">
        <v>178</v>
      </c>
      <c r="D24" t="s">
        <v>329</v>
      </c>
      <c r="E24" t="s">
        <v>330</v>
      </c>
    </row>
    <row r="25" spans="1:5" x14ac:dyDescent="0.35">
      <c r="A25" s="1" t="s">
        <v>331</v>
      </c>
      <c r="B25" t="s">
        <v>105</v>
      </c>
      <c r="C25" t="s">
        <v>105</v>
      </c>
      <c r="D25" t="s">
        <v>183</v>
      </c>
      <c r="E25" t="s">
        <v>183</v>
      </c>
    </row>
    <row r="26" spans="1:5" x14ac:dyDescent="0.35">
      <c r="A26" s="1" t="s">
        <v>332</v>
      </c>
      <c r="B26" t="s">
        <v>105</v>
      </c>
      <c r="C26" t="s">
        <v>178</v>
      </c>
      <c r="D26" t="s">
        <v>105</v>
      </c>
      <c r="E26" t="s">
        <v>105</v>
      </c>
    </row>
    <row r="27" spans="1:5" x14ac:dyDescent="0.35">
      <c r="A27" s="1" t="s">
        <v>333</v>
      </c>
      <c r="B27" t="s">
        <v>105</v>
      </c>
      <c r="C27" t="s">
        <v>105</v>
      </c>
      <c r="D27" t="s">
        <v>334</v>
      </c>
      <c r="E27" t="s">
        <v>328</v>
      </c>
    </row>
    <row r="28" spans="1:5" x14ac:dyDescent="0.35">
      <c r="A28" s="1" t="s">
        <v>335</v>
      </c>
      <c r="B28" t="s">
        <v>105</v>
      </c>
      <c r="C28" t="s">
        <v>178</v>
      </c>
      <c r="D28" t="s">
        <v>336</v>
      </c>
      <c r="E28" t="s">
        <v>337</v>
      </c>
    </row>
    <row r="29" spans="1:5" x14ac:dyDescent="0.35">
      <c r="A29" s="1" t="s">
        <v>338</v>
      </c>
      <c r="B29" t="s">
        <v>105</v>
      </c>
      <c r="C29" t="s">
        <v>105</v>
      </c>
      <c r="D29" t="s">
        <v>105</v>
      </c>
      <c r="E29" t="s">
        <v>105</v>
      </c>
    </row>
    <row r="30" spans="1:5" x14ac:dyDescent="0.35">
      <c r="A30" s="1" t="s">
        <v>339</v>
      </c>
      <c r="B30" t="s">
        <v>105</v>
      </c>
      <c r="C30" t="s">
        <v>105</v>
      </c>
      <c r="D30" t="s">
        <v>105</v>
      </c>
      <c r="E30" t="s">
        <v>105</v>
      </c>
    </row>
    <row r="31" spans="1:5" x14ac:dyDescent="0.35">
      <c r="A31" s="1" t="s">
        <v>86</v>
      </c>
      <c r="B31" t="s">
        <v>178</v>
      </c>
      <c r="C31" t="s">
        <v>178</v>
      </c>
      <c r="D31" t="s">
        <v>340</v>
      </c>
      <c r="E31" t="s">
        <v>341</v>
      </c>
    </row>
    <row r="32" spans="1:5" x14ac:dyDescent="0.35">
      <c r="A32" s="1" t="s">
        <v>342</v>
      </c>
      <c r="B32" t="s">
        <v>105</v>
      </c>
      <c r="C32" t="s">
        <v>105</v>
      </c>
      <c r="D32" t="s">
        <v>105</v>
      </c>
      <c r="E32" t="s">
        <v>105</v>
      </c>
    </row>
    <row r="33" spans="1:5" x14ac:dyDescent="0.35">
      <c r="A33" s="1" t="s">
        <v>343</v>
      </c>
      <c r="B33" t="s">
        <v>178</v>
      </c>
      <c r="C33" t="s">
        <v>344</v>
      </c>
      <c r="D33" t="s">
        <v>178</v>
      </c>
      <c r="E33" t="s">
        <v>178</v>
      </c>
    </row>
    <row r="34" spans="1:5" x14ac:dyDescent="0.35">
      <c r="A34" s="1" t="s">
        <v>345</v>
      </c>
      <c r="B34" t="s">
        <v>177</v>
      </c>
      <c r="C34" t="s">
        <v>346</v>
      </c>
      <c r="D34" t="s">
        <v>347</v>
      </c>
      <c r="E34" t="s">
        <v>348</v>
      </c>
    </row>
    <row r="35" spans="1:5" x14ac:dyDescent="0.35">
      <c r="A35" s="1" t="s">
        <v>349</v>
      </c>
      <c r="B35" t="s">
        <v>105</v>
      </c>
      <c r="C35" t="s">
        <v>105</v>
      </c>
      <c r="D35" t="s">
        <v>350</v>
      </c>
      <c r="E35" t="s">
        <v>350</v>
      </c>
    </row>
    <row r="36" spans="1:5" x14ac:dyDescent="0.35">
      <c r="A36" s="1" t="s">
        <v>351</v>
      </c>
      <c r="B36" t="s">
        <v>178</v>
      </c>
      <c r="C36" t="s">
        <v>324</v>
      </c>
      <c r="D36" t="s">
        <v>105</v>
      </c>
      <c r="E36" t="s">
        <v>352</v>
      </c>
    </row>
    <row r="37" spans="1:5" x14ac:dyDescent="0.35">
      <c r="A37" s="1" t="s">
        <v>353</v>
      </c>
      <c r="B37" t="s">
        <v>178</v>
      </c>
      <c r="C37" t="s">
        <v>186</v>
      </c>
      <c r="D37" t="s">
        <v>187</v>
      </c>
      <c r="E37" t="s">
        <v>188</v>
      </c>
    </row>
    <row r="38" spans="1:5" x14ac:dyDescent="0.35">
      <c r="A38" s="1" t="s">
        <v>354</v>
      </c>
      <c r="B38" t="s">
        <v>178</v>
      </c>
      <c r="C38" t="s">
        <v>186</v>
      </c>
      <c r="D38" t="s">
        <v>355</v>
      </c>
      <c r="E38" t="s">
        <v>316</v>
      </c>
    </row>
    <row r="39" spans="1:5" x14ac:dyDescent="0.35">
      <c r="A39" s="1" t="s">
        <v>356</v>
      </c>
      <c r="B39" t="s">
        <v>105</v>
      </c>
      <c r="C39" t="s">
        <v>105</v>
      </c>
      <c r="D39" t="s">
        <v>357</v>
      </c>
      <c r="E39" t="s">
        <v>105</v>
      </c>
    </row>
    <row r="40" spans="1:5" x14ac:dyDescent="0.35">
      <c r="A40" s="1" t="s">
        <v>358</v>
      </c>
      <c r="B40" t="s">
        <v>178</v>
      </c>
      <c r="C40" t="s">
        <v>186</v>
      </c>
      <c r="D40" t="s">
        <v>315</v>
      </c>
      <c r="E40" t="s">
        <v>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9"/>
  <sheetViews>
    <sheetView workbookViewId="0"/>
  </sheetViews>
  <sheetFormatPr defaultRowHeight="14.5" x14ac:dyDescent="0.35"/>
  <sheetData>
    <row r="1" spans="1:5" x14ac:dyDescent="0.35">
      <c r="B1" s="1" t="s">
        <v>208</v>
      </c>
      <c r="C1" s="1" t="s">
        <v>209</v>
      </c>
      <c r="D1" s="1" t="s">
        <v>210</v>
      </c>
      <c r="E1" s="1" t="s">
        <v>211</v>
      </c>
    </row>
    <row r="2" spans="1:5" x14ac:dyDescent="0.35">
      <c r="A2" s="1" t="s">
        <v>40</v>
      </c>
      <c r="B2" t="s">
        <v>105</v>
      </c>
      <c r="C2" t="s">
        <v>359</v>
      </c>
      <c r="D2" t="s">
        <v>269</v>
      </c>
      <c r="E2" t="s">
        <v>270</v>
      </c>
    </row>
    <row r="3" spans="1:5" x14ac:dyDescent="0.35">
      <c r="A3" s="1" t="s">
        <v>248</v>
      </c>
      <c r="B3" t="s">
        <v>105</v>
      </c>
      <c r="C3" t="s">
        <v>159</v>
      </c>
      <c r="D3" t="s">
        <v>160</v>
      </c>
      <c r="E3" t="s">
        <v>161</v>
      </c>
    </row>
    <row r="4" spans="1:5" x14ac:dyDescent="0.35">
      <c r="A4" s="1" t="s">
        <v>360</v>
      </c>
      <c r="B4" t="s">
        <v>105</v>
      </c>
      <c r="C4" t="s">
        <v>105</v>
      </c>
      <c r="D4" t="s">
        <v>105</v>
      </c>
      <c r="E4" t="s">
        <v>105</v>
      </c>
    </row>
    <row r="5" spans="1:5" x14ac:dyDescent="0.35">
      <c r="A5" s="1" t="s">
        <v>361</v>
      </c>
      <c r="B5" t="s">
        <v>105</v>
      </c>
      <c r="C5" t="s">
        <v>105</v>
      </c>
      <c r="D5" t="s">
        <v>105</v>
      </c>
      <c r="E5" t="s">
        <v>362</v>
      </c>
    </row>
    <row r="6" spans="1:5" x14ac:dyDescent="0.35">
      <c r="A6" s="1" t="s">
        <v>363</v>
      </c>
      <c r="B6" t="s">
        <v>105</v>
      </c>
      <c r="C6" t="s">
        <v>364</v>
      </c>
      <c r="D6" t="s">
        <v>365</v>
      </c>
      <c r="E6" t="s">
        <v>366</v>
      </c>
    </row>
    <row r="7" spans="1:5" x14ac:dyDescent="0.35">
      <c r="A7" s="1" t="s">
        <v>367</v>
      </c>
      <c r="B7" t="s">
        <v>105</v>
      </c>
      <c r="C7" t="s">
        <v>368</v>
      </c>
      <c r="D7" t="s">
        <v>369</v>
      </c>
      <c r="E7" t="s">
        <v>266</v>
      </c>
    </row>
    <row r="8" spans="1:5" x14ac:dyDescent="0.35">
      <c r="A8" s="1" t="s">
        <v>294</v>
      </c>
      <c r="B8" t="s">
        <v>105</v>
      </c>
      <c r="C8" t="s">
        <v>370</v>
      </c>
      <c r="D8" t="s">
        <v>236</v>
      </c>
      <c r="E8" t="s">
        <v>371</v>
      </c>
    </row>
    <row r="9" spans="1:5" x14ac:dyDescent="0.35">
      <c r="A9" s="1" t="s">
        <v>317</v>
      </c>
      <c r="B9" t="s">
        <v>105</v>
      </c>
      <c r="C9" t="s">
        <v>372</v>
      </c>
      <c r="D9" t="s">
        <v>373</v>
      </c>
      <c r="E9" t="s">
        <v>374</v>
      </c>
    </row>
    <row r="10" spans="1:5" x14ac:dyDescent="0.35">
      <c r="A10" s="1" t="s">
        <v>375</v>
      </c>
      <c r="B10" t="s">
        <v>105</v>
      </c>
      <c r="C10" t="s">
        <v>245</v>
      </c>
      <c r="D10" t="s">
        <v>178</v>
      </c>
      <c r="E10" t="s">
        <v>376</v>
      </c>
    </row>
    <row r="11" spans="1:5" x14ac:dyDescent="0.35">
      <c r="A11" s="1" t="s">
        <v>377</v>
      </c>
      <c r="B11" t="s">
        <v>105</v>
      </c>
      <c r="C11" t="s">
        <v>179</v>
      </c>
      <c r="D11" t="s">
        <v>247</v>
      </c>
      <c r="E11" t="s">
        <v>378</v>
      </c>
    </row>
    <row r="12" spans="1:5" x14ac:dyDescent="0.35">
      <c r="A12" s="1" t="s">
        <v>379</v>
      </c>
      <c r="B12" t="s">
        <v>105</v>
      </c>
      <c r="C12" t="s">
        <v>350</v>
      </c>
      <c r="D12" t="s">
        <v>235</v>
      </c>
      <c r="E12" t="s">
        <v>380</v>
      </c>
    </row>
    <row r="13" spans="1:5" x14ac:dyDescent="0.35">
      <c r="A13" s="1" t="s">
        <v>381</v>
      </c>
      <c r="B13" t="s">
        <v>105</v>
      </c>
      <c r="C13" t="s">
        <v>382</v>
      </c>
      <c r="D13" t="s">
        <v>383</v>
      </c>
      <c r="E13" t="s">
        <v>384</v>
      </c>
    </row>
    <row r="14" spans="1:5" x14ac:dyDescent="0.35">
      <c r="A14" s="1" t="s">
        <v>385</v>
      </c>
      <c r="B14" t="s">
        <v>105</v>
      </c>
      <c r="C14" t="s">
        <v>105</v>
      </c>
      <c r="D14" t="s">
        <v>105</v>
      </c>
      <c r="E14" t="s">
        <v>105</v>
      </c>
    </row>
    <row r="15" spans="1:5" x14ac:dyDescent="0.35">
      <c r="A15" s="1" t="s">
        <v>386</v>
      </c>
      <c r="B15" t="s">
        <v>105</v>
      </c>
      <c r="C15" t="s">
        <v>382</v>
      </c>
      <c r="D15" t="s">
        <v>265</v>
      </c>
      <c r="E15" t="s">
        <v>105</v>
      </c>
    </row>
    <row r="16" spans="1:5" x14ac:dyDescent="0.35">
      <c r="A16" s="1" t="s">
        <v>387</v>
      </c>
      <c r="B16" t="s">
        <v>105</v>
      </c>
      <c r="C16" t="s">
        <v>388</v>
      </c>
      <c r="D16" t="s">
        <v>179</v>
      </c>
      <c r="E16" t="s">
        <v>105</v>
      </c>
    </row>
    <row r="17" spans="1:5" x14ac:dyDescent="0.35">
      <c r="A17" s="1" t="s">
        <v>389</v>
      </c>
      <c r="B17" t="s">
        <v>105</v>
      </c>
      <c r="C17" t="s">
        <v>178</v>
      </c>
      <c r="D17" t="s">
        <v>178</v>
      </c>
      <c r="E17" t="s">
        <v>105</v>
      </c>
    </row>
    <row r="18" spans="1:5" x14ac:dyDescent="0.35">
      <c r="A18" s="1" t="s">
        <v>390</v>
      </c>
      <c r="B18" t="s">
        <v>105</v>
      </c>
      <c r="C18" t="s">
        <v>369</v>
      </c>
      <c r="D18" t="s">
        <v>391</v>
      </c>
      <c r="E18" t="s">
        <v>384</v>
      </c>
    </row>
    <row r="19" spans="1:5" x14ac:dyDescent="0.35">
      <c r="A19" s="1" t="s">
        <v>392</v>
      </c>
      <c r="B19" t="s">
        <v>105</v>
      </c>
      <c r="C19" t="s">
        <v>393</v>
      </c>
      <c r="D19" t="s">
        <v>394</v>
      </c>
      <c r="E19" t="s">
        <v>395</v>
      </c>
    </row>
    <row r="20" spans="1:5" x14ac:dyDescent="0.35">
      <c r="A20" s="1" t="s">
        <v>396</v>
      </c>
      <c r="B20" t="s">
        <v>105</v>
      </c>
      <c r="C20" t="s">
        <v>105</v>
      </c>
      <c r="D20" t="s">
        <v>105</v>
      </c>
      <c r="E20" t="s">
        <v>105</v>
      </c>
    </row>
    <row r="21" spans="1:5" x14ac:dyDescent="0.35">
      <c r="A21" s="1" t="s">
        <v>397</v>
      </c>
      <c r="B21" t="s">
        <v>105</v>
      </c>
      <c r="C21" t="s">
        <v>105</v>
      </c>
      <c r="D21" t="s">
        <v>105</v>
      </c>
      <c r="E21" t="s">
        <v>105</v>
      </c>
    </row>
    <row r="22" spans="1:5" x14ac:dyDescent="0.35">
      <c r="A22" s="1" t="s">
        <v>398</v>
      </c>
      <c r="B22" t="s">
        <v>105</v>
      </c>
      <c r="C22" t="s">
        <v>105</v>
      </c>
      <c r="D22" t="s">
        <v>105</v>
      </c>
      <c r="E22" t="s">
        <v>105</v>
      </c>
    </row>
    <row r="23" spans="1:5" x14ac:dyDescent="0.35">
      <c r="A23" s="1" t="s">
        <v>399</v>
      </c>
      <c r="B23" t="s">
        <v>105</v>
      </c>
      <c r="C23" t="s">
        <v>400</v>
      </c>
      <c r="D23" t="s">
        <v>401</v>
      </c>
      <c r="E23" t="s">
        <v>402</v>
      </c>
    </row>
    <row r="24" spans="1:5" x14ac:dyDescent="0.35">
      <c r="A24" s="1" t="s">
        <v>403</v>
      </c>
      <c r="B24" t="s">
        <v>105</v>
      </c>
      <c r="C24" t="s">
        <v>404</v>
      </c>
      <c r="D24" t="s">
        <v>376</v>
      </c>
      <c r="E24" t="s">
        <v>405</v>
      </c>
    </row>
    <row r="25" spans="1:5" x14ac:dyDescent="0.35">
      <c r="A25" s="1" t="s">
        <v>406</v>
      </c>
      <c r="B25" t="s">
        <v>105</v>
      </c>
      <c r="C25" t="s">
        <v>376</v>
      </c>
      <c r="D25" t="s">
        <v>324</v>
      </c>
      <c r="E25" t="s">
        <v>346</v>
      </c>
    </row>
    <row r="26" spans="1:5" x14ac:dyDescent="0.35">
      <c r="A26" s="1" t="s">
        <v>407</v>
      </c>
      <c r="B26" t="s">
        <v>105</v>
      </c>
      <c r="C26" t="s">
        <v>408</v>
      </c>
      <c r="D26" t="s">
        <v>376</v>
      </c>
      <c r="E26" t="s">
        <v>409</v>
      </c>
    </row>
    <row r="27" spans="1:5" x14ac:dyDescent="0.35">
      <c r="A27" s="1" t="s">
        <v>410</v>
      </c>
      <c r="B27" t="s">
        <v>105</v>
      </c>
      <c r="C27" t="s">
        <v>318</v>
      </c>
      <c r="D27" t="s">
        <v>411</v>
      </c>
      <c r="E27" t="s">
        <v>412</v>
      </c>
    </row>
    <row r="28" spans="1:5" x14ac:dyDescent="0.35">
      <c r="A28" s="1" t="s">
        <v>413</v>
      </c>
      <c r="B28" t="s">
        <v>105</v>
      </c>
      <c r="C28" t="s">
        <v>414</v>
      </c>
      <c r="D28" t="s">
        <v>318</v>
      </c>
      <c r="E28" t="s">
        <v>411</v>
      </c>
    </row>
    <row r="29" spans="1:5" x14ac:dyDescent="0.35">
      <c r="A29" s="1" t="s">
        <v>415</v>
      </c>
      <c r="B29" t="s">
        <v>105</v>
      </c>
      <c r="C29" t="s">
        <v>416</v>
      </c>
      <c r="D29" t="s">
        <v>238</v>
      </c>
      <c r="E29" t="s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Info</vt:lpstr>
      <vt:lpstr>Model</vt:lpstr>
      <vt:lpstr>Summary</vt:lpstr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2023-03-07T01:20:24Z</dcterms:created>
  <dcterms:modified xsi:type="dcterms:W3CDTF">2024-02-12T01:10:21Z</dcterms:modified>
</cp:coreProperties>
</file>