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2091" documentId="11_32F529B52D6BE98CFA6CB7C5EF4E847091985DFA" xr6:coauthVersionLast="47" xr6:coauthVersionMax="47" xr10:uidLastSave="{6B1FA3A2-3932-4385-8B2D-4612FC580FA0}"/>
  <bookViews>
    <workbookView xWindow="0" yWindow="0" windowWidth="19200" windowHeight="21600" activeTab="4" xr2:uid="{00000000-000D-0000-FFFF-FFFF00000000}"/>
  </bookViews>
  <sheets>
    <sheet name="Main" sheetId="1" r:id="rId1"/>
    <sheet name="Info" sheetId="2" r:id="rId2"/>
    <sheet name="Model" sheetId="3" r:id="rId3"/>
    <sheet name="Competition" sheetId="9" r:id="rId4"/>
    <sheet name="Acquisitions" sheetId="16" r:id="rId5"/>
    <sheet name="Analysis" sheetId="14" r:id="rId6"/>
    <sheet name="Missions" sheetId="11" r:id="rId7"/>
    <sheet name="Contracts" sheetId="1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07" i="3" l="1"/>
  <c r="AI207" i="3"/>
  <c r="AJ207" i="3"/>
  <c r="AK207" i="3"/>
  <c r="AL207" i="3"/>
  <c r="AM207" i="3"/>
  <c r="AN207" i="3"/>
  <c r="AG207" i="3"/>
  <c r="J207" i="3"/>
  <c r="I207" i="3"/>
  <c r="H207" i="3"/>
  <c r="N207" i="3"/>
  <c r="M207" i="3"/>
  <c r="L207" i="3"/>
  <c r="R207" i="3"/>
  <c r="Q207" i="3"/>
  <c r="P207" i="3"/>
  <c r="J206" i="3"/>
  <c r="I206" i="3"/>
  <c r="H206" i="3"/>
  <c r="N206" i="3"/>
  <c r="M206" i="3"/>
  <c r="L206" i="3"/>
  <c r="P206" i="3"/>
  <c r="Q206" i="3"/>
  <c r="R206" i="3"/>
  <c r="AH206" i="3"/>
  <c r="AI206" i="3"/>
  <c r="AJ206" i="3"/>
  <c r="AK206" i="3"/>
  <c r="AL206" i="3"/>
  <c r="AM206" i="3"/>
  <c r="AN206" i="3"/>
  <c r="AG206" i="3"/>
  <c r="D98" i="9"/>
  <c r="B98" i="9"/>
  <c r="D74" i="9"/>
  <c r="B74" i="9"/>
  <c r="F49" i="9"/>
  <c r="D49" i="9"/>
  <c r="B49" i="9"/>
  <c r="D25" i="9"/>
  <c r="B25" i="9"/>
  <c r="D97" i="9"/>
  <c r="B97" i="9"/>
  <c r="D76" i="9"/>
  <c r="D72" i="9"/>
  <c r="B72" i="9"/>
  <c r="F38" i="9"/>
  <c r="F37" i="9"/>
  <c r="F48" i="9" s="1"/>
  <c r="F46" i="9"/>
  <c r="D48" i="9"/>
  <c r="D46" i="9"/>
  <c r="B46" i="9"/>
  <c r="B48" i="9"/>
  <c r="D24" i="9"/>
  <c r="D22" i="9"/>
  <c r="B24" i="9"/>
  <c r="B22" i="9"/>
  <c r="D95" i="9"/>
  <c r="B95" i="9"/>
  <c r="B120" i="9"/>
  <c r="B142" i="9"/>
  <c r="E10" i="14"/>
  <c r="E9" i="14"/>
  <c r="E8" i="14"/>
  <c r="E7" i="14"/>
  <c r="E6" i="14"/>
  <c r="E5" i="14"/>
  <c r="E4" i="14"/>
  <c r="E3" i="14"/>
  <c r="D10" i="14"/>
  <c r="C9" i="14"/>
  <c r="D9" i="14" s="1"/>
  <c r="B9" i="14"/>
  <c r="C8" i="14"/>
  <c r="B8" i="14"/>
  <c r="C7" i="14"/>
  <c r="B7" i="14"/>
  <c r="C6" i="14"/>
  <c r="B6" i="14"/>
  <c r="D5" i="14"/>
  <c r="D4" i="14"/>
  <c r="C5" i="14"/>
  <c r="C4" i="14"/>
  <c r="B4" i="14"/>
  <c r="B5" i="14"/>
  <c r="D3" i="14"/>
  <c r="C3" i="14"/>
  <c r="B3" i="14"/>
  <c r="K12" i="3"/>
  <c r="K11" i="3"/>
  <c r="K10" i="3"/>
  <c r="O11" i="3"/>
  <c r="O10" i="3"/>
  <c r="G20" i="3"/>
  <c r="G21" i="3" s="1"/>
  <c r="G19" i="3"/>
  <c r="K20" i="3"/>
  <c r="K19" i="3"/>
  <c r="O20" i="3"/>
  <c r="O19" i="3"/>
  <c r="H152" i="3"/>
  <c r="H156" i="3" s="1"/>
  <c r="H189" i="3" s="1"/>
  <c r="G155" i="3"/>
  <c r="G154" i="3"/>
  <c r="G153" i="3"/>
  <c r="G152" i="3"/>
  <c r="G151" i="3"/>
  <c r="G150" i="3"/>
  <c r="G149" i="3"/>
  <c r="G148" i="3"/>
  <c r="G147" i="3"/>
  <c r="G146" i="3"/>
  <c r="G142" i="3"/>
  <c r="G141" i="3"/>
  <c r="G140" i="3"/>
  <c r="G139" i="3"/>
  <c r="G138" i="3"/>
  <c r="G137" i="3"/>
  <c r="G136" i="3"/>
  <c r="G135" i="3"/>
  <c r="G132" i="3"/>
  <c r="G131" i="3"/>
  <c r="G130" i="3"/>
  <c r="G129" i="3"/>
  <c r="G128" i="3"/>
  <c r="G127" i="3"/>
  <c r="E124" i="3"/>
  <c r="E125" i="3" s="1"/>
  <c r="F124" i="3"/>
  <c r="F125" i="3" s="1"/>
  <c r="H124" i="3"/>
  <c r="I124" i="3"/>
  <c r="D124" i="3"/>
  <c r="D125" i="3" s="1"/>
  <c r="G119" i="3"/>
  <c r="G120" i="3"/>
  <c r="G121" i="3"/>
  <c r="G122" i="3"/>
  <c r="G123" i="3"/>
  <c r="G118" i="3"/>
  <c r="G117" i="3"/>
  <c r="G116" i="3"/>
  <c r="G115" i="3"/>
  <c r="G114" i="3"/>
  <c r="G113" i="3"/>
  <c r="G124" i="3" s="1"/>
  <c r="G110" i="3"/>
  <c r="G109" i="3"/>
  <c r="G108" i="3"/>
  <c r="G107" i="3"/>
  <c r="G106" i="3"/>
  <c r="G105" i="3"/>
  <c r="G200" i="3" s="1"/>
  <c r="AG152" i="3"/>
  <c r="AG156" i="3" s="1"/>
  <c r="K187" i="3"/>
  <c r="S187" i="3"/>
  <c r="Q189" i="3"/>
  <c r="H190" i="3"/>
  <c r="I190" i="3"/>
  <c r="S190" i="3"/>
  <c r="O169" i="3"/>
  <c r="O168" i="3"/>
  <c r="O167" i="3"/>
  <c r="O166" i="3"/>
  <c r="O163" i="3"/>
  <c r="O162" i="3"/>
  <c r="K86" i="3"/>
  <c r="K186" i="3" s="1"/>
  <c r="K185" i="3" s="1"/>
  <c r="K190" i="3" s="1"/>
  <c r="H186" i="3"/>
  <c r="H185" i="3" s="1"/>
  <c r="I186" i="3"/>
  <c r="I185" i="3" s="1"/>
  <c r="J186" i="3"/>
  <c r="J185" i="3" s="1"/>
  <c r="J190" i="3" s="1"/>
  <c r="M186" i="3"/>
  <c r="M185" i="3" s="1"/>
  <c r="M187" i="3" s="1"/>
  <c r="N186" i="3"/>
  <c r="N185" i="3" s="1"/>
  <c r="O186" i="3"/>
  <c r="O185" i="3" s="1"/>
  <c r="P186" i="3"/>
  <c r="P185" i="3" s="1"/>
  <c r="Q186" i="3"/>
  <c r="Q185" i="3" s="1"/>
  <c r="R186" i="3"/>
  <c r="R185" i="3" s="1"/>
  <c r="S186" i="3"/>
  <c r="S185" i="3" s="1"/>
  <c r="S189" i="3" s="1"/>
  <c r="T186" i="3"/>
  <c r="T185" i="3" s="1"/>
  <c r="T189" i="3" s="1"/>
  <c r="U186" i="3"/>
  <c r="U185" i="3" s="1"/>
  <c r="U190" i="3" s="1"/>
  <c r="L186" i="3"/>
  <c r="L185" i="3" s="1"/>
  <c r="AH21" i="3"/>
  <c r="AI21" i="3"/>
  <c r="AJ21" i="3"/>
  <c r="AK21" i="3"/>
  <c r="AL21" i="3"/>
  <c r="AM21" i="3"/>
  <c r="AN21" i="3"/>
  <c r="AO21" i="3"/>
  <c r="AP21" i="3"/>
  <c r="AQ21" i="3"/>
  <c r="AR21" i="3"/>
  <c r="AG21" i="3"/>
  <c r="AI15" i="3"/>
  <c r="H15" i="3"/>
  <c r="I12" i="3"/>
  <c r="I15" i="3" s="1"/>
  <c r="H12" i="3"/>
  <c r="H16" i="3" s="1"/>
  <c r="F21" i="3"/>
  <c r="S12" i="3"/>
  <c r="T12" i="3"/>
  <c r="U12" i="3"/>
  <c r="T21" i="3"/>
  <c r="U21" i="3"/>
  <c r="S21" i="3"/>
  <c r="R21" i="3"/>
  <c r="Q21" i="3"/>
  <c r="P21" i="3"/>
  <c r="N21" i="3"/>
  <c r="M21" i="3"/>
  <c r="L21" i="3"/>
  <c r="J21" i="3"/>
  <c r="I21" i="3"/>
  <c r="H21" i="3"/>
  <c r="C8" i="11"/>
  <c r="C7" i="11"/>
  <c r="C6" i="11"/>
  <c r="C5" i="11"/>
  <c r="C58" i="11"/>
  <c r="C15" i="11" s="1"/>
  <c r="C65" i="11"/>
  <c r="C16" i="11" s="1"/>
  <c r="C50" i="11"/>
  <c r="C14" i="11" s="1"/>
  <c r="C43" i="11"/>
  <c r="C13" i="11" s="1"/>
  <c r="C33" i="11"/>
  <c r="C12" i="11" s="1"/>
  <c r="C22" i="11"/>
  <c r="C11" i="11" s="1"/>
  <c r="N12" i="3"/>
  <c r="N16" i="3" s="1"/>
  <c r="M12" i="3"/>
  <c r="M16" i="3" s="1"/>
  <c r="P12" i="3"/>
  <c r="P16" i="3" s="1"/>
  <c r="R12" i="3"/>
  <c r="R16" i="3" s="1"/>
  <c r="Q12" i="3"/>
  <c r="Q16" i="3" s="1"/>
  <c r="D42" i="9"/>
  <c r="B138" i="9"/>
  <c r="B116" i="9"/>
  <c r="D91" i="9"/>
  <c r="B91" i="9"/>
  <c r="B68" i="9"/>
  <c r="B42" i="9"/>
  <c r="B18" i="9"/>
  <c r="AI32" i="3"/>
  <c r="O32" i="3" s="1"/>
  <c r="AJ32" i="3"/>
  <c r="AK32" i="3"/>
  <c r="AL32" i="3"/>
  <c r="AM32" i="3"/>
  <c r="AN32" i="3"/>
  <c r="AO32" i="3"/>
  <c r="AP32" i="3"/>
  <c r="AQ32" i="3"/>
  <c r="AR32" i="3"/>
  <c r="AI31" i="3"/>
  <c r="AJ31" i="3"/>
  <c r="AK31" i="3"/>
  <c r="AL31" i="3"/>
  <c r="AM31" i="3"/>
  <c r="AN31" i="3"/>
  <c r="AO31" i="3"/>
  <c r="AP31" i="3"/>
  <c r="AQ31" i="3"/>
  <c r="AR31" i="3"/>
  <c r="AB12" i="3"/>
  <c r="AC12" i="3"/>
  <c r="AD12" i="3"/>
  <c r="AE12" i="3"/>
  <c r="AF12" i="3"/>
  <c r="AG12" i="3"/>
  <c r="AI12" i="3"/>
  <c r="AI16" i="3" s="1"/>
  <c r="AJ12" i="3"/>
  <c r="AK12" i="3"/>
  <c r="AL12" i="3"/>
  <c r="AM12" i="3"/>
  <c r="AN12" i="3"/>
  <c r="AO12" i="3"/>
  <c r="AP12" i="3"/>
  <c r="AQ12" i="3"/>
  <c r="AR12" i="3"/>
  <c r="AA12" i="3"/>
  <c r="R49" i="3"/>
  <c r="S49" i="3"/>
  <c r="T49" i="3"/>
  <c r="U49" i="3"/>
  <c r="R33" i="3"/>
  <c r="R58" i="3" s="1"/>
  <c r="S33" i="3"/>
  <c r="T33" i="3"/>
  <c r="U33" i="3"/>
  <c r="N179" i="3"/>
  <c r="L179" i="3"/>
  <c r="N178" i="3"/>
  <c r="L178" i="3"/>
  <c r="L177" i="3"/>
  <c r="M177" i="3" s="1"/>
  <c r="N177" i="3" s="1"/>
  <c r="N176" i="3"/>
  <c r="L176" i="3"/>
  <c r="R179" i="3"/>
  <c r="R178" i="3"/>
  <c r="R176" i="3"/>
  <c r="P179" i="3"/>
  <c r="P178" i="3"/>
  <c r="P177" i="3"/>
  <c r="Q177" i="3" s="1"/>
  <c r="R177" i="3" s="1"/>
  <c r="P176" i="3"/>
  <c r="L173" i="3"/>
  <c r="L172" i="3"/>
  <c r="S174" i="3"/>
  <c r="T174" i="3"/>
  <c r="T190" i="3" s="1"/>
  <c r="U174" i="3"/>
  <c r="P173" i="3"/>
  <c r="P172" i="3"/>
  <c r="T156" i="3"/>
  <c r="U156" i="3"/>
  <c r="R164" i="3"/>
  <c r="S164" i="3"/>
  <c r="T164" i="3"/>
  <c r="U164" i="3"/>
  <c r="M167" i="3"/>
  <c r="Q167" i="3"/>
  <c r="M163" i="3"/>
  <c r="M173" i="3" s="1"/>
  <c r="M162" i="3"/>
  <c r="M172" i="3" s="1"/>
  <c r="Q163" i="3"/>
  <c r="Q173" i="3" s="1"/>
  <c r="Q162" i="3"/>
  <c r="Q172" i="3" s="1"/>
  <c r="S95" i="3"/>
  <c r="T95" i="3"/>
  <c r="U95" i="3"/>
  <c r="S96" i="3"/>
  <c r="T96" i="3"/>
  <c r="U96" i="3"/>
  <c r="R143" i="3"/>
  <c r="S143" i="3"/>
  <c r="T143" i="3"/>
  <c r="U143" i="3"/>
  <c r="R133" i="3"/>
  <c r="S133" i="3"/>
  <c r="T133" i="3"/>
  <c r="U133" i="3"/>
  <c r="S124" i="3"/>
  <c r="S125" i="3" s="1"/>
  <c r="T124" i="3"/>
  <c r="T125" i="3" s="1"/>
  <c r="U124" i="3"/>
  <c r="U125" i="3" s="1"/>
  <c r="R110" i="3"/>
  <c r="R111" i="3" s="1"/>
  <c r="AJ193" i="3"/>
  <c r="AK193" i="3"/>
  <c r="AL193" i="3"/>
  <c r="AM193" i="3"/>
  <c r="AN193" i="3"/>
  <c r="AK194" i="3"/>
  <c r="AL194" i="3"/>
  <c r="AM194" i="3"/>
  <c r="AN194" i="3"/>
  <c r="AH193" i="3"/>
  <c r="AG193" i="3"/>
  <c r="AI193" i="3"/>
  <c r="AJ164" i="3"/>
  <c r="AK164" i="3"/>
  <c r="AL164" i="3"/>
  <c r="AM164" i="3"/>
  <c r="AN164" i="3"/>
  <c r="AJ156" i="3"/>
  <c r="AK156" i="3"/>
  <c r="AL156" i="3"/>
  <c r="AM156" i="3"/>
  <c r="AN156" i="3"/>
  <c r="AJ143" i="3"/>
  <c r="AK143" i="3"/>
  <c r="AL143" i="3"/>
  <c r="AM143" i="3"/>
  <c r="AN143" i="3"/>
  <c r="AJ133" i="3"/>
  <c r="AK133" i="3"/>
  <c r="AL133" i="3"/>
  <c r="AM133" i="3"/>
  <c r="AN133" i="3"/>
  <c r="AH124" i="3"/>
  <c r="AI124" i="3"/>
  <c r="AJ124" i="3"/>
  <c r="AK124" i="3"/>
  <c r="AL124" i="3"/>
  <c r="AM124" i="3"/>
  <c r="AN124" i="3"/>
  <c r="AG124" i="3"/>
  <c r="AH186" i="3"/>
  <c r="AH185" i="3" s="1"/>
  <c r="AG186" i="3"/>
  <c r="AG185" i="3" s="1"/>
  <c r="AI186" i="3"/>
  <c r="AI185" i="3" s="1"/>
  <c r="Q49" i="3"/>
  <c r="Q33" i="3"/>
  <c r="Q58" i="3" s="1"/>
  <c r="Q201" i="3"/>
  <c r="Q200" i="3"/>
  <c r="R156" i="3"/>
  <c r="R189" i="3" s="1"/>
  <c r="S156" i="3"/>
  <c r="Q156" i="3"/>
  <c r="Q143" i="3"/>
  <c r="Q124" i="3"/>
  <c r="R124" i="3"/>
  <c r="Q110" i="3"/>
  <c r="Q111" i="3" s="1"/>
  <c r="P49" i="3"/>
  <c r="P33" i="3"/>
  <c r="P59" i="3" s="1"/>
  <c r="P164" i="3"/>
  <c r="P156" i="3"/>
  <c r="P143" i="3"/>
  <c r="P133" i="3"/>
  <c r="Q133" i="3"/>
  <c r="K124" i="3"/>
  <c r="J124" i="3"/>
  <c r="M124" i="3"/>
  <c r="N124" i="3"/>
  <c r="L124" i="3"/>
  <c r="P124" i="3"/>
  <c r="P110" i="3"/>
  <c r="P111" i="3" s="1"/>
  <c r="AI201" i="3"/>
  <c r="AH201" i="3"/>
  <c r="AG201" i="3"/>
  <c r="N201" i="3"/>
  <c r="M201" i="3"/>
  <c r="L201" i="3"/>
  <c r="J201" i="3"/>
  <c r="I201" i="3"/>
  <c r="H201" i="3"/>
  <c r="F201" i="3"/>
  <c r="AI200" i="3"/>
  <c r="AH200" i="3"/>
  <c r="AG200" i="3"/>
  <c r="N200" i="3"/>
  <c r="M200" i="3"/>
  <c r="L200" i="3"/>
  <c r="J200" i="3"/>
  <c r="I200" i="3"/>
  <c r="H200" i="3"/>
  <c r="F200" i="3"/>
  <c r="AI164" i="3"/>
  <c r="AH164" i="3"/>
  <c r="AG164" i="3"/>
  <c r="AG195" i="3" s="1"/>
  <c r="N164" i="3"/>
  <c r="L164" i="3"/>
  <c r="K164" i="3"/>
  <c r="J164" i="3"/>
  <c r="I164" i="3"/>
  <c r="H164" i="3"/>
  <c r="G164" i="3"/>
  <c r="F164" i="3"/>
  <c r="AI156" i="3"/>
  <c r="AH156" i="3"/>
  <c r="N156" i="3"/>
  <c r="N189" i="3" s="1"/>
  <c r="M156" i="3"/>
  <c r="L156" i="3"/>
  <c r="K156" i="3"/>
  <c r="J156" i="3"/>
  <c r="J189" i="3" s="1"/>
  <c r="I156" i="3"/>
  <c r="I189" i="3" s="1"/>
  <c r="F156" i="3"/>
  <c r="O155" i="3"/>
  <c r="O154" i="3"/>
  <c r="O153" i="3"/>
  <c r="O152" i="3"/>
  <c r="O151" i="3"/>
  <c r="O150" i="3"/>
  <c r="O149" i="3"/>
  <c r="O148" i="3"/>
  <c r="O147" i="3"/>
  <c r="O146" i="3"/>
  <c r="AI143" i="3"/>
  <c r="AH143" i="3"/>
  <c r="AG143" i="3"/>
  <c r="N143" i="3"/>
  <c r="M143" i="3"/>
  <c r="L143" i="3"/>
  <c r="K143" i="3"/>
  <c r="J143" i="3"/>
  <c r="I143" i="3"/>
  <c r="H143" i="3"/>
  <c r="F143" i="3"/>
  <c r="O142" i="3"/>
  <c r="O141" i="3"/>
  <c r="O139" i="3"/>
  <c r="O138" i="3"/>
  <c r="O137" i="3"/>
  <c r="O136" i="3"/>
  <c r="AI133" i="3"/>
  <c r="AH133" i="3"/>
  <c r="AG133" i="3"/>
  <c r="N133" i="3"/>
  <c r="M133" i="3"/>
  <c r="L133" i="3"/>
  <c r="K133" i="3"/>
  <c r="J133" i="3"/>
  <c r="I133" i="3"/>
  <c r="H133" i="3"/>
  <c r="F133" i="3"/>
  <c r="O132" i="3"/>
  <c r="O131" i="3"/>
  <c r="O130" i="3"/>
  <c r="O129" i="3"/>
  <c r="O128" i="3"/>
  <c r="O127" i="3"/>
  <c r="O123" i="3"/>
  <c r="O122" i="3"/>
  <c r="O121" i="3"/>
  <c r="O120" i="3"/>
  <c r="O119" i="3"/>
  <c r="O118" i="3"/>
  <c r="O117" i="3"/>
  <c r="O116" i="3"/>
  <c r="O115" i="3"/>
  <c r="O114" i="3"/>
  <c r="O113" i="3"/>
  <c r="AN111" i="3"/>
  <c r="AM111" i="3"/>
  <c r="AL111" i="3"/>
  <c r="AK111" i="3"/>
  <c r="AJ111" i="3"/>
  <c r="AI111" i="3"/>
  <c r="AH111" i="3"/>
  <c r="AG111" i="3"/>
  <c r="AC111" i="3"/>
  <c r="AC125" i="3" s="1"/>
  <c r="AB111" i="3"/>
  <c r="AB125" i="3" s="1"/>
  <c r="AA111" i="3"/>
  <c r="AA125" i="3" s="1"/>
  <c r="Z111" i="3"/>
  <c r="Z125" i="3" s="1"/>
  <c r="N111" i="3"/>
  <c r="M111" i="3"/>
  <c r="L111" i="3"/>
  <c r="K111" i="3"/>
  <c r="J111" i="3"/>
  <c r="I111" i="3"/>
  <c r="I125" i="3" s="1"/>
  <c r="H111" i="3"/>
  <c r="H125" i="3" s="1"/>
  <c r="F111" i="3"/>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Q187" i="3" s="1"/>
  <c r="K67" i="3"/>
  <c r="N187" i="3" s="1"/>
  <c r="G67" i="3"/>
  <c r="I187" i="3" s="1"/>
  <c r="K66" i="3"/>
  <c r="AR59" i="3"/>
  <c r="AQ59" i="3"/>
  <c r="AP59" i="3"/>
  <c r="AO59" i="3"/>
  <c r="AN59" i="3"/>
  <c r="AM59" i="3"/>
  <c r="AL59" i="3"/>
  <c r="AK59" i="3"/>
  <c r="AJ59" i="3"/>
  <c r="G59" i="3"/>
  <c r="F59" i="3"/>
  <c r="AR58" i="3"/>
  <c r="AR60" i="3" s="1"/>
  <c r="AQ58" i="3"/>
  <c r="AQ60" i="3" s="1"/>
  <c r="AP58" i="3"/>
  <c r="AP60" i="3" s="1"/>
  <c r="AO58" i="3"/>
  <c r="AO60" i="3" s="1"/>
  <c r="AN58" i="3"/>
  <c r="AN60" i="3" s="1"/>
  <c r="AM58" i="3"/>
  <c r="AM60" i="3" s="1"/>
  <c r="AL58" i="3"/>
  <c r="AL60" i="3" s="1"/>
  <c r="AK58" i="3"/>
  <c r="AK60" i="3" s="1"/>
  <c r="AJ58" i="3"/>
  <c r="AJ60" i="3" s="1"/>
  <c r="G58" i="3"/>
  <c r="G60" i="3" s="1"/>
  <c r="F58" i="3"/>
  <c r="F60" i="3" s="1"/>
  <c r="AR56" i="3"/>
  <c r="AR62" i="3" s="1"/>
  <c r="AR64" i="3" s="1"/>
  <c r="AQ56" i="3"/>
  <c r="AQ62" i="3" s="1"/>
  <c r="AQ64" i="3" s="1"/>
  <c r="AP56" i="3"/>
  <c r="AP62" i="3" s="1"/>
  <c r="AP64" i="3" s="1"/>
  <c r="AO56" i="3"/>
  <c r="AO62" i="3" s="1"/>
  <c r="AO64" i="3" s="1"/>
  <c r="AN56" i="3"/>
  <c r="AN62" i="3" s="1"/>
  <c r="AN64" i="3" s="1"/>
  <c r="AM56" i="3"/>
  <c r="AM62" i="3" s="1"/>
  <c r="AM64" i="3" s="1"/>
  <c r="AL56" i="3"/>
  <c r="AL62" i="3" s="1"/>
  <c r="AL64" i="3" s="1"/>
  <c r="AK56" i="3"/>
  <c r="AK63" i="3" s="1"/>
  <c r="AJ56" i="3"/>
  <c r="AJ62" i="3" s="1"/>
  <c r="AJ64" i="3" s="1"/>
  <c r="AI55" i="3"/>
  <c r="AH55" i="3"/>
  <c r="AG55" i="3"/>
  <c r="R55" i="3"/>
  <c r="Q55" i="3"/>
  <c r="P55" i="3"/>
  <c r="N55" i="3"/>
  <c r="M55" i="3"/>
  <c r="L55" i="3"/>
  <c r="J55" i="3"/>
  <c r="I55" i="3"/>
  <c r="H55" i="3"/>
  <c r="G55" i="3"/>
  <c r="F55" i="3"/>
  <c r="AI54" i="3"/>
  <c r="AH54" i="3"/>
  <c r="AG54" i="3"/>
  <c r="R54" i="3"/>
  <c r="Q54" i="3"/>
  <c r="P54" i="3"/>
  <c r="N54" i="3"/>
  <c r="M54" i="3"/>
  <c r="L54" i="3"/>
  <c r="J54" i="3"/>
  <c r="I54" i="3"/>
  <c r="H54" i="3"/>
  <c r="G54" i="3"/>
  <c r="F54" i="3"/>
  <c r="AH49" i="3"/>
  <c r="AH58" i="3" s="1"/>
  <c r="AG49" i="3"/>
  <c r="AG59" i="3" s="1"/>
  <c r="N49" i="3"/>
  <c r="N59" i="3" s="1"/>
  <c r="M49" i="3"/>
  <c r="M59" i="3" s="1"/>
  <c r="L49" i="3"/>
  <c r="L59" i="3" s="1"/>
  <c r="J49" i="3"/>
  <c r="J59" i="3" s="1"/>
  <c r="I49" i="3"/>
  <c r="I58" i="3" s="1"/>
  <c r="H49" i="3"/>
  <c r="H58" i="3" s="1"/>
  <c r="AR47" i="3"/>
  <c r="AR48" i="3" s="1"/>
  <c r="AQ47" i="3"/>
  <c r="AQ48" i="3" s="1"/>
  <c r="AP47" i="3"/>
  <c r="AP48" i="3" s="1"/>
  <c r="AO47" i="3"/>
  <c r="AO48" i="3" s="1"/>
  <c r="AN47" i="3"/>
  <c r="AN48" i="3" s="1"/>
  <c r="AM47" i="3"/>
  <c r="AM48" i="3" s="1"/>
  <c r="AL47" i="3"/>
  <c r="AL48" i="3" s="1"/>
  <c r="AK47" i="3"/>
  <c r="AK48" i="3" s="1"/>
  <c r="AJ47" i="3"/>
  <c r="AJ48" i="3" s="1"/>
  <c r="AH47" i="3"/>
  <c r="AH48" i="3" s="1"/>
  <c r="AG47" i="3"/>
  <c r="AG48" i="3" s="1"/>
  <c r="R47" i="3"/>
  <c r="R48" i="3" s="1"/>
  <c r="Q47" i="3"/>
  <c r="Q48" i="3" s="1"/>
  <c r="P47" i="3"/>
  <c r="P48" i="3" s="1"/>
  <c r="N47" i="3"/>
  <c r="N48" i="3" s="1"/>
  <c r="M47" i="3"/>
  <c r="M48" i="3" s="1"/>
  <c r="L47" i="3"/>
  <c r="L48" i="3" s="1"/>
  <c r="J47" i="3"/>
  <c r="I47" i="3"/>
  <c r="I48" i="3" s="1"/>
  <c r="H47" i="3"/>
  <c r="H48" i="3" s="1"/>
  <c r="G47" i="3"/>
  <c r="G48" i="3" s="1"/>
  <c r="F47" i="3"/>
  <c r="F48" i="3" s="1"/>
  <c r="O46" i="3"/>
  <c r="K46" i="3"/>
  <c r="AI45" i="3"/>
  <c r="AI47" i="3" s="1"/>
  <c r="AI48" i="3" s="1"/>
  <c r="K45" i="3"/>
  <c r="AR40" i="3"/>
  <c r="AR41" i="3" s="1"/>
  <c r="AQ40" i="3"/>
  <c r="AQ41" i="3" s="1"/>
  <c r="AP40" i="3"/>
  <c r="AP41" i="3" s="1"/>
  <c r="AO40" i="3"/>
  <c r="AO41" i="3" s="1"/>
  <c r="AN40" i="3"/>
  <c r="AN41" i="3" s="1"/>
  <c r="AM40" i="3"/>
  <c r="AM41" i="3" s="1"/>
  <c r="AL40" i="3"/>
  <c r="AL41" i="3" s="1"/>
  <c r="AK40" i="3"/>
  <c r="AK41" i="3" s="1"/>
  <c r="AJ40" i="3"/>
  <c r="AJ41" i="3" s="1"/>
  <c r="AH40" i="3"/>
  <c r="AH41" i="3" s="1"/>
  <c r="AG40" i="3"/>
  <c r="AG41" i="3" s="1"/>
  <c r="R40" i="3"/>
  <c r="R41" i="3" s="1"/>
  <c r="Q40" i="3"/>
  <c r="Q41" i="3" s="1"/>
  <c r="P40" i="3"/>
  <c r="P41" i="3" s="1"/>
  <c r="N40" i="3"/>
  <c r="N41" i="3" s="1"/>
  <c r="M40" i="3"/>
  <c r="M41" i="3" s="1"/>
  <c r="L40" i="3"/>
  <c r="L41" i="3" s="1"/>
  <c r="J40" i="3"/>
  <c r="J41" i="3" s="1"/>
  <c r="I40" i="3"/>
  <c r="I41" i="3" s="1"/>
  <c r="H40" i="3"/>
  <c r="H41" i="3" s="1"/>
  <c r="G40" i="3"/>
  <c r="G41" i="3" s="1"/>
  <c r="F40" i="3"/>
  <c r="F41" i="3" s="1"/>
  <c r="O39" i="3"/>
  <c r="K39" i="3"/>
  <c r="AI38" i="3"/>
  <c r="O38" i="3" s="1"/>
  <c r="K38" i="3"/>
  <c r="K54" i="3" s="1"/>
  <c r="N33" i="3"/>
  <c r="M33" i="3"/>
  <c r="L33" i="3"/>
  <c r="J33" i="3"/>
  <c r="I33" i="3"/>
  <c r="H33" i="3"/>
  <c r="F33" i="3"/>
  <c r="AH32" i="3"/>
  <c r="K32" i="3" s="1"/>
  <c r="AG32" i="3"/>
  <c r="AH31" i="3"/>
  <c r="K31" i="3" s="1"/>
  <c r="AG31" i="3"/>
  <c r="G31" i="3"/>
  <c r="G33" i="3" s="1"/>
  <c r="AJ3" i="3"/>
  <c r="AK3" i="3" s="1"/>
  <c r="AL3" i="3" s="1"/>
  <c r="AM3" i="3" s="1"/>
  <c r="AN3" i="3" s="1"/>
  <c r="AO3" i="3" s="1"/>
  <c r="AP3" i="3" s="1"/>
  <c r="AQ3" i="3" s="1"/>
  <c r="AR3" i="3" s="1"/>
  <c r="AF3" i="3"/>
  <c r="AE3" i="3" s="1"/>
  <c r="AD3" i="3" s="1"/>
  <c r="AC3" i="3" s="1"/>
  <c r="AB3" i="3" s="1"/>
  <c r="B6" i="1"/>
  <c r="B5" i="1"/>
  <c r="B3" i="1" a="1"/>
  <c r="B3" i="1" s="1"/>
  <c r="B2" i="1" a="1"/>
  <c r="B2" i="1" s="1"/>
  <c r="B4" i="1" s="1"/>
  <c r="B7" i="1" s="1"/>
  <c r="B8" i="1" s="1"/>
  <c r="L187" i="3" l="1"/>
  <c r="L190" i="3"/>
  <c r="L189" i="3"/>
  <c r="O16" i="3"/>
  <c r="P187" i="3"/>
  <c r="P190" i="3"/>
  <c r="P189" i="3"/>
  <c r="J187" i="3"/>
  <c r="O12" i="3"/>
  <c r="O15" i="3" s="1"/>
  <c r="H187" i="3"/>
  <c r="M189" i="3"/>
  <c r="K189" i="3"/>
  <c r="U187" i="3"/>
  <c r="T187" i="3"/>
  <c r="R187" i="3"/>
  <c r="O21" i="3"/>
  <c r="I16" i="3"/>
  <c r="O177" i="3"/>
  <c r="K21" i="3"/>
  <c r="O178" i="3"/>
  <c r="U189" i="3"/>
  <c r="O187" i="3"/>
  <c r="D8" i="14"/>
  <c r="D7" i="14"/>
  <c r="D6" i="14"/>
  <c r="G156" i="3"/>
  <c r="G201" i="3"/>
  <c r="G143" i="3"/>
  <c r="G133" i="3"/>
  <c r="G111" i="3"/>
  <c r="G125" i="3" s="1"/>
  <c r="O176" i="3"/>
  <c r="O179" i="3"/>
  <c r="O164" i="3"/>
  <c r="K200" i="3"/>
  <c r="AO33" i="3"/>
  <c r="AJ33" i="3"/>
  <c r="AI33" i="3"/>
  <c r="AM33" i="3"/>
  <c r="N15" i="3"/>
  <c r="R15" i="3"/>
  <c r="Q15" i="3"/>
  <c r="O31" i="3"/>
  <c r="O33" i="3" s="1"/>
  <c r="AR33" i="3"/>
  <c r="P15" i="3"/>
  <c r="M15" i="3"/>
  <c r="C17" i="11"/>
  <c r="D10" i="11" s="1"/>
  <c r="AK33" i="3"/>
  <c r="AQ33" i="3"/>
  <c r="AP33" i="3"/>
  <c r="AN33" i="3"/>
  <c r="AL33" i="3"/>
  <c r="M174" i="3"/>
  <c r="M190" i="3" s="1"/>
  <c r="Q174" i="3"/>
  <c r="Q190" i="3" s="1"/>
  <c r="R173" i="3"/>
  <c r="L174" i="3"/>
  <c r="P174" i="3"/>
  <c r="R172" i="3"/>
  <c r="N173" i="3"/>
  <c r="O173" i="3" s="1"/>
  <c r="S144" i="3"/>
  <c r="S157" i="3" s="1"/>
  <c r="R144" i="3"/>
  <c r="R157" i="3" s="1"/>
  <c r="R59" i="3"/>
  <c r="R60" i="3" s="1"/>
  <c r="N172" i="3"/>
  <c r="O172" i="3" s="1"/>
  <c r="AL195" i="3"/>
  <c r="U144" i="3"/>
  <c r="U157" i="3" s="1"/>
  <c r="T144" i="3"/>
  <c r="T157" i="3" s="1"/>
  <c r="AM195" i="3"/>
  <c r="Q95" i="3"/>
  <c r="AH195" i="3"/>
  <c r="R95" i="3"/>
  <c r="N125" i="3"/>
  <c r="AN195" i="3"/>
  <c r="AK125" i="3"/>
  <c r="AJ195" i="3"/>
  <c r="AG125" i="3"/>
  <c r="AI195" i="3"/>
  <c r="M125" i="3"/>
  <c r="AK195" i="3"/>
  <c r="P95" i="3"/>
  <c r="AJ125" i="3"/>
  <c r="AJ144" i="3"/>
  <c r="AJ157" i="3" s="1"/>
  <c r="AI125" i="3"/>
  <c r="AH125" i="3"/>
  <c r="AN144" i="3"/>
  <c r="AN157" i="3" s="1"/>
  <c r="AL125" i="3"/>
  <c r="AM125" i="3"/>
  <c r="AL144" i="3"/>
  <c r="AL157" i="3" s="1"/>
  <c r="AN125" i="3"/>
  <c r="AK144" i="3"/>
  <c r="AK157" i="3" s="1"/>
  <c r="AH190" i="3"/>
  <c r="AH189" i="3"/>
  <c r="AH187" i="3"/>
  <c r="AG190" i="3"/>
  <c r="AG189" i="3"/>
  <c r="AG187" i="3"/>
  <c r="AI190" i="3"/>
  <c r="AI189" i="3"/>
  <c r="AI187" i="3"/>
  <c r="Q164" i="3"/>
  <c r="Q59" i="3"/>
  <c r="Q60" i="3" s="1"/>
  <c r="P89" i="3"/>
  <c r="AM144" i="3"/>
  <c r="AM157" i="3" s="1"/>
  <c r="R90" i="3"/>
  <c r="Q159" i="3"/>
  <c r="R125" i="3"/>
  <c r="Q144" i="3"/>
  <c r="Q157" i="3" s="1"/>
  <c r="P125" i="3"/>
  <c r="P159" i="3"/>
  <c r="M164" i="3"/>
  <c r="Q125" i="3"/>
  <c r="Q90" i="3"/>
  <c r="P58" i="3"/>
  <c r="P60" i="3" s="1"/>
  <c r="O111" i="3"/>
  <c r="O124" i="3"/>
  <c r="L58" i="3"/>
  <c r="L60" i="3" s="1"/>
  <c r="AG159" i="3"/>
  <c r="M144" i="3"/>
  <c r="M157" i="3" s="1"/>
  <c r="J125" i="3"/>
  <c r="K125" i="3"/>
  <c r="L125" i="3"/>
  <c r="AH159" i="3"/>
  <c r="N144" i="3"/>
  <c r="N157" i="3" s="1"/>
  <c r="P144" i="3"/>
  <c r="P157" i="3" s="1"/>
  <c r="AI159" i="3"/>
  <c r="F74" i="3"/>
  <c r="F79" i="3" s="1"/>
  <c r="F81" i="3" s="1"/>
  <c r="F84" i="3" s="1"/>
  <c r="AG74" i="3"/>
  <c r="AG79" i="3" s="1"/>
  <c r="AG81" i="3" s="1"/>
  <c r="AG84" i="3" s="1"/>
  <c r="I144" i="3"/>
  <c r="I157" i="3" s="1"/>
  <c r="K49" i="3"/>
  <c r="K58" i="3" s="1"/>
  <c r="O45" i="3"/>
  <c r="O49" i="3" s="1"/>
  <c r="O58" i="3" s="1"/>
  <c r="J144" i="3"/>
  <c r="J157" i="3" s="1"/>
  <c r="O156" i="3"/>
  <c r="O189" i="3" s="1"/>
  <c r="F90" i="3"/>
  <c r="I74" i="3"/>
  <c r="I79" i="3" s="1"/>
  <c r="I81" i="3" s="1"/>
  <c r="I96" i="3" s="1"/>
  <c r="H90" i="3"/>
  <c r="I159" i="3"/>
  <c r="AI56" i="3"/>
  <c r="AI63" i="3" s="1"/>
  <c r="O69" i="3"/>
  <c r="O89" i="3" s="1"/>
  <c r="I95" i="3"/>
  <c r="J159" i="3"/>
  <c r="H74" i="3"/>
  <c r="H79" i="3" s="1"/>
  <c r="H81" i="3" s="1"/>
  <c r="AL63" i="3"/>
  <c r="K159" i="3"/>
  <c r="O133" i="3"/>
  <c r="L159" i="3"/>
  <c r="AH56" i="3"/>
  <c r="AH63" i="3" s="1"/>
  <c r="R74" i="3"/>
  <c r="R79" i="3" s="1"/>
  <c r="R81" i="3" s="1"/>
  <c r="N74" i="3"/>
  <c r="N79" i="3" s="1"/>
  <c r="N81" i="3" s="1"/>
  <c r="N96" i="3" s="1"/>
  <c r="H159" i="3"/>
  <c r="AG33" i="3"/>
  <c r="J58" i="3"/>
  <c r="J60" i="3" s="1"/>
  <c r="Q56" i="3"/>
  <c r="Q62" i="3" s="1"/>
  <c r="F144" i="3"/>
  <c r="F157" i="3" s="1"/>
  <c r="R56" i="3"/>
  <c r="R63" i="3" s="1"/>
  <c r="P74" i="3"/>
  <c r="P79" i="3" s="1"/>
  <c r="P81" i="3" s="1"/>
  <c r="AG56" i="3"/>
  <c r="AG62" i="3" s="1"/>
  <c r="K69" i="3"/>
  <c r="K95" i="3" s="1"/>
  <c r="Q74" i="3"/>
  <c r="Q79" i="3" s="1"/>
  <c r="Q81" i="3" s="1"/>
  <c r="M159" i="3"/>
  <c r="K144" i="3"/>
  <c r="K157" i="3" s="1"/>
  <c r="H144" i="3"/>
  <c r="H157" i="3" s="1"/>
  <c r="N159" i="3"/>
  <c r="K47" i="3"/>
  <c r="K48" i="3" s="1"/>
  <c r="AI49" i="3"/>
  <c r="AI58" i="3" s="1"/>
  <c r="L144" i="3"/>
  <c r="L157" i="3" s="1"/>
  <c r="AG144" i="3"/>
  <c r="AG157" i="3" s="1"/>
  <c r="G69" i="3"/>
  <c r="G95" i="3" s="1"/>
  <c r="J48" i="3"/>
  <c r="G73" i="3"/>
  <c r="O143" i="3"/>
  <c r="AH144" i="3"/>
  <c r="AH157" i="3" s="1"/>
  <c r="AI40" i="3"/>
  <c r="AI41" i="3" s="1"/>
  <c r="AJ63" i="3"/>
  <c r="J89" i="3"/>
  <c r="AI144" i="3"/>
  <c r="AI157" i="3" s="1"/>
  <c r="O54" i="3"/>
  <c r="O40" i="3"/>
  <c r="O41" i="3" s="1"/>
  <c r="F56" i="3"/>
  <c r="F63" i="3" s="1"/>
  <c r="M58" i="3"/>
  <c r="M60" i="3" s="1"/>
  <c r="AH59" i="3"/>
  <c r="AH60" i="3" s="1"/>
  <c r="AM63" i="3"/>
  <c r="J74" i="3"/>
  <c r="J79" i="3" s="1"/>
  <c r="J81" i="3" s="1"/>
  <c r="F89" i="3"/>
  <c r="I90" i="3"/>
  <c r="L95" i="3"/>
  <c r="K40" i="3"/>
  <c r="K41" i="3" s="1"/>
  <c r="G56" i="3"/>
  <c r="G63" i="3" s="1"/>
  <c r="N58" i="3"/>
  <c r="N60" i="3" s="1"/>
  <c r="AN63" i="3"/>
  <c r="K73" i="3"/>
  <c r="J90" i="3"/>
  <c r="M95" i="3"/>
  <c r="H56" i="3"/>
  <c r="H63" i="3" s="1"/>
  <c r="AO63" i="3"/>
  <c r="L74" i="3"/>
  <c r="L79" i="3" s="1"/>
  <c r="L81" i="3" s="1"/>
  <c r="H89" i="3"/>
  <c r="N95" i="3"/>
  <c r="K201" i="3"/>
  <c r="I56" i="3"/>
  <c r="I62" i="3" s="1"/>
  <c r="AP63" i="3"/>
  <c r="M74" i="3"/>
  <c r="M79" i="3" s="1"/>
  <c r="M81" i="3" s="1"/>
  <c r="L90" i="3"/>
  <c r="J56" i="3"/>
  <c r="J63" i="3" s="1"/>
  <c r="H59" i="3"/>
  <c r="H60" i="3" s="1"/>
  <c r="AQ63" i="3"/>
  <c r="M90" i="3"/>
  <c r="K55" i="3"/>
  <c r="K56" i="3" s="1"/>
  <c r="K62" i="3" s="1"/>
  <c r="I59" i="3"/>
  <c r="I60" i="3" s="1"/>
  <c r="AK62" i="3"/>
  <c r="AK64" i="3" s="1"/>
  <c r="AR63" i="3"/>
  <c r="O73" i="3"/>
  <c r="N90" i="3"/>
  <c r="AH33" i="3"/>
  <c r="K33" i="3" s="1"/>
  <c r="L56" i="3"/>
  <c r="L63" i="3" s="1"/>
  <c r="AG58" i="3"/>
  <c r="AG60" i="3" s="1"/>
  <c r="M56" i="3"/>
  <c r="M62" i="3" s="1"/>
  <c r="AG90" i="3"/>
  <c r="N56" i="3"/>
  <c r="N62" i="3" s="1"/>
  <c r="AH90" i="3"/>
  <c r="F159" i="3"/>
  <c r="AI90" i="3"/>
  <c r="P56" i="3"/>
  <c r="P63" i="3" s="1"/>
  <c r="AH74" i="3"/>
  <c r="AH79" i="3" s="1"/>
  <c r="AH81" i="3" s="1"/>
  <c r="F95" i="3"/>
  <c r="AI74" i="3"/>
  <c r="AI79" i="3" s="1"/>
  <c r="AI81" i="3" s="1"/>
  <c r="AI84" i="3" s="1"/>
  <c r="F85" i="3" l="1"/>
  <c r="G144" i="3"/>
  <c r="G157" i="3" s="1"/>
  <c r="G159" i="3"/>
  <c r="O174" i="3"/>
  <c r="O190" i="3" s="1"/>
  <c r="N174" i="3"/>
  <c r="N190" i="3" s="1"/>
  <c r="D11" i="11"/>
  <c r="D17" i="11" s="1"/>
  <c r="D15" i="11"/>
  <c r="D16" i="11"/>
  <c r="D14" i="11"/>
  <c r="D13" i="11"/>
  <c r="D12" i="11"/>
  <c r="R174" i="3"/>
  <c r="R190" i="3" s="1"/>
  <c r="Q84" i="3"/>
  <c r="Q96" i="3"/>
  <c r="R84" i="3"/>
  <c r="R96" i="3"/>
  <c r="O125" i="3"/>
  <c r="P84" i="3"/>
  <c r="P96" i="3"/>
  <c r="AG85" i="3"/>
  <c r="AG194" i="3"/>
  <c r="AI85" i="3"/>
  <c r="AJ194" i="3"/>
  <c r="I84" i="3"/>
  <c r="AI188" i="3"/>
  <c r="AG188" i="3"/>
  <c r="O159" i="3"/>
  <c r="O59" i="3"/>
  <c r="O60" i="3" s="1"/>
  <c r="O47" i="3"/>
  <c r="O48" i="3" s="1"/>
  <c r="AH62" i="3"/>
  <c r="AH64" i="3" s="1"/>
  <c r="F96" i="3"/>
  <c r="O55" i="3"/>
  <c r="O56" i="3" s="1"/>
  <c r="O63" i="3" s="1"/>
  <c r="K59" i="3"/>
  <c r="K60" i="3" s="1"/>
  <c r="O90" i="3"/>
  <c r="AI62" i="3"/>
  <c r="AI64" i="3" s="1"/>
  <c r="H84" i="3"/>
  <c r="AI59" i="3"/>
  <c r="AI60" i="3" s="1"/>
  <c r="O95" i="3"/>
  <c r="O74" i="3"/>
  <c r="O79" i="3" s="1"/>
  <c r="O81" i="3" s="1"/>
  <c r="O96" i="3" s="1"/>
  <c r="N84" i="3"/>
  <c r="H96" i="3"/>
  <c r="L62" i="3"/>
  <c r="L64" i="3" s="1"/>
  <c r="O144" i="3"/>
  <c r="O157" i="3" s="1"/>
  <c r="R62" i="3"/>
  <c r="R64" i="3" s="1"/>
  <c r="N63" i="3"/>
  <c r="N64" i="3" s="1"/>
  <c r="AG63" i="3"/>
  <c r="AG64" i="3" s="1"/>
  <c r="M63" i="3"/>
  <c r="M64" i="3" s="1"/>
  <c r="J62" i="3"/>
  <c r="J64" i="3" s="1"/>
  <c r="K89" i="3"/>
  <c r="K90" i="3"/>
  <c r="G89" i="3"/>
  <c r="K74" i="3"/>
  <c r="K79" i="3" s="1"/>
  <c r="K81" i="3" s="1"/>
  <c r="F62" i="3"/>
  <c r="F64" i="3" s="1"/>
  <c r="G90" i="3"/>
  <c r="P62" i="3"/>
  <c r="P64" i="3" s="1"/>
  <c r="G74" i="3"/>
  <c r="G79" i="3" s="1"/>
  <c r="G81" i="3" s="1"/>
  <c r="Q63" i="3"/>
  <c r="Q64" i="3" s="1"/>
  <c r="G62" i="3"/>
  <c r="G64" i="3" s="1"/>
  <c r="AH84" i="3"/>
  <c r="AH194" i="3" s="1"/>
  <c r="I63" i="3"/>
  <c r="I64" i="3" s="1"/>
  <c r="L96" i="3"/>
  <c r="L84" i="3"/>
  <c r="K63" i="3"/>
  <c r="K64" i="3" s="1"/>
  <c r="M96" i="3"/>
  <c r="M84" i="3"/>
  <c r="J96" i="3"/>
  <c r="J84" i="3"/>
  <c r="H62" i="3"/>
  <c r="H64" i="3" s="1"/>
  <c r="M85" i="3" l="1"/>
  <c r="P188" i="3"/>
  <c r="R85" i="3"/>
  <c r="U188" i="3"/>
  <c r="L85" i="3"/>
  <c r="Q85" i="3"/>
  <c r="T188" i="3"/>
  <c r="I85" i="3"/>
  <c r="L188" i="3"/>
  <c r="J85" i="3"/>
  <c r="M188" i="3"/>
  <c r="N85" i="3"/>
  <c r="Q188" i="3"/>
  <c r="P85" i="3"/>
  <c r="S188" i="3"/>
  <c r="H85" i="3"/>
  <c r="K188" i="3"/>
  <c r="AI194" i="3"/>
  <c r="AH85" i="3"/>
  <c r="AH188" i="3"/>
  <c r="O84" i="3"/>
  <c r="K96" i="3"/>
  <c r="K84" i="3"/>
  <c r="G96" i="3"/>
  <c r="G84" i="3"/>
  <c r="O62" i="3"/>
  <c r="O64" i="3" s="1"/>
  <c r="G85" i="3" l="1"/>
  <c r="J188" i="3"/>
  <c r="I188" i="3"/>
  <c r="H188" i="3"/>
  <c r="K85" i="3"/>
  <c r="N188" i="3"/>
  <c r="O85" i="3"/>
  <c r="R188" i="3"/>
  <c r="O18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0"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27"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28"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35" authorId="0" shapeId="0" xr:uid="{00000000-0006-0000-0200-000003000000}">
      <text>
        <r>
          <rPr>
            <sz val="11"/>
            <color theme="1"/>
            <rFont val="Calibri"/>
            <family val="2"/>
            <scheme val="minor"/>
          </rPr>
          <t>William:
Launch Services provides launch services to cusomerts on a dedicated mission or ride share basis.</t>
        </r>
      </text>
    </comment>
    <comment ref="B42"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2" authorId="0" shapeId="0" xr:uid="{00000000-0006-0000-0200-000006000000}">
      <text>
        <r>
          <rPr>
            <sz val="11"/>
            <color theme="1"/>
            <rFont val="Calibri"/>
            <family val="2"/>
            <scheme val="minor"/>
          </rPr>
          <t>William:
"CASH FLOWS FROM INVESTING ACTIVITIES"</t>
        </r>
      </text>
    </comment>
    <comment ref="B163" authorId="0" shapeId="0" xr:uid="{00000000-0006-0000-0200-000007000000}">
      <text>
        <r>
          <rPr>
            <sz val="11"/>
            <color theme="1"/>
            <rFont val="Calibri"/>
            <family val="2"/>
            <scheme val="minor"/>
          </rPr>
          <t xml:space="preserve">William:
"Purchases of property, equipment, and software"
</t>
        </r>
      </text>
    </comment>
    <comment ref="B172" authorId="0" shapeId="0" xr:uid="{9DF6EF6F-6205-4E32-A85E-A62D8B38EFFC}">
      <text>
        <r>
          <rPr>
            <sz val="11"/>
            <color theme="1"/>
            <rFont val="Calibri"/>
            <family val="2"/>
            <scheme val="minor"/>
          </rPr>
          <t>William:
"CASH FLOWS FROM INVESTING ACTIVITIES"</t>
        </r>
      </text>
    </comment>
    <comment ref="B173" authorId="0" shapeId="0" xr:uid="{B7A3EB4D-E392-4EEA-8FA8-A443F927443D}">
      <text>
        <r>
          <rPr>
            <sz val="11"/>
            <color theme="1"/>
            <rFont val="Calibri"/>
            <family val="2"/>
            <scheme val="minor"/>
          </rPr>
          <t xml:space="preserve">William:
"Purchases of property, equipment, and software"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C34" authorId="0" shapeId="0" xr:uid="{02BDD74F-0675-4A9E-8B20-20F6C814BB29}">
      <text>
        <r>
          <rPr>
            <b/>
            <sz val="9"/>
            <color indexed="81"/>
            <rFont val="Tahoma"/>
            <family val="2"/>
          </rPr>
          <t>William:</t>
        </r>
        <r>
          <rPr>
            <sz val="9"/>
            <color indexed="81"/>
            <rFont val="Tahoma"/>
            <family val="2"/>
          </rPr>
          <t xml:space="preserve">
Cost range depends if the mission is expendable. 
Assumes lower end price, that the mission is not expendable, since the majority of missions are to LEO. </t>
        </r>
      </text>
    </comment>
    <comment ref="A41" authorId="0" shapeId="0" xr:uid="{48711511-11E9-40FE-B7E0-8F50A9C8A544}">
      <text>
        <r>
          <rPr>
            <b/>
            <sz val="9"/>
            <color indexed="81"/>
            <rFont val="Tahoma"/>
            <family val="2"/>
          </rPr>
          <t>William:</t>
        </r>
        <r>
          <rPr>
            <sz val="9"/>
            <color indexed="81"/>
            <rFont val="Tahoma"/>
            <family val="2"/>
          </rPr>
          <t xml:space="preserve">
Main failures were with Falcon 1.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<sst xmlns="http://schemas.openxmlformats.org/spreadsheetml/2006/main" count="828" uniqueCount="402">
  <si>
    <t>Price</t>
  </si>
  <si>
    <t>Shares</t>
  </si>
  <si>
    <t>MC</t>
  </si>
  <si>
    <t>Cash</t>
  </si>
  <si>
    <t>Debt</t>
  </si>
  <si>
    <t>EV</t>
  </si>
  <si>
    <t>EV/Share</t>
  </si>
  <si>
    <t>Company Name</t>
  </si>
  <si>
    <t>Rocket Lab USA, Inc.</t>
  </si>
  <si>
    <t xml:space="preserve">Rocket Lab USA, Inc. </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</si>
  <si>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</si>
  <si>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</si>
  <si>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</si>
  <si>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</si>
  <si>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</si>
  <si>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</si>
  <si>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</si>
  <si>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</si>
  <si>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</si>
  <si>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</si>
  <si>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</si>
  <si>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</si>
  <si>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</si>
  <si>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</si>
  <si>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</si>
  <si>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Leading space solar power provider</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</si>
  <si>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</si>
  <si>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</si>
  <si>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</si>
  <si>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</si>
  <si>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</si>
  <si>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</si>
  <si>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</si>
  <si>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</si>
  <si>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</si>
  <si>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</si>
  <si>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</si>
  <si>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</si>
  <si>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</si>
  <si>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</si>
  <si>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</si>
  <si>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</si>
  <si>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</si>
  <si>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</si>
  <si>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</si>
  <si>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</si>
  <si>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</si>
  <si>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</si>
  <si>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</si>
  <si>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</si>
  <si>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</si>
  <si>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</si>
  <si>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</si>
  <si>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</si>
  <si>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</si>
  <si>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</si>
  <si>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</si>
  <si>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</si>
  <si>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</si>
  <si>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</si>
  <si>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</si>
  <si>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</si>
  <si>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</si>
  <si>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</si>
  <si>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</si>
  <si>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</si>
  <si>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</si>
  <si>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</si>
  <si>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</si>
  <si>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</si>
  <si>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</si>
  <si>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</si>
  <si>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</si>
  <si>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</si>
  <si>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</si>
  <si>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</si>
  <si>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</si>
  <si>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</si>
  <si>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</si>
  <si>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</si>
  <si>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</si>
  <si>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</si>
  <si>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</si>
  <si>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</si>
  <si>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</si>
  <si>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</si>
  <si>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</si>
  <si>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</si>
  <si>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Point-in-time</t>
  </si>
  <si>
    <t>Over-time</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</si>
  <si>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</si>
  <si>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</si>
  <si>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</si>
  <si>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</si>
  <si>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</si>
  <si>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</si>
  <si>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</si>
  <si>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</si>
  <si>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</si>
  <si>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</si>
  <si>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</si>
  <si>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</si>
  <si>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</si>
  <si>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</si>
  <si>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</si>
  <si>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</si>
  <si>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</si>
  <si>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</si>
  <si>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</si>
  <si>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</si>
  <si>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</si>
  <si>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</si>
  <si>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</si>
  <si>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</si>
  <si>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</si>
  <si>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</si>
  <si>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</si>
  <si>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</si>
  <si>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</si>
  <si>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</si>
  <si>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</si>
  <si>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</si>
  <si>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</si>
  <si>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</si>
  <si>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</si>
  <si>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</si>
  <si>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</si>
  <si>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</si>
  <si>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</si>
  <si>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</si>
  <si>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</si>
  <si>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</si>
  <si>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</si>
  <si>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</si>
  <si>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</si>
  <si>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</si>
  <si>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</si>
  <si>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</si>
  <si>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</si>
  <si>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</si>
  <si>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</si>
  <si>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</si>
  <si>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</si>
  <si>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</si>
  <si>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</si>
  <si>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</si>
  <si>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</si>
  <si>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</si>
  <si>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</si>
  <si>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</si>
  <si>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</si>
  <si>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</si>
  <si>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</si>
  <si>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</si>
  <si>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</si>
  <si>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</si>
  <si>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</si>
  <si>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</si>
  <si>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</si>
  <si>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</si>
  <si>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</si>
  <si>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</si>
  <si>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</si>
  <si>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</si>
  <si>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</si>
  <si>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</si>
  <si>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Cash Flow</t>
  </si>
  <si>
    <t>Operating Cash Flow</t>
  </si>
  <si>
    <t>CapEx</t>
  </si>
  <si>
    <t>FCF</t>
  </si>
  <si>
    <t>Stock Statistics</t>
  </si>
  <si>
    <t>Market Cap</t>
  </si>
  <si>
    <t>Cash/sh</t>
  </si>
  <si>
    <t>Debt/sh</t>
  </si>
  <si>
    <t>Missions</t>
  </si>
  <si>
    <t>DARPA</t>
  </si>
  <si>
    <t>LEO</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</si>
  <si>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</si>
  <si>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</si>
  <si>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</si>
  <si>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</si>
  <si>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</si>
  <si>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</si>
  <si>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</si>
  <si>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</si>
  <si>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</si>
  <si>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</si>
  <si>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</si>
  <si>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</si>
  <si>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</si>
  <si>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</si>
  <si>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</si>
  <si>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</si>
  <si>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</si>
  <si>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</si>
  <si>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</si>
  <si>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</si>
  <si>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</si>
  <si>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</si>
  <si>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</si>
  <si>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</si>
  <si>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</si>
  <si>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</si>
  <si>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</si>
  <si>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</si>
  <si>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</si>
  <si>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</si>
  <si>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</si>
  <si>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</si>
  <si>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</si>
  <si>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</si>
  <si>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</si>
  <si>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</si>
  <si>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</si>
  <si>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</si>
  <si>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</si>
  <si>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</si>
  <si>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</si>
  <si>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</si>
  <si>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</si>
  <si>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</si>
  <si>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</si>
  <si>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</si>
  <si>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</si>
  <si>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</si>
  <si>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</si>
  <si>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Contract Type Mix</t>
  </si>
  <si>
    <t>Segment Mix</t>
  </si>
  <si>
    <t>Rocketlab</t>
  </si>
  <si>
    <t>SpaceX</t>
  </si>
  <si>
    <t>Stages</t>
  </si>
  <si>
    <t>Height (m)</t>
  </si>
  <si>
    <t>Diameter (m)</t>
  </si>
  <si>
    <t>Mass (t)</t>
  </si>
  <si>
    <t>Neutron</t>
  </si>
  <si>
    <t xml:space="preserve"> 2-3</t>
  </si>
  <si>
    <t>Failures</t>
  </si>
  <si>
    <t>Success Rate</t>
  </si>
  <si>
    <t>Falcon 9</t>
  </si>
  <si>
    <t>SSO</t>
  </si>
  <si>
    <t>-- Payloads (kg)</t>
  </si>
  <si>
    <t>Propellant Mass (t)</t>
  </si>
  <si>
    <t>Thrust (kN)</t>
  </si>
  <si>
    <t>Cost</t>
  </si>
  <si>
    <t>Cost ($million)</t>
  </si>
  <si>
    <t>GTO</t>
  </si>
  <si>
    <t>Mars Transit</t>
  </si>
  <si>
    <t xml:space="preserve">Falcon Heavy </t>
  </si>
  <si>
    <t>Pluto</t>
  </si>
  <si>
    <t>Starship</t>
  </si>
  <si>
    <t>TBD</t>
  </si>
  <si>
    <t xml:space="preserve">Blue Origin </t>
  </si>
  <si>
    <t>New Shepard</t>
  </si>
  <si>
    <t>$1.25 million per ticket</t>
  </si>
  <si>
    <t>Status</t>
  </si>
  <si>
    <t>Active</t>
  </si>
  <si>
    <t>New Glenn</t>
  </si>
  <si>
    <t>United Launch Alliance (ULA)</t>
  </si>
  <si>
    <t>In Development</t>
  </si>
  <si>
    <t>Atlas V</t>
  </si>
  <si>
    <t>GEO</t>
  </si>
  <si>
    <t>Vulcan</t>
  </si>
  <si>
    <t>~</t>
  </si>
  <si>
    <t>ISS</t>
  </si>
  <si>
    <t>Firefly Aerospace</t>
  </si>
  <si>
    <t>Firefly Alpha</t>
  </si>
  <si>
    <t xml:space="preserve">Astra </t>
  </si>
  <si>
    <t xml:space="preserve">Rocket 3.0 </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</si>
  <si>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</si>
  <si>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</si>
  <si>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</si>
  <si>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</si>
  <si>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</si>
  <si>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</si>
  <si>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</si>
  <si>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</si>
  <si>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</si>
  <si>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</si>
  <si>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</si>
  <si>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</si>
  <si>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</si>
  <si>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</si>
  <si>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</si>
  <si>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</si>
  <si>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</si>
  <si>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</si>
  <si>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</si>
  <si>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</si>
  <si>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</si>
  <si>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</si>
  <si>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</si>
  <si>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</si>
  <si>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</si>
  <si>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</si>
  <si>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</si>
  <si>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</si>
  <si>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</si>
  <si>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</si>
  <si>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</si>
  <si>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</si>
  <si>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</si>
  <si>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</si>
  <si>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</si>
  <si>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</si>
  <si>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</si>
  <si>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</si>
  <si>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</si>
  <si>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</si>
  <si>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</si>
  <si>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</si>
  <si>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</si>
  <si>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</si>
  <si>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</si>
  <si>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</si>
  <si>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</si>
  <si>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</si>
  <si>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</si>
  <si>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</si>
  <si>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</si>
  <si>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</si>
  <si>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</si>
  <si>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</si>
  <si>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</si>
  <si>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</si>
  <si>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</si>
  <si>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</si>
  <si>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</si>
  <si>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</si>
  <si>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</si>
  <si>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</si>
  <si>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</si>
  <si>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</si>
  <si>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</si>
  <si>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</si>
  <si>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</si>
  <si>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</si>
  <si>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</si>
  <si>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</si>
  <si>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</si>
  <si>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</si>
  <si>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</si>
  <si>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</si>
  <si>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</si>
  <si>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</si>
  <si>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</si>
  <si>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</si>
  <si>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</si>
  <si>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</si>
  <si>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</si>
  <si>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</si>
  <si>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</si>
  <si>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</si>
  <si>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</si>
  <si>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</si>
  <si>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</si>
  <si>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</si>
  <si>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</si>
  <si>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</si>
  <si>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</si>
  <si>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</si>
  <si>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</si>
  <si>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</si>
  <si>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 xml:space="preserve">U.S. military is interest in RKLB for HASTE. </t>
  </si>
  <si>
    <t>Q422</t>
  </si>
  <si>
    <t>Q123</t>
  </si>
  <si>
    <t>Q323</t>
  </si>
  <si>
    <t>Q423</t>
  </si>
  <si>
    <t>VACQ</t>
  </si>
  <si>
    <t>Year</t>
  </si>
  <si>
    <t>Launch Cadence &amp; Success Rate</t>
  </si>
  <si>
    <t>Engine</t>
  </si>
  <si>
    <t>Number of Engines</t>
  </si>
  <si>
    <t>Engines</t>
  </si>
  <si>
    <t>Delphin</t>
  </si>
  <si>
    <t>Total Thrust</t>
  </si>
  <si>
    <t>Reaver</t>
  </si>
  <si>
    <t>Specific Impulse</t>
  </si>
  <si>
    <t>N/A</t>
  </si>
  <si>
    <t>RD-180</t>
  </si>
  <si>
    <t>BE-4</t>
  </si>
  <si>
    <t>Specific Impulse (estimated)</t>
  </si>
  <si>
    <t>Payload/Mass</t>
  </si>
  <si>
    <t>Rutherford</t>
  </si>
  <si>
    <t>Archimedes</t>
  </si>
  <si>
    <t>Merlin</t>
  </si>
  <si>
    <t>Raptor</t>
  </si>
  <si>
    <t>*Note* "In Development" numbers considered estimated</t>
  </si>
  <si>
    <t>BE-3</t>
  </si>
  <si>
    <t>$/Kg</t>
  </si>
  <si>
    <t>Reusable</t>
  </si>
  <si>
    <t>Date</t>
  </si>
  <si>
    <t>Value (m)</t>
  </si>
  <si>
    <t>Name</t>
  </si>
  <si>
    <t>Constellation Contract</t>
  </si>
  <si>
    <t>Issuer</t>
  </si>
  <si>
    <t>Type</t>
  </si>
  <si>
    <t>MDA</t>
  </si>
  <si>
    <t>Subcontract</t>
  </si>
  <si>
    <t xml:space="preserve">R&amp;D </t>
  </si>
  <si>
    <t>Change</t>
  </si>
  <si>
    <t>R&amp;D/Revenue</t>
  </si>
  <si>
    <t>SG&amp;A/Revenue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</si>
</sst>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_([$$-409]* \(#,##0.00\);_([$$-409]* &quot;-&quot;??_);_(@_)"/>
    <numFmt numFmtId="165" formatCode="&quot;$&quot;#,##0.00"/>
    <numFmt numFmtId="166" formatCode="h:mm;@"/>
    <numFmt numFmtId="167" formatCode="&quot;$&quot;#,##0"/>
    <numFmt numFmtId="168" formatCode="#,##0.0"/>
  </numFmts>
  <fonts count="23"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4" fillId="0" borderId="0"/>
  </cellStyleXfs>
  <cellXfs count="118">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10" fontId="0" fillId="0" borderId="7"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0" fontId="6" fillId="3" borderId="6" xfId="0" applyFont="1" applyFill="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0" fontId="1" fillId="0" borderId="1" xfId="0" applyFont="1" applyBorder="1"/>
    <xf numFmtId="9" fontId="1" fillId="0" borderId="1" xfId="0" applyNumberFormat="1" applyFont="1" applyBorder="1"/>
    <xf numFmtId="9" fontId="1" fillId="0" borderId="7" xfId="0" applyNumberFormat="1" applyFont="1" applyBorder="1"/>
    <xf numFmtId="3" fontId="1" fillId="0" borderId="1" xfId="0" applyNumberFormat="1" applyFont="1" applyBorder="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9" fontId="1" fillId="0" borderId="0" xfId="0" applyNumberFormat="1" applyFont="1"/>
    <xf numFmtId="9" fontId="1" fillId="0" borderId="6" xfId="0" applyNumberFormat="1" applyFont="1" applyBorder="1"/>
    <xf numFmtId="0" fontId="0" fillId="0" borderId="0" xfId="0" quotePrefix="1"/>
    <xf numFmtId="0" fontId="0" fillId="0" borderId="6" xfId="0" quotePrefix="1" applyBorder="1"/>
    <xf numFmtId="2" fontId="0" fillId="0" borderId="0" xfId="0" quotePrefix="1" applyNumberFormat="1" applyAlignment="1">
      <alignment horizontal="right"/>
    </xf>
    <xf numFmtId="0" fontId="0" fillId="3" borderId="6" xfId="0" applyFill="1" applyBorder="1"/>
    <xf numFmtId="0" fontId="4" fillId="3" borderId="0" xfId="1" applyFill="1"/>
    <xf numFmtId="0" fontId="4" fillId="3" borderId="6" xfId="1" applyFill="1" applyBorder="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14" fontId="0" fillId="3" borderId="0" xfId="0" applyNumberForma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0" fontId="0" fillId="3" borderId="0" xfId="0" applyFill="1" applyAlignment="1">
      <alignment horizontal="right"/>
    </xf>
    <xf numFmtId="0" fontId="0" fillId="0" borderId="0" xfId="0" quotePrefix="1" applyAlignment="1">
      <alignment horizontal="right"/>
    </xf>
    <xf numFmtId="10"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xf numFmtId="0" fontId="0" fillId="2" borderId="0" xfId="0" applyFill="1"/>
  </cellXfs>
  <cellStyles count="2">
    <cellStyle name="Hyperlink" xfId="1" builtinId="8"/>
    <cellStyle name="Normal" xfId="0" builtinId="0"/>
  </cellStyles>
  <dxfs count="43">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connections" Target="connections.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1</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12</v>
    <v>Price</v>
    <v>0</v>
  </rv>
  <rv s="0">
    <v>12</v>
    <v>Shares outstanding</v>
    <v>0</v>
  </rv>
  <rv s="1">
    <v>12</v>
    <v>1</v>
  </rv>
</rvData>
</file>

<file path=xl/richData/rdrichvaluestructure.xml><?xml version="1.0" encoding="utf-8"?>
<rvStructures xmlns="http://schemas.microsoft.com/office/spreadsheetml/2017/richdata" count="2">
  <s t="_error">
    <k n="errorType" t="i"/>
    <k n="field" t="s"/>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olar/"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Rocket_Lab_Neutron" TargetMode="External"/><Relationship Id="rId3" Type="http://schemas.openxmlformats.org/officeDocument/2006/relationships/hyperlink" Target="https://en.wikipedia.org/wiki/New_Shepard" TargetMode="External"/><Relationship Id="rId7" Type="http://schemas.openxmlformats.org/officeDocument/2006/relationships/hyperlink" Target="https://en.wikipedia.org/wiki/SpaceX_Starship" TargetMode="External"/><Relationship Id="rId12" Type="http://schemas.openxmlformats.org/officeDocument/2006/relationships/comments" Target="../comments2.xml"/><Relationship Id="rId2" Type="http://schemas.openxmlformats.org/officeDocument/2006/relationships/hyperlink" Target="https://en.wikipedia.org/wiki/Vulcan_Centaur" TargetMode="External"/><Relationship Id="rId1" Type="http://schemas.openxmlformats.org/officeDocument/2006/relationships/hyperlink" Target="https://en.wikipedia.org/wiki/Atlas_V" TargetMode="External"/><Relationship Id="rId6" Type="http://schemas.openxmlformats.org/officeDocument/2006/relationships/hyperlink" Target="https://en.wikipedia.org/wiki/Falcon_Heavy" TargetMode="External"/><Relationship Id="rId11" Type="http://schemas.openxmlformats.org/officeDocument/2006/relationships/vmlDrawing" Target="../drawings/vmlDrawing2.vml"/><Relationship Id="rId5" Type="http://schemas.openxmlformats.org/officeDocument/2006/relationships/hyperlink" Target="https://en.wikipedia.org/wiki/Falcon_9" TargetMode="External"/><Relationship Id="rId10" Type="http://schemas.openxmlformats.org/officeDocument/2006/relationships/hyperlink" Target="https://en.wikipedia.org/wiki/Firefly_Alpha" TargetMode="External"/><Relationship Id="rId4" Type="http://schemas.openxmlformats.org/officeDocument/2006/relationships/hyperlink" Target="https://en.wikipedia.org/wiki/New_Glenn" TargetMode="External"/><Relationship Id="rId9" Type="http://schemas.openxmlformats.org/officeDocument/2006/relationships/hyperlink" Target="https://en.wikipedia.org/wiki/Rocket_Lab_Electron"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E21" sqref="E21"/>
    </sheetView>
  </sheetViews>
  <sheetFormatPr defaultRowHeight="14.5" x14ac:dyDescent="0.35"/>
  <cols>
    <col min="2" max="2" width="10.7265625" bestFit="1" customWidth="1"/>
  </cols>
  <sheetData>
    <row r="1" spans="1:2" ht="15" customHeight="1" thickBot="1" x14ac:dyDescent="0.4">
      <c r="A1" t="e">
        <v>#VALUE!</v>
      </c>
    </row>
    <row r="2" spans="1:2" x14ac:dyDescent="0.35">
      <c r="A2" s="13" t="s">
        <v>0</v>
      </c>
      <c r="B2" s="16" t="e" vm="1">
        <f t="array" ref="B2">_FV(A1,"Price")</f>
        <v>#VALUE!</v>
      </c>
    </row>
    <row r="3" spans="1:2" x14ac:dyDescent="0.35">
      <c r="A3" s="14" t="s">
        <v>1</v>
      </c>
      <c r="B3" s="5" t="e" vm="2">
        <f t="array" ref="B3">_FV(A1,"Shares outstanding",TRUE)/1000000</f>
        <v>#VALUE!</v>
      </c>
    </row>
    <row r="4" spans="1:2" x14ac:dyDescent="0.35">
      <c r="A4" s="14" t="s">
        <v>2</v>
      </c>
      <c r="B4" s="16" t="e" vm="3">
        <f>B2*B3</f>
        <v>#VALUE!</v>
      </c>
    </row>
    <row r="5" spans="1:2" x14ac:dyDescent="0.35">
      <c r="A5" s="14" t="s">
        <v>3</v>
      </c>
      <c r="B5" s="5">
        <f>(Model!N105+Model!N106)/1000</f>
        <v>502.70699999999999</v>
      </c>
    </row>
    <row r="6" spans="1:2" x14ac:dyDescent="0.35">
      <c r="A6" s="14" t="s">
        <v>4</v>
      </c>
      <c r="B6" s="5">
        <f>(Model!N130+Model!N137)/1000</f>
        <v>144.23699999999999</v>
      </c>
    </row>
    <row r="7" spans="1:2" ht="15" customHeight="1" thickBot="1" x14ac:dyDescent="0.4">
      <c r="A7" s="15" t="s">
        <v>5</v>
      </c>
      <c r="B7" s="16" t="e" vm="3">
        <f>B4-B5+B6</f>
        <v>#VALUE!</v>
      </c>
    </row>
    <row r="8" spans="1:2" x14ac:dyDescent="0.35">
      <c r="A8" s="12" t="s">
        <v>6</v>
      </c>
      <c r="B8" s="16" t="e" vm="3">
        <f>B7/B3</f>
        <v>#VALUE!</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workbookViewId="0">
      <selection activeCell="A6" sqref="A6:XFD11"/>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A1" t="s">
        <v>7</v>
      </c>
      <c r="B1" t="s">
        <v>8</v>
      </c>
      <c r="C1" s="34" t="s">
        <v>9</v>
      </c>
      <c r="E1"/>
    </row>
    <row r="2" spans="1:5" x14ac:dyDescent="0.35">
      <c r="A2" t="s">
        <v>10</v>
      </c>
      <c r="B2" t="s">
        <v>11</v>
      </c>
      <c r="C2" s="34" t="s">
        <v>11</v>
      </c>
      <c r="E2"/>
    </row>
    <row r="3" spans="1:5" x14ac:dyDescent="0.35">
      <c r="A3" t="s">
        <v>12</v>
      </c>
      <c r="B3" t="s">
        <v>13</v>
      </c>
      <c r="C3" s="34" t="s">
        <v>13</v>
      </c>
      <c r="E3"/>
    </row>
    <row r="4" spans="1:5" x14ac:dyDescent="0.35">
      <c r="A4" t="s">
        <v>14</v>
      </c>
      <c r="B4" t="s">
        <v>15</v>
      </c>
      <c r="C4" s="34" t="s">
        <v>15</v>
      </c>
      <c r="E4"/>
    </row>
    <row r="5" spans="1:5" x14ac:dyDescent="0.35">
      <c r="A5" t="s">
        <v>16</v>
      </c>
      <c r="B5" t="s">
        <v>17</v>
      </c>
      <c r="C5" s="34" t="s">
        <v>17</v>
      </c>
      <c r="E5"/>
    </row>
    <row r="6" spans="1:5" x14ac:dyDescent="0.35">
      <c r="A6" s="4" t="s">
        <v>18</v>
      </c>
      <c r="B6" s="4"/>
      <c r="C6" s="52" t="s">
        <v>19</v>
      </c>
      <c r="E6" s="8" t="s">
        <v>20</v>
      </c>
    </row>
    <row r="7" spans="1:5" x14ac:dyDescent="0.35">
      <c r="A7" t="s">
        <v>21</v>
      </c>
      <c r="E7"/>
    </row>
    <row r="8" spans="1:5" x14ac:dyDescent="0.35">
      <c r="A8" t="s">
        <v>22</v>
      </c>
      <c r="C8" s="34" t="s">
        <v>23</v>
      </c>
      <c r="E8" s="3">
        <v>43951</v>
      </c>
    </row>
    <row r="9" spans="1:5" x14ac:dyDescent="0.35">
      <c r="A9" s="17" t="s">
        <v>24</v>
      </c>
      <c r="B9" s="17"/>
      <c r="C9" s="34" t="s">
        <v>25</v>
      </c>
      <c r="E9" s="3">
        <v>44579</v>
      </c>
    </row>
    <row r="10" spans="1:5" x14ac:dyDescent="0.35">
      <c r="A10" s="17" t="s">
        <v>26</v>
      </c>
      <c r="B10" s="17"/>
      <c r="C10" s="34" t="s">
        <v>27</v>
      </c>
      <c r="E10" s="3">
        <v>44515</v>
      </c>
    </row>
    <row r="11" spans="1:5" x14ac:dyDescent="0.35">
      <c r="A11" s="17" t="s">
        <v>28</v>
      </c>
      <c r="B11" s="17"/>
      <c r="E11" s="3">
        <v>44481</v>
      </c>
    </row>
    <row r="12" spans="1:5" s="8" customFormat="1" x14ac:dyDescent="0.35">
      <c r="A12" s="4" t="s">
        <v>29</v>
      </c>
      <c r="B12" s="4"/>
      <c r="C12" s="52"/>
    </row>
    <row r="13" spans="1:5" x14ac:dyDescent="0.35">
      <c r="A13" t="s">
        <v>30</v>
      </c>
      <c r="E13"/>
    </row>
    <row r="14" spans="1:5" x14ac:dyDescent="0.35">
      <c r="A14" t="s">
        <v>31</v>
      </c>
      <c r="E14"/>
    </row>
    <row r="15" spans="1:5" x14ac:dyDescent="0.35">
      <c r="A15" s="17" t="s">
        <v>32</v>
      </c>
      <c r="B15" s="17"/>
      <c r="E15"/>
    </row>
    <row r="16" spans="1:5" x14ac:dyDescent="0.35">
      <c r="A16" t="s">
        <v>33</v>
      </c>
      <c r="E16"/>
    </row>
    <row r="17" spans="1:5" x14ac:dyDescent="0.35">
      <c r="A17" s="4" t="s">
        <v>34</v>
      </c>
      <c r="B17" s="4"/>
      <c r="E17"/>
    </row>
    <row r="18" spans="1:5" x14ac:dyDescent="0.35">
      <c r="A18" s="17" t="s">
        <v>35</v>
      </c>
      <c r="B18" s="17"/>
      <c r="E18"/>
    </row>
    <row r="19" spans="1:5" x14ac:dyDescent="0.35">
      <c r="A19" s="17" t="s">
        <v>36</v>
      </c>
      <c r="B19" s="17"/>
      <c r="E19"/>
    </row>
    <row r="20" spans="1:5" x14ac:dyDescent="0.35">
      <c r="A20" s="17" t="s">
        <v>37</v>
      </c>
      <c r="B20" s="17"/>
      <c r="E20"/>
    </row>
    <row r="21" spans="1:5" x14ac:dyDescent="0.35">
      <c r="A21" s="4" t="s">
        <v>39</v>
      </c>
      <c r="C21" s="53" t="s">
        <v>40</v>
      </c>
      <c r="D21" s="4" t="s">
        <v>41</v>
      </c>
      <c r="E21" s="4" t="s">
        <v>42</v>
      </c>
    </row>
    <row r="22" spans="1:5" x14ac:dyDescent="0.35">
      <c r="A22" t="s">
        <v>43</v>
      </c>
      <c r="C22" s="34" t="s">
        <v>44</v>
      </c>
      <c r="D22" t="s">
        <v>45</v>
      </c>
      <c r="E22" s="3">
        <v>42639</v>
      </c>
    </row>
    <row r="23" spans="1:5" x14ac:dyDescent="0.35">
      <c r="A23" t="s">
        <v>46</v>
      </c>
      <c r="C23" s="34" t="s">
        <v>13</v>
      </c>
      <c r="D23" t="s">
        <v>47</v>
      </c>
      <c r="E23" s="3">
        <v>43739</v>
      </c>
    </row>
    <row r="24" spans="1:5" s="4" customFormat="1" x14ac:dyDescent="0.35">
      <c r="C24" s="53"/>
      <c r="D24" t="s">
        <v>38</v>
      </c>
      <c r="E24" s="3"/>
    </row>
    <row r="25" spans="1:5" x14ac:dyDescent="0.35">
      <c r="A25" t="s">
        <v>54</v>
      </c>
      <c r="D25" t="s">
        <v>38</v>
      </c>
      <c r="E25" s="3"/>
    </row>
    <row r="26" spans="1:5" x14ac:dyDescent="0.35">
      <c r="E26"/>
    </row>
    <row r="27" spans="1:5" x14ac:dyDescent="0.35">
      <c r="E27"/>
    </row>
    <row r="28" spans="1:5" s="4" customFormat="1" x14ac:dyDescent="0.35">
      <c r="A28" s="4" t="s">
        <v>196</v>
      </c>
      <c r="C28" s="53"/>
    </row>
    <row r="29" spans="1:5" x14ac:dyDescent="0.35">
      <c r="A29" s="66" t="s">
        <v>197</v>
      </c>
      <c r="E29"/>
    </row>
    <row r="30" spans="1:5" x14ac:dyDescent="0.35">
      <c r="A30" s="66" t="s">
        <v>198</v>
      </c>
      <c r="E30"/>
    </row>
    <row r="31" spans="1:5" x14ac:dyDescent="0.35">
      <c r="A31" s="66" t="s">
        <v>199</v>
      </c>
      <c r="E31"/>
    </row>
    <row r="32" spans="1:5" x14ac:dyDescent="0.35">
      <c r="A32" s="66" t="s">
        <v>200</v>
      </c>
      <c r="E32"/>
    </row>
    <row r="33" spans="1:5" x14ac:dyDescent="0.35">
      <c r="E33"/>
    </row>
    <row r="34" spans="1:5" s="4" customFormat="1" x14ac:dyDescent="0.35">
      <c r="A34" s="4" t="s">
        <v>201</v>
      </c>
      <c r="C34" s="53"/>
    </row>
    <row r="35" spans="1:5" x14ac:dyDescent="0.35">
      <c r="A35" s="68" t="s">
        <v>204</v>
      </c>
      <c r="E35"/>
    </row>
    <row r="36" spans="1:5" x14ac:dyDescent="0.35">
      <c r="A36" s="68" t="s">
        <v>205</v>
      </c>
      <c r="E36"/>
    </row>
    <row r="37" spans="1:5" x14ac:dyDescent="0.35">
      <c r="A37" s="68" t="s">
        <v>206</v>
      </c>
      <c r="E37"/>
    </row>
    <row r="38" spans="1:5" x14ac:dyDescent="0.35">
      <c r="A38" s="68" t="s">
        <v>207</v>
      </c>
      <c r="E38"/>
    </row>
    <row r="39" spans="1:5" x14ac:dyDescent="0.35">
      <c r="A39" s="68" t="s">
        <v>208</v>
      </c>
      <c r="E39"/>
    </row>
    <row r="40" spans="1:5" x14ac:dyDescent="0.35">
      <c r="A40" s="68" t="s">
        <v>209</v>
      </c>
      <c r="E40"/>
    </row>
    <row r="41" spans="1:5" x14ac:dyDescent="0.35">
      <c r="A41" s="68" t="s">
        <v>210</v>
      </c>
      <c r="E41"/>
    </row>
    <row r="42" spans="1:5" x14ac:dyDescent="0.35">
      <c r="A42" s="68" t="s">
        <v>211</v>
      </c>
      <c r="E42"/>
    </row>
    <row r="43" spans="1:5" x14ac:dyDescent="0.35">
      <c r="A43" s="68" t="s">
        <v>212</v>
      </c>
      <c r="E43"/>
    </row>
    <row r="44" spans="1:5" x14ac:dyDescent="0.35">
      <c r="A44" s="68" t="s">
        <v>213</v>
      </c>
      <c r="E44"/>
    </row>
    <row r="45" spans="1:5" x14ac:dyDescent="0.35">
      <c r="A45" s="68" t="s">
        <v>214</v>
      </c>
      <c r="E45"/>
    </row>
    <row r="46" spans="1:5" x14ac:dyDescent="0.35">
      <c r="A46" s="68" t="s">
        <v>215</v>
      </c>
      <c r="E46"/>
    </row>
    <row r="47" spans="1:5" x14ac:dyDescent="0.35">
      <c r="A47" s="68" t="s">
        <v>216</v>
      </c>
      <c r="E47"/>
    </row>
    <row r="48" spans="1:5" x14ac:dyDescent="0.35">
      <c r="A48" s="68" t="s">
        <v>217</v>
      </c>
      <c r="E48"/>
    </row>
    <row r="49" spans="1:5" x14ac:dyDescent="0.35">
      <c r="A49" s="69" t="s">
        <v>218</v>
      </c>
      <c r="E49"/>
    </row>
    <row r="50" spans="1:5" x14ac:dyDescent="0.35">
      <c r="A50" s="68" t="s">
        <v>219</v>
      </c>
      <c r="E50"/>
    </row>
    <row r="51" spans="1:5" x14ac:dyDescent="0.35">
      <c r="A51" s="68" t="s">
        <v>220</v>
      </c>
      <c r="E51"/>
    </row>
    <row r="52" spans="1:5" x14ac:dyDescent="0.35">
      <c r="A52" s="68" t="s">
        <v>202</v>
      </c>
      <c r="E52"/>
    </row>
    <row r="53" spans="1:5" x14ac:dyDescent="0.35">
      <c r="A53" s="68" t="s">
        <v>203</v>
      </c>
      <c r="E53"/>
    </row>
    <row r="54" spans="1:5" x14ac:dyDescent="0.35">
      <c r="A54" s="68" t="s">
        <v>221</v>
      </c>
      <c r="E54"/>
    </row>
    <row r="55" spans="1:5" x14ac:dyDescent="0.35">
      <c r="A55" s="67"/>
      <c r="E55"/>
    </row>
    <row r="61" spans="1:5" s="4" customFormat="1" x14ac:dyDescent="0.35">
      <c r="A61" s="4" t="s">
        <v>354</v>
      </c>
      <c r="C61" s="53"/>
      <c r="E61" s="53"/>
    </row>
    <row r="62" spans="1:5" x14ac:dyDescent="0.35">
      <c r="A62" t="s">
        <v>358</v>
      </c>
    </row>
    <row r="63" spans="1:5" x14ac:dyDescent="0.35">
      <c r="A63" t="s">
        <v>359</v>
      </c>
    </row>
    <row r="64" spans="1:5" x14ac:dyDescent="0.35">
      <c r="A64" t="s">
        <v>360</v>
      </c>
    </row>
    <row r="65" spans="1:5" x14ac:dyDescent="0.35">
      <c r="A65" t="s">
        <v>361</v>
      </c>
    </row>
    <row r="66" spans="1:5" x14ac:dyDescent="0.35">
      <c r="A66" t="s">
        <v>362</v>
      </c>
    </row>
    <row r="74" spans="1:5" s="4" customFormat="1" x14ac:dyDescent="0.35">
      <c r="A74" s="4" t="s">
        <v>355</v>
      </c>
      <c r="C74" s="53"/>
      <c r="E74" s="53"/>
    </row>
    <row r="75" spans="1:5" x14ac:dyDescent="0.35">
      <c r="A75" t="s">
        <v>356</v>
      </c>
    </row>
    <row r="76" spans="1:5" x14ac:dyDescent="0.35">
      <c r="A76" t="s">
        <v>357</v>
      </c>
    </row>
  </sheetData>
  <hyperlinks>
    <hyperlink ref="A15" r:id="rId1" xr:uid="{00000000-0004-0000-0100-000000000000}"/>
    <hyperlink ref="A16" r:id="rId2" xr:uid="{00000000-0004-0000-0100-000001000000}"/>
    <hyperlink ref="A17" r:id="rId3" xr:uid="{00000000-0004-0000-0100-000002000000}"/>
    <hyperlink ref="A25"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11"/>
  <sheetViews>
    <sheetView zoomScale="85" zoomScaleNormal="85" workbookViewId="0">
      <pane xSplit="2" ySplit="7" topLeftCell="C8" activePane="bottomRight" state="frozen"/>
      <selection pane="topRight" activeCell="C1" sqref="C1"/>
      <selection pane="bottomLeft" activeCell="A4" sqref="A4"/>
      <selection pane="bottomRight" activeCell="F19" sqref="F19"/>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46" width="12.6328125" customWidth="1"/>
  </cols>
  <sheetData>
    <row r="1" spans="2:44" x14ac:dyDescent="0.35">
      <c r="B1" t="s">
        <v>56</v>
      </c>
      <c r="F1" t="s">
        <v>57</v>
      </c>
      <c r="G1" t="s">
        <v>58</v>
      </c>
      <c r="H1" s="34" t="s">
        <v>59</v>
      </c>
      <c r="I1" t="s">
        <v>60</v>
      </c>
      <c r="J1" t="s">
        <v>61</v>
      </c>
      <c r="K1" t="s">
        <v>62</v>
      </c>
      <c r="L1" s="34" t="s">
        <v>63</v>
      </c>
      <c r="M1" t="s">
        <v>64</v>
      </c>
      <c r="N1" t="s">
        <v>65</v>
      </c>
      <c r="O1" t="s">
        <v>363</v>
      </c>
      <c r="P1" s="34" t="s">
        <v>364</v>
      </c>
      <c r="Q1" t="s">
        <v>55</v>
      </c>
      <c r="R1" t="s">
        <v>365</v>
      </c>
      <c r="S1" t="s">
        <v>366</v>
      </c>
    </row>
    <row r="2" spans="2:44" x14ac:dyDescent="0.35">
      <c r="B2" t="s">
        <v>66</v>
      </c>
      <c r="F2" s="3">
        <v>44151</v>
      </c>
      <c r="G2" s="3">
        <v>43921</v>
      </c>
      <c r="H2" s="35">
        <v>44340</v>
      </c>
      <c r="I2" s="3">
        <v>44411</v>
      </c>
      <c r="J2" s="3">
        <v>44515</v>
      </c>
      <c r="K2" s="3">
        <v>44644</v>
      </c>
      <c r="L2" s="35">
        <v>44697</v>
      </c>
      <c r="M2" s="3">
        <v>44784</v>
      </c>
      <c r="N2" s="3">
        <v>44874</v>
      </c>
      <c r="P2" s="35">
        <v>45055</v>
      </c>
      <c r="Q2" s="3">
        <v>45146</v>
      </c>
      <c r="R2" s="3">
        <v>45238</v>
      </c>
      <c r="AG2" s="3">
        <v>44286</v>
      </c>
      <c r="AH2" s="3">
        <v>44644</v>
      </c>
      <c r="AI2" s="3">
        <v>44992</v>
      </c>
    </row>
    <row r="3" spans="2:44" x14ac:dyDescent="0.35">
      <c r="B3" t="s">
        <v>67</v>
      </c>
      <c r="F3" s="3">
        <v>44104</v>
      </c>
      <c r="G3" s="3">
        <v>44196</v>
      </c>
      <c r="H3" s="35">
        <v>44286</v>
      </c>
      <c r="I3" s="3">
        <v>44377</v>
      </c>
      <c r="J3" s="3">
        <v>44469</v>
      </c>
      <c r="K3" s="3">
        <v>44561</v>
      </c>
      <c r="L3" s="35">
        <v>44651</v>
      </c>
      <c r="M3" s="3">
        <v>44742</v>
      </c>
      <c r="N3" s="3">
        <v>44834</v>
      </c>
      <c r="O3" s="3">
        <v>44926</v>
      </c>
      <c r="P3" s="35">
        <v>45016</v>
      </c>
      <c r="Q3" s="3">
        <v>45107</v>
      </c>
      <c r="R3" s="3">
        <v>45199</v>
      </c>
      <c r="AB3">
        <f t="shared" ref="AB3:AF3" si="0">AC3-1</f>
        <v>2015</v>
      </c>
      <c r="AC3">
        <f t="shared" si="0"/>
        <v>2016</v>
      </c>
      <c r="AD3">
        <f t="shared" si="0"/>
        <v>2017</v>
      </c>
      <c r="AE3">
        <f t="shared" si="0"/>
        <v>2018</v>
      </c>
      <c r="AF3">
        <f t="shared" si="0"/>
        <v>2019</v>
      </c>
      <c r="AG3">
        <v>2020</v>
      </c>
      <c r="AH3">
        <v>2021</v>
      </c>
      <c r="AI3">
        <v>2022</v>
      </c>
      <c r="AJ3">
        <f t="shared" ref="AJ3:AR3" si="1">AI3+1</f>
        <v>2023</v>
      </c>
      <c r="AK3">
        <f t="shared" si="1"/>
        <v>2024</v>
      </c>
      <c r="AL3">
        <f t="shared" si="1"/>
        <v>2025</v>
      </c>
      <c r="AM3">
        <f t="shared" si="1"/>
        <v>2026</v>
      </c>
      <c r="AN3">
        <f t="shared" si="1"/>
        <v>2027</v>
      </c>
      <c r="AO3">
        <f t="shared" si="1"/>
        <v>2028</v>
      </c>
      <c r="AP3">
        <f t="shared" si="1"/>
        <v>2029</v>
      </c>
      <c r="AQ3">
        <f t="shared" si="1"/>
        <v>2030</v>
      </c>
      <c r="AR3">
        <f t="shared" si="1"/>
        <v>2031</v>
      </c>
    </row>
    <row r="4" spans="2:44" s="4" customFormat="1" x14ac:dyDescent="0.35">
      <c r="B4" s="4" t="s">
        <v>178</v>
      </c>
      <c r="F4" s="56" t="s">
        <v>367</v>
      </c>
      <c r="G4" s="56" t="s">
        <v>367</v>
      </c>
      <c r="H4" s="60" t="s">
        <v>367</v>
      </c>
      <c r="I4" s="56" t="s">
        <v>367</v>
      </c>
      <c r="J4" s="56"/>
      <c r="K4" s="56"/>
      <c r="L4" s="60"/>
      <c r="M4" s="56"/>
      <c r="N4" s="56"/>
      <c r="O4" s="56"/>
      <c r="P4" s="53"/>
    </row>
    <row r="5" spans="2:44" s="65" customFormat="1" x14ac:dyDescent="0.35">
      <c r="B5" s="65" t="s">
        <v>179</v>
      </c>
      <c r="H5" s="101">
        <v>15.15</v>
      </c>
      <c r="I5" s="65">
        <v>11.99</v>
      </c>
      <c r="J5" s="65">
        <v>21.34</v>
      </c>
      <c r="K5" s="65">
        <v>16.97</v>
      </c>
      <c r="L5" s="101">
        <v>12.33</v>
      </c>
      <c r="M5" s="65">
        <v>8.74</v>
      </c>
      <c r="N5" s="65">
        <v>7.29</v>
      </c>
      <c r="P5" s="101">
        <v>5.68</v>
      </c>
      <c r="Q5" s="65">
        <v>6.1</v>
      </c>
      <c r="R5" s="65">
        <v>8.0500000000000007</v>
      </c>
      <c r="S5" s="65">
        <v>6.14</v>
      </c>
      <c r="AG5" s="65">
        <v>11.39</v>
      </c>
      <c r="AH5" s="65">
        <v>21.34</v>
      </c>
      <c r="AI5" s="65">
        <v>8.74</v>
      </c>
    </row>
    <row r="6" spans="2:44" s="65" customFormat="1" x14ac:dyDescent="0.35">
      <c r="B6" s="65" t="s">
        <v>180</v>
      </c>
      <c r="H6" s="101">
        <v>10.050000000000001</v>
      </c>
      <c r="I6" s="65">
        <v>9.77</v>
      </c>
      <c r="J6" s="65">
        <v>9.5</v>
      </c>
      <c r="K6" s="65">
        <v>11.07</v>
      </c>
      <c r="L6" s="101">
        <v>7.51</v>
      </c>
      <c r="M6" s="65">
        <v>3.66</v>
      </c>
      <c r="N6" s="65">
        <v>3.59</v>
      </c>
      <c r="P6" s="101">
        <v>3.69</v>
      </c>
      <c r="Q6" s="65">
        <v>3.62</v>
      </c>
      <c r="R6" s="65">
        <v>4.17</v>
      </c>
      <c r="S6" s="65">
        <v>4</v>
      </c>
      <c r="AG6" s="65">
        <v>9.7200000000000006</v>
      </c>
      <c r="AH6" s="65">
        <v>9.5</v>
      </c>
      <c r="AI6" s="65">
        <v>3.48</v>
      </c>
    </row>
    <row r="7" spans="2:44" s="63" customFormat="1" x14ac:dyDescent="0.35">
      <c r="B7" s="63" t="s">
        <v>181</v>
      </c>
      <c r="H7" s="64">
        <v>11.07</v>
      </c>
      <c r="I7" s="63">
        <v>10.4</v>
      </c>
      <c r="J7" s="63">
        <v>11.96</v>
      </c>
      <c r="K7" s="63">
        <v>13.76</v>
      </c>
      <c r="L7" s="64">
        <v>9.33</v>
      </c>
      <c r="M7" s="63">
        <v>5.92</v>
      </c>
      <c r="N7" s="63">
        <v>4.95</v>
      </c>
      <c r="O7" s="63">
        <v>4.97</v>
      </c>
      <c r="P7" s="64">
        <v>4.5</v>
      </c>
      <c r="Q7" s="63">
        <v>4.57</v>
      </c>
      <c r="R7" s="63">
        <v>6.08</v>
      </c>
      <c r="S7" s="63">
        <v>4.5199999999999996</v>
      </c>
      <c r="AG7" s="63">
        <v>10.18</v>
      </c>
      <c r="AH7" s="63">
        <v>12.06</v>
      </c>
      <c r="AI7" s="63">
        <v>5.07</v>
      </c>
    </row>
    <row r="8" spans="2:44" x14ac:dyDescent="0.35">
      <c r="F8" s="3"/>
      <c r="G8" s="3"/>
      <c r="H8" s="35"/>
      <c r="I8" s="3"/>
      <c r="J8" s="3"/>
      <c r="K8" s="3"/>
      <c r="L8" s="35"/>
      <c r="M8" s="3"/>
      <c r="N8" s="3"/>
    </row>
    <row r="9" spans="2:44" s="4" customFormat="1" x14ac:dyDescent="0.35">
      <c r="B9" s="4" t="s">
        <v>223</v>
      </c>
      <c r="F9" s="56"/>
      <c r="G9" s="56"/>
      <c r="H9" s="60"/>
      <c r="I9" s="56"/>
      <c r="J9" s="56"/>
      <c r="K9" s="56"/>
      <c r="L9" s="60"/>
      <c r="M9" s="56"/>
      <c r="N9" s="56"/>
      <c r="P9" s="53"/>
    </row>
    <row r="10" spans="2:44" s="88" customFormat="1" x14ac:dyDescent="0.35">
      <c r="B10" s="88" t="s">
        <v>224</v>
      </c>
      <c r="H10" s="89"/>
      <c r="J10" s="88" t="s">
        <v>154</v>
      </c>
      <c r="K10" s="9" t="str">
        <f>AH10</f>
        <v>-</v>
      </c>
      <c r="L10" s="89" t="s">
        <v>154</v>
      </c>
      <c r="M10" s="88">
        <v>135</v>
      </c>
      <c r="N10" s="88">
        <v>122.4</v>
      </c>
      <c r="O10" s="9">
        <f>AI10</f>
        <v>116.2</v>
      </c>
      <c r="P10" s="89">
        <v>130.4</v>
      </c>
      <c r="Q10" s="88">
        <v>161.9</v>
      </c>
      <c r="R10" s="88">
        <v>250.7</v>
      </c>
      <c r="AG10" s="88">
        <v>0</v>
      </c>
      <c r="AH10" s="88" t="s">
        <v>154</v>
      </c>
      <c r="AI10" s="88">
        <v>116.2</v>
      </c>
    </row>
    <row r="11" spans="2:44" s="90" customFormat="1" x14ac:dyDescent="0.35">
      <c r="B11" s="90" t="s">
        <v>34</v>
      </c>
      <c r="H11" s="91"/>
      <c r="J11" s="90" t="s">
        <v>154</v>
      </c>
      <c r="K11" s="97" t="str">
        <f>AH11</f>
        <v>-</v>
      </c>
      <c r="L11" s="91" t="s">
        <v>154</v>
      </c>
      <c r="M11" s="90">
        <v>396.4</v>
      </c>
      <c r="N11" s="90">
        <v>398.2</v>
      </c>
      <c r="O11" s="97">
        <f>AI11</f>
        <v>387.4</v>
      </c>
      <c r="P11" s="91">
        <v>363.8</v>
      </c>
      <c r="Q11" s="90">
        <v>372.4</v>
      </c>
      <c r="R11" s="90">
        <v>331.7</v>
      </c>
      <c r="AG11" s="90">
        <v>0</v>
      </c>
      <c r="AH11" s="90" t="s">
        <v>154</v>
      </c>
      <c r="AI11" s="90">
        <v>387.4</v>
      </c>
    </row>
    <row r="12" spans="2:44" s="99" customFormat="1" x14ac:dyDescent="0.35">
      <c r="B12" s="99" t="s">
        <v>225</v>
      </c>
      <c r="H12" s="100">
        <f>SUM(H10:H11)</f>
        <v>0</v>
      </c>
      <c r="I12" s="99">
        <f>SUM(I10:I11)</f>
        <v>0</v>
      </c>
      <c r="J12" s="99">
        <v>183.1</v>
      </c>
      <c r="K12" s="103">
        <f>AH12</f>
        <v>241.5</v>
      </c>
      <c r="L12" s="100">
        <v>545.9</v>
      </c>
      <c r="M12" s="99">
        <f t="shared" ref="M12:R12" si="2">SUM(M10:M11)</f>
        <v>531.4</v>
      </c>
      <c r="N12" s="99">
        <f t="shared" si="2"/>
        <v>520.6</v>
      </c>
      <c r="O12" s="99">
        <f t="shared" si="2"/>
        <v>503.59999999999997</v>
      </c>
      <c r="P12" s="100">
        <f t="shared" si="2"/>
        <v>494.20000000000005</v>
      </c>
      <c r="Q12" s="99">
        <f t="shared" si="2"/>
        <v>534.29999999999995</v>
      </c>
      <c r="R12" s="99">
        <f t="shared" si="2"/>
        <v>582.4</v>
      </c>
      <c r="S12" s="99">
        <f t="shared" ref="S12:U12" si="3">SUM(S10:S11)</f>
        <v>0</v>
      </c>
      <c r="T12" s="99">
        <f t="shared" si="3"/>
        <v>0</v>
      </c>
      <c r="U12" s="99">
        <f t="shared" si="3"/>
        <v>0</v>
      </c>
      <c r="AA12" s="99">
        <f>SUM(AA10:AA11)</f>
        <v>0</v>
      </c>
      <c r="AB12" s="99">
        <f t="shared" ref="AB12:AR12" si="4">SUM(AB10:AB11)</f>
        <v>0</v>
      </c>
      <c r="AC12" s="99">
        <f t="shared" si="4"/>
        <v>0</v>
      </c>
      <c r="AD12" s="99">
        <f t="shared" si="4"/>
        <v>0</v>
      </c>
      <c r="AE12" s="99">
        <f t="shared" si="4"/>
        <v>0</v>
      </c>
      <c r="AF12" s="99">
        <f t="shared" si="4"/>
        <v>0</v>
      </c>
      <c r="AG12" s="99">
        <f t="shared" si="4"/>
        <v>0</v>
      </c>
      <c r="AH12" s="99">
        <v>241.5</v>
      </c>
      <c r="AI12" s="99">
        <f t="shared" si="4"/>
        <v>503.59999999999997</v>
      </c>
      <c r="AJ12" s="99">
        <f t="shared" si="4"/>
        <v>0</v>
      </c>
      <c r="AK12" s="99">
        <f t="shared" si="4"/>
        <v>0</v>
      </c>
      <c r="AL12" s="99">
        <f t="shared" si="4"/>
        <v>0</v>
      </c>
      <c r="AM12" s="99">
        <f t="shared" si="4"/>
        <v>0</v>
      </c>
      <c r="AN12" s="99">
        <f t="shared" si="4"/>
        <v>0</v>
      </c>
      <c r="AO12" s="99">
        <f t="shared" si="4"/>
        <v>0</v>
      </c>
      <c r="AP12" s="99">
        <f t="shared" si="4"/>
        <v>0</v>
      </c>
      <c r="AQ12" s="99">
        <f t="shared" si="4"/>
        <v>0</v>
      </c>
      <c r="AR12" s="99">
        <f t="shared" si="4"/>
        <v>0</v>
      </c>
    </row>
    <row r="13" spans="2:44" x14ac:dyDescent="0.35">
      <c r="B13" s="12"/>
      <c r="F13" s="3"/>
      <c r="G13" s="3"/>
      <c r="K13" s="3"/>
      <c r="L13" s="35"/>
      <c r="M13" s="3"/>
      <c r="N13" s="3"/>
    </row>
    <row r="14" spans="2:44" s="12" customFormat="1" x14ac:dyDescent="0.35">
      <c r="B14" s="12" t="s">
        <v>268</v>
      </c>
      <c r="F14" s="75"/>
      <c r="G14" s="75"/>
      <c r="H14" s="77"/>
      <c r="K14" s="75"/>
      <c r="L14" s="76"/>
      <c r="M14" s="75"/>
      <c r="N14" s="75"/>
      <c r="P14" s="77"/>
    </row>
    <row r="15" spans="2:44" s="1" customFormat="1" x14ac:dyDescent="0.35">
      <c r="H15" s="41" t="e">
        <f>H10/H$12</f>
        <v>#DIV/0!</v>
      </c>
      <c r="I15" s="1" t="e">
        <f>I10/I$12</f>
        <v>#DIV/0!</v>
      </c>
      <c r="J15" s="1">
        <v>0</v>
      </c>
      <c r="L15" s="41">
        <v>0</v>
      </c>
      <c r="M15" s="1">
        <f t="shared" ref="M15:R16" si="5">M10/M$12</f>
        <v>0.25404591644712082</v>
      </c>
      <c r="N15" s="1">
        <f t="shared" si="5"/>
        <v>0.23511333077218594</v>
      </c>
      <c r="O15" s="1">
        <f t="shared" si="5"/>
        <v>0.23073868149324864</v>
      </c>
      <c r="P15" s="41">
        <f t="shared" si="5"/>
        <v>0.26386078510724403</v>
      </c>
      <c r="Q15" s="1">
        <f t="shared" si="5"/>
        <v>0.30301328841474828</v>
      </c>
      <c r="R15" s="1">
        <f t="shared" si="5"/>
        <v>0.43046016483516486</v>
      </c>
      <c r="AI15" s="1">
        <f>AI10/AI$12</f>
        <v>0.23073868149324864</v>
      </c>
    </row>
    <row r="16" spans="2:44" s="1" customFormat="1" x14ac:dyDescent="0.35">
      <c r="H16" s="41" t="e">
        <f>H11/H$12</f>
        <v>#DIV/0!</v>
      </c>
      <c r="I16" s="1" t="e">
        <f>I11/I$12</f>
        <v>#DIV/0!</v>
      </c>
      <c r="J16" s="1">
        <v>0</v>
      </c>
      <c r="L16" s="41">
        <v>0</v>
      </c>
      <c r="M16" s="1">
        <f t="shared" si="5"/>
        <v>0.74595408355287918</v>
      </c>
      <c r="N16" s="1">
        <f t="shared" si="5"/>
        <v>0.76488666922781401</v>
      </c>
      <c r="O16" s="1">
        <f t="shared" si="5"/>
        <v>0.76926131850675139</v>
      </c>
      <c r="P16" s="41">
        <f t="shared" si="5"/>
        <v>0.73613921489275591</v>
      </c>
      <c r="Q16" s="1">
        <f t="shared" si="5"/>
        <v>0.69698671158525172</v>
      </c>
      <c r="R16" s="1">
        <f t="shared" si="5"/>
        <v>0.5695398351648352</v>
      </c>
      <c r="AI16" s="1">
        <f>AI11/AI$12</f>
        <v>0.76926131850675139</v>
      </c>
    </row>
    <row r="17" spans="2:44" s="1" customFormat="1" x14ac:dyDescent="0.35">
      <c r="H17" s="41"/>
      <c r="L17" s="41"/>
      <c r="P17" s="41"/>
    </row>
    <row r="18" spans="2:44" s="95" customFormat="1" x14ac:dyDescent="0.35">
      <c r="B18" s="95" t="s">
        <v>353</v>
      </c>
      <c r="H18" s="96"/>
      <c r="L18" s="96"/>
      <c r="P18" s="96"/>
    </row>
    <row r="19" spans="2:44" s="9" customFormat="1" x14ac:dyDescent="0.35">
      <c r="B19" s="9" t="s">
        <v>352</v>
      </c>
      <c r="F19" s="9">
        <v>4.7</v>
      </c>
      <c r="G19" s="9">
        <f>AG19</f>
        <v>5.5</v>
      </c>
      <c r="H19" s="47">
        <v>7.8</v>
      </c>
      <c r="I19" s="9">
        <v>7.2</v>
      </c>
      <c r="J19" s="9">
        <v>12.1</v>
      </c>
      <c r="K19" s="9">
        <f>AH19</f>
        <v>8.1</v>
      </c>
      <c r="L19" s="47">
        <v>6.3</v>
      </c>
      <c r="M19" s="9">
        <v>6.3</v>
      </c>
      <c r="N19" s="9">
        <v>7.7</v>
      </c>
      <c r="O19" s="9">
        <f>AI19</f>
        <v>6.7</v>
      </c>
      <c r="P19" s="47">
        <v>6.5</v>
      </c>
      <c r="Q19" s="9">
        <v>7.5</v>
      </c>
      <c r="R19" s="9">
        <v>7.1</v>
      </c>
      <c r="AG19" s="9">
        <v>5.5</v>
      </c>
      <c r="AH19" s="9">
        <v>8.1</v>
      </c>
      <c r="AI19" s="9">
        <v>6.7</v>
      </c>
    </row>
    <row r="20" spans="2:44" s="97" customFormat="1" x14ac:dyDescent="0.35">
      <c r="B20" s="97" t="s">
        <v>351</v>
      </c>
      <c r="F20" s="97">
        <v>6.7</v>
      </c>
      <c r="G20" s="97">
        <f>AG20</f>
        <v>6.5</v>
      </c>
      <c r="H20" s="98">
        <v>5.6</v>
      </c>
      <c r="I20" s="97">
        <v>5.7</v>
      </c>
      <c r="J20" s="97">
        <v>21.3</v>
      </c>
      <c r="K20" s="97">
        <f>AH20</f>
        <v>9.1999999999999993</v>
      </c>
      <c r="L20" s="98">
        <v>7.5</v>
      </c>
      <c r="M20" s="97">
        <v>7.1</v>
      </c>
      <c r="N20" s="97">
        <v>7.3</v>
      </c>
      <c r="O20" s="97">
        <f>AI20</f>
        <v>7.5</v>
      </c>
      <c r="P20" s="98">
        <v>7.5</v>
      </c>
      <c r="Q20" s="97">
        <v>7.2</v>
      </c>
      <c r="R20" s="97">
        <v>5.2</v>
      </c>
      <c r="AG20" s="97">
        <v>6.5</v>
      </c>
      <c r="AH20" s="97">
        <v>9.1999999999999993</v>
      </c>
      <c r="AI20" s="97">
        <v>7.5</v>
      </c>
    </row>
    <row r="21" spans="2:44" s="9" customFormat="1" x14ac:dyDescent="0.35">
      <c r="B21" s="9" t="s">
        <v>350</v>
      </c>
      <c r="F21" s="9">
        <f>F19-F20</f>
        <v>-2</v>
      </c>
      <c r="G21" s="9">
        <f>G19-G20</f>
        <v>-1</v>
      </c>
      <c r="H21" s="47">
        <f>H19-H20</f>
        <v>2.2000000000000002</v>
      </c>
      <c r="I21" s="9">
        <f>I19-I20</f>
        <v>1.5</v>
      </c>
      <c r="J21" s="9">
        <f t="shared" ref="J21:K21" si="6">J19-J20</f>
        <v>-9.2000000000000011</v>
      </c>
      <c r="K21" s="9">
        <f t="shared" si="6"/>
        <v>-1.0999999999999996</v>
      </c>
      <c r="L21" s="47">
        <f>L19-L20</f>
        <v>-1.2000000000000002</v>
      </c>
      <c r="M21" s="9">
        <f>M19-M20</f>
        <v>-0.79999999999999982</v>
      </c>
      <c r="N21" s="9">
        <f t="shared" ref="N21" si="7">N19-N20</f>
        <v>0.40000000000000036</v>
      </c>
      <c r="O21" s="9">
        <f t="shared" ref="O21" si="8">O19-O20</f>
        <v>-0.79999999999999982</v>
      </c>
      <c r="P21" s="47">
        <f>P19-P20</f>
        <v>-1</v>
      </c>
      <c r="Q21" s="9">
        <f>Q19-Q20</f>
        <v>0.29999999999999982</v>
      </c>
      <c r="R21" s="9">
        <f t="shared" ref="R21" si="9">R19-R20</f>
        <v>1.8999999999999995</v>
      </c>
      <c r="S21" s="9">
        <f t="shared" ref="S21" si="10">S19-S20</f>
        <v>0</v>
      </c>
      <c r="T21" s="9">
        <f t="shared" ref="T21" si="11">T19-T20</f>
        <v>0</v>
      </c>
      <c r="U21" s="9">
        <f t="shared" ref="U21" si="12">U19-U20</f>
        <v>0</v>
      </c>
      <c r="AG21" s="9">
        <f>AG19-AG20</f>
        <v>-1</v>
      </c>
      <c r="AH21" s="9">
        <f t="shared" ref="AH21:AR21" si="13">AH19-AH20</f>
        <v>-1.0999999999999996</v>
      </c>
      <c r="AI21" s="9">
        <f t="shared" si="13"/>
        <v>-0.79999999999999982</v>
      </c>
      <c r="AJ21" s="9">
        <f t="shared" si="13"/>
        <v>0</v>
      </c>
      <c r="AK21" s="9">
        <f t="shared" si="13"/>
        <v>0</v>
      </c>
      <c r="AL21" s="9">
        <f t="shared" si="13"/>
        <v>0</v>
      </c>
      <c r="AM21" s="9">
        <f t="shared" si="13"/>
        <v>0</v>
      </c>
      <c r="AN21" s="9">
        <f t="shared" si="13"/>
        <v>0</v>
      </c>
      <c r="AO21" s="9">
        <f t="shared" si="13"/>
        <v>0</v>
      </c>
      <c r="AP21" s="9">
        <f t="shared" si="13"/>
        <v>0</v>
      </c>
      <c r="AQ21" s="9">
        <f t="shared" si="13"/>
        <v>0</v>
      </c>
      <c r="AR21" s="9">
        <f t="shared" si="13"/>
        <v>0</v>
      </c>
    </row>
    <row r="22" spans="2:44" s="1" customFormat="1" x14ac:dyDescent="0.35">
      <c r="H22" s="41"/>
      <c r="L22" s="41"/>
      <c r="P22" s="41"/>
    </row>
    <row r="23" spans="2:44" s="1" customFormat="1" x14ac:dyDescent="0.35">
      <c r="H23" s="41"/>
      <c r="L23" s="41"/>
      <c r="P23" s="41"/>
    </row>
    <row r="24" spans="2:44" s="1" customFormat="1" x14ac:dyDescent="0.35">
      <c r="H24" s="41"/>
      <c r="L24" s="41"/>
      <c r="P24" s="41"/>
    </row>
    <row r="25" spans="2:44" s="1" customFormat="1" x14ac:dyDescent="0.35">
      <c r="H25" s="41"/>
      <c r="L25" s="41"/>
      <c r="P25" s="41"/>
    </row>
    <row r="26" spans="2:44" s="8" customFormat="1" x14ac:dyDescent="0.35">
      <c r="B26" s="8" t="s">
        <v>68</v>
      </c>
      <c r="H26" s="36"/>
      <c r="I26" s="18"/>
      <c r="J26" s="18"/>
      <c r="K26" s="18"/>
      <c r="L26" s="36"/>
      <c r="M26" s="18"/>
      <c r="N26" s="18"/>
      <c r="O26" s="18"/>
      <c r="P26" s="36"/>
      <c r="Q26" s="18"/>
      <c r="R26" s="18"/>
      <c r="S26" s="18"/>
      <c r="T26" s="18"/>
      <c r="U26" s="18"/>
      <c r="V26" s="18"/>
      <c r="W26" s="18"/>
      <c r="X26" s="18"/>
      <c r="Y26" s="18"/>
      <c r="Z26" s="18"/>
      <c r="AA26" s="18"/>
      <c r="AB26" s="18"/>
      <c r="AC26" s="18"/>
      <c r="AD26" s="18"/>
      <c r="AE26" s="18"/>
      <c r="AF26" s="18"/>
      <c r="AG26" s="18"/>
      <c r="AH26" s="18"/>
      <c r="AI26" s="18"/>
      <c r="AJ26" s="18"/>
      <c r="AK26" s="18"/>
    </row>
    <row r="27" spans="2:44" x14ac:dyDescent="0.35">
      <c r="B27" t="s">
        <v>69</v>
      </c>
      <c r="G27" t="s">
        <v>70</v>
      </c>
      <c r="H27" s="37"/>
      <c r="I27" s="5"/>
      <c r="J27" s="5"/>
      <c r="K27" s="5"/>
      <c r="L27" s="37"/>
      <c r="M27" s="5"/>
      <c r="N27" s="5"/>
      <c r="O27" s="5"/>
      <c r="P27" s="37"/>
      <c r="Q27" s="5"/>
      <c r="R27" s="5"/>
      <c r="S27" s="5"/>
      <c r="T27" s="5"/>
      <c r="U27" s="5"/>
      <c r="V27" s="5"/>
      <c r="W27" s="5"/>
      <c r="X27" s="5"/>
      <c r="Y27" s="5"/>
      <c r="Z27" s="5"/>
      <c r="AA27" s="5"/>
      <c r="AB27" s="5"/>
      <c r="AC27" s="5"/>
      <c r="AD27" s="5"/>
      <c r="AE27" s="5"/>
      <c r="AF27" s="5"/>
      <c r="AG27" s="5">
        <v>31993</v>
      </c>
      <c r="AH27" s="5">
        <v>36576</v>
      </c>
      <c r="AI27" s="5">
        <v>60200</v>
      </c>
      <c r="AJ27" s="5"/>
      <c r="AK27" s="5"/>
    </row>
    <row r="28" spans="2:44" x14ac:dyDescent="0.35">
      <c r="B28" t="s">
        <v>71</v>
      </c>
      <c r="H28" s="37"/>
      <c r="I28" s="5"/>
      <c r="J28" s="5"/>
      <c r="K28" s="5"/>
      <c r="L28" s="37"/>
      <c r="M28" s="5"/>
      <c r="N28" s="5"/>
      <c r="O28" s="5"/>
      <c r="P28" s="37"/>
      <c r="R28" s="5"/>
      <c r="S28" s="5"/>
      <c r="T28" s="5"/>
      <c r="U28" s="5"/>
      <c r="V28" s="5"/>
      <c r="W28" s="5"/>
      <c r="X28" s="5"/>
      <c r="Y28" s="5"/>
      <c r="Z28" s="5"/>
      <c r="AA28" s="5"/>
      <c r="AB28" s="5"/>
      <c r="AC28" s="5"/>
      <c r="AD28" s="5"/>
      <c r="AE28" s="5"/>
      <c r="AF28" s="5"/>
      <c r="AG28" s="5">
        <v>1092</v>
      </c>
      <c r="AH28" s="5">
        <v>2395</v>
      </c>
      <c r="AI28" s="5">
        <v>485</v>
      </c>
      <c r="AJ28" s="5"/>
      <c r="AK28" s="5"/>
    </row>
    <row r="29" spans="2:44" x14ac:dyDescent="0.35">
      <c r="B29" t="s">
        <v>72</v>
      </c>
      <c r="H29" s="37"/>
      <c r="I29" s="5"/>
      <c r="J29" s="5"/>
      <c r="K29" s="5"/>
      <c r="L29" s="37"/>
      <c r="M29" s="5"/>
      <c r="N29" s="5"/>
      <c r="O29" s="5"/>
      <c r="P29" s="37"/>
      <c r="Q29" s="5"/>
      <c r="R29" s="5"/>
      <c r="S29" s="5"/>
      <c r="T29" s="5"/>
      <c r="U29" s="5"/>
      <c r="V29" s="5"/>
      <c r="W29" s="5"/>
      <c r="X29" s="5"/>
      <c r="Y29" s="5"/>
      <c r="Z29" s="5"/>
      <c r="AA29" s="5"/>
      <c r="AB29" s="5"/>
      <c r="AC29" s="5"/>
      <c r="AD29" s="5"/>
      <c r="AE29" s="5"/>
      <c r="AF29" s="5"/>
      <c r="AG29" s="5">
        <v>1910</v>
      </c>
      <c r="AH29" s="5">
        <v>12578</v>
      </c>
      <c r="AI29" s="5">
        <v>61141</v>
      </c>
      <c r="AJ29" s="5"/>
      <c r="AK29" s="5"/>
    </row>
    <row r="30" spans="2:44" s="2" customFormat="1" x14ac:dyDescent="0.35">
      <c r="B30" s="2" t="s">
        <v>73</v>
      </c>
      <c r="H30" s="38"/>
      <c r="I30" s="6"/>
      <c r="J30" s="6"/>
      <c r="K30" s="6"/>
      <c r="L30" s="38"/>
      <c r="M30" s="6"/>
      <c r="N30" s="6"/>
      <c r="O30" s="6"/>
      <c r="P30" s="38"/>
      <c r="Q30" s="6"/>
      <c r="R30" s="6"/>
      <c r="S30" s="6"/>
      <c r="T30" s="6"/>
      <c r="U30" s="6"/>
      <c r="V30" s="6"/>
      <c r="W30" s="6"/>
      <c r="X30" s="6"/>
      <c r="Y30" s="6"/>
      <c r="Z30" s="6"/>
      <c r="AA30" s="6"/>
      <c r="AB30" s="6"/>
      <c r="AC30" s="6"/>
      <c r="AD30" s="6"/>
      <c r="AE30" s="6"/>
      <c r="AF30" s="6"/>
      <c r="AG30" s="6">
        <v>165</v>
      </c>
      <c r="AH30" s="6">
        <v>10688</v>
      </c>
      <c r="AI30" s="6">
        <v>89170</v>
      </c>
      <c r="AJ30" s="6"/>
      <c r="AK30" s="6"/>
    </row>
    <row r="31" spans="2:44" x14ac:dyDescent="0.35">
      <c r="B31" t="s">
        <v>74</v>
      </c>
      <c r="F31">
        <v>10670</v>
      </c>
      <c r="G31" s="5">
        <f>33903-F31</f>
        <v>23233</v>
      </c>
      <c r="H31" s="37">
        <v>17035</v>
      </c>
      <c r="I31" s="5">
        <v>9780</v>
      </c>
      <c r="J31" s="5">
        <v>1988</v>
      </c>
      <c r="K31" s="5">
        <f>AH31-J31-I31-H31</f>
        <v>20351</v>
      </c>
      <c r="L31" s="37">
        <v>28237</v>
      </c>
      <c r="M31" s="5">
        <v>37107</v>
      </c>
      <c r="N31" s="5">
        <v>31312</v>
      </c>
      <c r="O31" s="5">
        <f>AI31-N31-M31-L31</f>
        <v>24685</v>
      </c>
      <c r="P31" s="37">
        <v>28662</v>
      </c>
      <c r="Q31" s="5">
        <v>35670</v>
      </c>
      <c r="R31" s="5">
        <v>30226</v>
      </c>
      <c r="S31" s="5"/>
      <c r="T31" s="5"/>
      <c r="U31" s="5"/>
      <c r="V31" s="5"/>
      <c r="W31" s="5"/>
      <c r="X31" s="5"/>
      <c r="Y31" s="5"/>
      <c r="Z31" s="5"/>
      <c r="AA31" s="5"/>
      <c r="AB31" s="5"/>
      <c r="AC31" s="5"/>
      <c r="AD31" s="5"/>
      <c r="AE31" s="5"/>
      <c r="AF31" s="5"/>
      <c r="AG31" s="5">
        <f>+AG29+AG27</f>
        <v>33903</v>
      </c>
      <c r="AH31" s="5">
        <f>+AH29+AH27</f>
        <v>49154</v>
      </c>
      <c r="AI31" s="5">
        <f t="shared" ref="AI31:AR31" si="14">+AI29+AI27</f>
        <v>121341</v>
      </c>
      <c r="AJ31" s="5">
        <f t="shared" si="14"/>
        <v>0</v>
      </c>
      <c r="AK31" s="5">
        <f t="shared" si="14"/>
        <v>0</v>
      </c>
      <c r="AL31" s="5">
        <f t="shared" si="14"/>
        <v>0</v>
      </c>
      <c r="AM31" s="5">
        <f t="shared" si="14"/>
        <v>0</v>
      </c>
      <c r="AN31" s="5">
        <f t="shared" si="14"/>
        <v>0</v>
      </c>
      <c r="AO31" s="5">
        <f t="shared" si="14"/>
        <v>0</v>
      </c>
      <c r="AP31" s="5">
        <f t="shared" si="14"/>
        <v>0</v>
      </c>
      <c r="AQ31" s="5">
        <f t="shared" si="14"/>
        <v>0</v>
      </c>
      <c r="AR31" s="5">
        <f t="shared" si="14"/>
        <v>0</v>
      </c>
    </row>
    <row r="32" spans="2:44" s="2" customFormat="1" x14ac:dyDescent="0.35">
      <c r="B32" s="2" t="s">
        <v>75</v>
      </c>
      <c r="F32" s="2">
        <v>0</v>
      </c>
      <c r="G32" s="6">
        <v>1257</v>
      </c>
      <c r="H32" s="38">
        <v>1157</v>
      </c>
      <c r="I32" s="6">
        <v>1500</v>
      </c>
      <c r="J32" s="6">
        <v>3299</v>
      </c>
      <c r="K32" s="6">
        <f>AH32-J32-I32-H32</f>
        <v>7127</v>
      </c>
      <c r="L32" s="38">
        <v>12466</v>
      </c>
      <c r="M32" s="6">
        <v>18367</v>
      </c>
      <c r="N32" s="6">
        <v>31745</v>
      </c>
      <c r="O32" s="6">
        <f>AI32-N32-M32-L32</f>
        <v>27077</v>
      </c>
      <c r="P32" s="38">
        <v>26233</v>
      </c>
      <c r="Q32" s="6">
        <v>26375</v>
      </c>
      <c r="R32" s="6">
        <v>37435</v>
      </c>
      <c r="S32" s="6"/>
      <c r="T32" s="6"/>
      <c r="U32" s="6"/>
      <c r="V32" s="6"/>
      <c r="W32" s="6"/>
      <c r="X32" s="6"/>
      <c r="Y32" s="6"/>
      <c r="Z32" s="6"/>
      <c r="AA32" s="6"/>
      <c r="AB32" s="6"/>
      <c r="AC32" s="6"/>
      <c r="AD32" s="6"/>
      <c r="AE32" s="6"/>
      <c r="AF32" s="6"/>
      <c r="AG32" s="6">
        <f>+AG30+AG28</f>
        <v>1257</v>
      </c>
      <c r="AH32" s="6">
        <f>+AH30+AH28</f>
        <v>13083</v>
      </c>
      <c r="AI32" s="6">
        <f t="shared" ref="AI32:AR32" si="15">+AI30+AI28</f>
        <v>89655</v>
      </c>
      <c r="AJ32" s="6">
        <f t="shared" si="15"/>
        <v>0</v>
      </c>
      <c r="AK32" s="6">
        <f t="shared" si="15"/>
        <v>0</v>
      </c>
      <c r="AL32" s="6">
        <f t="shared" si="15"/>
        <v>0</v>
      </c>
      <c r="AM32" s="6">
        <f t="shared" si="15"/>
        <v>0</v>
      </c>
      <c r="AN32" s="6">
        <f t="shared" si="15"/>
        <v>0</v>
      </c>
      <c r="AO32" s="6">
        <f t="shared" si="15"/>
        <v>0</v>
      </c>
      <c r="AP32" s="6">
        <f t="shared" si="15"/>
        <v>0</v>
      </c>
      <c r="AQ32" s="6">
        <f t="shared" si="15"/>
        <v>0</v>
      </c>
      <c r="AR32" s="6">
        <f t="shared" si="15"/>
        <v>0</v>
      </c>
    </row>
    <row r="33" spans="2:44" s="12" customFormat="1" x14ac:dyDescent="0.35">
      <c r="B33" s="12" t="s">
        <v>76</v>
      </c>
      <c r="F33" s="24">
        <f>SUM(F31:F32)</f>
        <v>10670</v>
      </c>
      <c r="G33" s="24">
        <f>G31+G32</f>
        <v>24490</v>
      </c>
      <c r="H33" s="40">
        <f>SUM(H31:H32)</f>
        <v>18192</v>
      </c>
      <c r="I33" s="24">
        <f>SUM(I31:I32)</f>
        <v>11280</v>
      </c>
      <c r="J33" s="24">
        <f>SUM(J31:J32)</f>
        <v>5287</v>
      </c>
      <c r="K33" s="24">
        <f>AH33-J33-I33-H33</f>
        <v>27478</v>
      </c>
      <c r="L33" s="40">
        <f t="shared" ref="L33:Q33" si="16">SUM(L31:L32)</f>
        <v>40703</v>
      </c>
      <c r="M33" s="24">
        <f t="shared" si="16"/>
        <v>55474</v>
      </c>
      <c r="N33" s="24">
        <f t="shared" si="16"/>
        <v>63057</v>
      </c>
      <c r="O33" s="24">
        <f t="shared" si="16"/>
        <v>51762</v>
      </c>
      <c r="P33" s="40">
        <f t="shared" si="16"/>
        <v>54895</v>
      </c>
      <c r="Q33" s="24">
        <f t="shared" si="16"/>
        <v>62045</v>
      </c>
      <c r="R33" s="24">
        <f t="shared" ref="R33:U33" si="17">SUM(R31:R32)</f>
        <v>67661</v>
      </c>
      <c r="S33" s="24">
        <f t="shared" si="17"/>
        <v>0</v>
      </c>
      <c r="T33" s="24">
        <f t="shared" si="17"/>
        <v>0</v>
      </c>
      <c r="U33" s="24">
        <f t="shared" si="17"/>
        <v>0</v>
      </c>
      <c r="V33" s="24"/>
      <c r="W33" s="24"/>
      <c r="X33" s="24"/>
      <c r="Y33" s="24"/>
      <c r="Z33" s="24"/>
      <c r="AA33" s="24"/>
      <c r="AB33" s="24"/>
      <c r="AC33" s="24"/>
      <c r="AD33" s="24"/>
      <c r="AE33" s="24"/>
      <c r="AF33" s="24"/>
      <c r="AG33" s="24">
        <f>AG31+AG32</f>
        <v>35160</v>
      </c>
      <c r="AH33" s="24">
        <f>AH31+AH32</f>
        <v>62237</v>
      </c>
      <c r="AI33" s="24">
        <f t="shared" ref="AI33:AR33" si="18">AI31+AI32</f>
        <v>210996</v>
      </c>
      <c r="AJ33" s="24">
        <f t="shared" si="18"/>
        <v>0</v>
      </c>
      <c r="AK33" s="24">
        <f t="shared" si="18"/>
        <v>0</v>
      </c>
      <c r="AL33" s="24">
        <f t="shared" si="18"/>
        <v>0</v>
      </c>
      <c r="AM33" s="24">
        <f t="shared" si="18"/>
        <v>0</v>
      </c>
      <c r="AN33" s="24">
        <f t="shared" si="18"/>
        <v>0</v>
      </c>
      <c r="AO33" s="24">
        <f t="shared" si="18"/>
        <v>0</v>
      </c>
      <c r="AP33" s="24">
        <f t="shared" si="18"/>
        <v>0</v>
      </c>
      <c r="AQ33" s="24">
        <f t="shared" si="18"/>
        <v>0</v>
      </c>
      <c r="AR33" s="24">
        <f t="shared" si="18"/>
        <v>0</v>
      </c>
    </row>
    <row r="34" spans="2:44" x14ac:dyDescent="0.35">
      <c r="F34" s="5"/>
      <c r="G34" s="5"/>
      <c r="H34" s="37"/>
      <c r="I34" s="5"/>
      <c r="J34" s="5"/>
      <c r="K34" s="5"/>
      <c r="L34" s="37"/>
      <c r="M34" s="5"/>
      <c r="N34" s="5"/>
      <c r="O34" s="5"/>
      <c r="P34" s="37"/>
      <c r="Q34" s="5"/>
      <c r="R34" s="5"/>
      <c r="S34" s="5"/>
      <c r="T34" s="5"/>
      <c r="U34" s="5"/>
      <c r="V34" s="5"/>
      <c r="W34" s="5"/>
      <c r="X34" s="5"/>
      <c r="Y34" s="5"/>
      <c r="Z34" s="5"/>
      <c r="AA34" s="5"/>
      <c r="AB34" s="5"/>
      <c r="AC34" s="5"/>
      <c r="AD34" s="5"/>
      <c r="AE34" s="5"/>
      <c r="AF34" s="5"/>
      <c r="AG34" s="5"/>
      <c r="AH34" s="5"/>
      <c r="AI34" s="5"/>
      <c r="AJ34" s="5"/>
      <c r="AK34" s="5"/>
    </row>
    <row r="35" spans="2:44" s="28" customFormat="1" x14ac:dyDescent="0.35">
      <c r="B35" s="28" t="s">
        <v>77</v>
      </c>
      <c r="F35" s="29"/>
      <c r="G35" s="29"/>
      <c r="H35" s="48"/>
      <c r="I35" s="29"/>
      <c r="J35" s="29"/>
      <c r="K35" s="29"/>
      <c r="L35" s="48"/>
      <c r="M35" s="29"/>
      <c r="N35" s="29"/>
      <c r="O35" s="29"/>
      <c r="P35" s="48"/>
      <c r="Q35" s="29"/>
      <c r="R35" s="29"/>
      <c r="S35" s="29"/>
      <c r="T35" s="29"/>
      <c r="U35" s="29"/>
      <c r="V35" s="29"/>
      <c r="W35" s="29"/>
      <c r="X35" s="29"/>
      <c r="Y35" s="29"/>
      <c r="Z35" s="29"/>
      <c r="AA35" s="29"/>
      <c r="AB35" s="29"/>
      <c r="AC35" s="29"/>
      <c r="AD35" s="29"/>
      <c r="AE35" s="29"/>
      <c r="AF35" s="29"/>
      <c r="AG35" s="29"/>
      <c r="AH35" s="29"/>
      <c r="AI35" s="29"/>
      <c r="AJ35" s="29"/>
      <c r="AK35" s="29"/>
    </row>
    <row r="36" spans="2:44" x14ac:dyDescent="0.35">
      <c r="B36" t="s">
        <v>78</v>
      </c>
      <c r="F36" s="5"/>
      <c r="G36" s="5"/>
      <c r="H36" s="37"/>
      <c r="I36" s="5"/>
      <c r="J36" s="5"/>
      <c r="K36" s="5"/>
      <c r="L36" s="37"/>
      <c r="M36" s="5"/>
      <c r="N36" s="5"/>
      <c r="O36" s="5"/>
      <c r="P36" s="37"/>
      <c r="Q36" s="5"/>
      <c r="R36" s="5"/>
      <c r="S36" s="5"/>
      <c r="T36" s="5"/>
      <c r="U36" s="5"/>
      <c r="V36" s="5"/>
      <c r="W36" s="5"/>
      <c r="X36" s="5"/>
      <c r="Y36" s="5"/>
      <c r="Z36" s="5"/>
      <c r="AA36" s="5"/>
      <c r="AB36" s="5"/>
      <c r="AC36" s="5"/>
      <c r="AD36" s="5"/>
      <c r="AE36" s="5"/>
      <c r="AF36" s="5"/>
      <c r="AG36" s="5">
        <v>31993</v>
      </c>
      <c r="AH36" s="5">
        <v>36576</v>
      </c>
      <c r="AI36" s="5">
        <v>60200</v>
      </c>
      <c r="AJ36" s="5"/>
      <c r="AK36" s="5"/>
    </row>
    <row r="37" spans="2:44" s="2" customFormat="1" x14ac:dyDescent="0.35">
      <c r="B37" s="2" t="s">
        <v>79</v>
      </c>
      <c r="F37" s="6"/>
      <c r="G37" s="6"/>
      <c r="H37" s="38"/>
      <c r="I37" s="6"/>
      <c r="J37" s="6"/>
      <c r="K37" s="6"/>
      <c r="L37" s="38"/>
      <c r="M37" s="6"/>
      <c r="N37" s="6"/>
      <c r="O37" s="6"/>
      <c r="P37" s="38"/>
      <c r="Q37" s="6"/>
      <c r="R37" s="6"/>
      <c r="S37" s="6"/>
      <c r="T37" s="6"/>
      <c r="U37" s="6"/>
      <c r="V37" s="6"/>
      <c r="W37" s="6"/>
      <c r="X37" s="6"/>
      <c r="Y37" s="6"/>
      <c r="Z37" s="6"/>
      <c r="AA37" s="6"/>
      <c r="AB37" s="6"/>
      <c r="AC37" s="6"/>
      <c r="AD37" s="6"/>
      <c r="AE37" s="6"/>
      <c r="AF37" s="6"/>
      <c r="AG37" s="6">
        <v>1092</v>
      </c>
      <c r="AH37" s="6">
        <v>2395</v>
      </c>
      <c r="AI37" s="6">
        <v>485</v>
      </c>
      <c r="AJ37" s="6"/>
      <c r="AK37" s="6"/>
    </row>
    <row r="38" spans="2:44" s="12" customFormat="1" x14ac:dyDescent="0.35">
      <c r="B38" s="12" t="s">
        <v>80</v>
      </c>
      <c r="F38" s="24"/>
      <c r="G38" s="24"/>
      <c r="H38" s="40">
        <v>16462</v>
      </c>
      <c r="I38" s="24">
        <v>7618</v>
      </c>
      <c r="J38" s="24">
        <v>1123</v>
      </c>
      <c r="K38" s="24">
        <f>AH38-J38-I38-H38</f>
        <v>13768</v>
      </c>
      <c r="L38" s="40">
        <v>6576</v>
      </c>
      <c r="M38" s="24">
        <v>19109</v>
      </c>
      <c r="N38" s="24">
        <v>22983</v>
      </c>
      <c r="O38" s="24">
        <f>AI38-N38-M38-L38</f>
        <v>12017</v>
      </c>
      <c r="P38" s="40">
        <v>19621</v>
      </c>
      <c r="Q38" s="24">
        <v>22495</v>
      </c>
      <c r="R38" s="24">
        <v>21316</v>
      </c>
      <c r="S38" s="24"/>
      <c r="T38" s="24"/>
      <c r="U38" s="24"/>
      <c r="V38" s="24"/>
      <c r="W38" s="24"/>
      <c r="X38" s="24"/>
      <c r="Y38" s="24"/>
      <c r="Z38" s="24"/>
      <c r="AA38" s="24"/>
      <c r="AB38" s="24"/>
      <c r="AC38" s="24"/>
      <c r="AD38" s="24"/>
      <c r="AE38" s="24"/>
      <c r="AF38" s="24"/>
      <c r="AG38" s="24">
        <v>33085</v>
      </c>
      <c r="AH38" s="24">
        <v>38971</v>
      </c>
      <c r="AI38" s="24">
        <f>SUM(AI36:AI37)</f>
        <v>60685</v>
      </c>
      <c r="AJ38" s="24"/>
      <c r="AK38" s="24"/>
    </row>
    <row r="39" spans="2:44" s="2" customFormat="1" x14ac:dyDescent="0.35">
      <c r="B39" s="2" t="s">
        <v>81</v>
      </c>
      <c r="F39" s="6"/>
      <c r="G39" s="6"/>
      <c r="H39" s="38">
        <v>15866</v>
      </c>
      <c r="I39" s="6">
        <v>7829</v>
      </c>
      <c r="J39" s="6">
        <v>16521</v>
      </c>
      <c r="K39" s="6">
        <f>AH39-J39-I39-H39</f>
        <v>13611</v>
      </c>
      <c r="L39" s="38">
        <v>7344</v>
      </c>
      <c r="M39" s="6">
        <v>21421</v>
      </c>
      <c r="N39" s="6">
        <v>23818</v>
      </c>
      <c r="O39" s="6">
        <f>AI39-N39-M39-L39</f>
        <v>15057</v>
      </c>
      <c r="P39" s="38">
        <v>20379</v>
      </c>
      <c r="Q39" s="6">
        <v>17454</v>
      </c>
      <c r="R39" s="6">
        <v>15531</v>
      </c>
      <c r="S39" s="6"/>
      <c r="T39" s="6"/>
      <c r="U39" s="6"/>
      <c r="V39" s="6"/>
      <c r="W39" s="6"/>
      <c r="X39" s="6"/>
      <c r="Y39" s="6"/>
      <c r="Z39" s="6"/>
      <c r="AA39" s="6"/>
      <c r="AB39" s="6"/>
      <c r="AC39" s="6"/>
      <c r="AD39" s="6"/>
      <c r="AE39" s="6"/>
      <c r="AF39" s="6"/>
      <c r="AG39" s="6">
        <v>45872</v>
      </c>
      <c r="AH39" s="6">
        <v>53827</v>
      </c>
      <c r="AI39" s="6">
        <v>67640</v>
      </c>
      <c r="AJ39" s="6"/>
      <c r="AK39" s="6"/>
    </row>
    <row r="40" spans="2:44" s="12" customFormat="1" x14ac:dyDescent="0.35">
      <c r="B40" s="12" t="s">
        <v>82</v>
      </c>
      <c r="F40" s="24">
        <f>F38-F39</f>
        <v>0</v>
      </c>
      <c r="G40" s="24">
        <f>G38-G39</f>
        <v>0</v>
      </c>
      <c r="H40" s="40">
        <f>H38-H39</f>
        <v>596</v>
      </c>
      <c r="I40" s="24">
        <f>I38-I39</f>
        <v>-211</v>
      </c>
      <c r="J40" s="24">
        <f>J38-J39</f>
        <v>-15398</v>
      </c>
      <c r="K40" s="5">
        <f>AH40-J40-I40-H40</f>
        <v>157</v>
      </c>
      <c r="L40" s="40">
        <f t="shared" ref="L40:R40" si="19">L38-L39</f>
        <v>-768</v>
      </c>
      <c r="M40" s="24">
        <f t="shared" si="19"/>
        <v>-2312</v>
      </c>
      <c r="N40" s="24">
        <f t="shared" si="19"/>
        <v>-835</v>
      </c>
      <c r="O40" s="24">
        <f t="shared" si="19"/>
        <v>-3040</v>
      </c>
      <c r="P40" s="40">
        <f t="shared" si="19"/>
        <v>-758</v>
      </c>
      <c r="Q40" s="24">
        <f t="shared" si="19"/>
        <v>5041</v>
      </c>
      <c r="R40" s="24">
        <f t="shared" si="19"/>
        <v>5785</v>
      </c>
      <c r="S40" s="24"/>
      <c r="T40" s="24"/>
      <c r="U40" s="24"/>
      <c r="V40" s="24"/>
      <c r="W40" s="24"/>
      <c r="X40" s="24"/>
      <c r="Y40" s="24"/>
      <c r="Z40" s="24"/>
      <c r="AA40" s="24"/>
      <c r="AB40" s="24"/>
      <c r="AC40" s="24"/>
      <c r="AD40" s="24"/>
      <c r="AE40" s="24"/>
      <c r="AF40" s="24"/>
      <c r="AG40" s="24">
        <f t="shared" ref="AG40:AR40" si="20">AG38-AG39</f>
        <v>-12787</v>
      </c>
      <c r="AH40" s="24">
        <f t="shared" si="20"/>
        <v>-14856</v>
      </c>
      <c r="AI40" s="24">
        <f t="shared" si="20"/>
        <v>-6955</v>
      </c>
      <c r="AJ40" s="24">
        <f t="shared" si="20"/>
        <v>0</v>
      </c>
      <c r="AK40" s="24">
        <f t="shared" si="20"/>
        <v>0</v>
      </c>
      <c r="AL40" s="24">
        <f t="shared" si="20"/>
        <v>0</v>
      </c>
      <c r="AM40" s="24">
        <f t="shared" si="20"/>
        <v>0</v>
      </c>
      <c r="AN40" s="24">
        <f t="shared" si="20"/>
        <v>0</v>
      </c>
      <c r="AO40" s="24">
        <f t="shared" si="20"/>
        <v>0</v>
      </c>
      <c r="AP40" s="24">
        <f t="shared" si="20"/>
        <v>0</v>
      </c>
      <c r="AQ40" s="24">
        <f t="shared" si="20"/>
        <v>0</v>
      </c>
      <c r="AR40" s="24">
        <f t="shared" si="20"/>
        <v>0</v>
      </c>
    </row>
    <row r="41" spans="2:44" x14ac:dyDescent="0.35">
      <c r="B41" t="s">
        <v>83</v>
      </c>
      <c r="F41" s="1" t="e">
        <f t="shared" ref="F41:R41" si="21">F40/F38</f>
        <v>#DIV/0!</v>
      </c>
      <c r="G41" s="1" t="e">
        <f t="shared" si="21"/>
        <v>#DIV/0!</v>
      </c>
      <c r="H41" s="41">
        <f t="shared" si="21"/>
        <v>3.6204592394605759E-2</v>
      </c>
      <c r="I41" s="1">
        <f t="shared" si="21"/>
        <v>-2.7697558414281963E-2</v>
      </c>
      <c r="J41" s="1">
        <f t="shared" si="21"/>
        <v>-13.711487088156723</v>
      </c>
      <c r="K41" s="1">
        <f t="shared" si="21"/>
        <v>1.1403253922138291E-2</v>
      </c>
      <c r="L41" s="41">
        <f t="shared" si="21"/>
        <v>-0.11678832116788321</v>
      </c>
      <c r="M41" s="1">
        <f t="shared" si="21"/>
        <v>-0.12099010937254696</v>
      </c>
      <c r="N41" s="1">
        <f t="shared" si="21"/>
        <v>-3.6331201322716791E-2</v>
      </c>
      <c r="O41" s="1">
        <f t="shared" si="21"/>
        <v>-0.25297495215111926</v>
      </c>
      <c r="P41" s="41">
        <f t="shared" si="21"/>
        <v>-3.8632077875745373E-2</v>
      </c>
      <c r="Q41" s="1">
        <f t="shared" si="21"/>
        <v>0.22409424316514781</v>
      </c>
      <c r="R41" s="1">
        <f t="shared" si="21"/>
        <v>0.27139238130981425</v>
      </c>
      <c r="S41" s="1"/>
      <c r="T41" s="1"/>
      <c r="U41" s="1"/>
      <c r="V41" s="1"/>
      <c r="W41" s="1"/>
      <c r="X41" s="1"/>
      <c r="Y41" s="1"/>
      <c r="Z41" s="5"/>
      <c r="AA41" s="5"/>
      <c r="AB41" s="5"/>
      <c r="AC41" s="5"/>
      <c r="AD41" s="5"/>
      <c r="AE41" s="5"/>
      <c r="AF41" s="5"/>
      <c r="AG41" s="1">
        <f t="shared" ref="AG41:AR41" si="22">AG40/AG38</f>
        <v>-0.38648934562490556</v>
      </c>
      <c r="AH41" s="1">
        <f t="shared" si="22"/>
        <v>-0.38120653819506811</v>
      </c>
      <c r="AI41" s="1">
        <f t="shared" si="22"/>
        <v>-0.11460822278981626</v>
      </c>
      <c r="AJ41" s="1" t="e">
        <f t="shared" si="22"/>
        <v>#DIV/0!</v>
      </c>
      <c r="AK41" s="1" t="e">
        <f t="shared" si="22"/>
        <v>#DIV/0!</v>
      </c>
      <c r="AL41" s="1" t="e">
        <f t="shared" si="22"/>
        <v>#DIV/0!</v>
      </c>
      <c r="AM41" s="1" t="e">
        <f t="shared" si="22"/>
        <v>#DIV/0!</v>
      </c>
      <c r="AN41" s="1" t="e">
        <f t="shared" si="22"/>
        <v>#DIV/0!</v>
      </c>
      <c r="AO41" s="1" t="e">
        <f t="shared" si="22"/>
        <v>#DIV/0!</v>
      </c>
      <c r="AP41" s="1" t="e">
        <f t="shared" si="22"/>
        <v>#DIV/0!</v>
      </c>
      <c r="AQ41" s="1" t="e">
        <f t="shared" si="22"/>
        <v>#DIV/0!</v>
      </c>
      <c r="AR41" s="1" t="e">
        <f t="shared" si="22"/>
        <v>#DIV/0!</v>
      </c>
    </row>
    <row r="42" spans="2:44" s="28" customFormat="1" x14ac:dyDescent="0.35">
      <c r="B42" s="28" t="s">
        <v>34</v>
      </c>
      <c r="F42" s="29"/>
      <c r="G42" s="29"/>
      <c r="H42" s="48"/>
      <c r="I42" s="29"/>
      <c r="J42" s="29"/>
      <c r="K42" s="29"/>
      <c r="L42" s="48"/>
      <c r="M42" s="29"/>
      <c r="N42" s="29"/>
      <c r="O42" s="29"/>
      <c r="P42" s="48"/>
      <c r="Q42" s="29"/>
      <c r="R42" s="29"/>
      <c r="S42" s="29"/>
      <c r="T42" s="29"/>
      <c r="U42" s="29"/>
      <c r="V42" s="29"/>
      <c r="W42" s="29"/>
      <c r="X42" s="29"/>
      <c r="Y42" s="29"/>
      <c r="Z42" s="29"/>
      <c r="AA42" s="29"/>
      <c r="AB42" s="29"/>
      <c r="AC42" s="29"/>
      <c r="AD42" s="29"/>
      <c r="AE42" s="29"/>
      <c r="AF42" s="29"/>
      <c r="AG42" s="29"/>
      <c r="AH42" s="29"/>
      <c r="AI42" s="29"/>
      <c r="AJ42" s="29"/>
      <c r="AK42" s="29"/>
    </row>
    <row r="43" spans="2:44" x14ac:dyDescent="0.35">
      <c r="B43" t="s">
        <v>78</v>
      </c>
      <c r="F43" s="5"/>
      <c r="G43" s="5"/>
      <c r="H43" s="37"/>
      <c r="I43" s="5"/>
      <c r="J43" s="5"/>
      <c r="K43" s="5"/>
      <c r="L43" s="37"/>
      <c r="M43" s="5"/>
      <c r="N43" s="5"/>
      <c r="O43" s="5"/>
      <c r="P43" s="37"/>
      <c r="Q43" s="5"/>
      <c r="R43" s="5"/>
      <c r="S43" s="5"/>
      <c r="T43" s="5"/>
      <c r="U43" s="5"/>
      <c r="V43" s="5"/>
      <c r="W43" s="5"/>
      <c r="X43" s="5"/>
      <c r="Y43" s="5"/>
      <c r="Z43" s="5"/>
      <c r="AA43" s="5"/>
      <c r="AB43" s="5"/>
      <c r="AC43" s="5"/>
      <c r="AD43" s="5"/>
      <c r="AE43" s="5"/>
      <c r="AF43" s="5"/>
      <c r="AG43" s="5">
        <v>1910</v>
      </c>
      <c r="AH43" s="5">
        <v>12578</v>
      </c>
      <c r="AI43" s="5">
        <v>61141</v>
      </c>
      <c r="AJ43" s="5"/>
      <c r="AK43" s="5"/>
    </row>
    <row r="44" spans="2:44" s="2" customFormat="1" x14ac:dyDescent="0.35">
      <c r="B44" s="2" t="s">
        <v>79</v>
      </c>
      <c r="F44" s="6"/>
      <c r="G44" s="6"/>
      <c r="H44" s="38"/>
      <c r="I44" s="6"/>
      <c r="J44" s="6"/>
      <c r="K44" s="6"/>
      <c r="L44" s="38"/>
      <c r="M44" s="6"/>
      <c r="N44" s="6"/>
      <c r="O44" s="6"/>
      <c r="P44" s="38"/>
      <c r="Q44" s="6"/>
      <c r="R44" s="6"/>
      <c r="S44" s="6"/>
      <c r="T44" s="6"/>
      <c r="U44" s="6"/>
      <c r="V44" s="6"/>
      <c r="W44" s="6"/>
      <c r="X44" s="6"/>
      <c r="Y44" s="6"/>
      <c r="Z44" s="6"/>
      <c r="AA44" s="6"/>
      <c r="AB44" s="6"/>
      <c r="AC44" s="6"/>
      <c r="AD44" s="6"/>
      <c r="AE44" s="6"/>
      <c r="AF44" s="6"/>
      <c r="AG44" s="6">
        <v>165</v>
      </c>
      <c r="AH44" s="6">
        <v>10688</v>
      </c>
      <c r="AI44" s="6">
        <v>89170</v>
      </c>
      <c r="AJ44" s="6"/>
      <c r="AK44" s="6"/>
    </row>
    <row r="45" spans="2:44" s="12" customFormat="1" x14ac:dyDescent="0.35">
      <c r="B45" s="12" t="s">
        <v>84</v>
      </c>
      <c r="F45" s="24"/>
      <c r="G45" s="24"/>
      <c r="H45" s="40">
        <v>1730</v>
      </c>
      <c r="I45" s="24">
        <v>3662</v>
      </c>
      <c r="J45" s="24">
        <v>4164</v>
      </c>
      <c r="K45" s="24">
        <f>+AH45-J45-I45-H45</f>
        <v>13710</v>
      </c>
      <c r="L45" s="40">
        <v>34127</v>
      </c>
      <c r="M45" s="24">
        <v>36365</v>
      </c>
      <c r="N45" s="24">
        <v>40074</v>
      </c>
      <c r="O45" s="24">
        <f>AI45-N45-M45-L45</f>
        <v>39745</v>
      </c>
      <c r="P45" s="40">
        <v>35274</v>
      </c>
      <c r="Q45" s="24">
        <v>39550</v>
      </c>
      <c r="R45" s="24">
        <v>46345</v>
      </c>
      <c r="S45" s="24"/>
      <c r="T45" s="24"/>
      <c r="U45" s="24"/>
      <c r="V45" s="24"/>
      <c r="W45" s="24"/>
      <c r="X45" s="24"/>
      <c r="Y45" s="24"/>
      <c r="Z45" s="24"/>
      <c r="AA45" s="24"/>
      <c r="AB45" s="24"/>
      <c r="AC45" s="24"/>
      <c r="AD45" s="24"/>
      <c r="AE45" s="24"/>
      <c r="AF45" s="24"/>
      <c r="AG45" s="24">
        <v>2075</v>
      </c>
      <c r="AH45" s="24">
        <v>23266</v>
      </c>
      <c r="AI45" s="24">
        <f>SUM(AI43:AI44)</f>
        <v>150311</v>
      </c>
      <c r="AJ45" s="24"/>
      <c r="AK45" s="24"/>
    </row>
    <row r="46" spans="2:44" s="2" customFormat="1" x14ac:dyDescent="0.35">
      <c r="B46" s="2" t="s">
        <v>81</v>
      </c>
      <c r="F46" s="6"/>
      <c r="G46" s="6"/>
      <c r="H46" s="38">
        <v>915</v>
      </c>
      <c r="I46" s="6">
        <v>988</v>
      </c>
      <c r="J46" s="6">
        <v>1217</v>
      </c>
      <c r="K46" s="6">
        <f>+AH46-J46-I46-H46</f>
        <v>7183</v>
      </c>
      <c r="L46" s="38">
        <v>29624</v>
      </c>
      <c r="M46" s="6">
        <v>29095</v>
      </c>
      <c r="N46" s="6">
        <v>30772</v>
      </c>
      <c r="O46" s="6">
        <f>AI46-N46-M46-L46</f>
        <v>34875</v>
      </c>
      <c r="P46" s="38">
        <v>28159</v>
      </c>
      <c r="Q46" s="6">
        <v>29998</v>
      </c>
      <c r="R46" s="6">
        <v>37163</v>
      </c>
      <c r="S46" s="6"/>
      <c r="T46" s="6"/>
      <c r="U46" s="6"/>
      <c r="V46" s="6"/>
      <c r="W46" s="6"/>
      <c r="X46" s="6"/>
      <c r="Y46" s="6"/>
      <c r="Z46" s="6"/>
      <c r="AA46" s="6"/>
      <c r="AB46" s="6"/>
      <c r="AC46" s="6"/>
      <c r="AD46" s="6"/>
      <c r="AE46" s="6"/>
      <c r="AF46" s="6"/>
      <c r="AG46" s="6">
        <v>1105</v>
      </c>
      <c r="AH46" s="6">
        <v>10303</v>
      </c>
      <c r="AI46" s="6">
        <v>124366</v>
      </c>
      <c r="AJ46" s="6"/>
      <c r="AK46" s="6"/>
    </row>
    <row r="47" spans="2:44" s="12" customFormat="1" x14ac:dyDescent="0.35">
      <c r="B47" s="12" t="s">
        <v>85</v>
      </c>
      <c r="F47" s="24">
        <f>F45-F46</f>
        <v>0</v>
      </c>
      <c r="G47" s="24">
        <f>G45-G46</f>
        <v>0</v>
      </c>
      <c r="H47" s="40">
        <f>H45-H46</f>
        <v>815</v>
      </c>
      <c r="I47" s="24">
        <f>I45-I46</f>
        <v>2674</v>
      </c>
      <c r="J47" s="24">
        <f>J45-J46</f>
        <v>2947</v>
      </c>
      <c r="K47" s="5">
        <f>+AH47-J47-I47-H47</f>
        <v>6527</v>
      </c>
      <c r="L47" s="40">
        <f t="shared" ref="L47:R47" si="23">L45-L46</f>
        <v>4503</v>
      </c>
      <c r="M47" s="24">
        <f t="shared" si="23"/>
        <v>7270</v>
      </c>
      <c r="N47" s="24">
        <f t="shared" si="23"/>
        <v>9302</v>
      </c>
      <c r="O47" s="24">
        <f t="shared" si="23"/>
        <v>4870</v>
      </c>
      <c r="P47" s="40">
        <f t="shared" si="23"/>
        <v>7115</v>
      </c>
      <c r="Q47" s="24">
        <f t="shared" si="23"/>
        <v>9552</v>
      </c>
      <c r="R47" s="24">
        <f t="shared" si="23"/>
        <v>9182</v>
      </c>
      <c r="S47" s="24"/>
      <c r="T47" s="24"/>
      <c r="U47" s="24"/>
      <c r="V47" s="24"/>
      <c r="W47" s="24"/>
      <c r="X47" s="24"/>
      <c r="Y47" s="24"/>
      <c r="Z47" s="24"/>
      <c r="AA47" s="24"/>
      <c r="AB47" s="24"/>
      <c r="AC47" s="24"/>
      <c r="AD47" s="24"/>
      <c r="AE47" s="24"/>
      <c r="AF47" s="24"/>
      <c r="AG47" s="24">
        <f t="shared" ref="AG47:AR47" si="24">AG45-AG46</f>
        <v>970</v>
      </c>
      <c r="AH47" s="24">
        <f t="shared" si="24"/>
        <v>12963</v>
      </c>
      <c r="AI47" s="24">
        <f t="shared" si="24"/>
        <v>25945</v>
      </c>
      <c r="AJ47" s="24">
        <f t="shared" si="24"/>
        <v>0</v>
      </c>
      <c r="AK47" s="24">
        <f t="shared" si="24"/>
        <v>0</v>
      </c>
      <c r="AL47" s="24">
        <f t="shared" si="24"/>
        <v>0</v>
      </c>
      <c r="AM47" s="24">
        <f t="shared" si="24"/>
        <v>0</v>
      </c>
      <c r="AN47" s="24">
        <f t="shared" si="24"/>
        <v>0</v>
      </c>
      <c r="AO47" s="24">
        <f t="shared" si="24"/>
        <v>0</v>
      </c>
      <c r="AP47" s="24">
        <f t="shared" si="24"/>
        <v>0</v>
      </c>
      <c r="AQ47" s="24">
        <f t="shared" si="24"/>
        <v>0</v>
      </c>
      <c r="AR47" s="24">
        <f t="shared" si="24"/>
        <v>0</v>
      </c>
    </row>
    <row r="48" spans="2:44" s="2" customFormat="1" x14ac:dyDescent="0.35">
      <c r="B48" s="2" t="s">
        <v>83</v>
      </c>
      <c r="F48" s="22" t="e">
        <f t="shared" ref="F48:R48" si="25">F47/F45</f>
        <v>#DIV/0!</v>
      </c>
      <c r="G48" s="22" t="e">
        <f t="shared" si="25"/>
        <v>#DIV/0!</v>
      </c>
      <c r="H48" s="44">
        <f t="shared" si="25"/>
        <v>0.47109826589595377</v>
      </c>
      <c r="I48" s="22">
        <f t="shared" si="25"/>
        <v>0.730202075368651</v>
      </c>
      <c r="J48" s="22">
        <f t="shared" si="25"/>
        <v>0.70773294908741591</v>
      </c>
      <c r="K48" s="22">
        <f t="shared" si="25"/>
        <v>0.4760758570386579</v>
      </c>
      <c r="L48" s="44">
        <f t="shared" si="25"/>
        <v>0.13194831072171595</v>
      </c>
      <c r="M48" s="22">
        <f t="shared" si="25"/>
        <v>0.19991750309363399</v>
      </c>
      <c r="N48" s="22">
        <f t="shared" si="25"/>
        <v>0.23212057693267454</v>
      </c>
      <c r="O48" s="22">
        <f t="shared" si="25"/>
        <v>0.12253113599194868</v>
      </c>
      <c r="P48" s="44">
        <f t="shared" si="25"/>
        <v>0.20170663945115383</v>
      </c>
      <c r="Q48" s="22">
        <f t="shared" si="25"/>
        <v>0.24151706700379266</v>
      </c>
      <c r="R48" s="22">
        <f t="shared" si="25"/>
        <v>0.1981227748408674</v>
      </c>
      <c r="S48" s="22"/>
      <c r="T48" s="22"/>
      <c r="U48" s="22"/>
      <c r="V48" s="22"/>
      <c r="W48" s="22"/>
      <c r="X48" s="22"/>
      <c r="Y48" s="22"/>
      <c r="Z48" s="6"/>
      <c r="AA48" s="6"/>
      <c r="AB48" s="6"/>
      <c r="AC48" s="6"/>
      <c r="AD48" s="6"/>
      <c r="AE48" s="6"/>
      <c r="AF48" s="6"/>
      <c r="AG48" s="22">
        <f t="shared" ref="AG48:AR48" si="26">AG47/AG45</f>
        <v>0.46746987951807228</v>
      </c>
      <c r="AH48" s="22">
        <f t="shared" si="26"/>
        <v>0.55716496174675489</v>
      </c>
      <c r="AI48" s="22">
        <f t="shared" si="26"/>
        <v>0.17260879110643931</v>
      </c>
      <c r="AJ48" s="22" t="e">
        <f t="shared" si="26"/>
        <v>#DIV/0!</v>
      </c>
      <c r="AK48" s="22" t="e">
        <f t="shared" si="26"/>
        <v>#DIV/0!</v>
      </c>
      <c r="AL48" s="22" t="e">
        <f t="shared" si="26"/>
        <v>#DIV/0!</v>
      </c>
      <c r="AM48" s="22" t="e">
        <f t="shared" si="26"/>
        <v>#DIV/0!</v>
      </c>
      <c r="AN48" s="22" t="e">
        <f t="shared" si="26"/>
        <v>#DIV/0!</v>
      </c>
      <c r="AO48" s="22" t="e">
        <f t="shared" si="26"/>
        <v>#DIV/0!</v>
      </c>
      <c r="AP48" s="22" t="e">
        <f t="shared" si="26"/>
        <v>#DIV/0!</v>
      </c>
      <c r="AQ48" s="22" t="e">
        <f t="shared" si="26"/>
        <v>#DIV/0!</v>
      </c>
      <c r="AR48" s="22" t="e">
        <f t="shared" si="26"/>
        <v>#DIV/0!</v>
      </c>
    </row>
    <row r="49" spans="2:44" s="24" customFormat="1" x14ac:dyDescent="0.35">
      <c r="B49" s="24" t="s">
        <v>86</v>
      </c>
      <c r="H49" s="40">
        <f t="shared" ref="H49:U49" si="27">H45+H38</f>
        <v>18192</v>
      </c>
      <c r="I49" s="24">
        <f t="shared" si="27"/>
        <v>11280</v>
      </c>
      <c r="J49" s="24">
        <f t="shared" si="27"/>
        <v>5287</v>
      </c>
      <c r="K49" s="24">
        <f t="shared" si="27"/>
        <v>27478</v>
      </c>
      <c r="L49" s="40">
        <f t="shared" si="27"/>
        <v>40703</v>
      </c>
      <c r="M49" s="24">
        <f t="shared" si="27"/>
        <v>55474</v>
      </c>
      <c r="N49" s="24">
        <f t="shared" si="27"/>
        <v>63057</v>
      </c>
      <c r="O49" s="24">
        <f t="shared" si="27"/>
        <v>51762</v>
      </c>
      <c r="P49" s="40">
        <f t="shared" si="27"/>
        <v>54895</v>
      </c>
      <c r="Q49" s="24">
        <f t="shared" si="27"/>
        <v>62045</v>
      </c>
      <c r="R49" s="24">
        <f t="shared" si="27"/>
        <v>67661</v>
      </c>
      <c r="S49" s="24">
        <f t="shared" si="27"/>
        <v>0</v>
      </c>
      <c r="T49" s="24">
        <f t="shared" si="27"/>
        <v>0</v>
      </c>
      <c r="U49" s="24">
        <f t="shared" si="27"/>
        <v>0</v>
      </c>
      <c r="AG49" s="24">
        <f>AG45+AG38</f>
        <v>35160</v>
      </c>
      <c r="AH49" s="24">
        <f>AH45+AH38</f>
        <v>62237</v>
      </c>
      <c r="AI49" s="24">
        <f>AI45+AI38</f>
        <v>210996</v>
      </c>
    </row>
    <row r="50" spans="2:44" x14ac:dyDescent="0.35">
      <c r="F50" s="1"/>
      <c r="G50" s="1"/>
      <c r="H50" s="41"/>
      <c r="I50" s="1"/>
      <c r="J50" s="1"/>
      <c r="K50" s="1"/>
      <c r="L50" s="41"/>
      <c r="M50" s="1"/>
      <c r="N50" s="1"/>
      <c r="O50" s="1"/>
      <c r="P50" s="41"/>
      <c r="Q50" s="1"/>
      <c r="R50" s="1"/>
      <c r="S50" s="1"/>
      <c r="T50" s="1"/>
      <c r="U50" s="1"/>
      <c r="V50" s="1"/>
      <c r="W50" s="1"/>
      <c r="X50" s="1"/>
      <c r="Y50" s="1"/>
      <c r="Z50" s="5"/>
      <c r="AA50" s="5"/>
      <c r="AB50" s="5"/>
      <c r="AC50" s="5"/>
      <c r="AD50" s="5"/>
      <c r="AE50" s="5"/>
      <c r="AF50" s="5"/>
      <c r="AG50" s="1"/>
      <c r="AH50" s="1"/>
      <c r="AI50" s="1"/>
      <c r="AJ50" s="1"/>
      <c r="AK50" s="1"/>
      <c r="AL50" s="1"/>
      <c r="AM50" s="1"/>
      <c r="AN50" s="1"/>
      <c r="AO50" s="1"/>
      <c r="AP50" s="1"/>
      <c r="AQ50" s="1"/>
      <c r="AR50" s="1"/>
    </row>
    <row r="51" spans="2:44" x14ac:dyDescent="0.35">
      <c r="F51" s="1"/>
      <c r="G51" s="1"/>
      <c r="H51" s="41"/>
      <c r="I51" s="1"/>
      <c r="J51" s="1"/>
      <c r="K51" s="1"/>
      <c r="L51" s="41"/>
      <c r="M51" s="1"/>
      <c r="N51" s="1"/>
      <c r="O51" s="5"/>
      <c r="P51" s="37"/>
      <c r="Q51" s="5"/>
      <c r="R51" s="5"/>
      <c r="S51" s="5"/>
      <c r="T51" s="5"/>
      <c r="U51" s="5"/>
      <c r="V51" s="5"/>
      <c r="W51" s="5"/>
      <c r="X51" s="5"/>
      <c r="Y51" s="5"/>
      <c r="Z51" s="5"/>
      <c r="AA51" s="5"/>
      <c r="AB51" s="5"/>
      <c r="AC51" s="5"/>
      <c r="AD51" s="5"/>
      <c r="AE51" s="5"/>
      <c r="AF51" s="5"/>
      <c r="AG51" s="1"/>
      <c r="AH51" s="1"/>
      <c r="AI51" s="5"/>
      <c r="AJ51" s="5"/>
      <c r="AK51" s="5"/>
    </row>
    <row r="52" spans="2:44" x14ac:dyDescent="0.35">
      <c r="F52" s="1"/>
      <c r="G52" s="1"/>
      <c r="H52" s="41"/>
      <c r="I52" s="1"/>
      <c r="J52" s="1"/>
      <c r="K52" s="1"/>
      <c r="L52" s="41"/>
      <c r="M52" s="1"/>
      <c r="N52" s="1"/>
      <c r="O52" s="5"/>
      <c r="P52" s="37"/>
      <c r="Q52" s="5"/>
      <c r="R52" s="5"/>
      <c r="S52" s="5"/>
      <c r="T52" s="5"/>
      <c r="U52" s="5"/>
      <c r="V52" s="5"/>
      <c r="W52" s="5"/>
      <c r="X52" s="5"/>
      <c r="Y52" s="5"/>
      <c r="Z52" s="5"/>
      <c r="AA52" s="5"/>
      <c r="AB52" s="5"/>
      <c r="AC52" s="5"/>
      <c r="AD52" s="5"/>
      <c r="AE52" s="5"/>
      <c r="AF52" s="5"/>
      <c r="AG52" s="1"/>
      <c r="AH52" s="1"/>
      <c r="AI52" s="5"/>
      <c r="AJ52" s="5"/>
      <c r="AK52" s="5"/>
    </row>
    <row r="53" spans="2:44" s="19" customFormat="1" x14ac:dyDescent="0.35">
      <c r="B53" s="23" t="s">
        <v>87</v>
      </c>
      <c r="C53" s="23"/>
      <c r="D53" s="23"/>
      <c r="E53" s="23"/>
      <c r="F53" s="20"/>
      <c r="G53" s="20"/>
      <c r="H53" s="39"/>
      <c r="I53" s="20"/>
      <c r="J53" s="20"/>
      <c r="K53" s="20"/>
      <c r="L53" s="39"/>
      <c r="M53" s="20"/>
      <c r="N53" s="20"/>
      <c r="O53" s="20"/>
      <c r="P53" s="39"/>
      <c r="Q53" s="20"/>
      <c r="R53" s="20"/>
      <c r="S53" s="20"/>
      <c r="T53" s="20"/>
      <c r="U53" s="20"/>
      <c r="V53" s="20"/>
      <c r="W53" s="20"/>
      <c r="X53" s="20"/>
      <c r="Y53" s="20"/>
      <c r="Z53" s="20"/>
      <c r="AA53" s="20"/>
      <c r="AB53" s="20"/>
      <c r="AC53" s="20"/>
      <c r="AD53" s="20"/>
      <c r="AE53" s="20"/>
      <c r="AF53" s="20"/>
      <c r="AG53" s="20"/>
      <c r="AH53" s="20"/>
      <c r="AI53" s="20"/>
      <c r="AJ53" s="20"/>
      <c r="AK53" s="20"/>
    </row>
    <row r="54" spans="2:44" x14ac:dyDescent="0.35">
      <c r="B54" t="s">
        <v>77</v>
      </c>
      <c r="F54" s="5">
        <f t="shared" ref="F54:R54" si="28">F38</f>
        <v>0</v>
      </c>
      <c r="G54" s="5">
        <f t="shared" si="28"/>
        <v>0</v>
      </c>
      <c r="H54" s="37">
        <f t="shared" si="28"/>
        <v>16462</v>
      </c>
      <c r="I54" s="5">
        <f t="shared" si="28"/>
        <v>7618</v>
      </c>
      <c r="J54" s="5">
        <f t="shared" si="28"/>
        <v>1123</v>
      </c>
      <c r="K54" s="5">
        <f t="shared" si="28"/>
        <v>13768</v>
      </c>
      <c r="L54" s="37">
        <f t="shared" si="28"/>
        <v>6576</v>
      </c>
      <c r="M54" s="5">
        <f t="shared" si="28"/>
        <v>19109</v>
      </c>
      <c r="N54" s="5">
        <f t="shared" si="28"/>
        <v>22983</v>
      </c>
      <c r="O54" s="5">
        <f t="shared" si="28"/>
        <v>12017</v>
      </c>
      <c r="P54" s="37">
        <f t="shared" si="28"/>
        <v>19621</v>
      </c>
      <c r="Q54" s="5">
        <f t="shared" si="28"/>
        <v>22495</v>
      </c>
      <c r="R54" s="5">
        <f t="shared" si="28"/>
        <v>21316</v>
      </c>
      <c r="S54" s="5"/>
      <c r="T54" s="5"/>
      <c r="U54" s="5"/>
      <c r="V54" s="5"/>
      <c r="W54" s="5"/>
      <c r="X54" s="5"/>
      <c r="Y54" s="5"/>
      <c r="Z54" s="5"/>
      <c r="AA54" s="5"/>
      <c r="AB54" s="5"/>
      <c r="AC54" s="5"/>
      <c r="AD54" s="5"/>
      <c r="AE54" s="5"/>
      <c r="AF54" s="5"/>
      <c r="AG54" s="5">
        <f>SUM(AG36:AG37)</f>
        <v>33085</v>
      </c>
      <c r="AH54" s="5">
        <f>SUM(AH36:AH37)</f>
        <v>38971</v>
      </c>
      <c r="AI54" s="5">
        <f>SUM(AI36:AI37)</f>
        <v>60685</v>
      </c>
      <c r="AJ54" s="5"/>
      <c r="AK54" s="5"/>
    </row>
    <row r="55" spans="2:44" s="2" customFormat="1" x14ac:dyDescent="0.35">
      <c r="B55" s="2" t="s">
        <v>34</v>
      </c>
      <c r="F55" s="6">
        <f t="shared" ref="F55:R55" si="29">F45</f>
        <v>0</v>
      </c>
      <c r="G55" s="6">
        <f t="shared" si="29"/>
        <v>0</v>
      </c>
      <c r="H55" s="38">
        <f t="shared" si="29"/>
        <v>1730</v>
      </c>
      <c r="I55" s="6">
        <f t="shared" si="29"/>
        <v>3662</v>
      </c>
      <c r="J55" s="6">
        <f t="shared" si="29"/>
        <v>4164</v>
      </c>
      <c r="K55" s="6">
        <f t="shared" si="29"/>
        <v>13710</v>
      </c>
      <c r="L55" s="38">
        <f t="shared" si="29"/>
        <v>34127</v>
      </c>
      <c r="M55" s="6">
        <f t="shared" si="29"/>
        <v>36365</v>
      </c>
      <c r="N55" s="6">
        <f t="shared" si="29"/>
        <v>40074</v>
      </c>
      <c r="O55" s="6">
        <f t="shared" si="29"/>
        <v>39745</v>
      </c>
      <c r="P55" s="38">
        <f t="shared" si="29"/>
        <v>35274</v>
      </c>
      <c r="Q55" s="6">
        <f t="shared" si="29"/>
        <v>39550</v>
      </c>
      <c r="R55" s="6">
        <f t="shared" si="29"/>
        <v>46345</v>
      </c>
      <c r="S55" s="6"/>
      <c r="T55" s="6"/>
      <c r="U55" s="6"/>
      <c r="V55" s="6"/>
      <c r="W55" s="6"/>
      <c r="X55" s="6"/>
      <c r="Y55" s="6"/>
      <c r="Z55" s="6"/>
      <c r="AA55" s="6"/>
      <c r="AB55" s="6"/>
      <c r="AC55" s="6"/>
      <c r="AD55" s="6"/>
      <c r="AE55" s="6"/>
      <c r="AF55" s="6"/>
      <c r="AG55" s="6">
        <f>SUM(AG43:AG44)</f>
        <v>2075</v>
      </c>
      <c r="AH55" s="6">
        <f>SUM(AH43:AH44)</f>
        <v>23266</v>
      </c>
      <c r="AI55" s="6">
        <f>SUM(AI43:AI44)</f>
        <v>150311</v>
      </c>
      <c r="AJ55" s="6"/>
      <c r="AK55" s="6"/>
    </row>
    <row r="56" spans="2:44" s="12" customFormat="1" x14ac:dyDescent="0.35">
      <c r="B56" s="12" t="s">
        <v>76</v>
      </c>
      <c r="F56" s="24">
        <f t="shared" ref="F56:R56" si="30">SUM(F54:F55)</f>
        <v>0</v>
      </c>
      <c r="G56" s="24">
        <f t="shared" si="30"/>
        <v>0</v>
      </c>
      <c r="H56" s="40">
        <f t="shared" si="30"/>
        <v>18192</v>
      </c>
      <c r="I56" s="24">
        <f t="shared" si="30"/>
        <v>11280</v>
      </c>
      <c r="J56" s="24">
        <f t="shared" si="30"/>
        <v>5287</v>
      </c>
      <c r="K56" s="24">
        <f t="shared" si="30"/>
        <v>27478</v>
      </c>
      <c r="L56" s="40">
        <f t="shared" si="30"/>
        <v>40703</v>
      </c>
      <c r="M56" s="24">
        <f t="shared" si="30"/>
        <v>55474</v>
      </c>
      <c r="N56" s="24">
        <f t="shared" si="30"/>
        <v>63057</v>
      </c>
      <c r="O56" s="24">
        <f t="shared" si="30"/>
        <v>51762</v>
      </c>
      <c r="P56" s="40">
        <f t="shared" si="30"/>
        <v>54895</v>
      </c>
      <c r="Q56" s="24">
        <f t="shared" si="30"/>
        <v>62045</v>
      </c>
      <c r="R56" s="24">
        <f t="shared" si="30"/>
        <v>67661</v>
      </c>
      <c r="S56" s="24"/>
      <c r="T56" s="24"/>
      <c r="U56" s="24"/>
      <c r="V56" s="24"/>
      <c r="W56" s="24"/>
      <c r="X56" s="24"/>
      <c r="Y56" s="24"/>
      <c r="Z56" s="24"/>
      <c r="AA56" s="24"/>
      <c r="AB56" s="24"/>
      <c r="AC56" s="24"/>
      <c r="AD56" s="24"/>
      <c r="AE56" s="24"/>
      <c r="AF56" s="24"/>
      <c r="AG56" s="24">
        <f t="shared" ref="AG56:AR56" si="31">SUM(AG54:AG55)</f>
        <v>35160</v>
      </c>
      <c r="AH56" s="24">
        <f t="shared" si="31"/>
        <v>62237</v>
      </c>
      <c r="AI56" s="24">
        <f t="shared" si="31"/>
        <v>210996</v>
      </c>
      <c r="AJ56" s="24">
        <f t="shared" si="31"/>
        <v>0</v>
      </c>
      <c r="AK56" s="24">
        <f t="shared" si="31"/>
        <v>0</v>
      </c>
      <c r="AL56" s="24">
        <f t="shared" si="31"/>
        <v>0</v>
      </c>
      <c r="AM56" s="24">
        <f t="shared" si="31"/>
        <v>0</v>
      </c>
      <c r="AN56" s="24">
        <f t="shared" si="31"/>
        <v>0</v>
      </c>
      <c r="AO56" s="24">
        <f t="shared" si="31"/>
        <v>0</v>
      </c>
      <c r="AP56" s="24">
        <f t="shared" si="31"/>
        <v>0</v>
      </c>
      <c r="AQ56" s="24">
        <f t="shared" si="31"/>
        <v>0</v>
      </c>
      <c r="AR56" s="24">
        <f t="shared" si="31"/>
        <v>0</v>
      </c>
    </row>
    <row r="57" spans="2:44" s="12" customFormat="1" x14ac:dyDescent="0.35">
      <c r="B57" s="12" t="s">
        <v>226</v>
      </c>
      <c r="G57" s="24"/>
      <c r="H57" s="40"/>
      <c r="I57" s="24"/>
      <c r="J57" s="24"/>
      <c r="K57" s="24"/>
      <c r="L57" s="40"/>
      <c r="M57" s="24"/>
      <c r="N57" s="24"/>
      <c r="O57" s="24"/>
      <c r="P57" s="40"/>
      <c r="Q57" s="24"/>
      <c r="R57" s="24"/>
      <c r="S57" s="24"/>
      <c r="T57" s="24"/>
      <c r="U57" s="24"/>
      <c r="V57" s="24"/>
      <c r="W57" s="24"/>
      <c r="X57" s="24"/>
      <c r="Y57" s="24"/>
      <c r="Z57" s="24"/>
      <c r="AA57" s="24"/>
      <c r="AB57" s="24"/>
      <c r="AC57" s="24"/>
      <c r="AD57" s="24"/>
      <c r="AE57" s="24"/>
      <c r="AF57" s="24"/>
      <c r="AG57" s="24"/>
      <c r="AH57" s="24"/>
      <c r="AI57" s="24"/>
      <c r="AJ57" s="24"/>
      <c r="AK57" s="24"/>
    </row>
    <row r="58" spans="2:44" x14ac:dyDescent="0.35">
      <c r="B58" t="s">
        <v>88</v>
      </c>
      <c r="F58" s="11" t="e">
        <f t="shared" ref="F58:O58" si="32">(F36+F43)/F49</f>
        <v>#DIV/0!</v>
      </c>
      <c r="G58" s="11" t="e">
        <f t="shared" si="32"/>
        <v>#DIV/0!</v>
      </c>
      <c r="H58" s="42">
        <f t="shared" si="32"/>
        <v>0</v>
      </c>
      <c r="I58" s="11">
        <f t="shared" si="32"/>
        <v>0</v>
      </c>
      <c r="J58" s="11">
        <f t="shared" si="32"/>
        <v>0</v>
      </c>
      <c r="K58" s="11">
        <f t="shared" si="32"/>
        <v>0</v>
      </c>
      <c r="L58" s="42">
        <f t="shared" si="32"/>
        <v>0</v>
      </c>
      <c r="M58" s="11">
        <f t="shared" si="32"/>
        <v>0</v>
      </c>
      <c r="N58" s="11">
        <f t="shared" si="32"/>
        <v>0</v>
      </c>
      <c r="O58" s="11">
        <f t="shared" si="32"/>
        <v>0</v>
      </c>
      <c r="P58" s="42">
        <f>P31/P33</f>
        <v>0.52212405501411785</v>
      </c>
      <c r="Q58" s="11">
        <f>Q31/Q33</f>
        <v>0.57490531066161654</v>
      </c>
      <c r="R58" s="11">
        <f>R31/R33</f>
        <v>0.44672706581339322</v>
      </c>
      <c r="S58" s="11"/>
      <c r="T58" s="11"/>
      <c r="U58" s="11"/>
      <c r="V58" s="11"/>
      <c r="W58" s="11"/>
      <c r="X58" s="11"/>
      <c r="Y58" s="11"/>
      <c r="Z58" s="5"/>
      <c r="AA58" s="5"/>
      <c r="AB58" s="5"/>
      <c r="AC58" s="5"/>
      <c r="AD58" s="5"/>
      <c r="AE58" s="5"/>
      <c r="AF58" s="5"/>
      <c r="AG58" s="11">
        <f t="shared" ref="AG58:AR58" si="33">(AG36+AG43)/AG49</f>
        <v>0.96424914675767914</v>
      </c>
      <c r="AH58" s="11">
        <f t="shared" si="33"/>
        <v>0.78978742548644698</v>
      </c>
      <c r="AI58" s="11">
        <f t="shared" si="33"/>
        <v>0.57508673150201894</v>
      </c>
      <c r="AJ58" s="11" t="e">
        <f t="shared" si="33"/>
        <v>#DIV/0!</v>
      </c>
      <c r="AK58" s="11" t="e">
        <f t="shared" si="33"/>
        <v>#DIV/0!</v>
      </c>
      <c r="AL58" s="11" t="e">
        <f t="shared" si="33"/>
        <v>#DIV/0!</v>
      </c>
      <c r="AM58" s="11" t="e">
        <f t="shared" si="33"/>
        <v>#DIV/0!</v>
      </c>
      <c r="AN58" s="11" t="e">
        <f t="shared" si="33"/>
        <v>#DIV/0!</v>
      </c>
      <c r="AO58" s="11" t="e">
        <f t="shared" si="33"/>
        <v>#DIV/0!</v>
      </c>
      <c r="AP58" s="11" t="e">
        <f t="shared" si="33"/>
        <v>#DIV/0!</v>
      </c>
      <c r="AQ58" s="11" t="e">
        <f t="shared" si="33"/>
        <v>#DIV/0!</v>
      </c>
      <c r="AR58" s="11" t="e">
        <f t="shared" si="33"/>
        <v>#DIV/0!</v>
      </c>
    </row>
    <row r="59" spans="2:44" s="2" customFormat="1" x14ac:dyDescent="0.35">
      <c r="B59" s="2" t="s">
        <v>89</v>
      </c>
      <c r="F59" s="21" t="e">
        <f t="shared" ref="F59:O59" si="34">(F37+F44)/F49</f>
        <v>#DIV/0!</v>
      </c>
      <c r="G59" s="21" t="e">
        <f t="shared" si="34"/>
        <v>#DIV/0!</v>
      </c>
      <c r="H59" s="43">
        <f t="shared" si="34"/>
        <v>0</v>
      </c>
      <c r="I59" s="21">
        <f t="shared" si="34"/>
        <v>0</v>
      </c>
      <c r="J59" s="21">
        <f t="shared" si="34"/>
        <v>0</v>
      </c>
      <c r="K59" s="21">
        <f t="shared" si="34"/>
        <v>0</v>
      </c>
      <c r="L59" s="43">
        <f t="shared" si="34"/>
        <v>0</v>
      </c>
      <c r="M59" s="21">
        <f t="shared" si="34"/>
        <v>0</v>
      </c>
      <c r="N59" s="21">
        <f t="shared" si="34"/>
        <v>0</v>
      </c>
      <c r="O59" s="21">
        <f t="shared" si="34"/>
        <v>0</v>
      </c>
      <c r="P59" s="43">
        <f>P32/P33</f>
        <v>0.47787594498588215</v>
      </c>
      <c r="Q59" s="21">
        <f>Q32/Q33</f>
        <v>0.42509468933838346</v>
      </c>
      <c r="R59" s="21">
        <f>R32/R33</f>
        <v>0.55327293418660672</v>
      </c>
      <c r="S59" s="21"/>
      <c r="T59" s="21"/>
      <c r="U59" s="21"/>
      <c r="V59" s="21"/>
      <c r="W59" s="21"/>
      <c r="X59" s="21"/>
      <c r="Y59" s="21"/>
      <c r="Z59" s="6"/>
      <c r="AA59" s="6"/>
      <c r="AB59" s="6"/>
      <c r="AC59" s="6"/>
      <c r="AD59" s="6"/>
      <c r="AE59" s="6"/>
      <c r="AF59" s="6"/>
      <c r="AG59" s="21">
        <f t="shared" ref="AG59:AR59" si="35">(AG37+AG44)/AG49</f>
        <v>3.5750853242320822E-2</v>
      </c>
      <c r="AH59" s="21">
        <f t="shared" si="35"/>
        <v>0.21021257451355302</v>
      </c>
      <c r="AI59" s="21">
        <f t="shared" si="35"/>
        <v>0.424913268497981</v>
      </c>
      <c r="AJ59" s="21" t="e">
        <f t="shared" si="35"/>
        <v>#DIV/0!</v>
      </c>
      <c r="AK59" s="21" t="e">
        <f t="shared" si="35"/>
        <v>#DIV/0!</v>
      </c>
      <c r="AL59" s="21" t="e">
        <f t="shared" si="35"/>
        <v>#DIV/0!</v>
      </c>
      <c r="AM59" s="21" t="e">
        <f t="shared" si="35"/>
        <v>#DIV/0!</v>
      </c>
      <c r="AN59" s="21" t="e">
        <f t="shared" si="35"/>
        <v>#DIV/0!</v>
      </c>
      <c r="AO59" s="21" t="e">
        <f t="shared" si="35"/>
        <v>#DIV/0!</v>
      </c>
      <c r="AP59" s="21" t="e">
        <f t="shared" si="35"/>
        <v>#DIV/0!</v>
      </c>
      <c r="AQ59" s="21" t="e">
        <f t="shared" si="35"/>
        <v>#DIV/0!</v>
      </c>
      <c r="AR59" s="21" t="e">
        <f t="shared" si="35"/>
        <v>#DIV/0!</v>
      </c>
    </row>
    <row r="60" spans="2:44" x14ac:dyDescent="0.35">
      <c r="B60" t="s">
        <v>76</v>
      </c>
      <c r="F60" s="1" t="e">
        <f t="shared" ref="F60:R60" si="36">SUM(F58:F59)</f>
        <v>#DIV/0!</v>
      </c>
      <c r="G60" s="1" t="e">
        <f t="shared" si="36"/>
        <v>#DIV/0!</v>
      </c>
      <c r="H60" s="41">
        <f t="shared" si="36"/>
        <v>0</v>
      </c>
      <c r="I60" s="1">
        <f t="shared" si="36"/>
        <v>0</v>
      </c>
      <c r="J60" s="1">
        <f t="shared" si="36"/>
        <v>0</v>
      </c>
      <c r="K60" s="1">
        <f t="shared" si="36"/>
        <v>0</v>
      </c>
      <c r="L60" s="41">
        <f t="shared" si="36"/>
        <v>0</v>
      </c>
      <c r="M60" s="1">
        <f t="shared" si="36"/>
        <v>0</v>
      </c>
      <c r="N60" s="1">
        <f t="shared" si="36"/>
        <v>0</v>
      </c>
      <c r="O60" s="1">
        <f t="shared" si="36"/>
        <v>0</v>
      </c>
      <c r="P60" s="41">
        <f t="shared" si="36"/>
        <v>1</v>
      </c>
      <c r="Q60" s="1">
        <f t="shared" si="36"/>
        <v>1</v>
      </c>
      <c r="R60" s="1">
        <f t="shared" si="36"/>
        <v>1</v>
      </c>
      <c r="S60" s="1"/>
      <c r="T60" s="1"/>
      <c r="U60" s="1"/>
      <c r="V60" s="1"/>
      <c r="W60" s="1"/>
      <c r="X60" s="1"/>
      <c r="Y60" s="1"/>
      <c r="Z60" s="5"/>
      <c r="AA60" s="5"/>
      <c r="AB60" s="5"/>
      <c r="AC60" s="5"/>
      <c r="AD60" s="5"/>
      <c r="AE60" s="5"/>
      <c r="AF60" s="5"/>
      <c r="AG60" s="1">
        <f t="shared" ref="AG60:AR60" si="37">SUM(AG58:AG59)</f>
        <v>1</v>
      </c>
      <c r="AH60" s="1">
        <f t="shared" si="37"/>
        <v>1</v>
      </c>
      <c r="AI60" s="1">
        <f t="shared" si="37"/>
        <v>1</v>
      </c>
      <c r="AJ60" s="1" t="e">
        <f t="shared" si="37"/>
        <v>#DIV/0!</v>
      </c>
      <c r="AK60" s="1" t="e">
        <f t="shared" si="37"/>
        <v>#DIV/0!</v>
      </c>
      <c r="AL60" s="1" t="e">
        <f t="shared" si="37"/>
        <v>#DIV/0!</v>
      </c>
      <c r="AM60" s="1" t="e">
        <f t="shared" si="37"/>
        <v>#DIV/0!</v>
      </c>
      <c r="AN60" s="1" t="e">
        <f t="shared" si="37"/>
        <v>#DIV/0!</v>
      </c>
      <c r="AO60" s="1" t="e">
        <f t="shared" si="37"/>
        <v>#DIV/0!</v>
      </c>
      <c r="AP60" s="1" t="e">
        <f t="shared" si="37"/>
        <v>#DIV/0!</v>
      </c>
      <c r="AQ60" s="1" t="e">
        <f t="shared" si="37"/>
        <v>#DIV/0!</v>
      </c>
      <c r="AR60" s="1" t="e">
        <f t="shared" si="37"/>
        <v>#DIV/0!</v>
      </c>
    </row>
    <row r="61" spans="2:44" s="12" customFormat="1" x14ac:dyDescent="0.35">
      <c r="B61" s="12" t="s">
        <v>227</v>
      </c>
      <c r="F61" s="80"/>
      <c r="G61" s="80"/>
      <c r="H61" s="81"/>
      <c r="I61" s="80"/>
      <c r="J61" s="80"/>
      <c r="K61" s="80"/>
      <c r="L61" s="81"/>
      <c r="M61" s="80"/>
      <c r="N61" s="80"/>
      <c r="O61" s="80"/>
      <c r="P61" s="81"/>
      <c r="Q61" s="80"/>
      <c r="R61" s="80"/>
      <c r="S61" s="80"/>
      <c r="T61" s="80"/>
      <c r="U61" s="80"/>
      <c r="V61" s="80"/>
      <c r="W61" s="80"/>
      <c r="X61" s="80"/>
      <c r="Y61" s="80"/>
      <c r="Z61" s="24"/>
      <c r="AA61" s="24"/>
      <c r="AB61" s="24"/>
      <c r="AC61" s="24"/>
      <c r="AD61" s="24"/>
      <c r="AE61" s="24"/>
      <c r="AF61" s="24"/>
      <c r="AG61" s="80"/>
      <c r="AH61" s="80"/>
      <c r="AI61" s="80"/>
      <c r="AJ61" s="24"/>
      <c r="AK61" s="24"/>
    </row>
    <row r="62" spans="2:44" x14ac:dyDescent="0.35">
      <c r="B62" t="s">
        <v>77</v>
      </c>
      <c r="F62" s="1" t="e">
        <f t="shared" ref="F62:R62" si="38">F54/F56</f>
        <v>#DIV/0!</v>
      </c>
      <c r="G62" s="1" t="e">
        <f t="shared" si="38"/>
        <v>#DIV/0!</v>
      </c>
      <c r="H62" s="41">
        <f t="shared" si="38"/>
        <v>0.90490325417766049</v>
      </c>
      <c r="I62" s="1">
        <f t="shared" si="38"/>
        <v>0.67535460992907803</v>
      </c>
      <c r="J62" s="1">
        <f t="shared" si="38"/>
        <v>0.2124077926990732</v>
      </c>
      <c r="K62" s="1">
        <f t="shared" si="38"/>
        <v>0.50105538976635855</v>
      </c>
      <c r="L62" s="41">
        <f t="shared" si="38"/>
        <v>0.16156057293074222</v>
      </c>
      <c r="M62" s="1">
        <f t="shared" si="38"/>
        <v>0.34446767855211452</v>
      </c>
      <c r="N62" s="1">
        <f t="shared" si="38"/>
        <v>0.36447975641086638</v>
      </c>
      <c r="O62" s="1">
        <f t="shared" si="38"/>
        <v>0.23215872647888414</v>
      </c>
      <c r="P62" s="41">
        <f t="shared" si="38"/>
        <v>0.35742781674105112</v>
      </c>
      <c r="Q62" s="1">
        <f t="shared" si="38"/>
        <v>0.36255943266983642</v>
      </c>
      <c r="R62" s="1">
        <f t="shared" si="38"/>
        <v>0.31504116108245517</v>
      </c>
      <c r="S62" s="1"/>
      <c r="T62" s="1"/>
      <c r="U62" s="1"/>
      <c r="V62" s="1"/>
      <c r="W62" s="1"/>
      <c r="X62" s="1"/>
      <c r="Y62" s="1"/>
      <c r="Z62" s="5"/>
      <c r="AA62" s="5"/>
      <c r="AB62" s="5"/>
      <c r="AC62" s="5"/>
      <c r="AD62" s="5"/>
      <c r="AE62" s="5"/>
      <c r="AF62" s="5"/>
      <c r="AG62" s="1">
        <f t="shared" ref="AG62:AR62" si="39">AG54/AG56</f>
        <v>0.9409840728100114</v>
      </c>
      <c r="AH62" s="1">
        <f t="shared" si="39"/>
        <v>0.62617092726191814</v>
      </c>
      <c r="AI62" s="1">
        <f t="shared" si="39"/>
        <v>0.28761208743293709</v>
      </c>
      <c r="AJ62" s="1" t="e">
        <f t="shared" si="39"/>
        <v>#DIV/0!</v>
      </c>
      <c r="AK62" s="1" t="e">
        <f t="shared" si="39"/>
        <v>#DIV/0!</v>
      </c>
      <c r="AL62" s="1" t="e">
        <f t="shared" si="39"/>
        <v>#DIV/0!</v>
      </c>
      <c r="AM62" s="1" t="e">
        <f t="shared" si="39"/>
        <v>#DIV/0!</v>
      </c>
      <c r="AN62" s="1" t="e">
        <f t="shared" si="39"/>
        <v>#DIV/0!</v>
      </c>
      <c r="AO62" s="1" t="e">
        <f t="shared" si="39"/>
        <v>#DIV/0!</v>
      </c>
      <c r="AP62" s="1" t="e">
        <f t="shared" si="39"/>
        <v>#DIV/0!</v>
      </c>
      <c r="AQ62" s="1" t="e">
        <f t="shared" si="39"/>
        <v>#DIV/0!</v>
      </c>
      <c r="AR62" s="1" t="e">
        <f t="shared" si="39"/>
        <v>#DIV/0!</v>
      </c>
    </row>
    <row r="63" spans="2:44" s="70" customFormat="1" x14ac:dyDescent="0.35">
      <c r="B63" s="70" t="s">
        <v>34</v>
      </c>
      <c r="F63" s="71" t="e">
        <f t="shared" ref="F63:R63" si="40">F55/F56</f>
        <v>#DIV/0!</v>
      </c>
      <c r="G63" s="71" t="e">
        <f t="shared" si="40"/>
        <v>#DIV/0!</v>
      </c>
      <c r="H63" s="72">
        <f t="shared" si="40"/>
        <v>9.5096745822339485E-2</v>
      </c>
      <c r="I63" s="71">
        <f t="shared" si="40"/>
        <v>0.32464539007092197</v>
      </c>
      <c r="J63" s="71">
        <f t="shared" si="40"/>
        <v>0.78759220730092683</v>
      </c>
      <c r="K63" s="71">
        <f t="shared" si="40"/>
        <v>0.49894461023364145</v>
      </c>
      <c r="L63" s="72">
        <f t="shared" si="40"/>
        <v>0.83843942706925778</v>
      </c>
      <c r="M63" s="71">
        <f t="shared" si="40"/>
        <v>0.65553232144788554</v>
      </c>
      <c r="N63" s="71">
        <f t="shared" si="40"/>
        <v>0.63552024358913362</v>
      </c>
      <c r="O63" s="71">
        <f t="shared" si="40"/>
        <v>0.76784127352111586</v>
      </c>
      <c r="P63" s="72">
        <f t="shared" si="40"/>
        <v>0.64257218325894894</v>
      </c>
      <c r="Q63" s="71">
        <f t="shared" si="40"/>
        <v>0.63744056733016363</v>
      </c>
      <c r="R63" s="71">
        <f t="shared" si="40"/>
        <v>0.68495883891754483</v>
      </c>
      <c r="S63" s="71"/>
      <c r="T63" s="71"/>
      <c r="U63" s="71"/>
      <c r="V63" s="71"/>
      <c r="W63" s="71"/>
      <c r="X63" s="71"/>
      <c r="Y63" s="71"/>
      <c r="Z63" s="73"/>
      <c r="AA63" s="73"/>
      <c r="AB63" s="73"/>
      <c r="AC63" s="73"/>
      <c r="AD63" s="73"/>
      <c r="AE63" s="73"/>
      <c r="AF63" s="73"/>
      <c r="AG63" s="71">
        <f t="shared" ref="AG63:AR63" si="41">AG55/AG56</f>
        <v>5.9015927189988625E-2</v>
      </c>
      <c r="AH63" s="71">
        <f t="shared" si="41"/>
        <v>0.37382907273808186</v>
      </c>
      <c r="AI63" s="71">
        <f t="shared" si="41"/>
        <v>0.71238791256706291</v>
      </c>
      <c r="AJ63" s="71" t="e">
        <f t="shared" si="41"/>
        <v>#DIV/0!</v>
      </c>
      <c r="AK63" s="71" t="e">
        <f t="shared" si="41"/>
        <v>#DIV/0!</v>
      </c>
      <c r="AL63" s="71" t="e">
        <f t="shared" si="41"/>
        <v>#DIV/0!</v>
      </c>
      <c r="AM63" s="71" t="e">
        <f t="shared" si="41"/>
        <v>#DIV/0!</v>
      </c>
      <c r="AN63" s="71" t="e">
        <f t="shared" si="41"/>
        <v>#DIV/0!</v>
      </c>
      <c r="AO63" s="71" t="e">
        <f t="shared" si="41"/>
        <v>#DIV/0!</v>
      </c>
      <c r="AP63" s="71" t="e">
        <f t="shared" si="41"/>
        <v>#DIV/0!</v>
      </c>
      <c r="AQ63" s="71" t="e">
        <f t="shared" si="41"/>
        <v>#DIV/0!</v>
      </c>
      <c r="AR63" s="71" t="e">
        <f t="shared" si="41"/>
        <v>#DIV/0!</v>
      </c>
    </row>
    <row r="64" spans="2:44" x14ac:dyDescent="0.35">
      <c r="B64" t="s">
        <v>76</v>
      </c>
      <c r="F64" s="11" t="e">
        <f t="shared" ref="F64:R64" si="42">SUM(F62:F63)</f>
        <v>#DIV/0!</v>
      </c>
      <c r="G64" s="11" t="e">
        <f t="shared" si="42"/>
        <v>#DIV/0!</v>
      </c>
      <c r="H64" s="42">
        <f t="shared" si="42"/>
        <v>1</v>
      </c>
      <c r="I64" s="11">
        <f t="shared" si="42"/>
        <v>1</v>
      </c>
      <c r="J64" s="11">
        <f t="shared" si="42"/>
        <v>1</v>
      </c>
      <c r="K64" s="11">
        <f t="shared" si="42"/>
        <v>1</v>
      </c>
      <c r="L64" s="42">
        <f t="shared" si="42"/>
        <v>1</v>
      </c>
      <c r="M64" s="11">
        <f t="shared" si="42"/>
        <v>1</v>
      </c>
      <c r="N64" s="11">
        <f t="shared" si="42"/>
        <v>1</v>
      </c>
      <c r="O64" s="11">
        <f t="shared" si="42"/>
        <v>1</v>
      </c>
      <c r="P64" s="42">
        <f t="shared" si="42"/>
        <v>1</v>
      </c>
      <c r="Q64" s="11">
        <f t="shared" si="42"/>
        <v>1</v>
      </c>
      <c r="R64" s="11">
        <f t="shared" si="42"/>
        <v>1</v>
      </c>
      <c r="S64" s="11"/>
      <c r="T64" s="11"/>
      <c r="U64" s="11"/>
      <c r="V64" s="11"/>
      <c r="W64" s="11"/>
      <c r="X64" s="11"/>
      <c r="Y64" s="11"/>
      <c r="Z64" s="5"/>
      <c r="AA64" s="5"/>
      <c r="AB64" s="5"/>
      <c r="AC64" s="5"/>
      <c r="AD64" s="5"/>
      <c r="AE64" s="5"/>
      <c r="AF64" s="5"/>
      <c r="AG64" s="11">
        <f t="shared" ref="AG64:AR64" si="43">SUM(AG62:AG63)</f>
        <v>1</v>
      </c>
      <c r="AH64" s="11">
        <f t="shared" si="43"/>
        <v>1</v>
      </c>
      <c r="AI64" s="11">
        <f t="shared" si="43"/>
        <v>1</v>
      </c>
      <c r="AJ64" s="11" t="e">
        <f t="shared" si="43"/>
        <v>#DIV/0!</v>
      </c>
      <c r="AK64" s="11" t="e">
        <f t="shared" si="43"/>
        <v>#DIV/0!</v>
      </c>
      <c r="AL64" s="11" t="e">
        <f t="shared" si="43"/>
        <v>#DIV/0!</v>
      </c>
      <c r="AM64" s="11" t="e">
        <f t="shared" si="43"/>
        <v>#DIV/0!</v>
      </c>
      <c r="AN64" s="11" t="e">
        <f t="shared" si="43"/>
        <v>#DIV/0!</v>
      </c>
      <c r="AO64" s="11" t="e">
        <f t="shared" si="43"/>
        <v>#DIV/0!</v>
      </c>
      <c r="AP64" s="11" t="e">
        <f t="shared" si="43"/>
        <v>#DIV/0!</v>
      </c>
      <c r="AQ64" s="11" t="e">
        <f t="shared" si="43"/>
        <v>#DIV/0!</v>
      </c>
      <c r="AR64" s="11" t="e">
        <f t="shared" si="43"/>
        <v>#DIV/0!</v>
      </c>
    </row>
    <row r="65" spans="2:37" x14ac:dyDescent="0.35">
      <c r="G65" s="5"/>
      <c r="H65" s="37"/>
      <c r="I65" s="5"/>
      <c r="J65" s="5"/>
      <c r="K65" s="5"/>
      <c r="L65" s="37"/>
      <c r="M65" s="5"/>
      <c r="N65" s="5"/>
      <c r="O65" s="5"/>
      <c r="P65" s="37"/>
      <c r="Q65" s="5"/>
      <c r="R65" s="5"/>
      <c r="S65" s="5"/>
      <c r="T65" s="5"/>
      <c r="U65" s="5"/>
      <c r="V65" s="5"/>
      <c r="W65" s="5"/>
      <c r="X65" s="5"/>
      <c r="Y65" s="5"/>
      <c r="Z65" s="5"/>
      <c r="AA65" s="5"/>
      <c r="AB65" s="5"/>
      <c r="AC65" s="5"/>
      <c r="AD65" s="5"/>
      <c r="AE65" s="5"/>
      <c r="AF65" s="5"/>
      <c r="AG65" s="5"/>
      <c r="AH65" s="5"/>
      <c r="AI65" s="5"/>
      <c r="AJ65" s="5"/>
      <c r="AK65" s="5"/>
    </row>
    <row r="66" spans="2:37" s="4" customFormat="1" x14ac:dyDescent="0.35">
      <c r="B66" s="4" t="s">
        <v>188</v>
      </c>
      <c r="G66" s="7"/>
      <c r="H66" s="45"/>
      <c r="I66" s="7"/>
      <c r="J66" s="7"/>
      <c r="K66" s="10">
        <f>AH66-J66-I66-H66</f>
        <v>0</v>
      </c>
      <c r="L66" s="45"/>
      <c r="M66" s="7"/>
      <c r="N66" s="7"/>
      <c r="O66" s="7"/>
      <c r="P66" s="45"/>
      <c r="Q66" s="7"/>
      <c r="R66" s="7"/>
      <c r="S66" s="7"/>
      <c r="T66" s="7"/>
      <c r="U66" s="7"/>
      <c r="V66" s="7"/>
      <c r="W66" s="7"/>
      <c r="X66" s="7"/>
      <c r="Y66" s="7"/>
      <c r="Z66" s="7"/>
      <c r="AA66" s="7"/>
      <c r="AB66" s="7"/>
      <c r="AC66" s="7"/>
      <c r="AD66" s="7"/>
      <c r="AE66" s="7"/>
      <c r="AF66" s="7"/>
      <c r="AG66" s="7"/>
      <c r="AH66" s="7"/>
      <c r="AI66" s="7"/>
      <c r="AJ66" s="7"/>
      <c r="AK66" s="7"/>
    </row>
    <row r="67" spans="2:37" s="12" customFormat="1" x14ac:dyDescent="0.35">
      <c r="B67" s="12" t="s">
        <v>90</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c r="T67" s="24"/>
      <c r="U67" s="24"/>
      <c r="V67" s="24"/>
      <c r="W67" s="24"/>
      <c r="X67" s="24"/>
      <c r="Y67" s="24"/>
      <c r="Z67" s="24"/>
      <c r="AA67" s="24"/>
      <c r="AB67" s="24"/>
      <c r="AC67" s="24"/>
      <c r="AD67" s="24"/>
      <c r="AE67" s="24"/>
      <c r="AF67" s="24"/>
      <c r="AG67" s="24">
        <v>35160</v>
      </c>
      <c r="AH67" s="24">
        <v>62237</v>
      </c>
      <c r="AI67" s="24">
        <v>210996</v>
      </c>
      <c r="AJ67" s="24"/>
      <c r="AK67" s="24"/>
    </row>
    <row r="68" spans="2:37" s="2" customFormat="1" x14ac:dyDescent="0.35">
      <c r="B68" s="2" t="s">
        <v>91</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c r="T68" s="6"/>
      <c r="U68" s="6"/>
      <c r="V68" s="6"/>
      <c r="W68" s="6"/>
      <c r="X68" s="6"/>
      <c r="Y68" s="6"/>
      <c r="Z68" s="6"/>
      <c r="AA68" s="6"/>
      <c r="AB68" s="6"/>
      <c r="AC68" s="6"/>
      <c r="AD68" s="6"/>
      <c r="AE68" s="6"/>
      <c r="AF68" s="6"/>
      <c r="AG68" s="6">
        <v>46977</v>
      </c>
      <c r="AH68" s="6">
        <v>64130</v>
      </c>
      <c r="AI68" s="6">
        <v>192006</v>
      </c>
      <c r="AJ68" s="6"/>
      <c r="AK68" s="6"/>
    </row>
    <row r="69" spans="2:37" s="12" customFormat="1" x14ac:dyDescent="0.35">
      <c r="B69" s="12" t="s">
        <v>92</v>
      </c>
      <c r="F69" s="24">
        <f t="shared" ref="F69:R69" si="44">F67-F68</f>
        <v>-1885</v>
      </c>
      <c r="G69" s="24">
        <f t="shared" si="44"/>
        <v>-9932</v>
      </c>
      <c r="H69" s="40">
        <f t="shared" si="44"/>
        <v>1411</v>
      </c>
      <c r="I69" s="24">
        <f t="shared" si="44"/>
        <v>2463</v>
      </c>
      <c r="J69" s="24">
        <f t="shared" si="44"/>
        <v>-12451</v>
      </c>
      <c r="K69" s="24">
        <f t="shared" si="44"/>
        <v>6684</v>
      </c>
      <c r="L69" s="40">
        <f t="shared" si="44"/>
        <v>3735</v>
      </c>
      <c r="M69" s="24">
        <f t="shared" si="44"/>
        <v>4958</v>
      </c>
      <c r="N69" s="24">
        <f t="shared" si="44"/>
        <v>8467</v>
      </c>
      <c r="O69" s="24">
        <f t="shared" si="44"/>
        <v>1830</v>
      </c>
      <c r="P69" s="40">
        <f t="shared" si="44"/>
        <v>6357</v>
      </c>
      <c r="Q69" s="24">
        <f t="shared" si="44"/>
        <v>14593</v>
      </c>
      <c r="R69" s="24">
        <f t="shared" si="44"/>
        <v>14967</v>
      </c>
      <c r="S69" s="24"/>
      <c r="T69" s="24"/>
      <c r="U69" s="24"/>
      <c r="V69" s="24"/>
      <c r="W69" s="24"/>
      <c r="X69" s="24"/>
      <c r="Y69" s="24"/>
      <c r="Z69" s="24"/>
      <c r="AA69" s="24"/>
      <c r="AB69" s="24"/>
      <c r="AC69" s="24"/>
      <c r="AD69" s="24"/>
      <c r="AE69" s="24"/>
      <c r="AF69" s="24"/>
      <c r="AG69" s="24">
        <f>AG67-AG68</f>
        <v>-11817</v>
      </c>
      <c r="AH69" s="24">
        <f>AH67-AH68</f>
        <v>-1893</v>
      </c>
      <c r="AI69" s="24">
        <f>AI67-AI68</f>
        <v>18990</v>
      </c>
      <c r="AJ69" s="24"/>
      <c r="AK69" s="24"/>
    </row>
    <row r="70" spans="2:37" s="19" customFormat="1" x14ac:dyDescent="0.35">
      <c r="B70" s="28" t="s">
        <v>93</v>
      </c>
      <c r="C70" s="28"/>
      <c r="D70" s="28"/>
      <c r="E70" s="28"/>
      <c r="F70" s="20"/>
      <c r="G70" s="20"/>
      <c r="H70" s="39"/>
      <c r="I70" s="20"/>
      <c r="J70" s="20"/>
      <c r="K70" s="20"/>
      <c r="L70" s="39"/>
      <c r="M70" s="20"/>
      <c r="N70" s="20"/>
      <c r="O70" s="20"/>
      <c r="P70" s="39"/>
      <c r="Q70" s="20"/>
      <c r="R70" s="20"/>
      <c r="S70" s="20"/>
      <c r="T70" s="20"/>
      <c r="U70" s="20"/>
      <c r="V70" s="20"/>
      <c r="W70" s="20"/>
      <c r="X70" s="20"/>
      <c r="Y70" s="20"/>
      <c r="Z70" s="20"/>
      <c r="AA70" s="20"/>
      <c r="AB70" s="20"/>
      <c r="AC70" s="20"/>
      <c r="AD70" s="20"/>
      <c r="AE70" s="20"/>
      <c r="AF70" s="20"/>
      <c r="AG70" s="20"/>
      <c r="AH70" s="20"/>
      <c r="AI70" s="20"/>
      <c r="AJ70" s="20"/>
      <c r="AK70" s="20"/>
    </row>
    <row r="71" spans="2:37" x14ac:dyDescent="0.35">
      <c r="B71" t="s">
        <v>94</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c r="T71" s="5"/>
      <c r="U71" s="5"/>
      <c r="V71" s="5"/>
      <c r="W71" s="5"/>
      <c r="X71" s="5"/>
      <c r="Y71" s="5"/>
      <c r="Z71" s="5"/>
      <c r="AA71" s="5"/>
      <c r="AB71" s="5"/>
      <c r="AC71" s="5"/>
      <c r="AD71" s="5"/>
      <c r="AE71" s="5"/>
      <c r="AF71" s="5"/>
      <c r="AG71" s="5">
        <v>19142</v>
      </c>
      <c r="AH71" s="5">
        <v>41765</v>
      </c>
      <c r="AI71" s="5">
        <v>65168</v>
      </c>
      <c r="AJ71" s="5"/>
      <c r="AK71" s="5"/>
    </row>
    <row r="72" spans="2:37" s="2" customFormat="1" x14ac:dyDescent="0.35">
      <c r="B72" s="2" t="s">
        <v>95</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6"/>
      <c r="T72" s="6"/>
      <c r="U72" s="6"/>
      <c r="V72" s="6"/>
      <c r="W72" s="6"/>
      <c r="X72" s="6"/>
      <c r="Y72" s="6"/>
      <c r="Z72" s="6"/>
      <c r="AA72" s="6"/>
      <c r="AB72" s="6"/>
      <c r="AC72" s="6"/>
      <c r="AD72" s="6"/>
      <c r="AE72" s="6"/>
      <c r="AF72" s="6"/>
      <c r="AG72" s="6">
        <v>23993</v>
      </c>
      <c r="AH72" s="6">
        <v>58395</v>
      </c>
      <c r="AI72" s="6">
        <v>89026</v>
      </c>
      <c r="AJ72" s="6"/>
      <c r="AK72" s="6"/>
    </row>
    <row r="73" spans="2:37" s="32" customFormat="1" x14ac:dyDescent="0.35">
      <c r="B73" s="32" t="s">
        <v>96</v>
      </c>
      <c r="F73" s="33">
        <f t="shared" ref="F73:R73" si="45">F71+F72</f>
        <v>10960</v>
      </c>
      <c r="G73" s="33">
        <f t="shared" si="45"/>
        <v>32175</v>
      </c>
      <c r="H73" s="46">
        <f t="shared" si="45"/>
        <v>13702</v>
      </c>
      <c r="I73" s="33">
        <f t="shared" si="45"/>
        <v>15597</v>
      </c>
      <c r="J73" s="33">
        <f t="shared" si="45"/>
        <v>39844</v>
      </c>
      <c r="K73" s="33">
        <f t="shared" si="45"/>
        <v>31017</v>
      </c>
      <c r="L73" s="46">
        <f t="shared" si="45"/>
        <v>36555</v>
      </c>
      <c r="M73" s="33">
        <f t="shared" si="45"/>
        <v>38117</v>
      </c>
      <c r="N73" s="33">
        <f t="shared" si="45"/>
        <v>40469</v>
      </c>
      <c r="O73" s="33">
        <f t="shared" si="45"/>
        <v>39053</v>
      </c>
      <c r="P73" s="46">
        <f t="shared" si="45"/>
        <v>52374</v>
      </c>
      <c r="Q73" s="33">
        <f t="shared" si="45"/>
        <v>59752</v>
      </c>
      <c r="R73" s="33">
        <f t="shared" si="45"/>
        <v>53826</v>
      </c>
      <c r="S73" s="33"/>
      <c r="T73" s="33"/>
      <c r="U73" s="33"/>
      <c r="V73" s="33"/>
      <c r="W73" s="33"/>
      <c r="X73" s="33"/>
      <c r="Y73" s="33"/>
      <c r="Z73" s="33"/>
      <c r="AA73" s="33"/>
      <c r="AB73" s="33"/>
      <c r="AC73" s="33"/>
      <c r="AD73" s="33"/>
      <c r="AE73" s="33"/>
      <c r="AF73" s="33"/>
      <c r="AG73" s="33">
        <f>+AG71+AG72</f>
        <v>43135</v>
      </c>
      <c r="AH73" s="33">
        <f>+AH71+AH72</f>
        <v>100160</v>
      </c>
      <c r="AI73" s="33">
        <f>+AI71+AI72</f>
        <v>154194</v>
      </c>
      <c r="AJ73" s="33"/>
      <c r="AK73" s="33"/>
    </row>
    <row r="74" spans="2:37" s="12" customFormat="1" x14ac:dyDescent="0.35">
      <c r="B74" s="12" t="s">
        <v>97</v>
      </c>
      <c r="F74" s="24">
        <f t="shared" ref="F74:R74" si="46">F69-F73</f>
        <v>-12845</v>
      </c>
      <c r="G74" s="24">
        <f t="shared" si="46"/>
        <v>-42107</v>
      </c>
      <c r="H74" s="40">
        <f t="shared" si="46"/>
        <v>-12291</v>
      </c>
      <c r="I74" s="24">
        <f t="shared" si="46"/>
        <v>-13134</v>
      </c>
      <c r="J74" s="24">
        <f t="shared" si="46"/>
        <v>-52295</v>
      </c>
      <c r="K74" s="24">
        <f t="shared" si="46"/>
        <v>-24333</v>
      </c>
      <c r="L74" s="40">
        <f t="shared" si="46"/>
        <v>-32820</v>
      </c>
      <c r="M74" s="24">
        <f t="shared" si="46"/>
        <v>-33159</v>
      </c>
      <c r="N74" s="24">
        <f t="shared" si="46"/>
        <v>-32002</v>
      </c>
      <c r="O74" s="24">
        <f t="shared" si="46"/>
        <v>-37223</v>
      </c>
      <c r="P74" s="40">
        <f t="shared" si="46"/>
        <v>-46017</v>
      </c>
      <c r="Q74" s="24">
        <f t="shared" si="46"/>
        <v>-45159</v>
      </c>
      <c r="R74" s="24">
        <f t="shared" si="46"/>
        <v>-38859</v>
      </c>
      <c r="S74" s="24"/>
      <c r="T74" s="24"/>
      <c r="U74" s="24"/>
      <c r="V74" s="24"/>
      <c r="W74" s="24"/>
      <c r="X74" s="24"/>
      <c r="Y74" s="24"/>
      <c r="Z74" s="24"/>
      <c r="AA74" s="24"/>
      <c r="AB74" s="24"/>
      <c r="AC74" s="24"/>
      <c r="AD74" s="24"/>
      <c r="AE74" s="24"/>
      <c r="AF74" s="24"/>
      <c r="AG74" s="24">
        <f>AG69-AG73</f>
        <v>-54952</v>
      </c>
      <c r="AH74" s="24">
        <f>AH69-AH73</f>
        <v>-102053</v>
      </c>
      <c r="AI74" s="24">
        <f>AI69-AI73</f>
        <v>-135204</v>
      </c>
      <c r="AJ74" s="24"/>
      <c r="AK74" s="24"/>
    </row>
    <row r="75" spans="2:37" x14ac:dyDescent="0.35">
      <c r="B75" t="s">
        <v>98</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c r="T75" s="5"/>
      <c r="U75" s="5"/>
      <c r="V75" s="5"/>
      <c r="W75" s="5"/>
      <c r="X75" s="5"/>
      <c r="Y75" s="5"/>
      <c r="Z75" s="5"/>
      <c r="AA75" s="5"/>
      <c r="AB75" s="5"/>
      <c r="AC75" s="5"/>
      <c r="AD75" s="5"/>
      <c r="AE75" s="5"/>
      <c r="AF75" s="5"/>
      <c r="AG75" s="5">
        <v>224</v>
      </c>
      <c r="AH75" s="5">
        <v>-6128</v>
      </c>
      <c r="AI75" s="5">
        <v>-7799</v>
      </c>
      <c r="AJ75" s="5"/>
      <c r="AK75" s="5"/>
    </row>
    <row r="76" spans="2:37" x14ac:dyDescent="0.35">
      <c r="B76" t="s">
        <v>99</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c r="T76" s="5"/>
      <c r="U76" s="5"/>
      <c r="V76" s="5"/>
      <c r="W76" s="5"/>
      <c r="X76" s="5"/>
      <c r="Y76" s="5"/>
      <c r="Z76" s="5"/>
      <c r="AA76" s="5"/>
      <c r="AB76" s="5"/>
      <c r="AC76" s="5"/>
      <c r="AD76" s="5"/>
      <c r="AE76" s="5"/>
      <c r="AF76" s="5"/>
      <c r="AG76" s="5">
        <v>2420</v>
      </c>
      <c r="AH76" s="5">
        <v>-567</v>
      </c>
      <c r="AI76" s="5">
        <v>-4435</v>
      </c>
      <c r="AJ76" s="5"/>
      <c r="AK76" s="5"/>
    </row>
    <row r="77" spans="2:37" x14ac:dyDescent="0.35">
      <c r="B77" t="s">
        <v>100</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c r="T77" s="5"/>
      <c r="U77" s="5"/>
      <c r="V77" s="5"/>
      <c r="W77" s="5"/>
      <c r="X77" s="5"/>
      <c r="Y77" s="5"/>
      <c r="Z77" s="5"/>
      <c r="AA77" s="5"/>
      <c r="AB77" s="5"/>
      <c r="AC77" s="5"/>
      <c r="AD77" s="5"/>
      <c r="AE77" s="5"/>
      <c r="AF77" s="5"/>
      <c r="AG77" s="5">
        <v>-2417</v>
      </c>
      <c r="AH77" s="5">
        <v>-15294</v>
      </c>
      <c r="AI77" s="5">
        <v>13482</v>
      </c>
      <c r="AJ77" s="5"/>
      <c r="AK77" s="5"/>
    </row>
    <row r="78" spans="2:37" s="2" customFormat="1" x14ac:dyDescent="0.35">
      <c r="B78" s="2" t="s">
        <v>101</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c r="T78" s="6"/>
      <c r="U78" s="6"/>
      <c r="V78" s="6"/>
      <c r="W78" s="6"/>
      <c r="X78" s="6"/>
      <c r="Y78" s="6"/>
      <c r="Z78" s="6"/>
      <c r="AA78" s="6"/>
      <c r="AB78" s="6"/>
      <c r="AC78" s="6"/>
      <c r="AD78" s="6"/>
      <c r="AE78" s="6"/>
      <c r="AF78" s="6"/>
      <c r="AG78" s="6">
        <v>187</v>
      </c>
      <c r="AH78" s="6">
        <v>-798</v>
      </c>
      <c r="AI78" s="6">
        <v>1010</v>
      </c>
      <c r="AJ78" s="6"/>
      <c r="AK78" s="6"/>
    </row>
    <row r="79" spans="2:37" s="12" customFormat="1" x14ac:dyDescent="0.35">
      <c r="B79" s="12" t="s">
        <v>102</v>
      </c>
      <c r="F79" s="24">
        <f t="shared" ref="F79:R79" si="47">SUM(F74:F78)</f>
        <v>-13605</v>
      </c>
      <c r="G79" s="24">
        <f t="shared" si="47"/>
        <v>-40933</v>
      </c>
      <c r="H79" s="40">
        <f t="shared" si="47"/>
        <v>-15618</v>
      </c>
      <c r="I79" s="24">
        <f t="shared" si="47"/>
        <v>-16225</v>
      </c>
      <c r="J79" s="24">
        <f t="shared" si="47"/>
        <v>-89653</v>
      </c>
      <c r="K79" s="24">
        <f t="shared" si="47"/>
        <v>-3344</v>
      </c>
      <c r="L79" s="40">
        <f t="shared" si="47"/>
        <v>-22321</v>
      </c>
      <c r="M79" s="24">
        <f t="shared" si="47"/>
        <v>-39490</v>
      </c>
      <c r="N79" s="24">
        <f t="shared" si="47"/>
        <v>-32917</v>
      </c>
      <c r="O79" s="24">
        <f t="shared" si="47"/>
        <v>-38218</v>
      </c>
      <c r="P79" s="40">
        <f t="shared" si="47"/>
        <v>-45091</v>
      </c>
      <c r="Q79" s="24">
        <f t="shared" si="47"/>
        <v>-45128</v>
      </c>
      <c r="R79" s="24">
        <f t="shared" si="47"/>
        <v>-39216</v>
      </c>
      <c r="S79" s="24"/>
      <c r="T79" s="24"/>
      <c r="U79" s="24"/>
      <c r="V79" s="24"/>
      <c r="W79" s="24"/>
      <c r="X79" s="24"/>
      <c r="Y79" s="24"/>
      <c r="Z79" s="24"/>
      <c r="AA79" s="24"/>
      <c r="AB79" s="24"/>
      <c r="AC79" s="24"/>
      <c r="AD79" s="24"/>
      <c r="AE79" s="24"/>
      <c r="AF79" s="24"/>
      <c r="AG79" s="24">
        <f>SUM(AG74:AG78)</f>
        <v>-54538</v>
      </c>
      <c r="AH79" s="24">
        <f>SUM(AH74:AH78)</f>
        <v>-124840</v>
      </c>
      <c r="AI79" s="24">
        <f>SUM(AI74:AI78)</f>
        <v>-132946</v>
      </c>
      <c r="AJ79" s="24"/>
      <c r="AK79" s="24"/>
    </row>
    <row r="80" spans="2:37" s="2" customFormat="1" x14ac:dyDescent="0.35">
      <c r="B80" s="2" t="s">
        <v>103</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c r="T80" s="6"/>
      <c r="U80" s="6"/>
      <c r="V80" s="6"/>
      <c r="W80" s="6"/>
      <c r="X80" s="6"/>
      <c r="Y80" s="6"/>
      <c r="Z80" s="6"/>
      <c r="AA80" s="6"/>
      <c r="AB80" s="6"/>
      <c r="AC80" s="6"/>
      <c r="AD80" s="6"/>
      <c r="AE80" s="6"/>
      <c r="AF80" s="6"/>
      <c r="AG80" s="6">
        <v>-467</v>
      </c>
      <c r="AH80" s="6">
        <v>7520</v>
      </c>
      <c r="AI80" s="6">
        <v>-2998</v>
      </c>
      <c r="AJ80" s="6"/>
      <c r="AK80" s="6"/>
    </row>
    <row r="81" spans="2:37" s="12" customFormat="1" x14ac:dyDescent="0.35">
      <c r="B81" s="12" t="s">
        <v>104</v>
      </c>
      <c r="F81" s="24">
        <f t="shared" ref="F81:R81" si="48">SUM(F79:F80)</f>
        <v>-12605</v>
      </c>
      <c r="G81" s="24">
        <f t="shared" si="48"/>
        <v>-42400</v>
      </c>
      <c r="H81" s="40">
        <f t="shared" si="48"/>
        <v>-15882</v>
      </c>
      <c r="I81" s="24">
        <f t="shared" si="48"/>
        <v>-16665</v>
      </c>
      <c r="J81" s="24">
        <f t="shared" si="48"/>
        <v>-87969</v>
      </c>
      <c r="K81" s="24">
        <f t="shared" si="48"/>
        <v>3196</v>
      </c>
      <c r="L81" s="40">
        <f t="shared" si="48"/>
        <v>-26709</v>
      </c>
      <c r="M81" s="24">
        <f t="shared" si="48"/>
        <v>-37417</v>
      </c>
      <c r="N81" s="24">
        <f t="shared" si="48"/>
        <v>-34610</v>
      </c>
      <c r="O81" s="24">
        <f t="shared" si="48"/>
        <v>-37208</v>
      </c>
      <c r="P81" s="40">
        <f t="shared" si="48"/>
        <v>-45617</v>
      </c>
      <c r="Q81" s="24">
        <f t="shared" si="48"/>
        <v>-45889</v>
      </c>
      <c r="R81" s="24">
        <f t="shared" si="48"/>
        <v>-40568</v>
      </c>
      <c r="S81" s="24"/>
      <c r="T81" s="24"/>
      <c r="U81" s="24"/>
      <c r="V81" s="24"/>
      <c r="W81" s="24"/>
      <c r="X81" s="24"/>
      <c r="Y81" s="24"/>
      <c r="Z81" s="24"/>
      <c r="AA81" s="24"/>
      <c r="AB81" s="24"/>
      <c r="AC81" s="24"/>
      <c r="AD81" s="24"/>
      <c r="AE81" s="24"/>
      <c r="AF81" s="24"/>
      <c r="AG81" s="24">
        <f>AG79+AG80</f>
        <v>-55005</v>
      </c>
      <c r="AH81" s="24">
        <f>AH79+AH80</f>
        <v>-117320</v>
      </c>
      <c r="AI81" s="24">
        <f>AI79+AI80</f>
        <v>-135944</v>
      </c>
      <c r="AJ81" s="24"/>
      <c r="AK81" s="24"/>
    </row>
    <row r="82" spans="2:37" x14ac:dyDescent="0.35">
      <c r="B82" t="s">
        <v>105</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c r="T82" s="5"/>
      <c r="U82" s="5"/>
      <c r="V82" s="5"/>
      <c r="W82" s="5"/>
      <c r="X82" s="5"/>
      <c r="Y82" s="5"/>
      <c r="Z82" s="5"/>
      <c r="AA82" s="5"/>
      <c r="AB82" s="5"/>
      <c r="AC82" s="5"/>
      <c r="AD82" s="5"/>
      <c r="AE82" s="5"/>
      <c r="AF82" s="5"/>
      <c r="AG82" s="5">
        <v>1134</v>
      </c>
      <c r="AH82" s="5">
        <v>253</v>
      </c>
      <c r="AI82" s="5">
        <v>600</v>
      </c>
      <c r="AJ82" s="5"/>
      <c r="AK82" s="5"/>
    </row>
    <row r="83" spans="2:37" s="2" customFormat="1" x14ac:dyDescent="0.35">
      <c r="B83" s="2" t="s">
        <v>106</v>
      </c>
      <c r="F83" s="2">
        <v>0</v>
      </c>
      <c r="G83" s="6">
        <v>0</v>
      </c>
      <c r="H83" s="38">
        <v>0</v>
      </c>
      <c r="I83" s="6">
        <v>0</v>
      </c>
      <c r="J83" s="6">
        <v>0</v>
      </c>
      <c r="K83" s="6">
        <f>AH83-J83-I83-H83</f>
        <v>0</v>
      </c>
      <c r="L83" s="38">
        <v>0</v>
      </c>
      <c r="M83" s="6">
        <v>0</v>
      </c>
      <c r="N83" s="6">
        <v>-855</v>
      </c>
      <c r="O83" s="6">
        <f>AI83-N83-M83-L83</f>
        <v>83</v>
      </c>
      <c r="P83" s="38">
        <v>368</v>
      </c>
      <c r="Q83" s="6">
        <v>-814</v>
      </c>
      <c r="R83" s="6">
        <v>117</v>
      </c>
      <c r="S83" s="6"/>
      <c r="T83" s="6"/>
      <c r="U83" s="6"/>
      <c r="V83" s="6"/>
      <c r="W83" s="6"/>
      <c r="X83" s="6"/>
      <c r="Y83" s="6"/>
      <c r="Z83" s="6"/>
      <c r="AA83" s="6"/>
      <c r="AB83" s="6"/>
      <c r="AC83" s="6"/>
      <c r="AD83" s="6"/>
      <c r="AE83" s="6"/>
      <c r="AF83" s="6"/>
      <c r="AG83" s="6">
        <v>0</v>
      </c>
      <c r="AH83" s="6">
        <v>0</v>
      </c>
      <c r="AI83" s="6">
        <v>-772</v>
      </c>
      <c r="AJ83" s="6"/>
      <c r="AK83" s="6"/>
    </row>
    <row r="84" spans="2:37" s="12" customFormat="1" x14ac:dyDescent="0.35">
      <c r="B84" s="12" t="s">
        <v>107</v>
      </c>
      <c r="F84" s="24">
        <f t="shared" ref="F84:R84" si="49">SUM(F81:F83)</f>
        <v>-12605</v>
      </c>
      <c r="G84" s="24">
        <f t="shared" si="49"/>
        <v>-41266</v>
      </c>
      <c r="H84" s="40">
        <f t="shared" si="49"/>
        <v>-15141</v>
      </c>
      <c r="I84" s="24">
        <f t="shared" si="49"/>
        <v>-16332</v>
      </c>
      <c r="J84" s="24">
        <f t="shared" si="49"/>
        <v>-88977</v>
      </c>
      <c r="K84" s="24">
        <f t="shared" si="49"/>
        <v>3383</v>
      </c>
      <c r="L84" s="40">
        <f t="shared" si="49"/>
        <v>-25833</v>
      </c>
      <c r="M84" s="24">
        <f t="shared" si="49"/>
        <v>-38447</v>
      </c>
      <c r="N84" s="24">
        <f t="shared" si="49"/>
        <v>-40120</v>
      </c>
      <c r="O84" s="24">
        <f t="shared" si="49"/>
        <v>-31716</v>
      </c>
      <c r="P84" s="40">
        <f t="shared" si="49"/>
        <v>-46187</v>
      </c>
      <c r="Q84" s="24">
        <f t="shared" si="49"/>
        <v>-48219</v>
      </c>
      <c r="R84" s="24">
        <f t="shared" si="49"/>
        <v>-41187</v>
      </c>
      <c r="S84" s="24"/>
      <c r="T84" s="24"/>
      <c r="U84" s="24"/>
      <c r="V84" s="24"/>
      <c r="W84" s="24"/>
      <c r="X84" s="24"/>
      <c r="Y84" s="24"/>
      <c r="Z84" s="24"/>
      <c r="AA84" s="24"/>
      <c r="AB84" s="24"/>
      <c r="AC84" s="24"/>
      <c r="AD84" s="24"/>
      <c r="AE84" s="24"/>
      <c r="AF84" s="24"/>
      <c r="AG84" s="24">
        <f>AG81+AG82</f>
        <v>-53871</v>
      </c>
      <c r="AH84" s="24">
        <f>AH81+AH82</f>
        <v>-117067</v>
      </c>
      <c r="AI84" s="24">
        <f>AI81+AI82</f>
        <v>-135344</v>
      </c>
      <c r="AJ84" s="24"/>
      <c r="AK84" s="24"/>
    </row>
    <row r="85" spans="2:37" x14ac:dyDescent="0.35">
      <c r="B85" t="s">
        <v>108</v>
      </c>
      <c r="F85" s="9">
        <f t="shared" ref="F85:R85" si="50">F84/F86</f>
        <v>-0.16573958565024696</v>
      </c>
      <c r="G85" s="9">
        <f t="shared" si="50"/>
        <v>-0.54718638579692647</v>
      </c>
      <c r="H85" s="47">
        <f t="shared" si="50"/>
        <v>-0.19208111021638463</v>
      </c>
      <c r="I85" s="9">
        <f t="shared" si="50"/>
        <v>-0.20683603479870644</v>
      </c>
      <c r="J85" s="9">
        <f t="shared" si="50"/>
        <v>-0.38979413405060442</v>
      </c>
      <c r="K85" s="9">
        <f t="shared" si="50"/>
        <v>1.6117582600824222E-2</v>
      </c>
      <c r="L85" s="47">
        <f t="shared" si="50"/>
        <v>-5.6589850276833525E-2</v>
      </c>
      <c r="M85" s="9">
        <f t="shared" si="50"/>
        <v>-8.2731550799616679E-2</v>
      </c>
      <c r="N85" s="9">
        <f t="shared" si="50"/>
        <v>-8.5403714031692057E-2</v>
      </c>
      <c r="O85" s="9">
        <f t="shared" si="50"/>
        <v>-6.8028845122626094E-2</v>
      </c>
      <c r="P85" s="47">
        <f t="shared" si="50"/>
        <v>-9.6990819251023902E-2</v>
      </c>
      <c r="Q85" s="9">
        <f t="shared" si="50"/>
        <v>-0.10051156109327146</v>
      </c>
      <c r="R85" s="9">
        <f t="shared" si="50"/>
        <v>-8.5091117480446954E-2</v>
      </c>
      <c r="S85" s="9"/>
      <c r="T85" s="9"/>
      <c r="U85" s="9"/>
      <c r="V85" s="9"/>
      <c r="W85" s="9"/>
      <c r="X85" s="9"/>
      <c r="Y85" s="9"/>
      <c r="Z85" s="5"/>
      <c r="AA85" s="5"/>
      <c r="AB85" s="5"/>
      <c r="AC85" s="5"/>
      <c r="AD85" s="5"/>
      <c r="AE85" s="5"/>
      <c r="AF85" s="5"/>
      <c r="AG85" s="9">
        <f>AG84/AG86</f>
        <v>-0.71432844931096362</v>
      </c>
      <c r="AH85" s="9">
        <f>AH84/AH86</f>
        <v>-0.55774077514947951</v>
      </c>
      <c r="AI85" s="9">
        <f>AI84/AI86</f>
        <v>-0.29030439330668456</v>
      </c>
      <c r="AJ85" s="5"/>
      <c r="AK85" s="5"/>
    </row>
    <row r="86" spans="2:37" s="5" customFormat="1" x14ac:dyDescent="0.35">
      <c r="B86" s="5" t="s">
        <v>1</v>
      </c>
      <c r="F86" s="5">
        <v>76053.043999999994</v>
      </c>
      <c r="G86" s="5">
        <v>75414.888000000006</v>
      </c>
      <c r="H86" s="37">
        <v>78826.074999999997</v>
      </c>
      <c r="I86" s="5">
        <v>78961.096000000005</v>
      </c>
      <c r="J86" s="5">
        <v>228266.647</v>
      </c>
      <c r="K86" s="5">
        <f>AH86</f>
        <v>209895</v>
      </c>
      <c r="L86" s="37">
        <v>456495.288</v>
      </c>
      <c r="M86" s="5">
        <v>464719.924</v>
      </c>
      <c r="N86" s="5">
        <v>469768.79700000002</v>
      </c>
      <c r="O86" s="5">
        <v>466214</v>
      </c>
      <c r="P86" s="37">
        <v>476199.71</v>
      </c>
      <c r="Q86" s="5">
        <v>479735.85800000001</v>
      </c>
      <c r="R86" s="5">
        <v>484034.071</v>
      </c>
      <c r="AG86" s="5">
        <v>75414.888000000006</v>
      </c>
      <c r="AH86" s="5">
        <v>209895</v>
      </c>
      <c r="AI86" s="5">
        <v>466214.09499999997</v>
      </c>
    </row>
    <row r="87" spans="2:37" x14ac:dyDescent="0.35">
      <c r="G87" s="5"/>
      <c r="H87" s="37"/>
      <c r="I87" s="5"/>
      <c r="J87" s="5"/>
      <c r="K87" s="5"/>
      <c r="L87" s="37"/>
      <c r="M87" s="5"/>
      <c r="N87" s="5"/>
      <c r="O87" s="5"/>
      <c r="P87" s="37"/>
      <c r="Q87" s="5"/>
      <c r="R87" s="5"/>
      <c r="S87" s="5"/>
      <c r="T87" s="5"/>
      <c r="U87" s="5"/>
      <c r="V87" s="5"/>
      <c r="W87" s="5"/>
      <c r="X87" s="5"/>
      <c r="Y87" s="5"/>
      <c r="Z87" s="5"/>
      <c r="AA87" s="5"/>
      <c r="AB87" s="5"/>
      <c r="AC87" s="5"/>
      <c r="AD87" s="5"/>
      <c r="AE87" s="5"/>
      <c r="AF87" s="5"/>
      <c r="AG87" s="5"/>
      <c r="AH87" s="5"/>
      <c r="AI87" s="5"/>
      <c r="AJ87" s="5"/>
      <c r="AK87" s="5"/>
    </row>
    <row r="88" spans="2:37" s="28" customFormat="1" x14ac:dyDescent="0.35">
      <c r="B88" s="28" t="s">
        <v>109</v>
      </c>
      <c r="G88" s="29"/>
      <c r="H88" s="48"/>
      <c r="I88" s="29"/>
      <c r="J88" s="29"/>
      <c r="K88" s="29"/>
      <c r="L88" s="48"/>
      <c r="M88" s="29"/>
      <c r="N88" s="29"/>
      <c r="O88" s="29"/>
      <c r="P88" s="48"/>
      <c r="Q88" s="29"/>
      <c r="R88" s="29"/>
      <c r="S88" s="29"/>
      <c r="T88" s="29"/>
      <c r="U88" s="29"/>
      <c r="V88" s="29"/>
      <c r="W88" s="29"/>
      <c r="X88" s="29"/>
      <c r="Y88" s="29"/>
      <c r="Z88" s="29"/>
      <c r="AA88" s="29"/>
      <c r="AB88" s="29"/>
      <c r="AC88" s="29"/>
      <c r="AD88" s="29"/>
      <c r="AE88" s="29"/>
      <c r="AF88" s="29"/>
      <c r="AG88" s="29"/>
      <c r="AH88" s="29"/>
      <c r="AI88" s="29"/>
      <c r="AJ88" s="29"/>
      <c r="AK88" s="29"/>
    </row>
    <row r="89" spans="2:37" s="1" customFormat="1" x14ac:dyDescent="0.35">
      <c r="B89" s="1" t="s">
        <v>110</v>
      </c>
      <c r="F89" s="1">
        <f t="shared" ref="F89:O89" si="51">F71/F69</f>
        <v>-2.6010610079575596</v>
      </c>
      <c r="G89" s="1">
        <f t="shared" si="51"/>
        <v>-1.4336488119210633</v>
      </c>
      <c r="H89" s="41">
        <f t="shared" si="51"/>
        <v>5.0163004961020556</v>
      </c>
      <c r="I89" s="1">
        <f t="shared" si="51"/>
        <v>3.4628501827040195</v>
      </c>
      <c r="J89" s="1">
        <f t="shared" si="51"/>
        <v>-1.1395871817524696</v>
      </c>
      <c r="K89" s="1">
        <f t="shared" si="51"/>
        <v>1.7906941950927588</v>
      </c>
      <c r="L89" s="41">
        <f t="shared" si="51"/>
        <v>3.6082998661311914</v>
      </c>
      <c r="M89" s="1">
        <f t="shared" si="51"/>
        <v>3.8654699475594998</v>
      </c>
      <c r="N89" s="1">
        <f t="shared" si="51"/>
        <v>2.0677926065902916</v>
      </c>
      <c r="O89" s="1">
        <f t="shared" si="51"/>
        <v>8.2065573770491795</v>
      </c>
      <c r="P89" s="41">
        <f t="shared" ref="P89:R89" si="52">P71/P69</f>
        <v>3.760421582507472</v>
      </c>
      <c r="Q89" s="1">
        <f t="shared" si="52"/>
        <v>2.1267045843897758</v>
      </c>
      <c r="R89" s="1">
        <f t="shared" si="52"/>
        <v>1.7789804235985835</v>
      </c>
      <c r="AG89" s="1">
        <f>AG71/AG69</f>
        <v>-1.61986967927562</v>
      </c>
      <c r="AH89" s="1">
        <f>AH71/AH69</f>
        <v>-22.062863180137349</v>
      </c>
      <c r="AI89" s="1">
        <f>AI71/AI69</f>
        <v>3.4317008952080044</v>
      </c>
    </row>
    <row r="90" spans="2:37" s="1" customFormat="1" x14ac:dyDescent="0.35">
      <c r="B90" s="1" t="s">
        <v>111</v>
      </c>
      <c r="F90" s="1">
        <f t="shared" ref="F90:O90" si="53">F72/F69</f>
        <v>-3.2132625994694961</v>
      </c>
      <c r="G90" s="1">
        <f t="shared" si="53"/>
        <v>-1.8058799838904551</v>
      </c>
      <c r="H90" s="41">
        <f t="shared" si="53"/>
        <v>4.6945428773919202</v>
      </c>
      <c r="I90" s="1">
        <f t="shared" si="53"/>
        <v>2.8696711327649207</v>
      </c>
      <c r="J90" s="1">
        <f t="shared" si="53"/>
        <v>-2.06047707011485</v>
      </c>
      <c r="K90" s="1">
        <f t="shared" si="53"/>
        <v>2.8497905445840814</v>
      </c>
      <c r="L90" s="41">
        <f t="shared" si="53"/>
        <v>6.1788487282463187</v>
      </c>
      <c r="M90" s="1">
        <f t="shared" si="53"/>
        <v>3.8225090762404195</v>
      </c>
      <c r="N90" s="1">
        <f t="shared" si="53"/>
        <v>2.711822369198063</v>
      </c>
      <c r="O90" s="1">
        <f t="shared" si="53"/>
        <v>13.133879781420765</v>
      </c>
      <c r="P90" s="41">
        <f t="shared" ref="P90:R90" si="54">P72/P69</f>
        <v>4.4783703004561897</v>
      </c>
      <c r="Q90" s="1">
        <f t="shared" si="54"/>
        <v>1.9678613033646268</v>
      </c>
      <c r="R90" s="1">
        <f t="shared" si="54"/>
        <v>1.8173314625509454</v>
      </c>
      <c r="AG90" s="1">
        <f>AG72/AG69</f>
        <v>-2.0303799610730304</v>
      </c>
      <c r="AH90" s="1">
        <f>AH72/AH69</f>
        <v>-30.847860538827259</v>
      </c>
      <c r="AI90" s="1">
        <f>AI72/AI69</f>
        <v>4.6880463401790413</v>
      </c>
    </row>
    <row r="91" spans="2:37" s="1" customFormat="1" x14ac:dyDescent="0.35">
      <c r="H91" s="41"/>
      <c r="L91" s="41"/>
      <c r="P91" s="41"/>
    </row>
    <row r="92" spans="2:37" x14ac:dyDescent="0.35">
      <c r="G92" s="5"/>
      <c r="H92" s="37"/>
      <c r="I92" s="5"/>
      <c r="J92" s="5"/>
      <c r="K92" s="5"/>
      <c r="L92" s="37"/>
      <c r="M92" s="5"/>
      <c r="N92" s="5"/>
      <c r="O92" s="5"/>
      <c r="P92" s="37"/>
      <c r="Q92" s="5"/>
      <c r="R92" s="5"/>
      <c r="S92" s="5"/>
      <c r="T92" s="5"/>
      <c r="U92" s="5"/>
      <c r="V92" s="5"/>
      <c r="W92" s="5"/>
      <c r="X92" s="5"/>
      <c r="Y92" s="5"/>
      <c r="Z92" s="5"/>
      <c r="AA92" s="5"/>
      <c r="AB92" s="5"/>
      <c r="AC92" s="5"/>
      <c r="AD92" s="5"/>
      <c r="AE92" s="5"/>
      <c r="AF92" s="5"/>
      <c r="AG92" s="5"/>
      <c r="AH92" s="5"/>
      <c r="AI92" s="5"/>
      <c r="AJ92" s="5"/>
      <c r="AK92" s="5"/>
    </row>
    <row r="93" spans="2:37" x14ac:dyDescent="0.35">
      <c r="G93" s="5"/>
      <c r="H93" s="37"/>
      <c r="I93" s="5"/>
      <c r="J93" s="5"/>
      <c r="K93" s="5"/>
      <c r="L93" s="37"/>
      <c r="M93" s="5"/>
      <c r="N93" s="5"/>
      <c r="O93" s="5"/>
      <c r="P93" s="37"/>
      <c r="Q93" s="5"/>
      <c r="R93" s="5"/>
      <c r="S93" s="5"/>
      <c r="T93" s="5"/>
      <c r="U93" s="5"/>
      <c r="V93" s="5"/>
      <c r="W93" s="5"/>
      <c r="X93" s="5"/>
      <c r="Y93" s="5"/>
      <c r="Z93" s="5"/>
      <c r="AA93" s="5"/>
      <c r="AB93" s="5"/>
      <c r="AC93" s="5"/>
      <c r="AD93" s="5"/>
      <c r="AE93" s="5"/>
      <c r="AF93" s="5"/>
      <c r="AG93" s="5"/>
      <c r="AH93" s="5"/>
      <c r="AI93" s="5"/>
      <c r="AJ93" s="5"/>
      <c r="AK93" s="5"/>
    </row>
    <row r="94" spans="2:37" x14ac:dyDescent="0.35">
      <c r="B94" t="s">
        <v>112</v>
      </c>
      <c r="G94" s="5"/>
      <c r="H94" s="37"/>
      <c r="I94" s="5"/>
      <c r="J94" s="5"/>
      <c r="K94" s="5"/>
      <c r="L94" s="37"/>
      <c r="M94" s="5"/>
      <c r="N94" s="5"/>
      <c r="O94" s="5"/>
      <c r="P94" s="37"/>
      <c r="Q94" s="5"/>
      <c r="R94" s="5"/>
      <c r="S94" s="5"/>
      <c r="T94" s="5"/>
      <c r="U94" s="5"/>
      <c r="V94" s="5"/>
      <c r="W94" s="5"/>
      <c r="X94" s="5"/>
      <c r="Y94" s="5"/>
      <c r="Z94" s="5"/>
      <c r="AA94" s="5"/>
      <c r="AB94" s="5"/>
      <c r="AC94" s="5"/>
      <c r="AD94" s="5"/>
      <c r="AE94" s="5"/>
      <c r="AF94" s="5"/>
      <c r="AG94" s="5"/>
      <c r="AH94" s="5"/>
      <c r="AI94" s="5"/>
      <c r="AJ94" s="5"/>
      <c r="AK94" s="5"/>
    </row>
    <row r="95" spans="2:37" x14ac:dyDescent="0.35">
      <c r="B95" t="s">
        <v>113</v>
      </c>
      <c r="F95" s="11">
        <f t="shared" ref="F95:O95" si="55">F69/F67</f>
        <v>-0.17666354264292408</v>
      </c>
      <c r="G95" s="11">
        <f t="shared" si="55"/>
        <v>-0.40555328705594118</v>
      </c>
      <c r="H95" s="42">
        <f t="shared" si="55"/>
        <v>7.7561565523306952E-2</v>
      </c>
      <c r="I95" s="11">
        <f t="shared" si="55"/>
        <v>0.21835106382978722</v>
      </c>
      <c r="J95" s="11">
        <f t="shared" si="55"/>
        <v>-2.3550217514658596</v>
      </c>
      <c r="K95" s="11">
        <f t="shared" si="55"/>
        <v>0.24324914477036175</v>
      </c>
      <c r="L95" s="42">
        <f t="shared" si="55"/>
        <v>9.1762277964769184E-2</v>
      </c>
      <c r="M95" s="11">
        <f t="shared" si="55"/>
        <v>8.937520279770704E-2</v>
      </c>
      <c r="N95" s="11">
        <f t="shared" si="55"/>
        <v>0.13427533818608561</v>
      </c>
      <c r="O95" s="11">
        <f t="shared" si="55"/>
        <v>3.5354120783586414E-2</v>
      </c>
      <c r="P95" s="42">
        <f t="shared" ref="P95:Q95" si="56">P69/P67</f>
        <v>0.11580289643865561</v>
      </c>
      <c r="Q95" s="11">
        <f t="shared" si="56"/>
        <v>0.23520025787734708</v>
      </c>
      <c r="R95" s="11">
        <f t="shared" ref="R95:U95" si="57">R69/R67</f>
        <v>0.22120571673489897</v>
      </c>
      <c r="S95" s="11" t="e">
        <f t="shared" si="57"/>
        <v>#DIV/0!</v>
      </c>
      <c r="T95" s="11" t="e">
        <f t="shared" si="57"/>
        <v>#DIV/0!</v>
      </c>
      <c r="U95" s="11" t="e">
        <f t="shared" si="57"/>
        <v>#DIV/0!</v>
      </c>
      <c r="V95" s="5"/>
      <c r="W95" s="5"/>
      <c r="X95" s="5"/>
      <c r="Y95" s="5"/>
      <c r="Z95" s="5"/>
      <c r="AA95" s="5"/>
      <c r="AB95" s="5"/>
      <c r="AC95" s="5"/>
      <c r="AD95" s="5"/>
      <c r="AE95" s="5"/>
      <c r="AF95" s="5"/>
      <c r="AG95" s="5"/>
      <c r="AH95" s="5"/>
      <c r="AI95" s="5"/>
      <c r="AJ95" s="5"/>
      <c r="AK95" s="5"/>
    </row>
    <row r="96" spans="2:37" x14ac:dyDescent="0.35">
      <c r="B96" t="s">
        <v>114</v>
      </c>
      <c r="F96" s="11">
        <f t="shared" ref="F96:O96" si="58">F81/F67</f>
        <v>-1.1813495782567947</v>
      </c>
      <c r="G96" s="11">
        <f t="shared" si="58"/>
        <v>-1.7313189056757861</v>
      </c>
      <c r="H96" s="42">
        <f t="shared" si="58"/>
        <v>-0.87302110817941958</v>
      </c>
      <c r="I96" s="11">
        <f t="shared" si="58"/>
        <v>-1.4773936170212767</v>
      </c>
      <c r="J96" s="11">
        <f t="shared" si="58"/>
        <v>-16.638736523548324</v>
      </c>
      <c r="K96" s="11">
        <f t="shared" si="58"/>
        <v>0.11631123080282407</v>
      </c>
      <c r="L96" s="42">
        <f t="shared" si="58"/>
        <v>-0.6561924182492691</v>
      </c>
      <c r="M96" s="11">
        <f t="shared" si="58"/>
        <v>-0.67449616036341353</v>
      </c>
      <c r="N96" s="11">
        <f t="shared" si="58"/>
        <v>-0.54886848406996847</v>
      </c>
      <c r="O96" s="11">
        <f t="shared" si="58"/>
        <v>-0.71882848421622036</v>
      </c>
      <c r="P96" s="42">
        <f t="shared" ref="P96:Q96" si="59">P81/P67</f>
        <v>-0.83098642863648786</v>
      </c>
      <c r="Q96" s="11">
        <f t="shared" si="59"/>
        <v>-0.73960834877911197</v>
      </c>
      <c r="R96" s="11">
        <f t="shared" ref="R96:U96" si="60">R81/R67</f>
        <v>-0.5995773045033328</v>
      </c>
      <c r="S96" s="11" t="e">
        <f t="shared" si="60"/>
        <v>#DIV/0!</v>
      </c>
      <c r="T96" s="11" t="e">
        <f t="shared" si="60"/>
        <v>#DIV/0!</v>
      </c>
      <c r="U96" s="11" t="e">
        <f t="shared" si="60"/>
        <v>#DIV/0!</v>
      </c>
      <c r="V96" s="5"/>
      <c r="W96" s="5"/>
      <c r="X96" s="5"/>
      <c r="Y96" s="5"/>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5"/>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5"/>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5"/>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5"/>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5"/>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5"/>
      <c r="U102" s="5"/>
      <c r="V102" s="5"/>
      <c r="W102" s="5"/>
      <c r="X102" s="5"/>
      <c r="Y102" s="5"/>
      <c r="Z102" s="5"/>
      <c r="AA102" s="5"/>
      <c r="AB102" s="5"/>
      <c r="AC102" s="5"/>
      <c r="AD102" s="5"/>
      <c r="AE102" s="5"/>
      <c r="AF102" s="5"/>
      <c r="AG102" s="5"/>
      <c r="AH102" s="5"/>
      <c r="AI102" s="5"/>
      <c r="AJ102" s="5"/>
      <c r="AK102" s="5"/>
    </row>
    <row r="103" spans="2:40" s="4" customFormat="1" x14ac:dyDescent="0.35">
      <c r="B103" s="4" t="s">
        <v>187</v>
      </c>
      <c r="H103" s="45"/>
      <c r="I103" s="7"/>
      <c r="J103" s="7"/>
      <c r="K103" s="7"/>
      <c r="L103" s="45"/>
      <c r="M103" s="7"/>
      <c r="N103" s="7"/>
      <c r="O103" s="7"/>
      <c r="P103" s="45"/>
      <c r="Q103" s="7"/>
      <c r="R103" s="7"/>
      <c r="S103" s="7"/>
      <c r="T103" s="7"/>
      <c r="U103" s="7"/>
      <c r="V103" s="7"/>
      <c r="W103" s="7"/>
      <c r="X103" s="7"/>
      <c r="Y103" s="7"/>
      <c r="Z103" s="7"/>
      <c r="AA103" s="7"/>
      <c r="AB103" s="7"/>
      <c r="AC103" s="7"/>
      <c r="AD103" s="7"/>
      <c r="AE103" s="7"/>
      <c r="AF103" s="7"/>
      <c r="AG103" s="7"/>
      <c r="AH103" s="7"/>
      <c r="AI103" s="7"/>
      <c r="AJ103" s="7"/>
      <c r="AK103" s="7"/>
    </row>
    <row r="104" spans="2:40" s="30" customFormat="1" x14ac:dyDescent="0.35">
      <c r="B104" s="28" t="s">
        <v>115</v>
      </c>
      <c r="C104" s="28"/>
      <c r="D104" s="28"/>
      <c r="E104" s="28"/>
      <c r="H104" s="49"/>
      <c r="I104" s="31"/>
      <c r="J104" s="31"/>
      <c r="K104" s="31"/>
      <c r="L104" s="49"/>
      <c r="M104" s="31"/>
      <c r="N104" s="31"/>
      <c r="O104" s="31"/>
      <c r="P104" s="49"/>
      <c r="Q104" s="31"/>
      <c r="R104" s="31"/>
      <c r="S104" s="31"/>
      <c r="T104" s="31"/>
      <c r="U104" s="31"/>
      <c r="V104" s="31"/>
      <c r="W104" s="31"/>
      <c r="X104" s="31"/>
      <c r="Y104" s="31"/>
      <c r="Z104" s="31"/>
      <c r="AA104" s="31"/>
      <c r="AB104" s="31"/>
      <c r="AC104" s="31"/>
      <c r="AD104" s="31"/>
      <c r="AE104" s="31"/>
      <c r="AF104" s="31"/>
      <c r="AG104" s="31"/>
      <c r="AH104" s="31"/>
      <c r="AI104" s="31"/>
      <c r="AJ104" s="31"/>
      <c r="AK104" s="31"/>
    </row>
    <row r="105" spans="2:40" x14ac:dyDescent="0.35">
      <c r="B105" t="s">
        <v>116</v>
      </c>
      <c r="F105" s="5">
        <v>924.37</v>
      </c>
      <c r="G105" s="5">
        <f t="shared" ref="G105:G110" si="61">AG105</f>
        <v>865.90300000000002</v>
      </c>
      <c r="H105" s="37">
        <v>425.45299999999997</v>
      </c>
      <c r="I105" s="5">
        <v>44.845999999999997</v>
      </c>
      <c r="J105" s="5">
        <v>792660</v>
      </c>
      <c r="K105" s="5">
        <v>690959</v>
      </c>
      <c r="L105" s="37">
        <v>603144</v>
      </c>
      <c r="M105" s="5">
        <v>542511</v>
      </c>
      <c r="N105" s="5">
        <v>333279</v>
      </c>
      <c r="O105" s="5">
        <f t="shared" ref="O105:O110" si="62">AI105</f>
        <v>242515</v>
      </c>
      <c r="P105" s="37">
        <v>208365</v>
      </c>
      <c r="Q105" s="5">
        <v>197160</v>
      </c>
      <c r="R105" s="5">
        <v>140904</v>
      </c>
      <c r="S105" s="5"/>
      <c r="T105" s="5"/>
      <c r="U105" s="5"/>
      <c r="V105" s="5"/>
      <c r="W105" s="5"/>
      <c r="X105" s="5"/>
      <c r="Y105" s="5"/>
      <c r="Z105" s="5"/>
      <c r="AA105" s="5"/>
      <c r="AB105" s="5"/>
      <c r="AC105" s="5"/>
      <c r="AD105" s="5"/>
      <c r="AE105" s="5"/>
      <c r="AF105" s="5"/>
      <c r="AG105" s="5">
        <v>865.90300000000002</v>
      </c>
      <c r="AH105" s="5">
        <v>690959</v>
      </c>
      <c r="AI105" s="5">
        <v>242515</v>
      </c>
      <c r="AJ105" s="5"/>
      <c r="AK105" s="5"/>
    </row>
    <row r="106" spans="2:40" x14ac:dyDescent="0.35">
      <c r="B106" t="s">
        <v>117</v>
      </c>
      <c r="F106" s="5">
        <v>0</v>
      </c>
      <c r="G106" s="5">
        <f t="shared" si="61"/>
        <v>0</v>
      </c>
      <c r="H106" s="37">
        <v>0</v>
      </c>
      <c r="I106" s="5">
        <v>0</v>
      </c>
      <c r="J106" s="5">
        <v>0</v>
      </c>
      <c r="K106" s="5">
        <v>0</v>
      </c>
      <c r="L106" s="37">
        <v>0</v>
      </c>
      <c r="M106" s="5">
        <v>0</v>
      </c>
      <c r="N106" s="5">
        <v>169428</v>
      </c>
      <c r="O106" s="5">
        <f t="shared" si="62"/>
        <v>229276</v>
      </c>
      <c r="P106" s="37">
        <v>190357</v>
      </c>
      <c r="Q106" s="5">
        <v>144018</v>
      </c>
      <c r="R106" s="5">
        <v>147513</v>
      </c>
      <c r="S106" s="5"/>
      <c r="T106" s="5"/>
      <c r="U106" s="5"/>
      <c r="V106" s="5"/>
      <c r="W106" s="5"/>
      <c r="X106" s="5"/>
      <c r="Y106" s="5"/>
      <c r="Z106" s="5"/>
      <c r="AA106" s="5"/>
      <c r="AB106" s="5"/>
      <c r="AC106" s="5"/>
      <c r="AD106" s="5"/>
      <c r="AE106" s="5"/>
      <c r="AF106" s="5"/>
      <c r="AG106" s="5">
        <v>0</v>
      </c>
      <c r="AH106" s="5">
        <v>0</v>
      </c>
      <c r="AI106" s="5">
        <v>229276</v>
      </c>
      <c r="AJ106" s="5"/>
      <c r="AK106" s="5"/>
    </row>
    <row r="107" spans="2:40" x14ac:dyDescent="0.35">
      <c r="B107" t="s">
        <v>118</v>
      </c>
      <c r="F107" s="5">
        <v>0</v>
      </c>
      <c r="G107" s="5">
        <f t="shared" si="61"/>
        <v>0</v>
      </c>
      <c r="H107" s="37">
        <v>0</v>
      </c>
      <c r="I107" s="5">
        <v>0</v>
      </c>
      <c r="J107" s="5">
        <v>13336</v>
      </c>
      <c r="K107" s="5">
        <v>13957</v>
      </c>
      <c r="L107" s="37">
        <v>32990</v>
      </c>
      <c r="M107" s="5">
        <v>40183</v>
      </c>
      <c r="N107" s="5">
        <v>57732</v>
      </c>
      <c r="O107" s="5">
        <f t="shared" si="62"/>
        <v>36572</v>
      </c>
      <c r="P107" s="37">
        <v>50690</v>
      </c>
      <c r="Q107" s="5">
        <v>25175</v>
      </c>
      <c r="R107" s="5">
        <v>22787</v>
      </c>
      <c r="S107" s="5"/>
      <c r="T107" s="5"/>
      <c r="U107" s="5"/>
      <c r="V107" s="5"/>
      <c r="W107" s="5"/>
      <c r="X107" s="5"/>
      <c r="Y107" s="5"/>
      <c r="Z107" s="5"/>
      <c r="AA107" s="5"/>
      <c r="AB107" s="5"/>
      <c r="AC107" s="5"/>
      <c r="AD107" s="5"/>
      <c r="AE107" s="5"/>
      <c r="AF107" s="5"/>
      <c r="AG107" s="5">
        <v>0</v>
      </c>
      <c r="AH107" s="5">
        <v>13957</v>
      </c>
      <c r="AI107" s="5">
        <v>36572</v>
      </c>
      <c r="AJ107" s="5"/>
      <c r="AK107" s="5"/>
    </row>
    <row r="108" spans="2:40" x14ac:dyDescent="0.35">
      <c r="B108" t="s">
        <v>119</v>
      </c>
      <c r="F108" s="5">
        <v>0</v>
      </c>
      <c r="G108" s="5">
        <f t="shared" si="61"/>
        <v>0</v>
      </c>
      <c r="H108" s="37">
        <v>0</v>
      </c>
      <c r="I108" s="5">
        <v>0</v>
      </c>
      <c r="J108" s="5">
        <v>73</v>
      </c>
      <c r="K108" s="5">
        <v>2490</v>
      </c>
      <c r="L108" s="37">
        <v>5853</v>
      </c>
      <c r="M108" s="5">
        <v>4393</v>
      </c>
      <c r="N108" s="5">
        <v>9063</v>
      </c>
      <c r="O108" s="5">
        <f t="shared" si="62"/>
        <v>9451</v>
      </c>
      <c r="P108" s="37">
        <v>12558</v>
      </c>
      <c r="Q108" s="5">
        <v>16714</v>
      </c>
      <c r="R108" s="5">
        <v>13042</v>
      </c>
      <c r="S108" s="5"/>
      <c r="T108" s="5"/>
      <c r="U108" s="5"/>
      <c r="V108" s="5"/>
      <c r="W108" s="5"/>
      <c r="X108" s="5"/>
      <c r="Y108" s="5"/>
      <c r="Z108" s="5"/>
      <c r="AA108" s="5"/>
      <c r="AB108" s="5"/>
      <c r="AC108" s="5"/>
      <c r="AD108" s="5"/>
      <c r="AE108" s="5"/>
      <c r="AF108" s="5"/>
      <c r="AG108" s="5">
        <v>0</v>
      </c>
      <c r="AH108" s="5">
        <v>2490</v>
      </c>
      <c r="AI108" s="5">
        <v>9451</v>
      </c>
      <c r="AJ108" s="5"/>
      <c r="AK108" s="5"/>
    </row>
    <row r="109" spans="2:40" x14ac:dyDescent="0.35">
      <c r="B109" t="s">
        <v>120</v>
      </c>
      <c r="F109" s="5">
        <v>0</v>
      </c>
      <c r="G109" s="5">
        <f t="shared" si="61"/>
        <v>0</v>
      </c>
      <c r="H109" s="37">
        <v>0</v>
      </c>
      <c r="I109" s="5">
        <v>0</v>
      </c>
      <c r="J109" s="5">
        <v>38365</v>
      </c>
      <c r="K109" s="5">
        <v>47904</v>
      </c>
      <c r="L109" s="37">
        <v>77888</v>
      </c>
      <c r="M109" s="5">
        <v>85683</v>
      </c>
      <c r="N109" s="5">
        <v>86138</v>
      </c>
      <c r="O109" s="5">
        <f t="shared" si="62"/>
        <v>92279</v>
      </c>
      <c r="P109" s="37">
        <v>98453</v>
      </c>
      <c r="Q109" s="5">
        <v>102234</v>
      </c>
      <c r="R109" s="5">
        <v>102394</v>
      </c>
      <c r="S109" s="5"/>
      <c r="T109" s="5"/>
      <c r="U109" s="5"/>
      <c r="V109" s="5"/>
      <c r="W109" s="5"/>
      <c r="X109" s="5"/>
      <c r="Y109" s="5"/>
      <c r="Z109" s="5"/>
      <c r="AA109" s="5"/>
      <c r="AB109" s="5"/>
      <c r="AC109" s="5"/>
      <c r="AD109" s="5"/>
      <c r="AE109" s="5"/>
      <c r="AF109" s="5"/>
      <c r="AG109" s="5">
        <v>0</v>
      </c>
      <c r="AH109" s="5">
        <v>47904</v>
      </c>
      <c r="AI109" s="5">
        <v>92279</v>
      </c>
      <c r="AJ109" s="5"/>
      <c r="AK109" s="5"/>
    </row>
    <row r="110" spans="2:40" s="2" customFormat="1" x14ac:dyDescent="0.35">
      <c r="B110" s="2" t="s">
        <v>121</v>
      </c>
      <c r="F110" s="6">
        <v>428150</v>
      </c>
      <c r="G110" s="6">
        <f t="shared" si="61"/>
        <v>366.64699999999999</v>
      </c>
      <c r="H110" s="38">
        <v>352.25</v>
      </c>
      <c r="I110" s="6">
        <v>284.625</v>
      </c>
      <c r="J110" s="6">
        <v>10582</v>
      </c>
      <c r="K110" s="6">
        <v>19454</v>
      </c>
      <c r="L110" s="38">
        <v>26307</v>
      </c>
      <c r="M110" s="6">
        <v>33646</v>
      </c>
      <c r="N110" s="6">
        <v>43810</v>
      </c>
      <c r="O110" s="6">
        <f t="shared" si="62"/>
        <v>52201</v>
      </c>
      <c r="P110" s="38">
        <f>63203+11630</f>
        <v>74833</v>
      </c>
      <c r="Q110" s="6">
        <f>63520+11384</f>
        <v>74904</v>
      </c>
      <c r="R110" s="6">
        <f>68341+11259</f>
        <v>79600</v>
      </c>
      <c r="S110" s="6"/>
      <c r="T110" s="6"/>
      <c r="U110" s="6"/>
      <c r="V110" s="6"/>
      <c r="W110" s="6"/>
      <c r="X110" s="6"/>
      <c r="Y110" s="6"/>
      <c r="Z110" s="6"/>
      <c r="AA110" s="6"/>
      <c r="AB110" s="6"/>
      <c r="AC110" s="6"/>
      <c r="AD110" s="6"/>
      <c r="AE110" s="6"/>
      <c r="AF110" s="6"/>
      <c r="AG110" s="6">
        <v>366.64699999999999</v>
      </c>
      <c r="AH110" s="6">
        <v>19454</v>
      </c>
      <c r="AI110" s="6">
        <v>52201</v>
      </c>
      <c r="AJ110" s="6"/>
      <c r="AK110" s="6"/>
    </row>
    <row r="111" spans="2:40" s="12" customFormat="1" x14ac:dyDescent="0.35">
      <c r="B111" s="12" t="s">
        <v>122</v>
      </c>
      <c r="F111" s="24">
        <f t="shared" ref="F111:AC111" si="63">SUM(F105:F110)</f>
        <v>429074.37</v>
      </c>
      <c r="G111" s="24">
        <f t="shared" si="63"/>
        <v>1232.55</v>
      </c>
      <c r="H111" s="40">
        <f t="shared" si="63"/>
        <v>777.70299999999997</v>
      </c>
      <c r="I111" s="24">
        <f t="shared" si="63"/>
        <v>329.471</v>
      </c>
      <c r="J111" s="24">
        <f t="shared" si="63"/>
        <v>855016</v>
      </c>
      <c r="K111" s="24">
        <f t="shared" si="63"/>
        <v>774764</v>
      </c>
      <c r="L111" s="40">
        <f t="shared" si="63"/>
        <v>746182</v>
      </c>
      <c r="M111" s="24">
        <f t="shared" si="63"/>
        <v>706416</v>
      </c>
      <c r="N111" s="24">
        <f t="shared" si="63"/>
        <v>699450</v>
      </c>
      <c r="O111" s="24">
        <f t="shared" si="63"/>
        <v>662294</v>
      </c>
      <c r="P111" s="40">
        <f t="shared" si="63"/>
        <v>635256</v>
      </c>
      <c r="Q111" s="24">
        <f t="shared" si="63"/>
        <v>560205</v>
      </c>
      <c r="R111" s="24">
        <f t="shared" si="63"/>
        <v>506240</v>
      </c>
      <c r="S111" s="24"/>
      <c r="T111" s="24"/>
      <c r="U111" s="24"/>
      <c r="V111" s="24"/>
      <c r="W111" s="24"/>
      <c r="X111" s="24"/>
      <c r="Y111" s="24"/>
      <c r="Z111" s="24">
        <f t="shared" si="63"/>
        <v>0</v>
      </c>
      <c r="AA111" s="24">
        <f t="shared" si="63"/>
        <v>0</v>
      </c>
      <c r="AB111" s="24">
        <f t="shared" si="63"/>
        <v>0</v>
      </c>
      <c r="AC111" s="24">
        <f t="shared" si="63"/>
        <v>0</v>
      </c>
      <c r="AD111" s="24"/>
      <c r="AE111" s="24"/>
      <c r="AF111" s="24"/>
      <c r="AG111" s="24">
        <f t="shared" ref="AG111:AN111" si="64">SUM(AG105:AG110)</f>
        <v>1232.55</v>
      </c>
      <c r="AH111" s="24">
        <f t="shared" si="64"/>
        <v>774764</v>
      </c>
      <c r="AI111" s="24">
        <f t="shared" si="64"/>
        <v>662294</v>
      </c>
      <c r="AJ111" s="24">
        <f t="shared" si="64"/>
        <v>0</v>
      </c>
      <c r="AK111" s="24">
        <f t="shared" si="64"/>
        <v>0</v>
      </c>
      <c r="AL111" s="24">
        <f t="shared" si="64"/>
        <v>0</v>
      </c>
      <c r="AM111" s="24">
        <f t="shared" si="64"/>
        <v>0</v>
      </c>
      <c r="AN111" s="24">
        <f t="shared" si="64"/>
        <v>0</v>
      </c>
    </row>
    <row r="112" spans="2:40" s="28" customFormat="1" x14ac:dyDescent="0.35">
      <c r="B112" s="28" t="s">
        <v>123</v>
      </c>
      <c r="F112" s="29"/>
      <c r="G112" s="29"/>
      <c r="H112" s="48"/>
      <c r="I112" s="29"/>
      <c r="J112" s="29"/>
      <c r="K112" s="29"/>
      <c r="L112" s="48"/>
      <c r="M112" s="29"/>
      <c r="N112" s="29"/>
      <c r="O112" s="29"/>
      <c r="P112" s="48"/>
      <c r="Q112" s="29"/>
      <c r="R112" s="29"/>
      <c r="S112" s="29"/>
      <c r="T112" s="29"/>
      <c r="U112" s="29"/>
      <c r="V112" s="29"/>
      <c r="W112" s="29"/>
      <c r="X112" s="29"/>
      <c r="Y112" s="29"/>
      <c r="Z112" s="29"/>
      <c r="AA112" s="29"/>
      <c r="AB112" s="29"/>
      <c r="AC112" s="29"/>
      <c r="AD112" s="29"/>
      <c r="AE112" s="29"/>
      <c r="AF112" s="29"/>
      <c r="AG112" s="29"/>
      <c r="AH112" s="29"/>
      <c r="AI112" s="29"/>
      <c r="AJ112" s="29"/>
      <c r="AK112" s="29"/>
    </row>
    <row r="113" spans="2:40" x14ac:dyDescent="0.35">
      <c r="B113" t="s">
        <v>124</v>
      </c>
      <c r="F113" s="5">
        <v>300000</v>
      </c>
      <c r="G113" s="5">
        <f t="shared" ref="G113:G123" si="65">AG113</f>
        <v>320004.84600000002</v>
      </c>
      <c r="H113" s="37">
        <v>320009.65600000002</v>
      </c>
      <c r="I113" s="5">
        <v>320014.51899999997</v>
      </c>
      <c r="J113" s="5">
        <v>0</v>
      </c>
      <c r="K113" s="5">
        <v>0</v>
      </c>
      <c r="L113" s="37">
        <v>0</v>
      </c>
      <c r="M113" s="5">
        <v>0</v>
      </c>
      <c r="N113" s="5">
        <v>0</v>
      </c>
      <c r="O113" s="5">
        <f t="shared" ref="O113:O123" si="66">AI113</f>
        <v>0</v>
      </c>
      <c r="P113" s="37">
        <v>0</v>
      </c>
      <c r="Q113" s="5">
        <v>0</v>
      </c>
      <c r="R113" s="5">
        <v>0</v>
      </c>
      <c r="S113" s="5"/>
      <c r="T113" s="5"/>
      <c r="U113" s="5"/>
      <c r="V113" s="5"/>
      <c r="W113" s="5"/>
      <c r="X113" s="5"/>
      <c r="Y113" s="5"/>
      <c r="Z113" s="5"/>
      <c r="AA113" s="5"/>
      <c r="AB113" s="5"/>
      <c r="AC113" s="5"/>
      <c r="AD113" s="5"/>
      <c r="AE113" s="5"/>
      <c r="AF113" s="5"/>
      <c r="AG113" s="5">
        <v>320004.84600000002</v>
      </c>
      <c r="AH113" s="5">
        <v>0</v>
      </c>
      <c r="AI113" s="5">
        <v>0</v>
      </c>
      <c r="AJ113" s="5"/>
      <c r="AK113" s="5"/>
    </row>
    <row r="114" spans="2:40" x14ac:dyDescent="0.35">
      <c r="B114" t="s">
        <v>125</v>
      </c>
      <c r="F114" s="5">
        <v>0</v>
      </c>
      <c r="G114" s="5">
        <f t="shared" si="65"/>
        <v>0</v>
      </c>
      <c r="H114" s="37">
        <v>0</v>
      </c>
      <c r="I114" s="5">
        <v>0</v>
      </c>
      <c r="J114" s="5">
        <v>54859</v>
      </c>
      <c r="K114" s="5">
        <v>65339</v>
      </c>
      <c r="L114" s="37">
        <v>99554</v>
      </c>
      <c r="M114" s="5">
        <v>97031</v>
      </c>
      <c r="N114" s="5">
        <v>93547</v>
      </c>
      <c r="O114" s="5">
        <f t="shared" si="66"/>
        <v>101514</v>
      </c>
      <c r="P114" s="37">
        <v>95981</v>
      </c>
      <c r="Q114" s="5">
        <v>120004</v>
      </c>
      <c r="R114" s="5">
        <v>135988</v>
      </c>
      <c r="S114" s="5"/>
      <c r="T114" s="5"/>
      <c r="U114" s="5"/>
      <c r="V114" s="5"/>
      <c r="W114" s="5"/>
      <c r="X114" s="5"/>
      <c r="Y114" s="5"/>
      <c r="Z114" s="5"/>
      <c r="AA114" s="5"/>
      <c r="AB114" s="5"/>
      <c r="AC114" s="5"/>
      <c r="AD114" s="5"/>
      <c r="AE114" s="5"/>
      <c r="AF114" s="5"/>
      <c r="AG114" s="5">
        <v>0</v>
      </c>
      <c r="AH114" s="5">
        <v>65339</v>
      </c>
      <c r="AI114" s="5">
        <v>101514</v>
      </c>
      <c r="AJ114" s="5"/>
      <c r="AK114" s="5"/>
    </row>
    <row r="115" spans="2:40" x14ac:dyDescent="0.35">
      <c r="B115" t="s">
        <v>126</v>
      </c>
      <c r="F115" s="5">
        <v>0</v>
      </c>
      <c r="G115" s="5">
        <f t="shared" si="65"/>
        <v>0</v>
      </c>
      <c r="H115" s="37">
        <v>0</v>
      </c>
      <c r="I115" s="5">
        <v>0</v>
      </c>
      <c r="J115" s="5">
        <v>9892</v>
      </c>
      <c r="K115" s="5">
        <v>57487</v>
      </c>
      <c r="L115" s="37">
        <v>87617</v>
      </c>
      <c r="M115" s="5">
        <v>84503</v>
      </c>
      <c r="N115" s="5">
        <v>82980</v>
      </c>
      <c r="O115" s="5">
        <f t="shared" si="66"/>
        <v>79692</v>
      </c>
      <c r="P115" s="37">
        <v>76495</v>
      </c>
      <c r="Q115" s="5">
        <v>73309</v>
      </c>
      <c r="R115" s="5">
        <v>70404</v>
      </c>
      <c r="S115" s="5"/>
      <c r="T115" s="5"/>
      <c r="U115" s="5"/>
      <c r="V115" s="5"/>
      <c r="W115" s="5"/>
      <c r="X115" s="5"/>
      <c r="Y115" s="5"/>
      <c r="Z115" s="5"/>
      <c r="AA115" s="5"/>
      <c r="AB115" s="5"/>
      <c r="AC115" s="5"/>
      <c r="AD115" s="5"/>
      <c r="AE115" s="5"/>
      <c r="AF115" s="5"/>
      <c r="AG115" s="5">
        <v>0</v>
      </c>
      <c r="AH115" s="5">
        <v>57487</v>
      </c>
      <c r="AI115" s="5">
        <v>79692</v>
      </c>
      <c r="AJ115" s="5"/>
      <c r="AK115" s="5"/>
    </row>
    <row r="116" spans="2:40" x14ac:dyDescent="0.35">
      <c r="B116" t="s">
        <v>127</v>
      </c>
      <c r="F116" s="5">
        <v>0</v>
      </c>
      <c r="G116" s="5">
        <f t="shared" si="65"/>
        <v>0</v>
      </c>
      <c r="H116" s="37">
        <v>0</v>
      </c>
      <c r="I116" s="5">
        <v>0</v>
      </c>
      <c r="J116" s="5">
        <v>3195</v>
      </c>
      <c r="K116" s="5">
        <v>43308</v>
      </c>
      <c r="L116" s="37">
        <v>58767</v>
      </c>
      <c r="M116" s="5">
        <v>58281</v>
      </c>
      <c r="N116" s="5">
        <v>59929</v>
      </c>
      <c r="O116" s="5">
        <f t="shared" si="66"/>
        <v>71020</v>
      </c>
      <c r="P116" s="37">
        <v>71020</v>
      </c>
      <c r="Q116" s="5">
        <v>71020</v>
      </c>
      <c r="R116" s="5">
        <v>71020</v>
      </c>
      <c r="S116" s="5"/>
      <c r="T116" s="5"/>
      <c r="U116" s="5"/>
      <c r="V116" s="5"/>
      <c r="W116" s="5"/>
      <c r="X116" s="5"/>
      <c r="Y116" s="5"/>
      <c r="Z116" s="5"/>
      <c r="AA116" s="5"/>
      <c r="AB116" s="5"/>
      <c r="AC116" s="5"/>
      <c r="AD116" s="5"/>
      <c r="AE116" s="5"/>
      <c r="AF116" s="5"/>
      <c r="AG116" s="5">
        <v>0</v>
      </c>
      <c r="AH116" s="5">
        <v>43308</v>
      </c>
      <c r="AI116" s="5">
        <v>71020</v>
      </c>
      <c r="AJ116" s="5"/>
      <c r="AK116" s="5"/>
    </row>
    <row r="117" spans="2:40" x14ac:dyDescent="0.35">
      <c r="B117" t="s">
        <v>128</v>
      </c>
      <c r="F117" s="5">
        <v>0</v>
      </c>
      <c r="G117" s="5">
        <f t="shared" si="65"/>
        <v>0</v>
      </c>
      <c r="H117" s="37">
        <v>0</v>
      </c>
      <c r="I117" s="5">
        <v>0</v>
      </c>
      <c r="J117" s="5">
        <v>25379</v>
      </c>
      <c r="K117" s="5">
        <v>28424</v>
      </c>
      <c r="L117" s="37">
        <v>33448</v>
      </c>
      <c r="M117" s="5">
        <v>31365</v>
      </c>
      <c r="N117" s="5">
        <v>32214</v>
      </c>
      <c r="O117" s="5">
        <f t="shared" si="66"/>
        <v>35239</v>
      </c>
      <c r="P117" s="37">
        <v>34839</v>
      </c>
      <c r="Q117" s="5">
        <v>47586</v>
      </c>
      <c r="R117" s="5">
        <v>44900</v>
      </c>
      <c r="S117" s="5"/>
      <c r="T117" s="5"/>
      <c r="U117" s="5"/>
      <c r="V117" s="5"/>
      <c r="W117" s="5"/>
      <c r="X117" s="5"/>
      <c r="Y117" s="5"/>
      <c r="Z117" s="5"/>
      <c r="AA117" s="5"/>
      <c r="AB117" s="5"/>
      <c r="AC117" s="5"/>
      <c r="AD117" s="5"/>
      <c r="AE117" s="5"/>
      <c r="AF117" s="5"/>
      <c r="AG117" s="5">
        <v>0</v>
      </c>
      <c r="AH117" s="5">
        <v>28424</v>
      </c>
      <c r="AI117" s="5">
        <v>35239</v>
      </c>
      <c r="AJ117" s="5"/>
      <c r="AK117" s="5"/>
    </row>
    <row r="118" spans="2:40" x14ac:dyDescent="0.35">
      <c r="B118" t="s">
        <v>129</v>
      </c>
      <c r="F118" s="5">
        <v>0</v>
      </c>
      <c r="G118" s="5">
        <f t="shared" si="65"/>
        <v>0</v>
      </c>
      <c r="H118" s="37">
        <v>0</v>
      </c>
      <c r="I118" s="5">
        <v>0</v>
      </c>
      <c r="J118" s="5">
        <v>0</v>
      </c>
      <c r="K118" s="5">
        <v>0</v>
      </c>
      <c r="L118" s="37">
        <v>16073</v>
      </c>
      <c r="M118" s="5">
        <v>15921</v>
      </c>
      <c r="N118" s="5">
        <v>15768</v>
      </c>
      <c r="O118" s="5">
        <f t="shared" si="66"/>
        <v>15614</v>
      </c>
      <c r="P118" s="37">
        <v>15458</v>
      </c>
      <c r="Q118" s="5">
        <v>15302</v>
      </c>
      <c r="R118" s="5">
        <v>15145</v>
      </c>
      <c r="S118" s="5"/>
      <c r="T118" s="5"/>
      <c r="U118" s="5"/>
      <c r="V118" s="5"/>
      <c r="W118" s="5"/>
      <c r="X118" s="5"/>
      <c r="Y118" s="5"/>
      <c r="Z118" s="5"/>
      <c r="AA118" s="5"/>
      <c r="AB118" s="5"/>
      <c r="AC118" s="5"/>
      <c r="AD118" s="5"/>
      <c r="AE118" s="5"/>
      <c r="AF118" s="5"/>
      <c r="AG118" s="5">
        <v>0</v>
      </c>
      <c r="AH118" s="5">
        <v>0</v>
      </c>
      <c r="AI118" s="5">
        <v>15614</v>
      </c>
      <c r="AJ118" s="5"/>
      <c r="AK118" s="5"/>
    </row>
    <row r="119" spans="2:40" x14ac:dyDescent="0.35">
      <c r="B119" t="s">
        <v>117</v>
      </c>
      <c r="F119" s="5">
        <v>0</v>
      </c>
      <c r="G119" s="5">
        <f t="shared" si="65"/>
        <v>0</v>
      </c>
      <c r="H119" s="37">
        <v>0</v>
      </c>
      <c r="I119" s="5">
        <v>0</v>
      </c>
      <c r="J119" s="5">
        <v>0</v>
      </c>
      <c r="K119" s="5">
        <v>0</v>
      </c>
      <c r="L119" s="37">
        <v>0</v>
      </c>
      <c r="M119" s="5">
        <v>0</v>
      </c>
      <c r="N119" s="5">
        <v>9751</v>
      </c>
      <c r="O119" s="5">
        <f t="shared" si="66"/>
        <v>9193</v>
      </c>
      <c r="P119" s="37">
        <v>47920</v>
      </c>
      <c r="Q119" s="5">
        <v>73941</v>
      </c>
      <c r="R119" s="5">
        <v>81951</v>
      </c>
      <c r="S119" s="5"/>
      <c r="T119" s="5"/>
      <c r="U119" s="5"/>
      <c r="V119" s="5"/>
      <c r="W119" s="5"/>
      <c r="X119" s="5"/>
      <c r="Y119" s="5"/>
      <c r="Z119" s="5"/>
      <c r="AA119" s="5"/>
      <c r="AB119" s="5"/>
      <c r="AC119" s="5"/>
      <c r="AD119" s="5"/>
      <c r="AE119" s="5"/>
      <c r="AF119" s="5"/>
      <c r="AG119" s="5">
        <v>0</v>
      </c>
      <c r="AH119" s="5">
        <v>0</v>
      </c>
      <c r="AI119" s="5">
        <v>9193</v>
      </c>
      <c r="AJ119" s="5"/>
      <c r="AK119" s="5"/>
    </row>
    <row r="120" spans="2:40" x14ac:dyDescent="0.35">
      <c r="B120" t="s">
        <v>130</v>
      </c>
      <c r="F120" s="5">
        <v>0</v>
      </c>
      <c r="G120" s="5">
        <f t="shared" si="65"/>
        <v>0</v>
      </c>
      <c r="H120" s="37">
        <v>0</v>
      </c>
      <c r="I120" s="5">
        <v>0</v>
      </c>
      <c r="J120" s="5">
        <v>1129</v>
      </c>
      <c r="K120" s="5">
        <v>1116</v>
      </c>
      <c r="L120" s="37">
        <v>4632</v>
      </c>
      <c r="M120" s="5">
        <v>4118</v>
      </c>
      <c r="N120" s="5">
        <v>3008</v>
      </c>
      <c r="O120" s="5">
        <f t="shared" si="66"/>
        <v>3356</v>
      </c>
      <c r="P120" s="37">
        <v>3337</v>
      </c>
      <c r="Q120" s="5">
        <v>3594</v>
      </c>
      <c r="R120" s="5">
        <v>3588</v>
      </c>
      <c r="S120" s="5"/>
      <c r="T120" s="5"/>
      <c r="U120" s="5"/>
      <c r="V120" s="5"/>
      <c r="W120" s="5"/>
      <c r="X120" s="5"/>
      <c r="Y120" s="5"/>
      <c r="Z120" s="5"/>
      <c r="AA120" s="5"/>
      <c r="AB120" s="5"/>
      <c r="AC120" s="5"/>
      <c r="AD120" s="5"/>
      <c r="AE120" s="5"/>
      <c r="AF120" s="5"/>
      <c r="AG120" s="5">
        <v>0</v>
      </c>
      <c r="AH120" s="5">
        <v>1116</v>
      </c>
      <c r="AI120" s="5">
        <v>3356</v>
      </c>
      <c r="AJ120" s="5"/>
      <c r="AK120" s="5"/>
    </row>
    <row r="121" spans="2:40" x14ac:dyDescent="0.35">
      <c r="B121" t="s">
        <v>131</v>
      </c>
      <c r="F121" s="5">
        <v>0</v>
      </c>
      <c r="G121" s="5">
        <f t="shared" si="65"/>
        <v>0</v>
      </c>
      <c r="H121" s="37">
        <v>0</v>
      </c>
      <c r="I121" s="5">
        <v>0</v>
      </c>
      <c r="J121" s="5">
        <v>5907</v>
      </c>
      <c r="K121" s="5">
        <v>5859</v>
      </c>
      <c r="L121" s="37">
        <v>7221</v>
      </c>
      <c r="M121" s="5">
        <v>4447</v>
      </c>
      <c r="N121" s="5">
        <v>3243</v>
      </c>
      <c r="O121" s="5">
        <f t="shared" si="66"/>
        <v>3898</v>
      </c>
      <c r="P121" s="37">
        <v>3500</v>
      </c>
      <c r="Q121" s="5">
        <v>3641</v>
      </c>
      <c r="R121" s="5">
        <v>3282</v>
      </c>
      <c r="S121" s="5"/>
      <c r="T121" s="5"/>
      <c r="U121" s="5"/>
      <c r="V121" s="5"/>
      <c r="W121" s="5"/>
      <c r="X121" s="5"/>
      <c r="Y121" s="5"/>
      <c r="Z121" s="5"/>
      <c r="AA121" s="5"/>
      <c r="AB121" s="5"/>
      <c r="AC121" s="5"/>
      <c r="AD121" s="5"/>
      <c r="AE121" s="5"/>
      <c r="AF121" s="5"/>
      <c r="AG121" s="5">
        <v>0</v>
      </c>
      <c r="AH121" s="5">
        <v>5859</v>
      </c>
      <c r="AI121" s="5">
        <v>3898</v>
      </c>
      <c r="AJ121" s="5"/>
      <c r="AK121" s="5"/>
    </row>
    <row r="122" spans="2:40" x14ac:dyDescent="0.35">
      <c r="B122" t="s">
        <v>132</v>
      </c>
      <c r="F122" s="5">
        <v>0</v>
      </c>
      <c r="G122" s="5">
        <f t="shared" si="65"/>
        <v>0</v>
      </c>
      <c r="H122" s="37">
        <v>0</v>
      </c>
      <c r="I122" s="5">
        <v>0</v>
      </c>
      <c r="J122" s="5"/>
      <c r="K122" s="5">
        <v>0</v>
      </c>
      <c r="L122" s="37">
        <v>0</v>
      </c>
      <c r="M122" s="5">
        <v>0</v>
      </c>
      <c r="N122" s="5">
        <v>0</v>
      </c>
      <c r="O122" s="5">
        <f t="shared" si="66"/>
        <v>0</v>
      </c>
      <c r="P122" s="37">
        <v>0</v>
      </c>
      <c r="Q122" s="5">
        <v>0</v>
      </c>
      <c r="R122" s="5">
        <v>0</v>
      </c>
      <c r="S122" s="5"/>
      <c r="T122" s="5"/>
      <c r="U122" s="5"/>
      <c r="V122" s="5"/>
      <c r="W122" s="5"/>
      <c r="X122" s="5"/>
      <c r="Y122" s="5"/>
      <c r="Z122" s="5"/>
      <c r="AA122" s="5"/>
      <c r="AB122" s="5"/>
      <c r="AC122" s="5"/>
      <c r="AD122" s="5"/>
      <c r="AE122" s="5"/>
      <c r="AF122" s="5"/>
      <c r="AG122" s="5">
        <v>0</v>
      </c>
      <c r="AH122" s="5">
        <v>0</v>
      </c>
      <c r="AI122" s="5">
        <v>0</v>
      </c>
      <c r="AJ122" s="5"/>
      <c r="AK122" s="5"/>
    </row>
    <row r="123" spans="2:40" s="2" customFormat="1" x14ac:dyDescent="0.35">
      <c r="B123" s="2" t="s">
        <v>133</v>
      </c>
      <c r="F123" s="6">
        <v>0</v>
      </c>
      <c r="G123" s="5">
        <f t="shared" si="65"/>
        <v>0</v>
      </c>
      <c r="H123" s="38">
        <v>0</v>
      </c>
      <c r="I123" s="6">
        <v>0</v>
      </c>
      <c r="J123" s="6">
        <v>0</v>
      </c>
      <c r="K123" s="6">
        <v>4550</v>
      </c>
      <c r="L123" s="38">
        <v>3990</v>
      </c>
      <c r="M123" s="6">
        <v>2670</v>
      </c>
      <c r="N123" s="6">
        <v>1472</v>
      </c>
      <c r="O123" s="6">
        <f t="shared" si="66"/>
        <v>7303</v>
      </c>
      <c r="P123" s="38">
        <v>7102</v>
      </c>
      <c r="Q123" s="6">
        <v>12894</v>
      </c>
      <c r="R123" s="6">
        <v>17975</v>
      </c>
      <c r="S123" s="6"/>
      <c r="T123" s="6"/>
      <c r="U123" s="6"/>
      <c r="V123" s="6"/>
      <c r="W123" s="6"/>
      <c r="X123" s="6"/>
      <c r="Y123" s="6"/>
      <c r="Z123" s="6"/>
      <c r="AA123" s="6"/>
      <c r="AB123" s="6"/>
      <c r="AC123" s="6"/>
      <c r="AD123" s="6"/>
      <c r="AE123" s="6"/>
      <c r="AF123" s="6"/>
      <c r="AG123" s="6">
        <v>0</v>
      </c>
      <c r="AH123" s="6">
        <v>4550</v>
      </c>
      <c r="AI123" s="6">
        <v>7303</v>
      </c>
      <c r="AJ123" s="6"/>
      <c r="AK123" s="6"/>
    </row>
    <row r="124" spans="2:40" s="57" customFormat="1" x14ac:dyDescent="0.35">
      <c r="B124" s="57" t="s">
        <v>182</v>
      </c>
      <c r="D124" s="58">
        <f t="shared" ref="D124:I124" si="67">SUM(D113:D123)</f>
        <v>0</v>
      </c>
      <c r="E124" s="58">
        <f t="shared" si="67"/>
        <v>0</v>
      </c>
      <c r="F124" s="58">
        <f t="shared" si="67"/>
        <v>300000</v>
      </c>
      <c r="G124" s="58">
        <f t="shared" si="67"/>
        <v>320004.84600000002</v>
      </c>
      <c r="H124" s="59">
        <f t="shared" si="67"/>
        <v>320009.65600000002</v>
      </c>
      <c r="I124" s="58">
        <f t="shared" si="67"/>
        <v>320014.51899999997</v>
      </c>
      <c r="J124" s="58">
        <f t="shared" ref="J124:K124" si="68">SUM(J113:J123)</f>
        <v>100361</v>
      </c>
      <c r="K124" s="58">
        <f t="shared" si="68"/>
        <v>206083</v>
      </c>
      <c r="L124" s="59">
        <f>SUM(L113:L123)</f>
        <v>311302</v>
      </c>
      <c r="M124" s="58">
        <f t="shared" ref="M124:Q124" si="69">SUM(M113:M123)</f>
        <v>298336</v>
      </c>
      <c r="N124" s="58">
        <f t="shared" si="69"/>
        <v>301912</v>
      </c>
      <c r="O124" s="58">
        <f t="shared" si="69"/>
        <v>326829</v>
      </c>
      <c r="P124" s="59">
        <f>SUM(P113:P123)</f>
        <v>355652</v>
      </c>
      <c r="Q124" s="58">
        <f t="shared" si="69"/>
        <v>421291</v>
      </c>
      <c r="R124" s="58">
        <f t="shared" ref="R124:U124" si="70">SUM(R113:R123)</f>
        <v>444253</v>
      </c>
      <c r="S124" s="58">
        <f t="shared" si="70"/>
        <v>0</v>
      </c>
      <c r="T124" s="58">
        <f t="shared" si="70"/>
        <v>0</v>
      </c>
      <c r="U124" s="58">
        <f t="shared" si="70"/>
        <v>0</v>
      </c>
      <c r="V124" s="58"/>
      <c r="W124" s="58"/>
      <c r="X124" s="58"/>
      <c r="Y124" s="58"/>
      <c r="Z124" s="58"/>
      <c r="AA124" s="58"/>
      <c r="AB124" s="58"/>
      <c r="AC124" s="58"/>
      <c r="AD124" s="58"/>
      <c r="AE124" s="58"/>
      <c r="AF124" s="58"/>
      <c r="AG124" s="58">
        <f>SUM(AG113:AG123)</f>
        <v>320004.84600000002</v>
      </c>
      <c r="AH124" s="58">
        <f t="shared" ref="AH124:AN124" si="71">SUM(AH113:AH123)</f>
        <v>206083</v>
      </c>
      <c r="AI124" s="58">
        <f t="shared" si="71"/>
        <v>326829</v>
      </c>
      <c r="AJ124" s="58">
        <f t="shared" si="71"/>
        <v>0</v>
      </c>
      <c r="AK124" s="58">
        <f t="shared" si="71"/>
        <v>0</v>
      </c>
      <c r="AL124" s="58">
        <f t="shared" si="71"/>
        <v>0</v>
      </c>
      <c r="AM124" s="58">
        <f t="shared" si="71"/>
        <v>0</v>
      </c>
      <c r="AN124" s="58">
        <f t="shared" si="71"/>
        <v>0</v>
      </c>
    </row>
    <row r="125" spans="2:40" s="12" customFormat="1" x14ac:dyDescent="0.35">
      <c r="B125" s="12" t="s">
        <v>177</v>
      </c>
      <c r="D125" s="24">
        <f t="shared" ref="D125:I125" si="72">D124+D111</f>
        <v>0</v>
      </c>
      <c r="E125" s="24">
        <f t="shared" si="72"/>
        <v>0</v>
      </c>
      <c r="F125" s="24">
        <f t="shared" si="72"/>
        <v>729074.37</v>
      </c>
      <c r="G125" s="24">
        <f t="shared" si="72"/>
        <v>321237.39600000001</v>
      </c>
      <c r="H125" s="40">
        <f t="shared" si="72"/>
        <v>320787.359</v>
      </c>
      <c r="I125" s="24">
        <f t="shared" si="72"/>
        <v>320343.99</v>
      </c>
      <c r="J125" s="24">
        <f t="shared" ref="J125:K125" si="73">J124+J111</f>
        <v>955377</v>
      </c>
      <c r="K125" s="24">
        <f t="shared" si="73"/>
        <v>980847</v>
      </c>
      <c r="L125" s="40">
        <f>L124+L111</f>
        <v>1057484</v>
      </c>
      <c r="M125" s="24">
        <f t="shared" ref="M125:Q125" si="74">M124+M111</f>
        <v>1004752</v>
      </c>
      <c r="N125" s="24">
        <f t="shared" si="74"/>
        <v>1001362</v>
      </c>
      <c r="O125" s="24">
        <f t="shared" si="74"/>
        <v>989123</v>
      </c>
      <c r="P125" s="40">
        <f>P124+P111</f>
        <v>990908</v>
      </c>
      <c r="Q125" s="24">
        <f t="shared" si="74"/>
        <v>981496</v>
      </c>
      <c r="R125" s="24">
        <f t="shared" ref="R125:U125" si="75">R124+R111</f>
        <v>950493</v>
      </c>
      <c r="S125" s="24">
        <f t="shared" si="75"/>
        <v>0</v>
      </c>
      <c r="T125" s="24">
        <f t="shared" si="75"/>
        <v>0</v>
      </c>
      <c r="U125" s="24">
        <f t="shared" si="75"/>
        <v>0</v>
      </c>
      <c r="V125" s="24"/>
      <c r="W125" s="24"/>
      <c r="X125" s="24"/>
      <c r="Y125" s="24"/>
      <c r="Z125" s="24">
        <f t="shared" ref="Z125:AC125" si="76">SUM(Z111:Z123)</f>
        <v>0</v>
      </c>
      <c r="AA125" s="24">
        <f t="shared" si="76"/>
        <v>0</v>
      </c>
      <c r="AB125" s="24">
        <f t="shared" si="76"/>
        <v>0</v>
      </c>
      <c r="AC125" s="24">
        <f t="shared" si="76"/>
        <v>0</v>
      </c>
      <c r="AD125" s="24"/>
      <c r="AE125" s="24"/>
      <c r="AF125" s="24"/>
      <c r="AG125" s="24">
        <f>AG124+AG111</f>
        <v>321237.39600000001</v>
      </c>
      <c r="AH125" s="24">
        <f t="shared" ref="AH125:AN125" si="77">AH124+AH111</f>
        <v>980847</v>
      </c>
      <c r="AI125" s="24">
        <f t="shared" si="77"/>
        <v>989123</v>
      </c>
      <c r="AJ125" s="24">
        <f t="shared" si="77"/>
        <v>0</v>
      </c>
      <c r="AK125" s="24">
        <f t="shared" si="77"/>
        <v>0</v>
      </c>
      <c r="AL125" s="24">
        <f t="shared" si="77"/>
        <v>0</v>
      </c>
      <c r="AM125" s="24">
        <f t="shared" si="77"/>
        <v>0</v>
      </c>
      <c r="AN125" s="24">
        <f t="shared" si="77"/>
        <v>0</v>
      </c>
    </row>
    <row r="126" spans="2:40" s="26" customFormat="1" x14ac:dyDescent="0.35">
      <c r="B126" s="28" t="s">
        <v>115</v>
      </c>
      <c r="C126" s="28"/>
      <c r="D126" s="28"/>
      <c r="E126" s="28"/>
      <c r="F126" s="27"/>
      <c r="G126" s="27"/>
      <c r="H126" s="50"/>
      <c r="I126" s="27"/>
      <c r="J126" s="27"/>
      <c r="K126" s="27"/>
      <c r="L126" s="50"/>
      <c r="M126" s="27"/>
      <c r="N126" s="27"/>
      <c r="O126" s="27"/>
      <c r="P126" s="50"/>
      <c r="Q126" s="27"/>
      <c r="R126" s="27"/>
      <c r="S126" s="27"/>
      <c r="T126" s="27"/>
      <c r="U126" s="27"/>
      <c r="V126" s="27"/>
      <c r="W126" s="27"/>
      <c r="X126" s="27"/>
      <c r="Y126" s="27"/>
      <c r="Z126" s="27"/>
      <c r="AA126" s="27"/>
      <c r="AB126" s="27"/>
      <c r="AC126" s="27"/>
      <c r="AD126" s="27"/>
      <c r="AE126" s="27"/>
      <c r="AF126" s="27"/>
      <c r="AG126" s="27"/>
      <c r="AH126" s="27"/>
      <c r="AI126" s="27"/>
      <c r="AJ126" s="27"/>
      <c r="AK126" s="27"/>
    </row>
    <row r="127" spans="2:40" x14ac:dyDescent="0.35">
      <c r="B127" t="s">
        <v>134</v>
      </c>
      <c r="F127" s="5">
        <v>0</v>
      </c>
      <c r="G127" s="5">
        <f t="shared" ref="G127:G132" si="78">AG127</f>
        <v>0</v>
      </c>
      <c r="H127" s="37">
        <v>0</v>
      </c>
      <c r="I127" s="5">
        <v>0</v>
      </c>
      <c r="J127" s="5">
        <v>2205</v>
      </c>
      <c r="K127" s="5">
        <v>3489</v>
      </c>
      <c r="L127" s="37">
        <v>15106</v>
      </c>
      <c r="M127" s="5">
        <v>14156</v>
      </c>
      <c r="N127" s="5">
        <v>13266</v>
      </c>
      <c r="O127" s="5">
        <f t="shared" ref="O127:O132" si="79">AI127</f>
        <v>12084</v>
      </c>
      <c r="P127" s="37">
        <v>22852</v>
      </c>
      <c r="Q127" s="5">
        <v>25867</v>
      </c>
      <c r="R127" s="5">
        <v>24980</v>
      </c>
      <c r="S127" s="5"/>
      <c r="T127" s="5"/>
      <c r="U127" s="5"/>
      <c r="V127" s="5"/>
      <c r="W127" s="5"/>
      <c r="X127" s="5"/>
      <c r="Y127" s="5"/>
      <c r="Z127" s="5"/>
      <c r="AA127" s="5"/>
      <c r="AB127" s="5"/>
      <c r="AC127" s="5"/>
      <c r="AD127" s="5"/>
      <c r="AE127" s="5"/>
      <c r="AF127" s="5"/>
      <c r="AG127" s="5">
        <v>0</v>
      </c>
      <c r="AH127" s="5">
        <v>3489</v>
      </c>
      <c r="AI127" s="5">
        <v>12084</v>
      </c>
      <c r="AJ127" s="5"/>
      <c r="AK127" s="5"/>
    </row>
    <row r="128" spans="2:40" x14ac:dyDescent="0.35">
      <c r="B128" t="s">
        <v>135</v>
      </c>
      <c r="F128" s="5">
        <v>600</v>
      </c>
      <c r="G128" s="5">
        <f t="shared" si="78"/>
        <v>217.39500000000001</v>
      </c>
      <c r="H128" s="37">
        <v>1692.954</v>
      </c>
      <c r="I128" s="5">
        <v>2390.0120000000002</v>
      </c>
      <c r="J128" s="5">
        <v>7219</v>
      </c>
      <c r="K128" s="5">
        <v>10977</v>
      </c>
      <c r="L128" s="37">
        <v>17051</v>
      </c>
      <c r="M128" s="5">
        <v>11468</v>
      </c>
      <c r="N128" s="5">
        <v>9586</v>
      </c>
      <c r="O128" s="5">
        <f t="shared" si="79"/>
        <v>8723</v>
      </c>
      <c r="P128" s="37">
        <v>8678</v>
      </c>
      <c r="Q128" s="5">
        <v>6492</v>
      </c>
      <c r="R128" s="5">
        <v>5998</v>
      </c>
      <c r="S128" s="5"/>
      <c r="T128" s="5"/>
      <c r="U128" s="5"/>
      <c r="V128" s="5"/>
      <c r="W128" s="5"/>
      <c r="X128" s="5"/>
      <c r="Y128" s="5"/>
      <c r="Z128" s="5"/>
      <c r="AA128" s="5"/>
      <c r="AB128" s="5"/>
      <c r="AC128" s="5"/>
      <c r="AD128" s="5"/>
      <c r="AE128" s="5"/>
      <c r="AF128" s="5"/>
      <c r="AG128" s="5">
        <v>217.39500000000001</v>
      </c>
      <c r="AH128" s="5">
        <v>10977</v>
      </c>
      <c r="AI128" s="5">
        <v>8723</v>
      </c>
      <c r="AJ128" s="5"/>
      <c r="AK128" s="5"/>
    </row>
    <row r="129" spans="2:40" x14ac:dyDescent="0.35">
      <c r="B129" t="s">
        <v>136</v>
      </c>
      <c r="F129" s="5">
        <v>0</v>
      </c>
      <c r="G129" s="5">
        <f t="shared" si="78"/>
        <v>0</v>
      </c>
      <c r="H129" s="37">
        <v>0</v>
      </c>
      <c r="I129" s="5">
        <v>0</v>
      </c>
      <c r="J129" s="5">
        <v>5652</v>
      </c>
      <c r="K129" s="5">
        <v>8266</v>
      </c>
      <c r="L129" s="37">
        <v>22958</v>
      </c>
      <c r="M129" s="5">
        <v>13632</v>
      </c>
      <c r="N129" s="5">
        <v>8560</v>
      </c>
      <c r="O129" s="5">
        <f t="shared" si="79"/>
        <v>8634</v>
      </c>
      <c r="P129" s="37">
        <v>12333</v>
      </c>
      <c r="Q129" s="5">
        <v>14138</v>
      </c>
      <c r="R129" s="5">
        <v>14979</v>
      </c>
      <c r="S129" s="5"/>
      <c r="T129" s="5"/>
      <c r="U129" s="5"/>
      <c r="V129" s="5"/>
      <c r="W129" s="5"/>
      <c r="X129" s="5"/>
      <c r="Y129" s="5"/>
      <c r="Z129" s="5"/>
      <c r="AA129" s="5"/>
      <c r="AB129" s="5"/>
      <c r="AC129" s="5"/>
      <c r="AD129" s="5"/>
      <c r="AE129" s="5"/>
      <c r="AF129" s="5"/>
      <c r="AG129" s="5">
        <v>0</v>
      </c>
      <c r="AH129" s="5">
        <v>8266</v>
      </c>
      <c r="AI129" s="5">
        <v>8634</v>
      </c>
      <c r="AJ129" s="5"/>
      <c r="AK129" s="5"/>
    </row>
    <row r="130" spans="2:40" x14ac:dyDescent="0.35">
      <c r="B130" t="s">
        <v>137</v>
      </c>
      <c r="F130" s="5">
        <v>0</v>
      </c>
      <c r="G130" s="5">
        <f t="shared" si="78"/>
        <v>0</v>
      </c>
      <c r="H130" s="37">
        <v>0</v>
      </c>
      <c r="I130" s="5">
        <v>0</v>
      </c>
      <c r="J130" s="5">
        <v>51163</v>
      </c>
      <c r="K130" s="5">
        <v>59749</v>
      </c>
      <c r="L130" s="37">
        <v>97116</v>
      </c>
      <c r="M130" s="5">
        <v>90659</v>
      </c>
      <c r="N130" s="5">
        <v>112649</v>
      </c>
      <c r="O130" s="5">
        <f t="shared" si="79"/>
        <v>108344</v>
      </c>
      <c r="P130" s="37">
        <v>125635</v>
      </c>
      <c r="Q130" s="5">
        <v>134574</v>
      </c>
      <c r="R130" s="5">
        <v>133793</v>
      </c>
      <c r="S130" s="5"/>
      <c r="T130" s="5"/>
      <c r="U130" s="5"/>
      <c r="V130" s="5"/>
      <c r="W130" s="5"/>
      <c r="X130" s="5"/>
      <c r="Y130" s="5"/>
      <c r="Z130" s="5"/>
      <c r="AA130" s="5"/>
      <c r="AB130" s="5"/>
      <c r="AC130" s="5"/>
      <c r="AD130" s="5"/>
      <c r="AE130" s="5"/>
      <c r="AF130" s="5"/>
      <c r="AG130" s="5">
        <v>0</v>
      </c>
      <c r="AH130" s="5">
        <v>59749</v>
      </c>
      <c r="AI130" s="5">
        <v>108344</v>
      </c>
      <c r="AJ130" s="5"/>
      <c r="AK130" s="5"/>
    </row>
    <row r="131" spans="2:40" x14ac:dyDescent="0.35">
      <c r="B131" t="s">
        <v>138</v>
      </c>
      <c r="F131" s="5">
        <v>0</v>
      </c>
      <c r="G131" s="5">
        <f t="shared" si="78"/>
        <v>0</v>
      </c>
      <c r="H131" s="37">
        <v>0</v>
      </c>
      <c r="I131" s="5">
        <v>0</v>
      </c>
      <c r="J131" s="5">
        <v>2807</v>
      </c>
      <c r="K131" s="5">
        <v>2827</v>
      </c>
      <c r="L131" s="37">
        <v>2846</v>
      </c>
      <c r="M131" s="5">
        <v>2866</v>
      </c>
      <c r="N131" s="5">
        <v>2886</v>
      </c>
      <c r="O131" s="5">
        <f t="shared" si="79"/>
        <v>2906</v>
      </c>
      <c r="P131" s="37">
        <v>2934</v>
      </c>
      <c r="Q131" s="5">
        <v>104381</v>
      </c>
      <c r="R131" s="5">
        <v>105116</v>
      </c>
      <c r="S131" s="5"/>
      <c r="T131" s="5"/>
      <c r="U131" s="5"/>
      <c r="V131" s="5"/>
      <c r="W131" s="5"/>
      <c r="X131" s="5"/>
      <c r="Y131" s="5"/>
      <c r="Z131" s="5"/>
      <c r="AA131" s="5"/>
      <c r="AB131" s="5"/>
      <c r="AC131" s="5"/>
      <c r="AD131" s="5"/>
      <c r="AE131" s="5"/>
      <c r="AF131" s="5"/>
      <c r="AG131" s="5">
        <v>0</v>
      </c>
      <c r="AH131" s="5">
        <v>2827</v>
      </c>
      <c r="AI131" s="5">
        <v>2906</v>
      </c>
      <c r="AJ131" s="5"/>
      <c r="AK131" s="5"/>
    </row>
    <row r="132" spans="2:40" s="2" customFormat="1" x14ac:dyDescent="0.35">
      <c r="B132" s="2" t="s">
        <v>139</v>
      </c>
      <c r="F132" s="6">
        <v>0</v>
      </c>
      <c r="G132" s="5">
        <f t="shared" si="78"/>
        <v>11200</v>
      </c>
      <c r="H132" s="38">
        <v>0</v>
      </c>
      <c r="I132" s="6">
        <v>0</v>
      </c>
      <c r="J132" s="6">
        <v>7698</v>
      </c>
      <c r="K132" s="6">
        <v>10999</v>
      </c>
      <c r="L132" s="38">
        <v>18307</v>
      </c>
      <c r="M132" s="6">
        <v>11320</v>
      </c>
      <c r="N132" s="6">
        <v>14393</v>
      </c>
      <c r="O132" s="6">
        <f t="shared" si="79"/>
        <v>22249</v>
      </c>
      <c r="P132" s="38">
        <v>24863</v>
      </c>
      <c r="Q132" s="6">
        <v>20489</v>
      </c>
      <c r="R132" s="6">
        <v>18885</v>
      </c>
      <c r="S132" s="6"/>
      <c r="T132" s="6"/>
      <c r="U132" s="6"/>
      <c r="V132" s="6"/>
      <c r="W132" s="6"/>
      <c r="X132" s="6"/>
      <c r="Y132" s="6"/>
      <c r="Z132" s="6"/>
      <c r="AA132" s="6"/>
      <c r="AB132" s="6"/>
      <c r="AC132" s="6"/>
      <c r="AD132" s="6"/>
      <c r="AE132" s="6"/>
      <c r="AF132" s="6"/>
      <c r="AG132" s="6">
        <v>11200</v>
      </c>
      <c r="AH132" s="6">
        <v>10999</v>
      </c>
      <c r="AI132" s="6">
        <v>22249</v>
      </c>
      <c r="AJ132" s="6"/>
      <c r="AK132" s="6"/>
    </row>
    <row r="133" spans="2:40" s="12" customFormat="1" x14ac:dyDescent="0.35">
      <c r="B133" s="12" t="s">
        <v>140</v>
      </c>
      <c r="F133" s="24">
        <f t="shared" ref="F133:U133" si="80">SUM(F127:F132)</f>
        <v>600</v>
      </c>
      <c r="G133" s="24">
        <f t="shared" si="80"/>
        <v>11417.395</v>
      </c>
      <c r="H133" s="40">
        <f t="shared" si="80"/>
        <v>1692.954</v>
      </c>
      <c r="I133" s="24">
        <f t="shared" si="80"/>
        <v>2390.0120000000002</v>
      </c>
      <c r="J133" s="24">
        <f t="shared" si="80"/>
        <v>76744</v>
      </c>
      <c r="K133" s="24">
        <f t="shared" si="80"/>
        <v>96307</v>
      </c>
      <c r="L133" s="40">
        <f t="shared" si="80"/>
        <v>173384</v>
      </c>
      <c r="M133" s="24">
        <f t="shared" si="80"/>
        <v>144101</v>
      </c>
      <c r="N133" s="24">
        <f t="shared" si="80"/>
        <v>161340</v>
      </c>
      <c r="O133" s="24">
        <f t="shared" si="80"/>
        <v>162940</v>
      </c>
      <c r="P133" s="61">
        <f t="shared" si="80"/>
        <v>197295</v>
      </c>
      <c r="Q133" s="24">
        <f t="shared" si="80"/>
        <v>305941</v>
      </c>
      <c r="R133" s="24">
        <f t="shared" si="80"/>
        <v>303751</v>
      </c>
      <c r="S133" s="24">
        <f t="shared" si="80"/>
        <v>0</v>
      </c>
      <c r="T133" s="24">
        <f t="shared" si="80"/>
        <v>0</v>
      </c>
      <c r="U133" s="24">
        <f t="shared" si="80"/>
        <v>0</v>
      </c>
      <c r="V133" s="24"/>
      <c r="W133" s="24"/>
      <c r="X133" s="24"/>
      <c r="Y133" s="24"/>
      <c r="Z133" s="24"/>
      <c r="AA133" s="24"/>
      <c r="AB133" s="24"/>
      <c r="AC133" s="24"/>
      <c r="AD133" s="24"/>
      <c r="AE133" s="24"/>
      <c r="AF133" s="24"/>
      <c r="AG133" s="24">
        <f>SUM(AG127:AG132)</f>
        <v>11417.395</v>
      </c>
      <c r="AH133" s="24">
        <f>SUM(AH127:AH132)</f>
        <v>96307</v>
      </c>
      <c r="AI133" s="24">
        <f>SUM(AI127:AI132)</f>
        <v>162940</v>
      </c>
      <c r="AJ133" s="24">
        <f t="shared" ref="AJ133:AN133" si="81">SUM(AJ127:AJ132)</f>
        <v>0</v>
      </c>
      <c r="AK133" s="24">
        <f t="shared" si="81"/>
        <v>0</v>
      </c>
      <c r="AL133" s="24">
        <f t="shared" si="81"/>
        <v>0</v>
      </c>
      <c r="AM133" s="24">
        <f t="shared" si="81"/>
        <v>0</v>
      </c>
      <c r="AN133" s="24">
        <f t="shared" si="81"/>
        <v>0</v>
      </c>
    </row>
    <row r="134" spans="2:40" s="28" customFormat="1" x14ac:dyDescent="0.35">
      <c r="B134" s="28" t="s">
        <v>123</v>
      </c>
      <c r="F134" s="29"/>
      <c r="G134" s="29"/>
      <c r="H134" s="48"/>
      <c r="I134" s="29"/>
      <c r="J134" s="29"/>
      <c r="K134" s="29"/>
      <c r="L134" s="48"/>
      <c r="M134" s="29"/>
      <c r="N134" s="29"/>
      <c r="O134" s="29"/>
      <c r="P134" s="48"/>
      <c r="Q134" s="29"/>
      <c r="R134" s="29"/>
      <c r="S134" s="29"/>
      <c r="T134" s="29"/>
      <c r="U134" s="29"/>
      <c r="V134" s="29"/>
      <c r="W134" s="29"/>
      <c r="X134" s="29"/>
      <c r="Y134" s="29"/>
      <c r="Z134" s="29"/>
      <c r="AA134" s="29"/>
      <c r="AB134" s="29"/>
      <c r="AC134" s="29"/>
      <c r="AD134" s="29"/>
      <c r="AE134" s="29"/>
      <c r="AF134" s="29"/>
      <c r="AG134" s="29"/>
      <c r="AH134" s="29"/>
      <c r="AI134" s="29"/>
      <c r="AJ134" s="29"/>
      <c r="AK134" s="29"/>
    </row>
    <row r="135" spans="2:40" x14ac:dyDescent="0.35">
      <c r="B135" t="s">
        <v>141</v>
      </c>
      <c r="F135" s="5">
        <v>0</v>
      </c>
      <c r="G135" s="5">
        <f t="shared" ref="G135:G142" si="82">AG135</f>
        <v>0</v>
      </c>
      <c r="H135" s="37">
        <v>46197.334000000003</v>
      </c>
      <c r="I135" s="5">
        <v>46116.000999999997</v>
      </c>
      <c r="J135" s="5">
        <v>0</v>
      </c>
      <c r="K135" s="5">
        <v>0</v>
      </c>
      <c r="L135" s="37">
        <v>0</v>
      </c>
      <c r="M135" s="5">
        <v>0</v>
      </c>
      <c r="N135" s="5">
        <v>0</v>
      </c>
      <c r="O135" s="5">
        <v>0</v>
      </c>
      <c r="P135" s="37">
        <v>0</v>
      </c>
      <c r="Q135" s="5">
        <v>0</v>
      </c>
      <c r="R135" s="5">
        <v>0</v>
      </c>
      <c r="S135" s="5"/>
      <c r="T135" s="5"/>
      <c r="U135" s="5"/>
      <c r="V135" s="5"/>
      <c r="W135" s="5"/>
      <c r="X135" s="5"/>
      <c r="Y135" s="5"/>
      <c r="Z135" s="5"/>
      <c r="AA135" s="5"/>
      <c r="AB135" s="5"/>
      <c r="AC135" s="5"/>
      <c r="AD135" s="5"/>
      <c r="AE135" s="5"/>
      <c r="AF135" s="5"/>
      <c r="AG135" s="5">
        <v>0</v>
      </c>
      <c r="AH135" s="5"/>
      <c r="AI135" s="5">
        <v>0</v>
      </c>
      <c r="AJ135" s="5"/>
      <c r="AK135" s="5"/>
    </row>
    <row r="136" spans="2:40" x14ac:dyDescent="0.35">
      <c r="B136" t="s">
        <v>142</v>
      </c>
      <c r="F136" s="5">
        <v>0</v>
      </c>
      <c r="G136" s="5">
        <f t="shared" si="82"/>
        <v>0</v>
      </c>
      <c r="H136" s="37">
        <v>0</v>
      </c>
      <c r="I136" s="5">
        <v>0</v>
      </c>
      <c r="J136" s="5">
        <v>96616</v>
      </c>
      <c r="K136" s="5">
        <v>97297</v>
      </c>
      <c r="L136" s="37">
        <v>97967</v>
      </c>
      <c r="M136" s="5">
        <v>98649</v>
      </c>
      <c r="N136" s="5">
        <v>99344</v>
      </c>
      <c r="O136" s="5">
        <f>AI136</f>
        <v>100043</v>
      </c>
      <c r="P136" s="37">
        <v>100724</v>
      </c>
      <c r="Q136" s="5">
        <v>0</v>
      </c>
      <c r="R136" s="5">
        <v>0</v>
      </c>
      <c r="S136" s="5"/>
      <c r="T136" s="5"/>
      <c r="U136" s="5"/>
      <c r="V136" s="5"/>
      <c r="W136" s="5"/>
      <c r="X136" s="5"/>
      <c r="Y136" s="5"/>
      <c r="Z136" s="5"/>
      <c r="AA136" s="5"/>
      <c r="AB136" s="5"/>
      <c r="AC136" s="5"/>
      <c r="AD136" s="5"/>
      <c r="AE136" s="5"/>
      <c r="AF136" s="5"/>
      <c r="AG136" s="5">
        <v>0</v>
      </c>
      <c r="AH136" s="5">
        <v>97297</v>
      </c>
      <c r="AI136" s="5">
        <v>100043</v>
      </c>
      <c r="AJ136" s="5"/>
      <c r="AK136" s="5"/>
    </row>
    <row r="137" spans="2:40" x14ac:dyDescent="0.35">
      <c r="B137" t="s">
        <v>143</v>
      </c>
      <c r="F137" s="5">
        <v>0</v>
      </c>
      <c r="G137" s="5">
        <f t="shared" si="82"/>
        <v>0</v>
      </c>
      <c r="H137" s="37">
        <v>0</v>
      </c>
      <c r="I137" s="5">
        <v>0</v>
      </c>
      <c r="J137" s="5">
        <v>25915</v>
      </c>
      <c r="K137" s="5">
        <v>28302</v>
      </c>
      <c r="L137" s="37">
        <v>32303</v>
      </c>
      <c r="M137" s="5">
        <v>30370</v>
      </c>
      <c r="N137" s="5">
        <v>31588</v>
      </c>
      <c r="O137" s="5">
        <f>AI137</f>
        <v>34266</v>
      </c>
      <c r="P137" s="37">
        <v>33870</v>
      </c>
      <c r="Q137" s="5">
        <v>43169</v>
      </c>
      <c r="R137" s="5">
        <v>41695</v>
      </c>
      <c r="S137" s="5"/>
      <c r="T137" s="5"/>
      <c r="U137" s="5"/>
      <c r="V137" s="5"/>
      <c r="W137" s="5"/>
      <c r="X137" s="5"/>
      <c r="Y137" s="5"/>
      <c r="Z137" s="5"/>
      <c r="AA137" s="5"/>
      <c r="AB137" s="5"/>
      <c r="AC137" s="5"/>
      <c r="AD137" s="5"/>
      <c r="AE137" s="5"/>
      <c r="AF137" s="5"/>
      <c r="AG137" s="5">
        <v>0</v>
      </c>
      <c r="AH137" s="5">
        <v>28302</v>
      </c>
      <c r="AI137" s="5">
        <v>34266</v>
      </c>
      <c r="AJ137" s="5"/>
      <c r="AK137" s="5"/>
    </row>
    <row r="138" spans="2:40" x14ac:dyDescent="0.35">
      <c r="B138" t="s">
        <v>144</v>
      </c>
      <c r="F138" s="5">
        <v>0</v>
      </c>
      <c r="G138" s="5">
        <f t="shared" si="82"/>
        <v>0</v>
      </c>
      <c r="H138" s="37">
        <v>0</v>
      </c>
      <c r="I138" s="5">
        <v>0</v>
      </c>
      <c r="J138" s="5">
        <v>0</v>
      </c>
      <c r="K138" s="5"/>
      <c r="L138" s="37">
        <v>15825</v>
      </c>
      <c r="M138" s="5">
        <v>15744</v>
      </c>
      <c r="N138" s="5">
        <v>15656</v>
      </c>
      <c r="O138" s="5">
        <f>AI138</f>
        <v>15568</v>
      </c>
      <c r="P138" s="37">
        <v>15478</v>
      </c>
      <c r="Q138" s="5">
        <v>15385</v>
      </c>
      <c r="R138" s="5">
        <v>15299</v>
      </c>
      <c r="S138" s="5"/>
      <c r="T138" s="5"/>
      <c r="U138" s="5"/>
      <c r="V138" s="5"/>
      <c r="W138" s="5"/>
      <c r="X138" s="5"/>
      <c r="Y138" s="5"/>
      <c r="Z138" s="5"/>
      <c r="AA138" s="5"/>
      <c r="AB138" s="5"/>
      <c r="AC138" s="5"/>
      <c r="AD138" s="5"/>
      <c r="AE138" s="5"/>
      <c r="AF138" s="5"/>
      <c r="AG138" s="5">
        <v>0</v>
      </c>
      <c r="AH138" s="5"/>
      <c r="AI138" s="5">
        <v>15568</v>
      </c>
      <c r="AJ138" s="5"/>
      <c r="AK138" s="5"/>
    </row>
    <row r="139" spans="2:40" x14ac:dyDescent="0.35">
      <c r="B139" t="s">
        <v>145</v>
      </c>
      <c r="F139" s="5">
        <v>0</v>
      </c>
      <c r="G139" s="5">
        <f t="shared" si="82"/>
        <v>0</v>
      </c>
      <c r="H139" s="37">
        <v>0</v>
      </c>
      <c r="I139" s="5">
        <v>0</v>
      </c>
      <c r="J139" s="5">
        <v>0</v>
      </c>
      <c r="K139" s="5">
        <v>466</v>
      </c>
      <c r="L139" s="37">
        <v>509</v>
      </c>
      <c r="M139" s="5">
        <v>17</v>
      </c>
      <c r="N139" s="5">
        <v>22</v>
      </c>
      <c r="O139" s="5">
        <f>AI139</f>
        <v>95</v>
      </c>
      <c r="P139" s="37">
        <v>170</v>
      </c>
      <c r="Q139" s="5">
        <v>237</v>
      </c>
      <c r="R139" s="5">
        <v>308</v>
      </c>
      <c r="S139" s="5"/>
      <c r="T139" s="5"/>
      <c r="U139" s="5"/>
      <c r="V139" s="5"/>
      <c r="W139" s="5"/>
      <c r="X139" s="5"/>
      <c r="Y139" s="5"/>
      <c r="Z139" s="5"/>
      <c r="AA139" s="5"/>
      <c r="AB139" s="5"/>
      <c r="AC139" s="5"/>
      <c r="AD139" s="5"/>
      <c r="AE139" s="5"/>
      <c r="AF139" s="5"/>
      <c r="AG139" s="5">
        <v>0</v>
      </c>
      <c r="AH139" s="5">
        <v>466</v>
      </c>
      <c r="AI139" s="5">
        <v>95</v>
      </c>
      <c r="AJ139" s="5"/>
      <c r="AK139" s="5"/>
    </row>
    <row r="140" spans="2:40" x14ac:dyDescent="0.35">
      <c r="B140" t="s">
        <v>146</v>
      </c>
      <c r="F140" s="5">
        <v>10500</v>
      </c>
      <c r="G140" s="5">
        <f t="shared" si="82"/>
        <v>0</v>
      </c>
      <c r="H140" s="37">
        <v>11200</v>
      </c>
      <c r="I140" s="5">
        <v>11200</v>
      </c>
      <c r="J140" s="5">
        <v>0</v>
      </c>
      <c r="K140" s="5">
        <v>0</v>
      </c>
      <c r="L140" s="37">
        <v>0</v>
      </c>
      <c r="M140" s="5">
        <v>0</v>
      </c>
      <c r="N140" s="5">
        <v>0</v>
      </c>
      <c r="O140" s="5">
        <v>0</v>
      </c>
      <c r="P140" s="37">
        <v>0</v>
      </c>
      <c r="Q140" s="5">
        <v>0</v>
      </c>
      <c r="R140" s="5">
        <v>0</v>
      </c>
      <c r="S140" s="5"/>
      <c r="T140" s="5"/>
      <c r="U140" s="5"/>
      <c r="V140" s="5"/>
      <c r="W140" s="5"/>
      <c r="X140" s="5"/>
      <c r="Y140" s="5"/>
      <c r="Z140" s="5"/>
      <c r="AA140" s="5"/>
      <c r="AB140" s="5"/>
      <c r="AC140" s="5"/>
      <c r="AD140" s="5"/>
      <c r="AE140" s="5"/>
      <c r="AF140" s="5"/>
      <c r="AG140" s="5">
        <v>0</v>
      </c>
      <c r="AH140" s="5"/>
      <c r="AI140" s="5">
        <v>0</v>
      </c>
      <c r="AJ140" s="5"/>
      <c r="AK140" s="5"/>
    </row>
    <row r="141" spans="2:40" x14ac:dyDescent="0.35">
      <c r="B141" t="s">
        <v>147</v>
      </c>
      <c r="F141" s="5">
        <v>0</v>
      </c>
      <c r="G141" s="5">
        <f t="shared" si="82"/>
        <v>0</v>
      </c>
      <c r="H141" s="37">
        <v>0</v>
      </c>
      <c r="I141" s="5">
        <v>0</v>
      </c>
      <c r="J141" s="5">
        <v>81984</v>
      </c>
      <c r="K141" s="5">
        <v>58227</v>
      </c>
      <c r="L141" s="37">
        <v>0</v>
      </c>
      <c r="M141" s="5">
        <v>0</v>
      </c>
      <c r="N141" s="5">
        <v>0</v>
      </c>
      <c r="O141" s="5">
        <f>AI141</f>
        <v>0</v>
      </c>
      <c r="P141" s="37">
        <v>0</v>
      </c>
      <c r="Q141" s="5">
        <v>0</v>
      </c>
      <c r="R141" s="5">
        <v>0</v>
      </c>
      <c r="S141" s="5"/>
      <c r="T141" s="5"/>
      <c r="U141" s="5"/>
      <c r="V141" s="5"/>
      <c r="W141" s="5"/>
      <c r="X141" s="5"/>
      <c r="Y141" s="5"/>
      <c r="Z141" s="5"/>
      <c r="AA141" s="5"/>
      <c r="AB141" s="5"/>
      <c r="AC141" s="5"/>
      <c r="AD141" s="5"/>
      <c r="AE141" s="5"/>
      <c r="AF141" s="5"/>
      <c r="AG141" s="5">
        <v>0</v>
      </c>
      <c r="AH141" s="5">
        <v>58227</v>
      </c>
      <c r="AI141" s="5">
        <v>0</v>
      </c>
      <c r="AJ141" s="5"/>
      <c r="AK141" s="5"/>
    </row>
    <row r="142" spans="2:40" s="2" customFormat="1" x14ac:dyDescent="0.35">
      <c r="B142" s="2" t="s">
        <v>148</v>
      </c>
      <c r="F142" s="6">
        <v>0</v>
      </c>
      <c r="G142" s="5">
        <f t="shared" si="82"/>
        <v>0</v>
      </c>
      <c r="H142" s="38">
        <v>0</v>
      </c>
      <c r="I142" s="6">
        <v>0</v>
      </c>
      <c r="J142" s="6">
        <v>0</v>
      </c>
      <c r="K142" s="6">
        <v>1800</v>
      </c>
      <c r="L142" s="38">
        <v>4901</v>
      </c>
      <c r="M142" s="6">
        <v>2417</v>
      </c>
      <c r="N142" s="6">
        <v>2576</v>
      </c>
      <c r="O142" s="5">
        <f>AI142</f>
        <v>3005</v>
      </c>
      <c r="P142" s="38">
        <v>3353</v>
      </c>
      <c r="Q142" s="6">
        <v>5716</v>
      </c>
      <c r="R142" s="6">
        <v>3638</v>
      </c>
      <c r="S142" s="6"/>
      <c r="T142" s="6"/>
      <c r="U142" s="6"/>
      <c r="V142" s="6"/>
      <c r="W142" s="6"/>
      <c r="X142" s="6"/>
      <c r="Y142" s="6"/>
      <c r="Z142" s="6"/>
      <c r="AA142" s="6"/>
      <c r="AB142" s="6"/>
      <c r="AC142" s="6"/>
      <c r="AD142" s="6"/>
      <c r="AE142" s="6"/>
      <c r="AF142" s="6"/>
      <c r="AG142" s="6">
        <v>0</v>
      </c>
      <c r="AH142" s="6">
        <v>1800</v>
      </c>
      <c r="AI142" s="6">
        <v>3005</v>
      </c>
      <c r="AJ142" s="6"/>
      <c r="AK142" s="6"/>
    </row>
    <row r="143" spans="2:40" s="32" customFormat="1" x14ac:dyDescent="0.35">
      <c r="B143" s="32" t="s">
        <v>149</v>
      </c>
      <c r="F143" s="33">
        <f t="shared" ref="F143:Q143" si="83">SUM(F135:F142)</f>
        <v>10500</v>
      </c>
      <c r="G143" s="33">
        <f t="shared" si="83"/>
        <v>0</v>
      </c>
      <c r="H143" s="46">
        <f t="shared" si="83"/>
        <v>57397.334000000003</v>
      </c>
      <c r="I143" s="33">
        <f t="shared" si="83"/>
        <v>57316.000999999997</v>
      </c>
      <c r="J143" s="33">
        <f t="shared" si="83"/>
        <v>204515</v>
      </c>
      <c r="K143" s="33">
        <f t="shared" si="83"/>
        <v>186092</v>
      </c>
      <c r="L143" s="46">
        <f t="shared" si="83"/>
        <v>151505</v>
      </c>
      <c r="M143" s="33">
        <f t="shared" si="83"/>
        <v>147197</v>
      </c>
      <c r="N143" s="33">
        <f t="shared" si="83"/>
        <v>149186</v>
      </c>
      <c r="O143" s="33">
        <f t="shared" si="83"/>
        <v>152977</v>
      </c>
      <c r="P143" s="46">
        <f t="shared" si="83"/>
        <v>153595</v>
      </c>
      <c r="Q143" s="33">
        <f t="shared" si="83"/>
        <v>64507</v>
      </c>
      <c r="R143" s="33">
        <f t="shared" ref="R143:U143" si="84">SUM(R135:R142)</f>
        <v>60940</v>
      </c>
      <c r="S143" s="33">
        <f t="shared" si="84"/>
        <v>0</v>
      </c>
      <c r="T143" s="33">
        <f t="shared" si="84"/>
        <v>0</v>
      </c>
      <c r="U143" s="33">
        <f t="shared" si="84"/>
        <v>0</v>
      </c>
      <c r="V143" s="33"/>
      <c r="W143" s="33"/>
      <c r="X143" s="33"/>
      <c r="Y143" s="33"/>
      <c r="Z143" s="33"/>
      <c r="AA143" s="33"/>
      <c r="AB143" s="33"/>
      <c r="AC143" s="33"/>
      <c r="AD143" s="33"/>
      <c r="AE143" s="33"/>
      <c r="AF143" s="33"/>
      <c r="AG143" s="33">
        <f>SUM(AG135:AG142)</f>
        <v>0</v>
      </c>
      <c r="AH143" s="33">
        <f>SUM(AH135:AH142)</f>
        <v>186092</v>
      </c>
      <c r="AI143" s="33">
        <f>SUM(AI135:AI142)</f>
        <v>152977</v>
      </c>
      <c r="AJ143" s="33">
        <f t="shared" ref="AJ143:AN143" si="85">SUM(AJ135:AJ142)</f>
        <v>0</v>
      </c>
      <c r="AK143" s="33">
        <f t="shared" si="85"/>
        <v>0</v>
      </c>
      <c r="AL143" s="33">
        <f t="shared" si="85"/>
        <v>0</v>
      </c>
      <c r="AM143" s="33">
        <f t="shared" si="85"/>
        <v>0</v>
      </c>
      <c r="AN143" s="33">
        <f t="shared" si="85"/>
        <v>0</v>
      </c>
    </row>
    <row r="144" spans="2:40" s="12" customFormat="1" x14ac:dyDescent="0.35">
      <c r="B144" s="12" t="s">
        <v>150</v>
      </c>
      <c r="F144" s="24">
        <f t="shared" ref="F144:Q144" si="86">F143+F133</f>
        <v>11100</v>
      </c>
      <c r="G144" s="24">
        <f t="shared" si="86"/>
        <v>11417.395</v>
      </c>
      <c r="H144" s="40">
        <f t="shared" si="86"/>
        <v>59090.288</v>
      </c>
      <c r="I144" s="24">
        <f t="shared" si="86"/>
        <v>59706.012999999999</v>
      </c>
      <c r="J144" s="24">
        <f t="shared" si="86"/>
        <v>281259</v>
      </c>
      <c r="K144" s="24">
        <f t="shared" si="86"/>
        <v>282399</v>
      </c>
      <c r="L144" s="40">
        <f t="shared" si="86"/>
        <v>324889</v>
      </c>
      <c r="M144" s="24">
        <f t="shared" si="86"/>
        <v>291298</v>
      </c>
      <c r="N144" s="24">
        <f t="shared" si="86"/>
        <v>310526</v>
      </c>
      <c r="O144" s="24">
        <f t="shared" si="86"/>
        <v>315917</v>
      </c>
      <c r="P144" s="40">
        <f t="shared" si="86"/>
        <v>350890</v>
      </c>
      <c r="Q144" s="24">
        <f t="shared" si="86"/>
        <v>370448</v>
      </c>
      <c r="R144" s="24">
        <f t="shared" ref="R144:U144" si="87">R143+R133</f>
        <v>364691</v>
      </c>
      <c r="S144" s="24">
        <f t="shared" si="87"/>
        <v>0</v>
      </c>
      <c r="T144" s="24">
        <f t="shared" si="87"/>
        <v>0</v>
      </c>
      <c r="U144" s="24">
        <f t="shared" si="87"/>
        <v>0</v>
      </c>
      <c r="V144" s="24"/>
      <c r="W144" s="24"/>
      <c r="X144" s="24"/>
      <c r="Y144" s="24"/>
      <c r="Z144" s="24"/>
      <c r="AA144" s="24"/>
      <c r="AB144" s="24"/>
      <c r="AC144" s="24"/>
      <c r="AD144" s="24"/>
      <c r="AE144" s="24"/>
      <c r="AF144" s="24"/>
      <c r="AG144" s="24">
        <f>AG143+AG133</f>
        <v>11417.395</v>
      </c>
      <c r="AH144" s="24">
        <f>AH143+AH133</f>
        <v>282399</v>
      </c>
      <c r="AI144" s="24">
        <f>AI143+AI133</f>
        <v>315917</v>
      </c>
      <c r="AJ144" s="24">
        <f t="shared" ref="AJ144:AN144" si="88">AJ143+AJ133</f>
        <v>0</v>
      </c>
      <c r="AK144" s="24">
        <f t="shared" si="88"/>
        <v>0</v>
      </c>
      <c r="AL144" s="24">
        <f t="shared" si="88"/>
        <v>0</v>
      </c>
      <c r="AM144" s="24">
        <f t="shared" si="88"/>
        <v>0</v>
      </c>
      <c r="AN144" s="24">
        <f t="shared" si="88"/>
        <v>0</v>
      </c>
    </row>
    <row r="145" spans="2:40" s="28" customFormat="1" x14ac:dyDescent="0.35">
      <c r="B145" s="28" t="s">
        <v>151</v>
      </c>
      <c r="F145" s="29"/>
      <c r="G145" s="29"/>
      <c r="H145" s="48"/>
      <c r="I145" s="29"/>
      <c r="J145" s="29"/>
      <c r="K145" s="29"/>
      <c r="L145" s="48"/>
      <c r="M145" s="29"/>
      <c r="N145" s="29"/>
      <c r="O145" s="29"/>
      <c r="P145" s="48"/>
      <c r="Q145" s="29"/>
      <c r="R145" s="29"/>
      <c r="S145" s="29"/>
      <c r="T145" s="29"/>
      <c r="U145" s="29"/>
      <c r="V145" s="29"/>
      <c r="W145" s="29"/>
      <c r="X145" s="29"/>
      <c r="Y145" s="29"/>
      <c r="Z145" s="29"/>
      <c r="AA145" s="29"/>
      <c r="AB145" s="29"/>
      <c r="AC145" s="29"/>
      <c r="AD145" s="29"/>
      <c r="AE145" s="29"/>
      <c r="AF145" s="29"/>
      <c r="AG145" s="29"/>
      <c r="AH145" s="29"/>
      <c r="AI145" s="29"/>
      <c r="AJ145" s="29"/>
      <c r="AK145" s="29"/>
    </row>
    <row r="146" spans="2:40" x14ac:dyDescent="0.35">
      <c r="B146" t="s">
        <v>152</v>
      </c>
      <c r="F146" s="5">
        <v>285851910</v>
      </c>
      <c r="G146" s="5">
        <f t="shared" ref="G146:G155" si="89">AG146</f>
        <v>304820</v>
      </c>
      <c r="H146" s="37">
        <v>256697.07</v>
      </c>
      <c r="I146" s="5">
        <v>320000</v>
      </c>
      <c r="J146" s="5">
        <v>0</v>
      </c>
      <c r="K146" s="5">
        <v>0</v>
      </c>
      <c r="L146" s="37">
        <v>0</v>
      </c>
      <c r="M146" s="5">
        <v>0</v>
      </c>
      <c r="N146" s="5">
        <v>0</v>
      </c>
      <c r="O146" s="5">
        <f t="shared" ref="O146:O155" si="90">AI146</f>
        <v>0</v>
      </c>
      <c r="P146" s="37">
        <v>0</v>
      </c>
      <c r="Q146" s="5">
        <v>0</v>
      </c>
      <c r="R146" s="5">
        <v>0</v>
      </c>
      <c r="S146" s="5"/>
      <c r="T146" s="5"/>
      <c r="U146" s="5"/>
      <c r="V146" s="5"/>
      <c r="W146" s="5"/>
      <c r="X146" s="5"/>
      <c r="Y146" s="5"/>
      <c r="Z146" s="5"/>
      <c r="AA146" s="5"/>
      <c r="AB146" s="5"/>
      <c r="AC146" s="5"/>
      <c r="AD146" s="5"/>
      <c r="AE146" s="5"/>
      <c r="AF146" s="5"/>
      <c r="AG146" s="5">
        <v>304820</v>
      </c>
      <c r="AH146" s="5">
        <v>0</v>
      </c>
      <c r="AI146" s="5">
        <v>0</v>
      </c>
      <c r="AJ146" s="5"/>
      <c r="AK146" s="5"/>
    </row>
    <row r="147" spans="2:40" x14ac:dyDescent="0.35">
      <c r="B147" t="s">
        <v>153</v>
      </c>
      <c r="F147" s="5">
        <v>141</v>
      </c>
      <c r="G147" s="5">
        <f t="shared" si="89"/>
        <v>0</v>
      </c>
      <c r="H147" s="37">
        <v>0</v>
      </c>
      <c r="I147" s="5">
        <v>0</v>
      </c>
      <c r="J147" s="5" t="s">
        <v>154</v>
      </c>
      <c r="K147" s="5" t="s">
        <v>154</v>
      </c>
      <c r="L147" s="37" t="s">
        <v>154</v>
      </c>
      <c r="M147" s="5" t="s">
        <v>154</v>
      </c>
      <c r="N147" s="5" t="s">
        <v>154</v>
      </c>
      <c r="O147" s="5">
        <f t="shared" si="90"/>
        <v>0</v>
      </c>
      <c r="P147" s="37">
        <v>0</v>
      </c>
      <c r="Q147" s="5">
        <v>0</v>
      </c>
      <c r="R147" s="5">
        <v>0</v>
      </c>
      <c r="S147" s="5"/>
      <c r="T147" s="5"/>
      <c r="U147" s="5"/>
      <c r="V147" s="5"/>
      <c r="W147" s="5"/>
      <c r="X147" s="5"/>
      <c r="Y147" s="5"/>
      <c r="Z147" s="5"/>
      <c r="AA147" s="5"/>
      <c r="AB147" s="5"/>
      <c r="AC147" s="5"/>
      <c r="AD147" s="5"/>
      <c r="AE147" s="5"/>
      <c r="AF147" s="5"/>
      <c r="AG147" s="5">
        <v>0</v>
      </c>
      <c r="AH147" s="5">
        <v>0</v>
      </c>
      <c r="AI147" s="5">
        <v>0</v>
      </c>
      <c r="AJ147" s="5"/>
      <c r="AK147" s="5"/>
    </row>
    <row r="148" spans="2:40" x14ac:dyDescent="0.35">
      <c r="B148" t="s">
        <v>155</v>
      </c>
      <c r="F148" s="5">
        <v>863</v>
      </c>
      <c r="G148" s="5">
        <f t="shared" si="89"/>
        <v>0</v>
      </c>
      <c r="H148" s="37">
        <v>0</v>
      </c>
      <c r="I148" s="5">
        <v>0</v>
      </c>
      <c r="J148" s="5" t="s">
        <v>154</v>
      </c>
      <c r="K148" s="5" t="s">
        <v>154</v>
      </c>
      <c r="L148" s="37" t="s">
        <v>154</v>
      </c>
      <c r="M148" s="5" t="s">
        <v>154</v>
      </c>
      <c r="N148" s="5" t="s">
        <v>154</v>
      </c>
      <c r="O148" s="5">
        <f t="shared" si="90"/>
        <v>0</v>
      </c>
      <c r="P148" s="37">
        <v>0</v>
      </c>
      <c r="Q148" s="5">
        <v>0</v>
      </c>
      <c r="R148" s="5">
        <v>0</v>
      </c>
      <c r="S148" s="5"/>
      <c r="T148" s="5"/>
      <c r="U148" s="5"/>
      <c r="V148" s="5"/>
      <c r="W148" s="5"/>
      <c r="X148" s="5"/>
      <c r="Y148" s="5"/>
      <c r="Z148" s="5"/>
      <c r="AA148" s="5"/>
      <c r="AB148" s="5"/>
      <c r="AC148" s="5"/>
      <c r="AD148" s="5"/>
      <c r="AE148" s="5"/>
      <c r="AF148" s="5"/>
      <c r="AG148" s="5">
        <v>0</v>
      </c>
      <c r="AH148" s="5">
        <v>0</v>
      </c>
      <c r="AI148" s="5">
        <v>0</v>
      </c>
      <c r="AJ148" s="5"/>
      <c r="AK148" s="5"/>
    </row>
    <row r="149" spans="2:40" x14ac:dyDescent="0.35">
      <c r="B149" t="s">
        <v>156</v>
      </c>
      <c r="F149" s="5">
        <v>0</v>
      </c>
      <c r="G149" s="5">
        <f t="shared" si="89"/>
        <v>0</v>
      </c>
      <c r="H149" s="37">
        <v>0</v>
      </c>
      <c r="I149" s="5">
        <v>0</v>
      </c>
      <c r="J149" s="5" t="s">
        <v>154</v>
      </c>
      <c r="K149" s="5" t="s">
        <v>154</v>
      </c>
      <c r="L149" s="37" t="s">
        <v>154</v>
      </c>
      <c r="M149" s="5" t="s">
        <v>154</v>
      </c>
      <c r="N149" s="5" t="s">
        <v>154</v>
      </c>
      <c r="O149" s="5">
        <f t="shared" si="90"/>
        <v>0</v>
      </c>
      <c r="P149" s="37">
        <v>0</v>
      </c>
      <c r="Q149" s="5">
        <v>0</v>
      </c>
      <c r="R149" s="5">
        <v>0</v>
      </c>
      <c r="S149" s="5"/>
      <c r="T149" s="5"/>
      <c r="U149" s="5"/>
      <c r="V149" s="5"/>
      <c r="W149" s="5"/>
      <c r="X149" s="5"/>
      <c r="Y149" s="5"/>
      <c r="Z149" s="5"/>
      <c r="AA149" s="5"/>
      <c r="AB149" s="5"/>
      <c r="AC149" s="5"/>
      <c r="AD149" s="5"/>
      <c r="AE149" s="5"/>
      <c r="AF149" s="5"/>
      <c r="AG149" s="5">
        <v>0</v>
      </c>
      <c r="AH149" s="5">
        <v>0</v>
      </c>
      <c r="AI149" s="5">
        <v>0</v>
      </c>
      <c r="AJ149" s="5"/>
      <c r="AK149" s="5"/>
    </row>
    <row r="150" spans="2:40" x14ac:dyDescent="0.35">
      <c r="B150" t="s">
        <v>157</v>
      </c>
      <c r="F150" s="5">
        <v>0</v>
      </c>
      <c r="G150" s="5">
        <f t="shared" si="89"/>
        <v>0</v>
      </c>
      <c r="H150" s="37">
        <v>0</v>
      </c>
      <c r="I150" s="5">
        <v>0</v>
      </c>
      <c r="J150" s="5" t="s">
        <v>154</v>
      </c>
      <c r="K150" s="5" t="s">
        <v>154</v>
      </c>
      <c r="L150" s="37" t="s">
        <v>154</v>
      </c>
      <c r="M150" s="5" t="s">
        <v>154</v>
      </c>
      <c r="N150" s="5" t="s">
        <v>154</v>
      </c>
      <c r="O150" s="5">
        <f t="shared" si="90"/>
        <v>0</v>
      </c>
      <c r="P150" s="37">
        <v>0</v>
      </c>
      <c r="Q150" s="5">
        <v>0</v>
      </c>
      <c r="R150" s="5">
        <v>0</v>
      </c>
      <c r="S150" s="5"/>
      <c r="T150" s="5"/>
      <c r="U150" s="5"/>
      <c r="V150" s="5"/>
      <c r="W150" s="5"/>
      <c r="X150" s="5"/>
      <c r="Y150" s="5"/>
      <c r="Z150" s="5"/>
      <c r="AA150" s="5"/>
      <c r="AB150" s="5"/>
      <c r="AC150" s="5"/>
      <c r="AD150" s="5"/>
      <c r="AE150" s="5"/>
      <c r="AF150" s="5"/>
      <c r="AG150" s="5">
        <v>0</v>
      </c>
      <c r="AH150" s="5">
        <v>0</v>
      </c>
      <c r="AI150" s="5">
        <v>0</v>
      </c>
      <c r="AJ150" s="5"/>
      <c r="AK150" s="5"/>
    </row>
    <row r="151" spans="2:40" x14ac:dyDescent="0.35">
      <c r="B151" t="s">
        <v>158</v>
      </c>
      <c r="F151" s="5">
        <v>0</v>
      </c>
      <c r="G151" s="5">
        <f t="shared" si="89"/>
        <v>0</v>
      </c>
      <c r="H151" s="37">
        <v>0</v>
      </c>
      <c r="I151" s="5">
        <v>0</v>
      </c>
      <c r="J151" s="5" t="s">
        <v>154</v>
      </c>
      <c r="K151" s="5" t="s">
        <v>154</v>
      </c>
      <c r="L151" s="37" t="s">
        <v>154</v>
      </c>
      <c r="M151" s="5" t="s">
        <v>154</v>
      </c>
      <c r="N151" s="5" t="s">
        <v>154</v>
      </c>
      <c r="O151" s="5">
        <f t="shared" si="90"/>
        <v>0</v>
      </c>
      <c r="P151" s="37">
        <v>0</v>
      </c>
      <c r="Q151" s="5">
        <v>0</v>
      </c>
      <c r="R151" s="5">
        <v>0</v>
      </c>
      <c r="S151" s="5"/>
      <c r="T151" s="5"/>
      <c r="U151" s="5"/>
      <c r="V151" s="5"/>
      <c r="W151" s="5"/>
      <c r="X151" s="5"/>
      <c r="Y151" s="5"/>
      <c r="Z151" s="5"/>
      <c r="AA151" s="5"/>
      <c r="AB151" s="5"/>
      <c r="AC151" s="5"/>
      <c r="AD151" s="5"/>
      <c r="AE151" s="5"/>
      <c r="AF151" s="5"/>
      <c r="AG151" s="5">
        <v>0</v>
      </c>
      <c r="AH151" s="5">
        <v>0</v>
      </c>
      <c r="AI151" s="5">
        <v>0</v>
      </c>
      <c r="AJ151" s="5"/>
      <c r="AK151" s="5"/>
    </row>
    <row r="152" spans="2:40" x14ac:dyDescent="0.35">
      <c r="B152" t="s">
        <v>159</v>
      </c>
      <c r="F152" s="5">
        <v>0</v>
      </c>
      <c r="G152" s="5">
        <f t="shared" si="89"/>
        <v>0.95200000000000007</v>
      </c>
      <c r="H152" s="37">
        <f>0.633+0.8</f>
        <v>1.4330000000000001</v>
      </c>
      <c r="I152" s="5">
        <v>0.8</v>
      </c>
      <c r="J152" s="5">
        <v>45</v>
      </c>
      <c r="K152" s="5">
        <v>45</v>
      </c>
      <c r="L152" s="37">
        <v>46</v>
      </c>
      <c r="M152" s="5">
        <v>47</v>
      </c>
      <c r="N152" s="5">
        <v>45</v>
      </c>
      <c r="O152" s="5">
        <f t="shared" si="90"/>
        <v>48</v>
      </c>
      <c r="P152" s="37">
        <v>48</v>
      </c>
      <c r="Q152" s="5">
        <v>48</v>
      </c>
      <c r="R152" s="5">
        <v>49</v>
      </c>
      <c r="S152" s="5"/>
      <c r="T152" s="5"/>
      <c r="U152" s="5"/>
      <c r="V152" s="5"/>
      <c r="W152" s="5"/>
      <c r="X152" s="5"/>
      <c r="Y152" s="5"/>
      <c r="Z152" s="5"/>
      <c r="AA152" s="5"/>
      <c r="AB152" s="5"/>
      <c r="AC152" s="5"/>
      <c r="AD152" s="5"/>
      <c r="AE152" s="5"/>
      <c r="AF152" s="5"/>
      <c r="AG152" s="5">
        <f>0.152+0.8</f>
        <v>0.95200000000000007</v>
      </c>
      <c r="AH152" s="5">
        <v>45</v>
      </c>
      <c r="AI152" s="5">
        <v>48</v>
      </c>
      <c r="AJ152" s="5"/>
      <c r="AK152" s="5"/>
    </row>
    <row r="153" spans="2:40" x14ac:dyDescent="0.35">
      <c r="B153" t="s">
        <v>160</v>
      </c>
      <c r="F153" s="5">
        <v>5019704</v>
      </c>
      <c r="G153" s="5">
        <f t="shared" si="89"/>
        <v>5351.6660000000002</v>
      </c>
      <c r="H153" s="37">
        <v>40900.781999999999</v>
      </c>
      <c r="I153" s="5">
        <v>0</v>
      </c>
      <c r="J153" s="5">
        <v>981159</v>
      </c>
      <c r="K153" s="5">
        <v>1002106</v>
      </c>
      <c r="L153" s="37">
        <v>1062085</v>
      </c>
      <c r="M153" s="5">
        <v>1081390</v>
      </c>
      <c r="N153" s="5">
        <v>1098892</v>
      </c>
      <c r="O153" s="5">
        <f t="shared" si="90"/>
        <v>1112977</v>
      </c>
      <c r="P153" s="37">
        <v>1125976</v>
      </c>
      <c r="Q153" s="5">
        <v>1145225</v>
      </c>
      <c r="R153" s="5">
        <v>1161165</v>
      </c>
      <c r="S153" s="5"/>
      <c r="T153" s="5"/>
      <c r="U153" s="5"/>
      <c r="V153" s="5"/>
      <c r="W153" s="5"/>
      <c r="X153" s="5"/>
      <c r="Y153" s="5"/>
      <c r="Z153" s="5"/>
      <c r="AA153" s="5"/>
      <c r="AB153" s="5"/>
      <c r="AC153" s="5"/>
      <c r="AD153" s="5"/>
      <c r="AE153" s="5"/>
      <c r="AF153" s="5"/>
      <c r="AG153" s="5">
        <v>5351.6660000000002</v>
      </c>
      <c r="AH153" s="5">
        <v>1002106</v>
      </c>
      <c r="AI153" s="5">
        <v>1112977</v>
      </c>
      <c r="AJ153" s="5"/>
      <c r="AK153" s="5"/>
    </row>
    <row r="154" spans="2:40" x14ac:dyDescent="0.35">
      <c r="B154" t="s">
        <v>161</v>
      </c>
      <c r="F154" s="5">
        <v>-20698</v>
      </c>
      <c r="G154" s="5">
        <f t="shared" si="89"/>
        <v>-352.61700000000002</v>
      </c>
      <c r="H154" s="37">
        <v>-35902.214</v>
      </c>
      <c r="I154" s="5">
        <v>-59362.822999999997</v>
      </c>
      <c r="J154" s="5">
        <v>-308207</v>
      </c>
      <c r="K154" s="5">
        <v>-305011</v>
      </c>
      <c r="L154" s="37">
        <v>-331720</v>
      </c>
      <c r="M154" s="5">
        <v>-369137</v>
      </c>
      <c r="N154" s="5">
        <v>-403747</v>
      </c>
      <c r="O154" s="5">
        <f t="shared" si="90"/>
        <v>-440955</v>
      </c>
      <c r="P154" s="37">
        <v>-486572</v>
      </c>
      <c r="Q154" s="5">
        <v>-532461</v>
      </c>
      <c r="R154" s="5">
        <v>-573029</v>
      </c>
      <c r="S154" s="5"/>
      <c r="T154" s="5"/>
      <c r="U154" s="5"/>
      <c r="V154" s="5"/>
      <c r="W154" s="5"/>
      <c r="X154" s="5"/>
      <c r="Y154" s="5"/>
      <c r="Z154" s="5"/>
      <c r="AA154" s="5"/>
      <c r="AB154" s="5"/>
      <c r="AC154" s="5"/>
      <c r="AD154" s="5"/>
      <c r="AE154" s="5"/>
      <c r="AF154" s="5"/>
      <c r="AG154" s="5">
        <v>-352.61700000000002</v>
      </c>
      <c r="AH154" s="5">
        <v>-305011</v>
      </c>
      <c r="AI154" s="5">
        <v>-440955</v>
      </c>
      <c r="AJ154" s="5"/>
      <c r="AK154" s="5"/>
    </row>
    <row r="155" spans="2:40" s="2" customFormat="1" x14ac:dyDescent="0.35">
      <c r="B155" s="2" t="s">
        <v>162</v>
      </c>
      <c r="F155" s="6">
        <v>0</v>
      </c>
      <c r="G155" s="5">
        <f t="shared" si="89"/>
        <v>0</v>
      </c>
      <c r="H155" s="38"/>
      <c r="I155" s="6">
        <v>0</v>
      </c>
      <c r="J155" s="6">
        <v>1121</v>
      </c>
      <c r="K155" s="6">
        <v>1308</v>
      </c>
      <c r="L155" s="38">
        <v>2184</v>
      </c>
      <c r="M155" s="6">
        <v>1154</v>
      </c>
      <c r="N155" s="6">
        <v>-4356</v>
      </c>
      <c r="O155" s="5">
        <f t="shared" si="90"/>
        <v>1136</v>
      </c>
      <c r="P155" s="38">
        <v>566</v>
      </c>
      <c r="Q155" s="6">
        <v>-1764</v>
      </c>
      <c r="R155" s="6">
        <v>-2383</v>
      </c>
      <c r="S155" s="6"/>
      <c r="T155" s="6"/>
      <c r="U155" s="6"/>
      <c r="V155" s="6"/>
      <c r="W155" s="6"/>
      <c r="X155" s="6"/>
      <c r="Y155" s="6"/>
      <c r="Z155" s="6"/>
      <c r="AA155" s="6"/>
      <c r="AB155" s="6"/>
      <c r="AC155" s="6"/>
      <c r="AD155" s="6"/>
      <c r="AE155" s="6"/>
      <c r="AF155" s="6"/>
      <c r="AG155" s="6">
        <v>0</v>
      </c>
      <c r="AH155" s="6">
        <v>1308</v>
      </c>
      <c r="AI155" s="6">
        <v>1136</v>
      </c>
      <c r="AJ155" s="6"/>
      <c r="AK155" s="6"/>
    </row>
    <row r="156" spans="2:40" s="32" customFormat="1" x14ac:dyDescent="0.35">
      <c r="B156" s="32" t="s">
        <v>163</v>
      </c>
      <c r="F156" s="33">
        <f>SUM(F147:F155)</f>
        <v>5000010</v>
      </c>
      <c r="G156" s="33">
        <f>SUM(G147:G155)</f>
        <v>5000.0010000000002</v>
      </c>
      <c r="H156" s="46">
        <f t="shared" ref="H156:Q156" si="91">SUM(H152:H155)</f>
        <v>5000.0009999999966</v>
      </c>
      <c r="I156" s="33">
        <f t="shared" si="91"/>
        <v>-59362.022999999994</v>
      </c>
      <c r="J156" s="33">
        <f t="shared" si="91"/>
        <v>674118</v>
      </c>
      <c r="K156" s="33">
        <f t="shared" si="91"/>
        <v>698448</v>
      </c>
      <c r="L156" s="46">
        <f t="shared" si="91"/>
        <v>732595</v>
      </c>
      <c r="M156" s="33">
        <f t="shared" si="91"/>
        <v>713454</v>
      </c>
      <c r="N156" s="33">
        <f t="shared" si="91"/>
        <v>690834</v>
      </c>
      <c r="O156" s="33">
        <f t="shared" si="91"/>
        <v>673206</v>
      </c>
      <c r="P156" s="46">
        <f t="shared" si="91"/>
        <v>640018</v>
      </c>
      <c r="Q156" s="33">
        <f t="shared" si="91"/>
        <v>611048</v>
      </c>
      <c r="R156" s="33">
        <f t="shared" ref="R156" si="92">SUM(R152:R155)</f>
        <v>585802</v>
      </c>
      <c r="S156" s="33">
        <f t="shared" ref="S156:U156" si="93">SUM(S152:S155)</f>
        <v>0</v>
      </c>
      <c r="T156" s="33">
        <f t="shared" si="93"/>
        <v>0</v>
      </c>
      <c r="U156" s="33">
        <f t="shared" si="93"/>
        <v>0</v>
      </c>
      <c r="V156" s="33"/>
      <c r="W156" s="33"/>
      <c r="X156" s="33"/>
      <c r="Y156" s="33"/>
      <c r="Z156" s="33"/>
      <c r="AA156" s="33"/>
      <c r="AB156" s="33"/>
      <c r="AC156" s="33"/>
      <c r="AD156" s="33"/>
      <c r="AE156" s="33"/>
      <c r="AF156" s="33"/>
      <c r="AG156" s="33">
        <f>SUM(AG152:AG155)</f>
        <v>5000.0010000000002</v>
      </c>
      <c r="AH156" s="33">
        <f>SUM(AH152:AH155)</f>
        <v>698448</v>
      </c>
      <c r="AI156" s="33">
        <f>SUM(AI152:AI155)</f>
        <v>673206</v>
      </c>
      <c r="AJ156" s="33">
        <f t="shared" ref="AJ156:AN156" si="94">SUM(AJ152:AJ155)</f>
        <v>0</v>
      </c>
      <c r="AK156" s="33">
        <f t="shared" si="94"/>
        <v>0</v>
      </c>
      <c r="AL156" s="33">
        <f t="shared" si="94"/>
        <v>0</v>
      </c>
      <c r="AM156" s="33">
        <f t="shared" si="94"/>
        <v>0</v>
      </c>
      <c r="AN156" s="33">
        <f t="shared" si="94"/>
        <v>0</v>
      </c>
    </row>
    <row r="157" spans="2:40" s="12" customFormat="1" x14ac:dyDescent="0.35">
      <c r="B157" s="12" t="s">
        <v>164</v>
      </c>
      <c r="F157" s="24">
        <f>SUM(F144:F155)</f>
        <v>290863020</v>
      </c>
      <c r="G157" s="24">
        <f>G156+G144+G146</f>
        <v>321237.39600000001</v>
      </c>
      <c r="H157" s="40">
        <f t="shared" ref="H157:O157" si="95">SUM(H144:H155)</f>
        <v>320787.35900000005</v>
      </c>
      <c r="I157" s="24">
        <f t="shared" si="95"/>
        <v>320343.99</v>
      </c>
      <c r="J157" s="24">
        <f t="shared" si="95"/>
        <v>955377</v>
      </c>
      <c r="K157" s="24">
        <f t="shared" si="95"/>
        <v>980847</v>
      </c>
      <c r="L157" s="40">
        <f t="shared" si="95"/>
        <v>1057484</v>
      </c>
      <c r="M157" s="24">
        <f t="shared" si="95"/>
        <v>1004752</v>
      </c>
      <c r="N157" s="24">
        <f t="shared" si="95"/>
        <v>1001360</v>
      </c>
      <c r="O157" s="24">
        <f t="shared" si="95"/>
        <v>989123</v>
      </c>
      <c r="P157" s="40">
        <f t="shared" ref="P157:Q157" si="96">SUM(P144:P155)</f>
        <v>990908</v>
      </c>
      <c r="Q157" s="24">
        <f t="shared" si="96"/>
        <v>981496</v>
      </c>
      <c r="R157" s="24">
        <f t="shared" ref="R157:S157" si="97">SUM(R144:R155)</f>
        <v>950493</v>
      </c>
      <c r="S157" s="24">
        <f t="shared" si="97"/>
        <v>0</v>
      </c>
      <c r="T157" s="24">
        <f t="shared" ref="T157:U157" si="98">SUM(T144:T155)</f>
        <v>0</v>
      </c>
      <c r="U157" s="24">
        <f t="shared" si="98"/>
        <v>0</v>
      </c>
      <c r="V157" s="24"/>
      <c r="W157" s="24"/>
      <c r="X157" s="24"/>
      <c r="Y157" s="24"/>
      <c r="Z157" s="24"/>
      <c r="AA157" s="24"/>
      <c r="AB157" s="24"/>
      <c r="AC157" s="24"/>
      <c r="AD157" s="24"/>
      <c r="AE157" s="24"/>
      <c r="AF157" s="24"/>
      <c r="AG157" s="24">
        <f>SUM(AG144:AG155)</f>
        <v>321237.39600000001</v>
      </c>
      <c r="AH157" s="24">
        <f>SUM(AH144:AH155)</f>
        <v>980847</v>
      </c>
      <c r="AI157" s="24">
        <f>SUM(AI144:AI155)</f>
        <v>989123</v>
      </c>
      <c r="AJ157" s="24">
        <f t="shared" ref="AJ157:AN157" si="99">SUM(AJ144:AJ155)</f>
        <v>0</v>
      </c>
      <c r="AK157" s="24">
        <f t="shared" si="99"/>
        <v>0</v>
      </c>
      <c r="AL157" s="24">
        <f t="shared" si="99"/>
        <v>0</v>
      </c>
      <c r="AM157" s="24">
        <f t="shared" si="99"/>
        <v>0</v>
      </c>
      <c r="AN157" s="24">
        <f t="shared" si="99"/>
        <v>0</v>
      </c>
    </row>
    <row r="158" spans="2:40" x14ac:dyDescent="0.35">
      <c r="H158" s="37"/>
      <c r="I158" s="5"/>
      <c r="J158" s="5"/>
      <c r="K158" s="5"/>
      <c r="L158" s="37"/>
      <c r="M158" s="5"/>
      <c r="N158" s="5"/>
      <c r="O158" s="5"/>
      <c r="P158" s="37"/>
      <c r="Q158" s="5"/>
      <c r="R158" s="5"/>
      <c r="S158" s="5"/>
      <c r="T158" s="5"/>
      <c r="U158" s="5"/>
      <c r="V158" s="5"/>
      <c r="W158" s="5"/>
      <c r="X158" s="5"/>
      <c r="Y158" s="5"/>
      <c r="Z158" s="5"/>
      <c r="AA158" s="5"/>
      <c r="AB158" s="5"/>
      <c r="AC158" s="5"/>
      <c r="AD158" s="5"/>
      <c r="AE158" s="5"/>
      <c r="AF158" s="5"/>
      <c r="AG158" s="5"/>
      <c r="AH158" s="5"/>
      <c r="AI158" s="5"/>
      <c r="AJ158" s="5"/>
      <c r="AK158" s="5"/>
    </row>
    <row r="159" spans="2:40" x14ac:dyDescent="0.35">
      <c r="B159" t="s">
        <v>165</v>
      </c>
      <c r="F159" s="25">
        <f t="shared" ref="F159:Q159" si="100">F111/F133</f>
        <v>715.12395000000004</v>
      </c>
      <c r="G159" s="25">
        <f t="shared" si="100"/>
        <v>0.10795369696852915</v>
      </c>
      <c r="H159" s="51">
        <f t="shared" si="100"/>
        <v>0.45937633272965478</v>
      </c>
      <c r="I159" s="25">
        <f t="shared" si="100"/>
        <v>0.13785328274502387</v>
      </c>
      <c r="J159" s="25">
        <f t="shared" si="100"/>
        <v>11.141144584592933</v>
      </c>
      <c r="K159" s="25">
        <f t="shared" si="100"/>
        <v>8.0447319509485293</v>
      </c>
      <c r="L159" s="51">
        <f t="shared" si="100"/>
        <v>4.3036381673049418</v>
      </c>
      <c r="M159" s="25">
        <f t="shared" si="100"/>
        <v>4.9022282982075076</v>
      </c>
      <c r="N159" s="25">
        <f t="shared" si="100"/>
        <v>4.3352547415396057</v>
      </c>
      <c r="O159" s="25">
        <f t="shared" si="100"/>
        <v>4.0646495642567819</v>
      </c>
      <c r="P159" s="51">
        <f t="shared" si="100"/>
        <v>3.2198281760815024</v>
      </c>
      <c r="Q159" s="25">
        <f t="shared" si="100"/>
        <v>1.8310883470996042</v>
      </c>
      <c r="R159" s="5"/>
      <c r="S159" s="5"/>
      <c r="T159" s="5"/>
      <c r="U159" s="5"/>
      <c r="V159" s="5"/>
      <c r="W159" s="5"/>
      <c r="X159" s="5"/>
      <c r="Y159" s="5"/>
      <c r="Z159" s="5"/>
      <c r="AA159" s="5"/>
      <c r="AB159" s="5"/>
      <c r="AC159" s="5"/>
      <c r="AD159" s="5"/>
      <c r="AE159" s="5"/>
      <c r="AF159" s="5"/>
      <c r="AG159" s="25">
        <f>AG111/AG133</f>
        <v>0.10795369696852915</v>
      </c>
      <c r="AH159" s="25">
        <f>AH111/AH133</f>
        <v>8.0447319509485293</v>
      </c>
      <c r="AI159" s="25">
        <f>AI111/AI133</f>
        <v>4.0646495642567819</v>
      </c>
      <c r="AJ159" s="5"/>
      <c r="AK159" s="5"/>
    </row>
    <row r="161" spans="2:40" s="8" customFormat="1" x14ac:dyDescent="0.35">
      <c r="B161" s="4" t="s">
        <v>166</v>
      </c>
      <c r="C161" s="4"/>
      <c r="D161" s="4"/>
      <c r="E161" s="4"/>
      <c r="F161" s="4"/>
      <c r="G161" s="4"/>
      <c r="H161" s="52"/>
      <c r="L161" s="52"/>
      <c r="P161" s="52"/>
    </row>
    <row r="162" spans="2:40" s="5" customFormat="1" x14ac:dyDescent="0.35">
      <c r="B162" s="5" t="s">
        <v>167</v>
      </c>
      <c r="F162" s="5">
        <v>0</v>
      </c>
      <c r="G162" s="5">
        <v>0</v>
      </c>
      <c r="H162" s="37">
        <v>0</v>
      </c>
      <c r="I162" s="5">
        <v>0</v>
      </c>
      <c r="J162" s="5">
        <v>-49877</v>
      </c>
      <c r="K162" s="5">
        <v>-21914</v>
      </c>
      <c r="L162" s="37">
        <v>-26339</v>
      </c>
      <c r="M162" s="5">
        <f>-64595</f>
        <v>-64595</v>
      </c>
      <c r="N162" s="5">
        <v>-87592</v>
      </c>
      <c r="O162" s="5">
        <f>AI162</f>
        <v>-106538</v>
      </c>
      <c r="P162" s="37">
        <v>-25385</v>
      </c>
      <c r="Q162" s="5">
        <f>-31449</f>
        <v>-31449</v>
      </c>
      <c r="R162" s="5">
        <v>-56650</v>
      </c>
      <c r="AG162" s="5">
        <v>-27757</v>
      </c>
      <c r="AH162" s="5">
        <v>-71791</v>
      </c>
      <c r="AI162" s="5">
        <v>-106538</v>
      </c>
    </row>
    <row r="163" spans="2:40" s="6" customFormat="1" x14ac:dyDescent="0.35">
      <c r="B163" s="6" t="s">
        <v>168</v>
      </c>
      <c r="F163" s="6">
        <v>0</v>
      </c>
      <c r="G163" s="6">
        <v>0</v>
      </c>
      <c r="H163" s="38">
        <v>0</v>
      </c>
      <c r="I163" s="6">
        <v>0</v>
      </c>
      <c r="J163" s="6">
        <v>-11447</v>
      </c>
      <c r="K163" s="6">
        <v>-14252</v>
      </c>
      <c r="L163" s="38">
        <v>-6242</v>
      </c>
      <c r="M163" s="6">
        <f>-19070</f>
        <v>-19070</v>
      </c>
      <c r="N163" s="6">
        <v>-27419</v>
      </c>
      <c r="O163" s="6">
        <f>AI163</f>
        <v>-42412</v>
      </c>
      <c r="P163" s="38">
        <v>-12674</v>
      </c>
      <c r="Q163" s="6">
        <f>-23246</f>
        <v>-23246</v>
      </c>
      <c r="R163" s="6">
        <v>-44293</v>
      </c>
      <c r="AG163" s="6">
        <v>-25121</v>
      </c>
      <c r="AH163" s="6">
        <v>-25699</v>
      </c>
      <c r="AI163" s="6">
        <v>-42412</v>
      </c>
    </row>
    <row r="164" spans="2:40" s="5" customFormat="1" x14ac:dyDescent="0.35">
      <c r="B164" s="5" t="s">
        <v>169</v>
      </c>
      <c r="F164" s="5">
        <f t="shared" ref="F164:U164" si="101">F162+F163</f>
        <v>0</v>
      </c>
      <c r="G164" s="5">
        <f t="shared" si="101"/>
        <v>0</v>
      </c>
      <c r="H164" s="37">
        <f t="shared" si="101"/>
        <v>0</v>
      </c>
      <c r="I164" s="5">
        <f t="shared" si="101"/>
        <v>0</v>
      </c>
      <c r="J164" s="5">
        <f t="shared" si="101"/>
        <v>-61324</v>
      </c>
      <c r="K164" s="5">
        <f t="shared" si="101"/>
        <v>-36166</v>
      </c>
      <c r="L164" s="37">
        <f t="shared" si="101"/>
        <v>-32581</v>
      </c>
      <c r="M164" s="5">
        <f t="shared" si="101"/>
        <v>-83665</v>
      </c>
      <c r="N164" s="5">
        <f t="shared" si="101"/>
        <v>-115011</v>
      </c>
      <c r="O164" s="5">
        <f t="shared" si="101"/>
        <v>-148950</v>
      </c>
      <c r="P164" s="37">
        <f t="shared" si="101"/>
        <v>-38059</v>
      </c>
      <c r="Q164" s="5">
        <f t="shared" si="101"/>
        <v>-54695</v>
      </c>
      <c r="R164" s="5">
        <f t="shared" si="101"/>
        <v>-100943</v>
      </c>
      <c r="S164" s="5">
        <f t="shared" si="101"/>
        <v>0</v>
      </c>
      <c r="T164" s="5">
        <f t="shared" si="101"/>
        <v>0</v>
      </c>
      <c r="U164" s="5">
        <f t="shared" si="101"/>
        <v>0</v>
      </c>
      <c r="AG164" s="5">
        <f>AG162+AG163</f>
        <v>-52878</v>
      </c>
      <c r="AH164" s="5">
        <f>AH162+AH163</f>
        <v>-97490</v>
      </c>
      <c r="AI164" s="5">
        <f>AI162+AI163</f>
        <v>-148950</v>
      </c>
      <c r="AJ164" s="5">
        <f t="shared" ref="AJ164:AN164" si="102">AJ162+AJ163</f>
        <v>0</v>
      </c>
      <c r="AK164" s="5">
        <f t="shared" si="102"/>
        <v>0</v>
      </c>
      <c r="AL164" s="5">
        <f t="shared" si="102"/>
        <v>0</v>
      </c>
      <c r="AM164" s="5">
        <f t="shared" si="102"/>
        <v>0</v>
      </c>
      <c r="AN164" s="5">
        <f t="shared" si="102"/>
        <v>0</v>
      </c>
    </row>
    <row r="166" spans="2:40" s="5" customFormat="1" x14ac:dyDescent="0.35">
      <c r="B166" s="5" t="s">
        <v>183</v>
      </c>
      <c r="H166" s="37"/>
      <c r="L166" s="37">
        <v>0</v>
      </c>
      <c r="M166" s="5">
        <v>0</v>
      </c>
      <c r="N166" s="5">
        <v>0</v>
      </c>
      <c r="O166" s="5">
        <f>AI166</f>
        <v>0</v>
      </c>
      <c r="P166" s="37">
        <v>0</v>
      </c>
      <c r="Q166" s="5">
        <v>0</v>
      </c>
      <c r="R166" s="5">
        <v>0</v>
      </c>
      <c r="AG166" s="5">
        <v>20500</v>
      </c>
      <c r="AH166" s="5">
        <v>0</v>
      </c>
      <c r="AI166" s="5">
        <v>0</v>
      </c>
    </row>
    <row r="167" spans="2:40" s="5" customFormat="1" x14ac:dyDescent="0.35">
      <c r="B167" s="5" t="s">
        <v>184</v>
      </c>
      <c r="H167" s="37"/>
      <c r="L167" s="37">
        <v>11958</v>
      </c>
      <c r="M167" s="5">
        <f>28827</f>
        <v>28827</v>
      </c>
      <c r="N167" s="5">
        <v>43312</v>
      </c>
      <c r="O167" s="5">
        <f>AI167</f>
        <v>55649</v>
      </c>
      <c r="P167" s="37">
        <v>14036</v>
      </c>
      <c r="Q167" s="5">
        <f>29300</f>
        <v>29300</v>
      </c>
      <c r="R167" s="5">
        <v>43398</v>
      </c>
      <c r="AG167" s="5">
        <v>4218</v>
      </c>
      <c r="AH167" s="5">
        <v>32557</v>
      </c>
      <c r="AI167" s="5">
        <v>55649</v>
      </c>
    </row>
    <row r="168" spans="2:40" s="5" customFormat="1" x14ac:dyDescent="0.35">
      <c r="B168" s="5" t="s">
        <v>185</v>
      </c>
      <c r="H168" s="37"/>
      <c r="L168" s="37">
        <v>0</v>
      </c>
      <c r="M168" s="5">
        <v>0</v>
      </c>
      <c r="N168" s="5">
        <v>0</v>
      </c>
      <c r="O168" s="5">
        <f>AI168</f>
        <v>0</v>
      </c>
      <c r="P168" s="37">
        <v>0</v>
      </c>
      <c r="Q168" s="5">
        <v>0</v>
      </c>
      <c r="R168" s="5">
        <v>0</v>
      </c>
      <c r="AG168" s="5">
        <v>0</v>
      </c>
      <c r="AH168" s="5">
        <v>0</v>
      </c>
      <c r="AI168" s="5">
        <v>0</v>
      </c>
    </row>
    <row r="169" spans="2:40" s="5" customFormat="1" x14ac:dyDescent="0.35">
      <c r="B169" s="5" t="s">
        <v>186</v>
      </c>
      <c r="H169" s="37"/>
      <c r="L169" s="37">
        <v>0</v>
      </c>
      <c r="M169" s="5">
        <v>0</v>
      </c>
      <c r="N169" s="5">
        <v>0</v>
      </c>
      <c r="O169" s="5">
        <f>AI169</f>
        <v>0</v>
      </c>
      <c r="P169" s="37">
        <v>0</v>
      </c>
      <c r="Q169" s="5">
        <v>0</v>
      </c>
      <c r="R169" s="5">
        <v>0</v>
      </c>
      <c r="AG169" s="5">
        <v>0</v>
      </c>
      <c r="AH169" s="5">
        <v>0</v>
      </c>
      <c r="AI169" s="5">
        <v>0</v>
      </c>
    </row>
    <row r="170" spans="2:40" s="5" customFormat="1" x14ac:dyDescent="0.35">
      <c r="H170" s="37"/>
      <c r="L170" s="37"/>
      <c r="P170" s="37"/>
    </row>
    <row r="171" spans="2:40" s="29" customFormat="1" x14ac:dyDescent="0.35">
      <c r="B171" s="29" t="s">
        <v>222</v>
      </c>
      <c r="H171" s="48"/>
      <c r="L171" s="48"/>
      <c r="P171" s="48"/>
    </row>
    <row r="172" spans="2:40" s="5" customFormat="1" x14ac:dyDescent="0.35">
      <c r="B172" s="5" t="s">
        <v>167</v>
      </c>
      <c r="H172" s="37"/>
      <c r="L172" s="37">
        <f>L162</f>
        <v>-26339</v>
      </c>
      <c r="M172" s="5">
        <f>M162-L162</f>
        <v>-38256</v>
      </c>
      <c r="N172" s="5">
        <f>N162-M172-L172</f>
        <v>-22997</v>
      </c>
      <c r="O172" s="5">
        <f>O162-N172-M172-L172</f>
        <v>-18946</v>
      </c>
      <c r="P172" s="37">
        <f>P162</f>
        <v>-25385</v>
      </c>
      <c r="Q172" s="5">
        <f>Q162-P162</f>
        <v>-6064</v>
      </c>
      <c r="R172" s="5">
        <f>R162-Q172-P172</f>
        <v>-25201</v>
      </c>
    </row>
    <row r="173" spans="2:40" s="6" customFormat="1" x14ac:dyDescent="0.35">
      <c r="B173" s="6" t="s">
        <v>168</v>
      </c>
      <c r="H173" s="38"/>
      <c r="L173" s="38">
        <f>L163</f>
        <v>-6242</v>
      </c>
      <c r="M173" s="6">
        <f>M163-L163</f>
        <v>-12828</v>
      </c>
      <c r="N173" s="6">
        <f>N163-M173-L173</f>
        <v>-8349</v>
      </c>
      <c r="O173" s="6">
        <f>O163-N173-M173-L173</f>
        <v>-14993</v>
      </c>
      <c r="P173" s="38">
        <f>P163</f>
        <v>-12674</v>
      </c>
      <c r="Q173" s="6">
        <f>Q163-P163</f>
        <v>-10572</v>
      </c>
      <c r="R173" s="6">
        <f>R163-Q173-P173</f>
        <v>-21047</v>
      </c>
    </row>
    <row r="174" spans="2:40" s="5" customFormat="1" x14ac:dyDescent="0.35">
      <c r="B174" s="5" t="s">
        <v>169</v>
      </c>
      <c r="H174" s="37"/>
      <c r="L174" s="37">
        <f>SUM(L172:L173)</f>
        <v>-32581</v>
      </c>
      <c r="M174" s="5">
        <f t="shared" ref="M174" si="103">SUM(M172:M173)</f>
        <v>-51084</v>
      </c>
      <c r="N174" s="5">
        <f t="shared" ref="N174:O174" si="104">SUM(N172:N173)</f>
        <v>-31346</v>
      </c>
      <c r="O174" s="5">
        <f t="shared" si="104"/>
        <v>-33939</v>
      </c>
      <c r="P174" s="37">
        <f>SUM(P172:P173)</f>
        <v>-38059</v>
      </c>
      <c r="Q174" s="5">
        <f t="shared" ref="Q174:U174" si="105">SUM(Q172:Q173)</f>
        <v>-16636</v>
      </c>
      <c r="R174" s="5">
        <f t="shared" si="105"/>
        <v>-46248</v>
      </c>
      <c r="S174" s="5">
        <f t="shared" si="105"/>
        <v>0</v>
      </c>
      <c r="T174" s="5">
        <f t="shared" si="105"/>
        <v>0</v>
      </c>
      <c r="U174" s="5">
        <f t="shared" si="105"/>
        <v>0</v>
      </c>
    </row>
    <row r="175" spans="2:40" s="5" customFormat="1" x14ac:dyDescent="0.35">
      <c r="B175"/>
      <c r="C175"/>
      <c r="D175"/>
      <c r="E175"/>
      <c r="H175" s="37"/>
      <c r="L175" s="37"/>
      <c r="P175" s="37"/>
    </row>
    <row r="176" spans="2:40" s="5" customFormat="1" x14ac:dyDescent="0.35">
      <c r="B176" s="5" t="s">
        <v>183</v>
      </c>
      <c r="H176" s="37"/>
      <c r="L176" s="37">
        <f>L166</f>
        <v>0</v>
      </c>
      <c r="M176" s="5">
        <v>0</v>
      </c>
      <c r="N176" s="5">
        <f>N166</f>
        <v>0</v>
      </c>
      <c r="O176" s="5">
        <f>O166-N176-M176-L176</f>
        <v>0</v>
      </c>
      <c r="P176" s="37">
        <f>P166</f>
        <v>0</v>
      </c>
      <c r="Q176" s="5">
        <v>0</v>
      </c>
      <c r="R176" s="5">
        <f>R166</f>
        <v>0</v>
      </c>
    </row>
    <row r="177" spans="2:36" s="5" customFormat="1" x14ac:dyDescent="0.35">
      <c r="B177" s="5" t="s">
        <v>184</v>
      </c>
      <c r="H177" s="37"/>
      <c r="L177" s="37">
        <f>L167</f>
        <v>11958</v>
      </c>
      <c r="M177" s="5">
        <f>29300-L177</f>
        <v>17342</v>
      </c>
      <c r="N177" s="5">
        <f>N167-M177-L177</f>
        <v>14012</v>
      </c>
      <c r="O177" s="5">
        <f>O167-N177-M177-L177</f>
        <v>12337</v>
      </c>
      <c r="P177" s="37">
        <f>P167</f>
        <v>14036</v>
      </c>
      <c r="Q177" s="5">
        <f>29300-P177</f>
        <v>15264</v>
      </c>
      <c r="R177" s="5">
        <f>R167-Q177-P177</f>
        <v>14098</v>
      </c>
    </row>
    <row r="178" spans="2:36" s="5" customFormat="1" x14ac:dyDescent="0.35">
      <c r="B178" s="5" t="s">
        <v>185</v>
      </c>
      <c r="H178" s="37"/>
      <c r="L178" s="37">
        <f>L168</f>
        <v>0</v>
      </c>
      <c r="M178" s="5">
        <v>0</v>
      </c>
      <c r="N178" s="5">
        <f>N168</f>
        <v>0</v>
      </c>
      <c r="O178" s="5">
        <f>O168-N178-M178-L178</f>
        <v>0</v>
      </c>
      <c r="P178" s="37">
        <f>P168</f>
        <v>0</v>
      </c>
      <c r="Q178" s="5">
        <v>0</v>
      </c>
      <c r="R178" s="5">
        <f>R168</f>
        <v>0</v>
      </c>
    </row>
    <row r="179" spans="2:36" s="5" customFormat="1" x14ac:dyDescent="0.35">
      <c r="B179" s="5" t="s">
        <v>186</v>
      </c>
      <c r="H179" s="37"/>
      <c r="L179" s="37">
        <f>L169</f>
        <v>0</v>
      </c>
      <c r="M179" s="5">
        <v>0</v>
      </c>
      <c r="N179" s="5">
        <f>N169</f>
        <v>0</v>
      </c>
      <c r="O179" s="5">
        <f>O169-N179-M179-L179</f>
        <v>0</v>
      </c>
      <c r="P179" s="37">
        <f>P169</f>
        <v>0</v>
      </c>
      <c r="Q179" s="5">
        <v>0</v>
      </c>
      <c r="R179" s="5">
        <f>R169</f>
        <v>0</v>
      </c>
    </row>
    <row r="180" spans="2:36" s="5" customFormat="1" x14ac:dyDescent="0.35">
      <c r="H180" s="37"/>
      <c r="L180" s="37"/>
      <c r="P180" s="37"/>
    </row>
    <row r="181" spans="2:36" s="5" customFormat="1" x14ac:dyDescent="0.35">
      <c r="H181" s="37"/>
      <c r="L181" s="37"/>
      <c r="P181" s="37"/>
    </row>
    <row r="184" spans="2:36" s="4" customFormat="1" x14ac:dyDescent="0.35">
      <c r="B184" s="4" t="s">
        <v>170</v>
      </c>
      <c r="H184" s="53"/>
      <c r="L184" s="53"/>
      <c r="P184" s="53"/>
    </row>
    <row r="185" spans="2:36" s="102" customFormat="1" x14ac:dyDescent="0.35">
      <c r="B185" s="102" t="s">
        <v>171</v>
      </c>
      <c r="H185" s="115">
        <f t="shared" ref="H185:K185" si="106">H7*H186</f>
        <v>872604.65024999995</v>
      </c>
      <c r="I185" s="102">
        <f t="shared" si="106"/>
        <v>821195.39840000006</v>
      </c>
      <c r="J185" s="102">
        <f t="shared" si="106"/>
        <v>2730069.0981200002</v>
      </c>
      <c r="K185" s="102">
        <f t="shared" si="106"/>
        <v>2888155.2</v>
      </c>
      <c r="L185" s="115">
        <f>L7*L186</f>
        <v>4259101.0370399999</v>
      </c>
      <c r="M185" s="102">
        <f t="shared" ref="M185:U185" si="107">M7*M186</f>
        <v>2751141.9500799999</v>
      </c>
      <c r="N185" s="102">
        <f t="shared" si="107"/>
        <v>2325355.5451500001</v>
      </c>
      <c r="O185" s="102">
        <f t="shared" si="107"/>
        <v>2317083.58</v>
      </c>
      <c r="P185" s="115">
        <f t="shared" si="107"/>
        <v>2142898.6950000003</v>
      </c>
      <c r="Q185" s="102">
        <f t="shared" si="107"/>
        <v>2192392.8710600003</v>
      </c>
      <c r="R185" s="102">
        <f t="shared" si="107"/>
        <v>2942927.1516800001</v>
      </c>
      <c r="S185" s="102">
        <f t="shared" si="107"/>
        <v>0</v>
      </c>
      <c r="T185" s="102">
        <f t="shared" si="107"/>
        <v>0</v>
      </c>
      <c r="U185" s="102">
        <f t="shared" si="107"/>
        <v>0</v>
      </c>
      <c r="AG185" s="102">
        <f>AG7*AG186</f>
        <v>767723.55984</v>
      </c>
      <c r="AH185" s="102">
        <f>AH7*AH186</f>
        <v>2531333.7000000002</v>
      </c>
      <c r="AI185" s="102">
        <f>AI7*AI186</f>
        <v>2363705.46165</v>
      </c>
    </row>
    <row r="186" spans="2:36" x14ac:dyDescent="0.35">
      <c r="B186" t="s">
        <v>1</v>
      </c>
      <c r="F186" s="5"/>
      <c r="G186" s="5"/>
      <c r="H186" s="37">
        <f t="shared" ref="H186:K186" si="108">H86</f>
        <v>78826.074999999997</v>
      </c>
      <c r="I186" s="5">
        <f t="shared" si="108"/>
        <v>78961.096000000005</v>
      </c>
      <c r="J186" s="5">
        <f t="shared" si="108"/>
        <v>228266.647</v>
      </c>
      <c r="K186" s="5">
        <f t="shared" si="108"/>
        <v>209895</v>
      </c>
      <c r="L186" s="37">
        <f>L86</f>
        <v>456495.288</v>
      </c>
      <c r="M186" s="5">
        <f t="shared" ref="M186:U186" si="109">M86</f>
        <v>464719.924</v>
      </c>
      <c r="N186" s="5">
        <f t="shared" si="109"/>
        <v>469768.79700000002</v>
      </c>
      <c r="O186" s="5">
        <f t="shared" si="109"/>
        <v>466214</v>
      </c>
      <c r="P186" s="37">
        <f t="shared" si="109"/>
        <v>476199.71</v>
      </c>
      <c r="Q186" s="5">
        <f t="shared" si="109"/>
        <v>479735.85800000001</v>
      </c>
      <c r="R186" s="5">
        <f t="shared" si="109"/>
        <v>484034.071</v>
      </c>
      <c r="S186" s="5">
        <f t="shared" si="109"/>
        <v>0</v>
      </c>
      <c r="T186" s="5">
        <f t="shared" si="109"/>
        <v>0</v>
      </c>
      <c r="U186" s="5">
        <f t="shared" si="109"/>
        <v>0</v>
      </c>
      <c r="AG186" s="5">
        <f>AG86</f>
        <v>75414.888000000006</v>
      </c>
      <c r="AH186" s="5">
        <f>AH86</f>
        <v>209895</v>
      </c>
      <c r="AI186" s="5">
        <f>AI86</f>
        <v>466214.09499999997</v>
      </c>
    </row>
    <row r="187" spans="2:36" x14ac:dyDescent="0.35">
      <c r="B187" t="s">
        <v>190</v>
      </c>
      <c r="F187" s="65"/>
      <c r="G187" s="65"/>
      <c r="H187" s="101">
        <f t="shared" ref="H187:U187" si="110">H185/SUM(E67:H67)</f>
        <v>16.355612727732794</v>
      </c>
      <c r="I187" s="65">
        <f t="shared" si="110"/>
        <v>12.705709221438298</v>
      </c>
      <c r="J187" s="65">
        <f t="shared" si="110"/>
        <v>46.077893266046686</v>
      </c>
      <c r="K187" s="65">
        <f t="shared" si="110"/>
        <v>46.405758632324826</v>
      </c>
      <c r="L187" s="101">
        <f t="shared" si="110"/>
        <v>50.256065476943405</v>
      </c>
      <c r="M187" s="65">
        <f t="shared" si="110"/>
        <v>21.336274837368737</v>
      </c>
      <c r="N187" s="65">
        <f t="shared" si="110"/>
        <v>12.454237248543212</v>
      </c>
      <c r="O187" s="65">
        <f t="shared" si="110"/>
        <v>10.981646950653094</v>
      </c>
      <c r="P187" s="101">
        <f t="shared" si="110"/>
        <v>9.5160430173899151</v>
      </c>
      <c r="Q187" s="65">
        <f t="shared" si="110"/>
        <v>9.45979604269953</v>
      </c>
      <c r="R187" s="65">
        <f t="shared" si="110"/>
        <v>12.450879163320824</v>
      </c>
      <c r="S187" s="65">
        <f t="shared" si="110"/>
        <v>0</v>
      </c>
      <c r="T187" s="65">
        <f t="shared" si="110"/>
        <v>0</v>
      </c>
      <c r="U187" s="65">
        <f t="shared" si="110"/>
        <v>0</v>
      </c>
      <c r="AG187" s="65">
        <f>AG185/AG67</f>
        <v>21.835141064846418</v>
      </c>
      <c r="AH187" s="65">
        <f>AH185/AH67</f>
        <v>40.672489033854461</v>
      </c>
      <c r="AI187" s="65">
        <f>AI185/AI67</f>
        <v>11.202607924557812</v>
      </c>
    </row>
    <row r="188" spans="2:36" x14ac:dyDescent="0.35">
      <c r="B188" t="s">
        <v>191</v>
      </c>
      <c r="F188" s="65"/>
      <c r="G188" s="65"/>
      <c r="H188" s="101">
        <f t="shared" ref="H188:U188" si="111">H185/SUM(E84:H84)</f>
        <v>-12.644245207355242</v>
      </c>
      <c r="I188" s="65">
        <f t="shared" si="111"/>
        <v>-9.6221808023997006</v>
      </c>
      <c r="J188" s="65">
        <f t="shared" si="111"/>
        <v>-16.881873767097876</v>
      </c>
      <c r="K188" s="65">
        <f t="shared" si="111"/>
        <v>-24.670959365149873</v>
      </c>
      <c r="L188" s="101">
        <f t="shared" si="111"/>
        <v>-33.33699416119412</v>
      </c>
      <c r="M188" s="65">
        <f t="shared" si="111"/>
        <v>-18.356365681038739</v>
      </c>
      <c r="N188" s="65">
        <f t="shared" si="111"/>
        <v>-23.01944766870923</v>
      </c>
      <c r="O188" s="65">
        <f t="shared" si="111"/>
        <v>-17.022859766669605</v>
      </c>
      <c r="P188" s="101">
        <f t="shared" si="111"/>
        <v>-13.695268709656805</v>
      </c>
      <c r="Q188" s="65">
        <f t="shared" si="111"/>
        <v>-13.187960148819194</v>
      </c>
      <c r="R188" s="65">
        <f t="shared" si="111"/>
        <v>-17.589771929065382</v>
      </c>
      <c r="S188" s="65">
        <f t="shared" si="111"/>
        <v>0</v>
      </c>
      <c r="T188" s="65">
        <f t="shared" si="111"/>
        <v>0</v>
      </c>
      <c r="U188" s="65">
        <f t="shared" si="111"/>
        <v>0</v>
      </c>
      <c r="AG188" s="65">
        <f>AG185/AG84</f>
        <v>-14.251147367600378</v>
      </c>
      <c r="AH188" s="65">
        <f>AH185/AH84</f>
        <v>-21.622948397071763</v>
      </c>
      <c r="AI188" s="65">
        <f>AI185/AI84</f>
        <v>-17.464427397224849</v>
      </c>
    </row>
    <row r="189" spans="2:36" x14ac:dyDescent="0.35">
      <c r="B189" t="s">
        <v>193</v>
      </c>
      <c r="F189" s="65"/>
      <c r="G189" s="65"/>
      <c r="H189" s="101">
        <f t="shared" ref="H189:U189" si="112">H185/H156</f>
        <v>174.52089514582107</v>
      </c>
      <c r="I189" s="65">
        <f t="shared" si="112"/>
        <v>-13.833682831193272</v>
      </c>
      <c r="J189" s="65">
        <f t="shared" si="112"/>
        <v>4.0498386011351135</v>
      </c>
      <c r="K189" s="65">
        <f t="shared" si="112"/>
        <v>4.1351041165555635</v>
      </c>
      <c r="L189" s="101">
        <f t="shared" si="112"/>
        <v>5.8137184079061415</v>
      </c>
      <c r="M189" s="65">
        <f t="shared" si="112"/>
        <v>3.8560887598639852</v>
      </c>
      <c r="N189" s="65">
        <f t="shared" si="112"/>
        <v>3.366012016128332</v>
      </c>
      <c r="O189" s="65">
        <f t="shared" si="112"/>
        <v>3.4418641247998383</v>
      </c>
      <c r="P189" s="101">
        <f t="shared" si="112"/>
        <v>3.3481850432331597</v>
      </c>
      <c r="Q189" s="65">
        <f t="shared" si="112"/>
        <v>3.5879225053678274</v>
      </c>
      <c r="R189" s="65">
        <f t="shared" si="112"/>
        <v>5.0237574328527392</v>
      </c>
      <c r="S189" s="65" t="e">
        <f t="shared" si="112"/>
        <v>#DIV/0!</v>
      </c>
      <c r="T189" s="65" t="e">
        <f t="shared" si="112"/>
        <v>#DIV/0!</v>
      </c>
      <c r="U189" s="65" t="e">
        <f t="shared" si="112"/>
        <v>#DIV/0!</v>
      </c>
      <c r="AG189" s="65">
        <f>AG185/AG156</f>
        <v>153.54468125906374</v>
      </c>
      <c r="AH189" s="65">
        <f>AH185/AH156</f>
        <v>3.6242264277369256</v>
      </c>
      <c r="AI189" s="65">
        <f>AI185/AI156</f>
        <v>3.511117639548667</v>
      </c>
    </row>
    <row r="190" spans="2:36" x14ac:dyDescent="0.35">
      <c r="B190" t="s">
        <v>192</v>
      </c>
      <c r="F190" s="65"/>
      <c r="G190" s="65"/>
      <c r="H190" s="101" t="e">
        <f t="shared" ref="H190:U190" si="113">H185/H174</f>
        <v>#DIV/0!</v>
      </c>
      <c r="I190" s="65" t="e">
        <f t="shared" si="113"/>
        <v>#DIV/0!</v>
      </c>
      <c r="J190" s="65" t="e">
        <f t="shared" si="113"/>
        <v>#DIV/0!</v>
      </c>
      <c r="K190" s="65" t="e">
        <f t="shared" si="113"/>
        <v>#DIV/0!</v>
      </c>
      <c r="L190" s="101">
        <f t="shared" si="113"/>
        <v>-130.72345959424203</v>
      </c>
      <c r="M190" s="65">
        <f t="shared" si="113"/>
        <v>-53.855257029206797</v>
      </c>
      <c r="N190" s="65">
        <f t="shared" si="113"/>
        <v>-74.183485776494607</v>
      </c>
      <c r="O190" s="65">
        <f t="shared" si="113"/>
        <v>-68.27200506791597</v>
      </c>
      <c r="P190" s="101">
        <f t="shared" si="113"/>
        <v>-56.304650542578635</v>
      </c>
      <c r="Q190" s="65">
        <f t="shared" si="113"/>
        <v>-131.78605861144507</v>
      </c>
      <c r="R190" s="65">
        <f t="shared" si="113"/>
        <v>-63.633609057256535</v>
      </c>
      <c r="S190" s="65" t="e">
        <f t="shared" si="113"/>
        <v>#DIV/0!</v>
      </c>
      <c r="T190" s="65" t="e">
        <f t="shared" si="113"/>
        <v>#DIV/0!</v>
      </c>
      <c r="U190" s="65" t="e">
        <f t="shared" si="113"/>
        <v>#DIV/0!</v>
      </c>
      <c r="AG190" s="65">
        <f>AG185/AG164</f>
        <v>-14.518770752297742</v>
      </c>
      <c r="AH190" s="65">
        <f>AH185/AH164</f>
        <v>-25.965060006154481</v>
      </c>
      <c r="AI190" s="65">
        <f>AI185/AI164</f>
        <v>-15.869120252769385</v>
      </c>
      <c r="AJ190" t="s">
        <v>70</v>
      </c>
    </row>
    <row r="192" spans="2:36" x14ac:dyDescent="0.35">
      <c r="B192" s="12" t="s">
        <v>194</v>
      </c>
    </row>
    <row r="193" spans="2:40" s="1" customFormat="1" x14ac:dyDescent="0.35">
      <c r="B193" s="1" t="s">
        <v>90</v>
      </c>
      <c r="H193" s="41"/>
      <c r="L193" s="41"/>
      <c r="P193" s="41"/>
      <c r="AG193" s="1" t="e">
        <f t="shared" ref="AG193:AN193" si="114">(AG67-AF67)/ABS(AF67)</f>
        <v>#DIV/0!</v>
      </c>
      <c r="AH193" s="1">
        <f t="shared" si="114"/>
        <v>0.77010807736063713</v>
      </c>
      <c r="AI193" s="1">
        <f t="shared" si="114"/>
        <v>2.390201969889294</v>
      </c>
      <c r="AJ193" s="1">
        <f t="shared" si="114"/>
        <v>-1</v>
      </c>
      <c r="AK193" s="1" t="e">
        <f t="shared" si="114"/>
        <v>#DIV/0!</v>
      </c>
      <c r="AL193" s="1" t="e">
        <f t="shared" si="114"/>
        <v>#DIV/0!</v>
      </c>
      <c r="AM193" s="1" t="e">
        <f t="shared" si="114"/>
        <v>#DIV/0!</v>
      </c>
      <c r="AN193" s="1" t="e">
        <f t="shared" si="114"/>
        <v>#DIV/0!</v>
      </c>
    </row>
    <row r="194" spans="2:40" s="1" customFormat="1" x14ac:dyDescent="0.35">
      <c r="B194" s="1" t="s">
        <v>195</v>
      </c>
      <c r="H194" s="41"/>
      <c r="L194" s="41"/>
      <c r="P194" s="41"/>
      <c r="AG194" s="1" t="e">
        <f t="shared" ref="AG194:AN194" si="115">(AG84-AF84)/ABS(AF84)</f>
        <v>#DIV/0!</v>
      </c>
      <c r="AH194" s="1">
        <f t="shared" si="115"/>
        <v>-1.1730986987432941</v>
      </c>
      <c r="AI194" s="1">
        <f t="shared" si="115"/>
        <v>-0.15612427071676904</v>
      </c>
      <c r="AJ194" s="1">
        <f t="shared" si="115"/>
        <v>1</v>
      </c>
      <c r="AK194" s="1" t="e">
        <f t="shared" si="115"/>
        <v>#DIV/0!</v>
      </c>
      <c r="AL194" s="1" t="e">
        <f t="shared" si="115"/>
        <v>#DIV/0!</v>
      </c>
      <c r="AM194" s="1" t="e">
        <f t="shared" si="115"/>
        <v>#DIV/0!</v>
      </c>
      <c r="AN194" s="1" t="e">
        <f t="shared" si="115"/>
        <v>#DIV/0!</v>
      </c>
    </row>
    <row r="195" spans="2:40" s="1" customFormat="1" x14ac:dyDescent="0.35">
      <c r="B195" s="1" t="s">
        <v>169</v>
      </c>
      <c r="H195" s="41"/>
      <c r="L195" s="41"/>
      <c r="P195" s="41"/>
      <c r="AG195" s="1" t="e">
        <f>(AG164-AF164)/ABS(AF164)</f>
        <v>#DIV/0!</v>
      </c>
      <c r="AH195" s="1">
        <f>(AH164-AG164)/ABS(AG164)</f>
        <v>-0.8436779000718635</v>
      </c>
      <c r="AI195" s="1">
        <f>(AI164-AH164)/ABS(AH164)</f>
        <v>-0.52784901015488772</v>
      </c>
      <c r="AJ195" s="1">
        <f t="shared" ref="AJ195:AN195" si="116">(AJ164-AI164)/ABS(AI164)</f>
        <v>1</v>
      </c>
      <c r="AK195" s="1" t="e">
        <f t="shared" si="116"/>
        <v>#DIV/0!</v>
      </c>
      <c r="AL195" s="1" t="e">
        <f t="shared" si="116"/>
        <v>#DIV/0!</v>
      </c>
      <c r="AM195" s="1" t="e">
        <f t="shared" si="116"/>
        <v>#DIV/0!</v>
      </c>
      <c r="AN195" s="1" t="e">
        <f t="shared" si="116"/>
        <v>#DIV/0!</v>
      </c>
    </row>
    <row r="199" spans="2:40" s="12" customFormat="1" x14ac:dyDescent="0.35">
      <c r="B199" s="12" t="s">
        <v>189</v>
      </c>
      <c r="H199" s="77"/>
      <c r="L199" s="77"/>
      <c r="P199" s="78"/>
      <c r="Q199" s="79"/>
      <c r="R199" s="24"/>
      <c r="S199" s="24"/>
      <c r="T199" s="24"/>
      <c r="U199" s="24"/>
      <c r="V199" s="24"/>
      <c r="W199" s="24"/>
      <c r="X199" s="24"/>
      <c r="Y199" s="24"/>
      <c r="Z199" s="24"/>
      <c r="AB199" s="24"/>
      <c r="AC199" s="24"/>
    </row>
    <row r="200" spans="2:40" s="9" customFormat="1" x14ac:dyDescent="0.35">
      <c r="B200" s="9" t="s">
        <v>172</v>
      </c>
      <c r="F200" s="9">
        <f t="shared" ref="F200:N200" si="117">F105/F86</f>
        <v>1.2154280110076857E-2</v>
      </c>
      <c r="G200" s="9">
        <f t="shared" si="117"/>
        <v>1.1481857534549412E-2</v>
      </c>
      <c r="H200" s="47">
        <f t="shared" si="117"/>
        <v>5.397363753047453E-3</v>
      </c>
      <c r="I200" s="9">
        <f t="shared" si="117"/>
        <v>5.6795057657254395E-4</v>
      </c>
      <c r="J200" s="9">
        <f t="shared" si="117"/>
        <v>3.4725178225446141</v>
      </c>
      <c r="K200" s="9">
        <f t="shared" si="117"/>
        <v>3.291926915838872</v>
      </c>
      <c r="L200" s="47">
        <f t="shared" si="117"/>
        <v>1.3212491253578942</v>
      </c>
      <c r="M200" s="9">
        <f t="shared" si="117"/>
        <v>1.1673934599799942</v>
      </c>
      <c r="N200" s="9">
        <f t="shared" si="117"/>
        <v>0.70945325046780405</v>
      </c>
      <c r="P200" s="54"/>
      <c r="Q200" s="9">
        <f>Q105/Q86</f>
        <v>0.41097615846760405</v>
      </c>
      <c r="R200" s="5"/>
      <c r="S200" s="5"/>
      <c r="T200" s="5"/>
      <c r="U200" s="5"/>
      <c r="V200" s="5"/>
      <c r="W200" s="5"/>
      <c r="X200" s="5"/>
      <c r="Y200" s="5"/>
      <c r="Z200" s="5"/>
      <c r="AB200" s="5"/>
      <c r="AC200" s="5"/>
      <c r="AG200" s="9">
        <f>AG105/AG86</f>
        <v>1.1481857534549412E-2</v>
      </c>
      <c r="AH200" s="9">
        <f>AH105/AH86</f>
        <v>3.291926915838872</v>
      </c>
      <c r="AI200" s="9">
        <f>AI105/AI86</f>
        <v>0.52017946819046734</v>
      </c>
    </row>
    <row r="201" spans="2:40" s="9" customFormat="1" x14ac:dyDescent="0.35">
      <c r="B201" s="9" t="s">
        <v>173</v>
      </c>
      <c r="F201" s="9">
        <f t="shared" ref="F201:N201" si="118">(F130+F137)/F86</f>
        <v>0</v>
      </c>
      <c r="G201" s="9">
        <f t="shared" si="118"/>
        <v>0</v>
      </c>
      <c r="H201" s="47">
        <f t="shared" si="118"/>
        <v>0</v>
      </c>
      <c r="I201" s="9">
        <f t="shared" si="118"/>
        <v>0</v>
      </c>
      <c r="J201" s="9">
        <f t="shared" si="118"/>
        <v>0.3376665010547949</v>
      </c>
      <c r="K201" s="9">
        <f t="shared" si="118"/>
        <v>0.41950022630362799</v>
      </c>
      <c r="L201" s="47">
        <f t="shared" si="118"/>
        <v>0.28350566457544685</v>
      </c>
      <c r="M201" s="9">
        <f t="shared" si="118"/>
        <v>0.26043428256370604</v>
      </c>
      <c r="N201" s="9">
        <f t="shared" si="118"/>
        <v>0.30703827270162432</v>
      </c>
      <c r="P201" s="54"/>
      <c r="Q201" s="9">
        <f>(Q130+Q137)/Q86</f>
        <v>0.37050180226469542</v>
      </c>
      <c r="R201" s="5"/>
      <c r="S201" s="5"/>
      <c r="T201" s="5"/>
      <c r="U201" s="5"/>
      <c r="V201" s="5"/>
      <c r="W201" s="5"/>
      <c r="X201" s="5"/>
      <c r="Y201" s="5"/>
      <c r="Z201" s="5"/>
      <c r="AB201" s="5"/>
      <c r="AG201" s="9">
        <f>(AG130+AG137)/AG86</f>
        <v>0</v>
      </c>
      <c r="AH201" s="9">
        <f>(AH130+AH137)/AH86</f>
        <v>0.41950022630362799</v>
      </c>
      <c r="AI201" s="9">
        <f>(AI130+AI137)/AI86</f>
        <v>0.30588950769495721</v>
      </c>
    </row>
    <row r="202" spans="2:40" x14ac:dyDescent="0.35">
      <c r="Q202" s="55"/>
      <c r="R202" s="5"/>
      <c r="S202" s="5"/>
      <c r="T202" s="5"/>
      <c r="U202" s="5"/>
      <c r="V202" s="5"/>
      <c r="W202" s="5"/>
      <c r="X202" s="5"/>
      <c r="Y202" s="5"/>
      <c r="Z202" s="5"/>
    </row>
    <row r="203" spans="2:40" x14ac:dyDescent="0.35">
      <c r="Q203" s="55"/>
      <c r="R203" s="5"/>
      <c r="S203" s="5"/>
      <c r="T203" s="5"/>
      <c r="U203" s="5"/>
      <c r="V203" s="5"/>
      <c r="W203" s="5"/>
      <c r="X203" s="5"/>
      <c r="Y203" s="5"/>
      <c r="Z203" s="5"/>
    </row>
    <row r="204" spans="2:40" x14ac:dyDescent="0.35">
      <c r="Q204" s="55"/>
    </row>
    <row r="205" spans="2:40" x14ac:dyDescent="0.35">
      <c r="B205" s="12" t="s">
        <v>398</v>
      </c>
      <c r="AB205" s="37"/>
    </row>
    <row r="206" spans="2:40" s="1" customFormat="1" x14ac:dyDescent="0.35">
      <c r="B206" s="1" t="s">
        <v>399</v>
      </c>
      <c r="H206" s="41" t="e">
        <f>(H71-D71)/ABS(D71)</f>
        <v>#DIV/0!</v>
      </c>
      <c r="I206" s="1" t="e">
        <f>(I71-E71)/ABS(E71)</f>
        <v>#DIV/0!</v>
      </c>
      <c r="J206" s="1">
        <f>(J71-F71)/ABS(F71)</f>
        <v>1.893942484193351</v>
      </c>
      <c r="L206" s="41">
        <f>(L71-H71)/ABS(H71)</f>
        <v>0.90406894602995191</v>
      </c>
      <c r="M206" s="1">
        <f>(M71-I71)/ABS(I71)</f>
        <v>1.2470395122523157</v>
      </c>
      <c r="N206" s="1">
        <f>(N71-J71)/ABS(J71)</f>
        <v>0.23391359503841003</v>
      </c>
      <c r="P206" s="41">
        <f>(P71-L71)/ABS(L71)</f>
        <v>0.77376270683386505</v>
      </c>
      <c r="Q206" s="1">
        <f>(Q71-M71)/ABS(M71)</f>
        <v>0.61935820506130967</v>
      </c>
      <c r="R206" s="1">
        <f>(R71-N71)/ABS(N71)</f>
        <v>0.52079049577336078</v>
      </c>
      <c r="AB206" s="41"/>
      <c r="AG206" s="1" t="e">
        <f>(AG71-AF71)/ABS(AF71)</f>
        <v>#DIV/0!</v>
      </c>
      <c r="AH206" s="1">
        <f t="shared" ref="AH206:AN206" si="119">(AH71-AG71)/ABS(AG71)</f>
        <v>1.181851426183262</v>
      </c>
      <c r="AI206" s="1">
        <f t="shared" si="119"/>
        <v>0.56034957500299298</v>
      </c>
      <c r="AJ206" s="1">
        <f t="shared" si="119"/>
        <v>-1</v>
      </c>
      <c r="AK206" s="1" t="e">
        <f t="shared" si="119"/>
        <v>#DIV/0!</v>
      </c>
      <c r="AL206" s="1" t="e">
        <f t="shared" si="119"/>
        <v>#DIV/0!</v>
      </c>
      <c r="AM206" s="1" t="e">
        <f t="shared" si="119"/>
        <v>#DIV/0!</v>
      </c>
      <c r="AN206" s="1" t="e">
        <f t="shared" si="119"/>
        <v>#DIV/0!</v>
      </c>
    </row>
    <row r="207" spans="2:40" s="1" customFormat="1" x14ac:dyDescent="0.35">
      <c r="B207" s="1" t="s">
        <v>400</v>
      </c>
      <c r="H207" s="41">
        <f>H71/H67</f>
        <v>0.38907211961301669</v>
      </c>
      <c r="I207" s="1">
        <f>I71/I67</f>
        <v>0.75611702127659575</v>
      </c>
      <c r="J207" s="1">
        <f>J71/J67</f>
        <v>2.6837526007187442</v>
      </c>
      <c r="L207" s="41">
        <f>L71/L67</f>
        <v>0.33110581529616984</v>
      </c>
      <c r="M207" s="1">
        <f>M71/M67</f>
        <v>0.34547716047157229</v>
      </c>
      <c r="N207" s="1">
        <f>N71/N67</f>
        <v>0.27765355154859889</v>
      </c>
      <c r="P207" s="41">
        <f>P71/P67</f>
        <v>0.43546771108479826</v>
      </c>
      <c r="Q207" s="1">
        <f>Q71/Q67</f>
        <v>0.50020146667741161</v>
      </c>
      <c r="R207" s="1">
        <f>R71/R67</f>
        <v>0.39352063965947887</v>
      </c>
      <c r="AG207" s="1">
        <f>AG71/AG67</f>
        <v>0.54442548350398179</v>
      </c>
      <c r="AH207" s="1">
        <f t="shared" ref="AH207:AN207" si="120">AH71/AH67</f>
        <v>0.67106383662451596</v>
      </c>
      <c r="AI207" s="1">
        <f t="shared" si="120"/>
        <v>0.30885893571442113</v>
      </c>
      <c r="AJ207" s="1" t="e">
        <f t="shared" si="120"/>
        <v>#DIV/0!</v>
      </c>
      <c r="AK207" s="1" t="e">
        <f t="shared" si="120"/>
        <v>#DIV/0!</v>
      </c>
      <c r="AL207" s="1" t="e">
        <f t="shared" si="120"/>
        <v>#DIV/0!</v>
      </c>
      <c r="AM207" s="1" t="e">
        <f t="shared" si="120"/>
        <v>#DIV/0!</v>
      </c>
      <c r="AN207" s="1" t="e">
        <f t="shared" si="120"/>
        <v>#DIV/0!</v>
      </c>
    </row>
    <row r="208" spans="2:40" s="5" customFormat="1" x14ac:dyDescent="0.35">
      <c r="H208" s="37"/>
      <c r="L208" s="37"/>
      <c r="P208" s="37"/>
      <c r="R208" s="74"/>
    </row>
    <row r="209" spans="2:18" s="5" customFormat="1" x14ac:dyDescent="0.35">
      <c r="B209" s="24" t="s">
        <v>95</v>
      </c>
      <c r="H209" s="37"/>
      <c r="L209" s="37"/>
      <c r="P209" s="37"/>
      <c r="R209" s="74"/>
    </row>
    <row r="210" spans="2:18" s="5" customFormat="1" x14ac:dyDescent="0.35">
      <c r="B210" s="5" t="s">
        <v>399</v>
      </c>
      <c r="H210" s="37"/>
      <c r="L210" s="37"/>
      <c r="P210" s="37"/>
    </row>
    <row r="211" spans="2:18" x14ac:dyDescent="0.35">
      <c r="B211" t="s">
        <v>401</v>
      </c>
    </row>
  </sheetData>
  <pageMargins left="0.7" right="0.7" top="0.75" bottom="0.75" header="0.3" footer="0.3"/>
  <pageSetup orientation="portrait" r:id="rId1"/>
  <ignoredErrors>
    <ignoredError sqref="P125 O176:O179" formula="1"/>
    <ignoredError sqref="P156:P157 Q156 AH156:AI157 AG54:AI55"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6:J148"/>
  <sheetViews>
    <sheetView workbookViewId="0">
      <selection activeCell="D25" sqref="D25"/>
    </sheetView>
  </sheetViews>
  <sheetFormatPr defaultRowHeight="14.5" x14ac:dyDescent="0.35"/>
  <cols>
    <col min="1" max="1" width="12.6328125" customWidth="1"/>
    <col min="2" max="2" width="12.6328125" style="107" customWidth="1"/>
    <col min="3" max="3" width="12.6328125" style="34" customWidth="1"/>
    <col min="4" max="4" width="12.6328125" style="107" customWidth="1"/>
    <col min="5" max="5" width="12.6328125" style="34" customWidth="1"/>
    <col min="6" max="6" width="12.6328125" style="107" customWidth="1"/>
    <col min="7" max="11" width="12.6328125" customWidth="1"/>
  </cols>
  <sheetData>
    <row r="6" spans="1:10" x14ac:dyDescent="0.35">
      <c r="A6" s="4" t="s">
        <v>196</v>
      </c>
      <c r="B6" s="105"/>
      <c r="C6" s="53"/>
      <c r="D6" s="105" t="s">
        <v>386</v>
      </c>
      <c r="E6" s="53"/>
      <c r="F6" s="105"/>
      <c r="G6" s="4"/>
      <c r="H6" s="4"/>
      <c r="I6" s="4"/>
      <c r="J6" s="4"/>
    </row>
    <row r="7" spans="1:10" x14ac:dyDescent="0.35">
      <c r="A7" s="4" t="s">
        <v>228</v>
      </c>
      <c r="B7" s="105"/>
      <c r="C7" s="53"/>
      <c r="D7" s="105"/>
      <c r="E7" s="53"/>
      <c r="F7" s="105"/>
      <c r="G7" s="4"/>
      <c r="H7" s="4"/>
      <c r="I7" s="4"/>
      <c r="J7" s="4"/>
    </row>
    <row r="8" spans="1:10" s="19" customFormat="1" x14ac:dyDescent="0.35">
      <c r="A8" s="86" t="s">
        <v>38</v>
      </c>
      <c r="B8" s="106"/>
      <c r="C8" s="87" t="s">
        <v>234</v>
      </c>
      <c r="D8" s="106"/>
      <c r="E8" s="62"/>
      <c r="F8" s="106"/>
      <c r="G8" s="28"/>
      <c r="H8" s="28"/>
      <c r="I8" s="28"/>
      <c r="J8" s="28"/>
    </row>
    <row r="9" spans="1:10" x14ac:dyDescent="0.35">
      <c r="A9" t="s">
        <v>254</v>
      </c>
      <c r="B9" s="107" t="s">
        <v>255</v>
      </c>
      <c r="C9" s="34" t="s">
        <v>254</v>
      </c>
      <c r="D9" s="107" t="s">
        <v>258</v>
      </c>
    </row>
    <row r="10" spans="1:10" x14ac:dyDescent="0.35">
      <c r="A10" t="s">
        <v>244</v>
      </c>
      <c r="B10" s="107">
        <v>7.5</v>
      </c>
      <c r="C10" s="34" t="s">
        <v>243</v>
      </c>
      <c r="D10" s="107">
        <v>50</v>
      </c>
    </row>
    <row r="11" spans="1:10" x14ac:dyDescent="0.35">
      <c r="A11" t="s">
        <v>231</v>
      </c>
      <c r="B11" s="107">
        <v>18</v>
      </c>
      <c r="C11" s="34" t="s">
        <v>231</v>
      </c>
      <c r="D11" s="107">
        <v>42.8</v>
      </c>
    </row>
    <row r="12" spans="1:10" x14ac:dyDescent="0.35">
      <c r="A12" t="s">
        <v>232</v>
      </c>
      <c r="B12" s="107">
        <v>1.2</v>
      </c>
      <c r="C12" s="34" t="s">
        <v>232</v>
      </c>
      <c r="D12" s="107">
        <v>7</v>
      </c>
    </row>
    <row r="13" spans="1:10" x14ac:dyDescent="0.35">
      <c r="A13" t="s">
        <v>233</v>
      </c>
      <c r="B13" s="107">
        <v>12.5</v>
      </c>
      <c r="C13" s="34" t="s">
        <v>233</v>
      </c>
      <c r="D13" s="107">
        <v>480</v>
      </c>
    </row>
    <row r="14" spans="1:10" x14ac:dyDescent="0.35">
      <c r="A14" t="s">
        <v>241</v>
      </c>
      <c r="B14" s="107">
        <v>11.3</v>
      </c>
      <c r="C14" s="34" t="s">
        <v>241</v>
      </c>
      <c r="D14" s="107" t="s">
        <v>250</v>
      </c>
    </row>
    <row r="15" spans="1:10" x14ac:dyDescent="0.35">
      <c r="A15" t="s">
        <v>230</v>
      </c>
      <c r="B15" s="84" t="s">
        <v>235</v>
      </c>
      <c r="C15" s="34" t="s">
        <v>230</v>
      </c>
      <c r="D15" s="107" t="s">
        <v>250</v>
      </c>
    </row>
    <row r="16" spans="1:10" x14ac:dyDescent="0.35">
      <c r="A16" t="s">
        <v>48</v>
      </c>
      <c r="B16" s="107">
        <v>42</v>
      </c>
      <c r="C16" s="34" t="s">
        <v>48</v>
      </c>
      <c r="D16" s="107" t="s">
        <v>250</v>
      </c>
    </row>
    <row r="17" spans="1:10" x14ac:dyDescent="0.35">
      <c r="A17" t="s">
        <v>236</v>
      </c>
      <c r="B17" s="107">
        <v>4</v>
      </c>
      <c r="C17" s="34" t="s">
        <v>236</v>
      </c>
      <c r="D17" s="107" t="s">
        <v>250</v>
      </c>
    </row>
    <row r="18" spans="1:10" x14ac:dyDescent="0.35">
      <c r="A18" t="s">
        <v>237</v>
      </c>
      <c r="B18" s="111">
        <f>(B16-B17)/B16</f>
        <v>0.90476190476190477</v>
      </c>
      <c r="C18" s="34" t="s">
        <v>237</v>
      </c>
      <c r="D18" s="107" t="s">
        <v>250</v>
      </c>
    </row>
    <row r="19" spans="1:10" x14ac:dyDescent="0.35">
      <c r="A19" t="s">
        <v>370</v>
      </c>
      <c r="B19" s="111" t="s">
        <v>382</v>
      </c>
      <c r="C19" s="34" t="s">
        <v>370</v>
      </c>
      <c r="D19" s="107" t="s">
        <v>383</v>
      </c>
    </row>
    <row r="20" spans="1:10" x14ac:dyDescent="0.35">
      <c r="A20" t="s">
        <v>242</v>
      </c>
      <c r="B20" s="112">
        <v>25.79</v>
      </c>
      <c r="C20" s="34" t="s">
        <v>242</v>
      </c>
      <c r="D20" s="107">
        <v>1000</v>
      </c>
    </row>
    <row r="21" spans="1:10" x14ac:dyDescent="0.35">
      <c r="A21" t="s">
        <v>371</v>
      </c>
      <c r="B21" s="113">
        <v>9</v>
      </c>
      <c r="C21" s="34" t="s">
        <v>371</v>
      </c>
      <c r="D21" s="107">
        <v>9</v>
      </c>
    </row>
    <row r="22" spans="1:10" s="5" customFormat="1" x14ac:dyDescent="0.35">
      <c r="A22" s="5" t="s">
        <v>374</v>
      </c>
      <c r="B22" s="108">
        <f>B20*B21</f>
        <v>232.10999999999999</v>
      </c>
      <c r="C22" s="37" t="s">
        <v>374</v>
      </c>
      <c r="D22" s="108">
        <f>D20*D21</f>
        <v>9000</v>
      </c>
      <c r="E22" s="37"/>
      <c r="F22" s="108"/>
    </row>
    <row r="23" spans="1:10" s="5" customFormat="1" x14ac:dyDescent="0.35">
      <c r="A23" s="5" t="s">
        <v>376</v>
      </c>
      <c r="B23" s="108">
        <v>343</v>
      </c>
      <c r="C23" s="37" t="s">
        <v>376</v>
      </c>
      <c r="D23" s="108">
        <v>320</v>
      </c>
      <c r="E23" s="37"/>
      <c r="F23" s="108"/>
    </row>
    <row r="24" spans="1:10" x14ac:dyDescent="0.35">
      <c r="A24" t="s">
        <v>381</v>
      </c>
      <c r="B24" s="112">
        <f>B28/(B13*1000)</f>
        <v>2.4E-2</v>
      </c>
      <c r="C24" s="34" t="s">
        <v>381</v>
      </c>
      <c r="D24" s="112">
        <f>D28/(D13*1000)</f>
        <v>2.7083333333333334E-2</v>
      </c>
    </row>
    <row r="25" spans="1:10" s="102" customFormat="1" x14ac:dyDescent="0.35">
      <c r="A25" s="102" t="s">
        <v>388</v>
      </c>
      <c r="B25" s="114">
        <f>(B10*1000000)/B28</f>
        <v>25000</v>
      </c>
      <c r="C25" s="115" t="s">
        <v>388</v>
      </c>
      <c r="D25" s="114">
        <f>(D10*1000000)/D28</f>
        <v>3846.1538461538462</v>
      </c>
      <c r="E25" s="115"/>
      <c r="F25" s="114"/>
    </row>
    <row r="26" spans="1:10" s="102" customFormat="1" x14ac:dyDescent="0.35">
      <c r="A26" s="102" t="s">
        <v>389</v>
      </c>
      <c r="B26" s="114" t="b">
        <v>1</v>
      </c>
      <c r="C26" s="115" t="s">
        <v>389</v>
      </c>
      <c r="D26" s="114" t="b">
        <v>1</v>
      </c>
      <c r="E26" s="115"/>
      <c r="F26" s="114"/>
    </row>
    <row r="27" spans="1:10" x14ac:dyDescent="0.35">
      <c r="A27" s="82" t="s">
        <v>240</v>
      </c>
      <c r="C27" s="83" t="s">
        <v>240</v>
      </c>
    </row>
    <row r="28" spans="1:10" x14ac:dyDescent="0.35">
      <c r="A28" s="5" t="s">
        <v>176</v>
      </c>
      <c r="B28" s="108">
        <v>300</v>
      </c>
      <c r="C28" s="37" t="s">
        <v>176</v>
      </c>
      <c r="D28" s="108">
        <v>13000</v>
      </c>
      <c r="E28" s="37"/>
      <c r="F28" s="108"/>
      <c r="G28" s="5"/>
      <c r="H28" s="5"/>
      <c r="I28" s="5"/>
      <c r="J28" s="5"/>
    </row>
    <row r="29" spans="1:10" x14ac:dyDescent="0.35">
      <c r="A29" s="5" t="s">
        <v>239</v>
      </c>
      <c r="B29" s="108">
        <v>200</v>
      </c>
      <c r="C29" s="37" t="s">
        <v>239</v>
      </c>
      <c r="D29" s="108" t="s">
        <v>250</v>
      </c>
      <c r="E29" s="37"/>
      <c r="F29" s="108"/>
      <c r="G29" s="5"/>
      <c r="H29" s="5"/>
      <c r="I29" s="5"/>
      <c r="J29" s="5"/>
    </row>
    <row r="31" spans="1:10" x14ac:dyDescent="0.35">
      <c r="A31" s="4" t="s">
        <v>229</v>
      </c>
      <c r="B31" s="105"/>
      <c r="C31" s="53"/>
      <c r="D31" s="105"/>
      <c r="E31" s="53"/>
      <c r="F31" s="105"/>
      <c r="G31" s="4"/>
      <c r="H31" s="4"/>
      <c r="I31" s="4"/>
      <c r="J31" s="4"/>
    </row>
    <row r="32" spans="1:10" s="19" customFormat="1" x14ac:dyDescent="0.35">
      <c r="A32" s="86" t="s">
        <v>238</v>
      </c>
      <c r="B32" s="106"/>
      <c r="C32" s="87" t="s">
        <v>247</v>
      </c>
      <c r="D32" s="109"/>
      <c r="E32" s="87" t="s">
        <v>249</v>
      </c>
      <c r="F32" s="109"/>
    </row>
    <row r="33" spans="1:6" x14ac:dyDescent="0.35">
      <c r="A33" t="s">
        <v>254</v>
      </c>
      <c r="B33" s="107" t="s">
        <v>255</v>
      </c>
      <c r="C33" s="34" t="s">
        <v>254</v>
      </c>
      <c r="D33" s="107" t="s">
        <v>255</v>
      </c>
      <c r="E33" s="34" t="s">
        <v>254</v>
      </c>
      <c r="F33" s="107" t="s">
        <v>258</v>
      </c>
    </row>
    <row r="34" spans="1:6" x14ac:dyDescent="0.35">
      <c r="A34" t="s">
        <v>244</v>
      </c>
      <c r="B34" s="107">
        <v>67</v>
      </c>
      <c r="C34" s="34" t="s">
        <v>244</v>
      </c>
      <c r="D34" s="110">
        <v>97</v>
      </c>
      <c r="E34" s="34" t="s">
        <v>244</v>
      </c>
      <c r="F34" s="107">
        <v>5000</v>
      </c>
    </row>
    <row r="35" spans="1:6" x14ac:dyDescent="0.35">
      <c r="A35" t="s">
        <v>231</v>
      </c>
      <c r="B35" s="107">
        <v>70</v>
      </c>
      <c r="C35" s="34" t="s">
        <v>231</v>
      </c>
      <c r="D35" s="107">
        <v>70</v>
      </c>
      <c r="E35" s="34" t="s">
        <v>231</v>
      </c>
      <c r="F35" s="107">
        <v>121</v>
      </c>
    </row>
    <row r="36" spans="1:6" x14ac:dyDescent="0.35">
      <c r="A36" t="s">
        <v>232</v>
      </c>
      <c r="B36" s="107">
        <v>3.7</v>
      </c>
      <c r="C36" s="34" t="s">
        <v>232</v>
      </c>
      <c r="D36" s="107">
        <v>3.66</v>
      </c>
      <c r="E36" s="34" t="s">
        <v>232</v>
      </c>
      <c r="F36" s="107">
        <v>9</v>
      </c>
    </row>
    <row r="37" spans="1:6" x14ac:dyDescent="0.35">
      <c r="A37" t="s">
        <v>233</v>
      </c>
      <c r="B37" s="107">
        <v>549</v>
      </c>
      <c r="C37" s="34" t="s">
        <v>233</v>
      </c>
      <c r="D37" s="107">
        <v>1420</v>
      </c>
      <c r="E37" s="34" t="s">
        <v>233</v>
      </c>
      <c r="F37" s="107">
        <f>3600+1300</f>
        <v>4900</v>
      </c>
    </row>
    <row r="38" spans="1:6" x14ac:dyDescent="0.35">
      <c r="A38" t="s">
        <v>241</v>
      </c>
      <c r="C38" s="34" t="s">
        <v>241</v>
      </c>
      <c r="E38" s="34" t="s">
        <v>241</v>
      </c>
      <c r="F38" s="107">
        <f>3400+1200</f>
        <v>4600</v>
      </c>
    </row>
    <row r="39" spans="1:6" x14ac:dyDescent="0.35">
      <c r="A39" t="s">
        <v>230</v>
      </c>
      <c r="B39" s="107">
        <v>2</v>
      </c>
      <c r="C39" s="34" t="s">
        <v>230</v>
      </c>
      <c r="D39" s="107">
        <v>2.5</v>
      </c>
      <c r="E39" s="34" t="s">
        <v>230</v>
      </c>
      <c r="F39" s="107" t="s">
        <v>250</v>
      </c>
    </row>
    <row r="40" spans="1:6" x14ac:dyDescent="0.35">
      <c r="A40" t="s">
        <v>48</v>
      </c>
      <c r="B40" s="107">
        <v>295</v>
      </c>
      <c r="C40" s="34" t="s">
        <v>48</v>
      </c>
      <c r="D40" s="107">
        <v>9</v>
      </c>
      <c r="E40" s="34" t="s">
        <v>48</v>
      </c>
      <c r="F40" s="107" t="s">
        <v>250</v>
      </c>
    </row>
    <row r="41" spans="1:6" x14ac:dyDescent="0.35">
      <c r="A41" t="s">
        <v>236</v>
      </c>
      <c r="B41" s="107">
        <v>1</v>
      </c>
      <c r="C41" s="34" t="s">
        <v>236</v>
      </c>
      <c r="D41" s="107">
        <v>0</v>
      </c>
      <c r="E41" s="34" t="s">
        <v>236</v>
      </c>
      <c r="F41" s="107" t="s">
        <v>250</v>
      </c>
    </row>
    <row r="42" spans="1:6" x14ac:dyDescent="0.35">
      <c r="A42" t="s">
        <v>237</v>
      </c>
      <c r="B42" s="111">
        <f>(B40-B41)/B40</f>
        <v>0.99661016949152548</v>
      </c>
      <c r="C42" s="34" t="s">
        <v>237</v>
      </c>
      <c r="D42" s="111">
        <f>(D40-D41)/D40</f>
        <v>1</v>
      </c>
      <c r="E42" s="34" t="s">
        <v>237</v>
      </c>
      <c r="F42" s="107" t="s">
        <v>250</v>
      </c>
    </row>
    <row r="43" spans="1:6" x14ac:dyDescent="0.35">
      <c r="A43" t="s">
        <v>370</v>
      </c>
      <c r="B43" s="111" t="s">
        <v>384</v>
      </c>
      <c r="C43" s="34" t="s">
        <v>372</v>
      </c>
      <c r="D43" s="111" t="s">
        <v>384</v>
      </c>
      <c r="E43" s="34" t="s">
        <v>372</v>
      </c>
      <c r="F43" s="107" t="s">
        <v>385</v>
      </c>
    </row>
    <row r="44" spans="1:6" x14ac:dyDescent="0.35">
      <c r="A44" t="s">
        <v>242</v>
      </c>
      <c r="B44" s="107">
        <v>854</v>
      </c>
      <c r="C44" s="34" t="s">
        <v>242</v>
      </c>
      <c r="D44" s="107">
        <v>854</v>
      </c>
      <c r="E44" s="34" t="s">
        <v>242</v>
      </c>
      <c r="F44" s="107">
        <v>14700</v>
      </c>
    </row>
    <row r="45" spans="1:6" x14ac:dyDescent="0.35">
      <c r="A45" t="s">
        <v>371</v>
      </c>
      <c r="B45" s="107">
        <v>9</v>
      </c>
      <c r="C45" s="34" t="s">
        <v>371</v>
      </c>
      <c r="D45" s="107">
        <v>27</v>
      </c>
      <c r="E45" t="s">
        <v>371</v>
      </c>
      <c r="F45" s="107">
        <v>6</v>
      </c>
    </row>
    <row r="46" spans="1:6" s="5" customFormat="1" x14ac:dyDescent="0.35">
      <c r="A46" s="5" t="s">
        <v>374</v>
      </c>
      <c r="B46" s="108">
        <f>B44*B45</f>
        <v>7686</v>
      </c>
      <c r="C46" s="37" t="s">
        <v>374</v>
      </c>
      <c r="D46" s="108">
        <f>D44*D45</f>
        <v>23058</v>
      </c>
      <c r="E46" s="5" t="s">
        <v>374</v>
      </c>
      <c r="F46" s="108">
        <f>F44*F45</f>
        <v>88200</v>
      </c>
    </row>
    <row r="47" spans="1:6" x14ac:dyDescent="0.35">
      <c r="A47" t="s">
        <v>376</v>
      </c>
      <c r="B47" s="107">
        <v>283</v>
      </c>
      <c r="C47" s="34" t="s">
        <v>376</v>
      </c>
      <c r="D47" s="107">
        <v>283</v>
      </c>
      <c r="E47" t="s">
        <v>376</v>
      </c>
      <c r="F47" s="107">
        <v>382</v>
      </c>
    </row>
    <row r="48" spans="1:6" x14ac:dyDescent="0.35">
      <c r="A48" t="s">
        <v>381</v>
      </c>
      <c r="B48" s="112">
        <f>B52/(B37*1000)</f>
        <v>4.1530054644808745E-2</v>
      </c>
      <c r="C48" s="34" t="s">
        <v>381</v>
      </c>
      <c r="D48" s="112">
        <f>D52/(D37*1000)</f>
        <v>4.4929577464788734E-2</v>
      </c>
      <c r="E48" t="s">
        <v>381</v>
      </c>
      <c r="F48" s="112">
        <f>F52/(F37*1000)</f>
        <v>3.0612244897959183E-2</v>
      </c>
    </row>
    <row r="49" spans="1:10" x14ac:dyDescent="0.35">
      <c r="A49" t="s">
        <v>388</v>
      </c>
      <c r="B49" s="114">
        <f>(B34*1000000)/B52</f>
        <v>2938.5964912280701</v>
      </c>
      <c r="C49" s="34" t="s">
        <v>388</v>
      </c>
      <c r="D49" s="114">
        <f>(D34*1000000)/D52</f>
        <v>1520.3761755485893</v>
      </c>
      <c r="E49" t="s">
        <v>388</v>
      </c>
      <c r="F49" s="114">
        <f>(F34*1000000)/F52</f>
        <v>33333.333333333336</v>
      </c>
    </row>
    <row r="50" spans="1:10" x14ac:dyDescent="0.35">
      <c r="A50" t="s">
        <v>389</v>
      </c>
      <c r="B50" s="114" t="b">
        <v>1</v>
      </c>
      <c r="C50" s="34" t="s">
        <v>389</v>
      </c>
      <c r="D50" s="114" t="b">
        <v>1</v>
      </c>
      <c r="E50" t="s">
        <v>389</v>
      </c>
      <c r="F50" s="114" t="b">
        <v>1</v>
      </c>
    </row>
    <row r="51" spans="1:10" x14ac:dyDescent="0.35">
      <c r="A51" s="82" t="s">
        <v>240</v>
      </c>
      <c r="C51" s="83" t="s">
        <v>240</v>
      </c>
      <c r="E51" s="83" t="s">
        <v>240</v>
      </c>
    </row>
    <row r="52" spans="1:10" x14ac:dyDescent="0.35">
      <c r="A52" s="5" t="s">
        <v>176</v>
      </c>
      <c r="B52" s="108">
        <v>22800</v>
      </c>
      <c r="C52" s="37" t="s">
        <v>176</v>
      </c>
      <c r="D52" s="108">
        <v>63800</v>
      </c>
      <c r="E52" s="37" t="s">
        <v>176</v>
      </c>
      <c r="F52" s="108">
        <v>150000</v>
      </c>
      <c r="G52" s="5"/>
      <c r="H52" s="5"/>
      <c r="I52" s="5"/>
      <c r="J52" s="5"/>
    </row>
    <row r="53" spans="1:10" x14ac:dyDescent="0.35">
      <c r="A53" s="5" t="s">
        <v>245</v>
      </c>
      <c r="B53" s="108">
        <v>8300</v>
      </c>
      <c r="C53" s="37" t="s">
        <v>245</v>
      </c>
      <c r="D53" s="108">
        <v>26700</v>
      </c>
      <c r="E53" s="37" t="s">
        <v>245</v>
      </c>
      <c r="F53" s="108" t="s">
        <v>250</v>
      </c>
      <c r="G53" s="5"/>
      <c r="H53" s="5"/>
      <c r="I53" s="5"/>
      <c r="J53" s="5"/>
    </row>
    <row r="54" spans="1:10" x14ac:dyDescent="0.35">
      <c r="A54" s="5" t="s">
        <v>246</v>
      </c>
      <c r="B54" s="108">
        <v>4020</v>
      </c>
      <c r="C54" s="37" t="s">
        <v>246</v>
      </c>
      <c r="D54" s="108">
        <v>16800</v>
      </c>
      <c r="E54" s="37" t="s">
        <v>246</v>
      </c>
      <c r="F54" s="108" t="s">
        <v>250</v>
      </c>
      <c r="G54" s="5"/>
      <c r="H54" s="5"/>
      <c r="I54" s="5"/>
      <c r="J54" s="5"/>
    </row>
    <row r="55" spans="1:10" x14ac:dyDescent="0.35">
      <c r="C55" s="34" t="s">
        <v>248</v>
      </c>
      <c r="D55" s="108">
        <v>3500</v>
      </c>
    </row>
    <row r="57" spans="1:10" x14ac:dyDescent="0.35">
      <c r="A57" s="4" t="s">
        <v>251</v>
      </c>
      <c r="B57" s="105"/>
      <c r="C57" s="53"/>
      <c r="D57" s="105"/>
      <c r="E57" s="53"/>
      <c r="F57" s="105"/>
      <c r="G57" s="4"/>
      <c r="H57" s="4"/>
      <c r="I57" s="4"/>
      <c r="J57" s="4"/>
    </row>
    <row r="58" spans="1:10" s="19" customFormat="1" x14ac:dyDescent="0.35">
      <c r="A58" s="86" t="s">
        <v>252</v>
      </c>
      <c r="B58" s="106"/>
      <c r="C58" s="87" t="s">
        <v>256</v>
      </c>
      <c r="D58" s="106"/>
      <c r="E58" s="62"/>
      <c r="F58" s="106"/>
      <c r="G58" s="28"/>
      <c r="H58" s="28"/>
    </row>
    <row r="59" spans="1:10" x14ac:dyDescent="0.35">
      <c r="A59" t="s">
        <v>254</v>
      </c>
      <c r="B59" s="107" t="s">
        <v>255</v>
      </c>
      <c r="C59" s="34" t="s">
        <v>254</v>
      </c>
      <c r="D59" s="107" t="s">
        <v>258</v>
      </c>
    </row>
    <row r="60" spans="1:10" x14ac:dyDescent="0.35">
      <c r="A60" t="s">
        <v>244</v>
      </c>
      <c r="B60" s="107" t="s">
        <v>253</v>
      </c>
      <c r="C60" s="34" t="s">
        <v>244</v>
      </c>
      <c r="D60" s="107" t="s">
        <v>250</v>
      </c>
    </row>
    <row r="61" spans="1:10" x14ac:dyDescent="0.35">
      <c r="A61" t="s">
        <v>231</v>
      </c>
      <c r="B61" s="107">
        <v>18</v>
      </c>
      <c r="C61" s="34" t="s">
        <v>231</v>
      </c>
      <c r="D61" s="107">
        <v>98</v>
      </c>
    </row>
    <row r="62" spans="1:10" x14ac:dyDescent="0.35">
      <c r="A62" t="s">
        <v>232</v>
      </c>
      <c r="B62" s="107">
        <v>3.7</v>
      </c>
      <c r="C62" s="34" t="s">
        <v>232</v>
      </c>
      <c r="D62" s="107">
        <v>7</v>
      </c>
    </row>
    <row r="63" spans="1:10" x14ac:dyDescent="0.35">
      <c r="A63" t="s">
        <v>233</v>
      </c>
      <c r="B63" s="107">
        <v>75</v>
      </c>
      <c r="C63" s="34" t="s">
        <v>233</v>
      </c>
      <c r="D63" s="107" t="s">
        <v>250</v>
      </c>
    </row>
    <row r="64" spans="1:10" x14ac:dyDescent="0.35">
      <c r="A64" t="s">
        <v>241</v>
      </c>
      <c r="C64" s="34" t="s">
        <v>241</v>
      </c>
    </row>
    <row r="65" spans="1:10" x14ac:dyDescent="0.35">
      <c r="A65" t="s">
        <v>230</v>
      </c>
      <c r="B65" s="107">
        <v>1</v>
      </c>
      <c r="C65" s="34" t="s">
        <v>230</v>
      </c>
      <c r="D65" s="107">
        <v>2</v>
      </c>
    </row>
    <row r="66" spans="1:10" x14ac:dyDescent="0.35">
      <c r="A66" t="s">
        <v>48</v>
      </c>
      <c r="B66" s="107">
        <v>24</v>
      </c>
      <c r="C66" s="34" t="s">
        <v>48</v>
      </c>
      <c r="D66" s="107" t="s">
        <v>250</v>
      </c>
    </row>
    <row r="67" spans="1:10" x14ac:dyDescent="0.35">
      <c r="A67" t="s">
        <v>236</v>
      </c>
      <c r="B67" s="107">
        <v>1</v>
      </c>
      <c r="C67" s="34" t="s">
        <v>236</v>
      </c>
      <c r="D67" s="107" t="s">
        <v>250</v>
      </c>
    </row>
    <row r="68" spans="1:10" x14ac:dyDescent="0.35">
      <c r="A68" t="s">
        <v>237</v>
      </c>
      <c r="B68" s="111">
        <f>(B66-B67)/B66</f>
        <v>0.95833333333333337</v>
      </c>
      <c r="C68" s="34" t="s">
        <v>237</v>
      </c>
      <c r="D68" s="107" t="s">
        <v>250</v>
      </c>
    </row>
    <row r="69" spans="1:10" x14ac:dyDescent="0.35">
      <c r="A69" t="s">
        <v>370</v>
      </c>
      <c r="B69" s="111" t="s">
        <v>387</v>
      </c>
      <c r="C69" s="34" t="s">
        <v>370</v>
      </c>
      <c r="D69" s="107" t="s">
        <v>379</v>
      </c>
    </row>
    <row r="70" spans="1:10" x14ac:dyDescent="0.35">
      <c r="A70" t="s">
        <v>242</v>
      </c>
      <c r="B70" s="107">
        <v>490</v>
      </c>
      <c r="C70" s="34" t="s">
        <v>242</v>
      </c>
      <c r="D70" s="107">
        <v>2446.5</v>
      </c>
    </row>
    <row r="71" spans="1:10" x14ac:dyDescent="0.35">
      <c r="A71" t="s">
        <v>371</v>
      </c>
      <c r="B71" s="107">
        <v>1</v>
      </c>
      <c r="C71" s="34" t="s">
        <v>371</v>
      </c>
      <c r="D71" s="107">
        <v>4</v>
      </c>
    </row>
    <row r="72" spans="1:10" x14ac:dyDescent="0.35">
      <c r="A72" t="s">
        <v>374</v>
      </c>
      <c r="B72" s="107">
        <f>B70*B71</f>
        <v>490</v>
      </c>
      <c r="C72" s="34" t="s">
        <v>374</v>
      </c>
      <c r="D72" s="107">
        <f>D70*D71</f>
        <v>9786</v>
      </c>
    </row>
    <row r="73" spans="1:10" x14ac:dyDescent="0.35">
      <c r="A73" t="s">
        <v>376</v>
      </c>
      <c r="B73" s="107">
        <v>315</v>
      </c>
      <c r="C73" s="34" t="s">
        <v>376</v>
      </c>
      <c r="D73" s="107">
        <v>340</v>
      </c>
    </row>
    <row r="74" spans="1:10" x14ac:dyDescent="0.35">
      <c r="A74" t="s">
        <v>388</v>
      </c>
      <c r="B74" s="114" t="e">
        <f>(B59*1000000)/B77</f>
        <v>#VALUE!</v>
      </c>
      <c r="C74" s="34" t="s">
        <v>388</v>
      </c>
      <c r="D74" s="114" t="e">
        <f>(D59*1000000)/D77</f>
        <v>#VALUE!</v>
      </c>
    </row>
    <row r="75" spans="1:10" x14ac:dyDescent="0.35">
      <c r="A75" t="s">
        <v>389</v>
      </c>
      <c r="B75" s="114" t="b">
        <v>1</v>
      </c>
      <c r="C75" s="34" t="s">
        <v>389</v>
      </c>
      <c r="D75" s="114" t="b">
        <v>1</v>
      </c>
    </row>
    <row r="76" spans="1:10" x14ac:dyDescent="0.35">
      <c r="A76" t="s">
        <v>381</v>
      </c>
      <c r="B76" s="107" t="s">
        <v>377</v>
      </c>
      <c r="C76" s="34" t="s">
        <v>381</v>
      </c>
      <c r="D76" s="112" t="e">
        <f>D78/(D63*1000)</f>
        <v>#VALUE!</v>
      </c>
    </row>
    <row r="77" spans="1:10" x14ac:dyDescent="0.35">
      <c r="A77" s="82" t="s">
        <v>240</v>
      </c>
      <c r="C77" s="83" t="s">
        <v>240</v>
      </c>
    </row>
    <row r="78" spans="1:10" x14ac:dyDescent="0.35">
      <c r="C78" s="34" t="s">
        <v>176</v>
      </c>
      <c r="D78" s="107">
        <v>45000</v>
      </c>
    </row>
    <row r="80" spans="1:10" x14ac:dyDescent="0.35">
      <c r="A80" s="4" t="s">
        <v>257</v>
      </c>
      <c r="B80" s="105"/>
      <c r="C80" s="53"/>
      <c r="D80" s="105"/>
      <c r="E80" s="53"/>
      <c r="F80" s="105"/>
      <c r="G80" s="4"/>
      <c r="H80" s="4"/>
      <c r="I80" s="4"/>
      <c r="J80" s="4"/>
    </row>
    <row r="81" spans="1:6" s="19" customFormat="1" x14ac:dyDescent="0.35">
      <c r="A81" s="86" t="s">
        <v>259</v>
      </c>
      <c r="B81" s="109"/>
      <c r="C81" s="87" t="s">
        <v>261</v>
      </c>
      <c r="D81" s="109"/>
      <c r="E81" s="85"/>
      <c r="F81" s="109"/>
    </row>
    <row r="82" spans="1:6" x14ac:dyDescent="0.35">
      <c r="A82" t="s">
        <v>254</v>
      </c>
      <c r="B82" s="107" t="s">
        <v>255</v>
      </c>
      <c r="C82" s="34" t="s">
        <v>254</v>
      </c>
      <c r="D82" s="107" t="s">
        <v>255</v>
      </c>
    </row>
    <row r="83" spans="1:6" x14ac:dyDescent="0.35">
      <c r="A83" t="s">
        <v>244</v>
      </c>
      <c r="B83" s="110">
        <v>153</v>
      </c>
      <c r="C83" s="34" t="s">
        <v>244</v>
      </c>
      <c r="D83" s="107">
        <v>200</v>
      </c>
    </row>
    <row r="84" spans="1:6" x14ac:dyDescent="0.35">
      <c r="A84" t="s">
        <v>231</v>
      </c>
      <c r="B84" s="107">
        <v>58.3</v>
      </c>
      <c r="C84" s="34" t="s">
        <v>231</v>
      </c>
      <c r="D84" s="107">
        <v>61.6</v>
      </c>
    </row>
    <row r="85" spans="1:6" x14ac:dyDescent="0.35">
      <c r="A85" t="s">
        <v>232</v>
      </c>
      <c r="B85" s="107">
        <v>3.81</v>
      </c>
      <c r="C85" s="34" t="s">
        <v>232</v>
      </c>
      <c r="D85" s="107">
        <v>5.4</v>
      </c>
    </row>
    <row r="86" spans="1:6" x14ac:dyDescent="0.35">
      <c r="A86" t="s">
        <v>233</v>
      </c>
      <c r="B86" s="107">
        <v>590</v>
      </c>
      <c r="C86" s="34" t="s">
        <v>233</v>
      </c>
      <c r="D86" s="107">
        <v>546.70000000000005</v>
      </c>
    </row>
    <row r="87" spans="1:6" x14ac:dyDescent="0.35">
      <c r="A87" t="s">
        <v>241</v>
      </c>
      <c r="B87" s="107">
        <v>43.63</v>
      </c>
      <c r="C87" s="34" t="s">
        <v>241</v>
      </c>
      <c r="D87" s="107" t="s">
        <v>262</v>
      </c>
    </row>
    <row r="88" spans="1:6" x14ac:dyDescent="0.35">
      <c r="A88" t="s">
        <v>230</v>
      </c>
      <c r="B88" s="107">
        <v>2</v>
      </c>
      <c r="C88" s="34" t="s">
        <v>230</v>
      </c>
      <c r="D88" s="107">
        <v>2</v>
      </c>
    </row>
    <row r="89" spans="1:6" x14ac:dyDescent="0.35">
      <c r="A89" t="s">
        <v>48</v>
      </c>
      <c r="B89" s="107">
        <v>99</v>
      </c>
      <c r="C89" s="34" t="s">
        <v>48</v>
      </c>
      <c r="D89" s="107">
        <v>1</v>
      </c>
    </row>
    <row r="90" spans="1:6" x14ac:dyDescent="0.35">
      <c r="A90" t="s">
        <v>236</v>
      </c>
      <c r="B90" s="107">
        <v>1</v>
      </c>
      <c r="C90" s="34" t="s">
        <v>236</v>
      </c>
      <c r="D90" s="107">
        <v>0</v>
      </c>
    </row>
    <row r="91" spans="1:6" x14ac:dyDescent="0.35">
      <c r="A91" t="s">
        <v>237</v>
      </c>
      <c r="B91" s="111">
        <f>(B89-B90)/B89</f>
        <v>0.98989898989898994</v>
      </c>
      <c r="C91" s="34" t="s">
        <v>237</v>
      </c>
      <c r="D91" s="111">
        <f>(D89-D90)/D89</f>
        <v>1</v>
      </c>
    </row>
    <row r="92" spans="1:6" x14ac:dyDescent="0.35">
      <c r="A92" t="s">
        <v>370</v>
      </c>
      <c r="B92" s="111" t="s">
        <v>378</v>
      </c>
      <c r="C92" s="34" t="s">
        <v>370</v>
      </c>
      <c r="D92" s="111" t="s">
        <v>379</v>
      </c>
    </row>
    <row r="93" spans="1:6" x14ac:dyDescent="0.35">
      <c r="A93" t="s">
        <v>242</v>
      </c>
      <c r="B93" s="107">
        <v>3825</v>
      </c>
      <c r="C93" s="34" t="s">
        <v>242</v>
      </c>
      <c r="D93" s="107">
        <v>2446.5</v>
      </c>
    </row>
    <row r="94" spans="1:6" x14ac:dyDescent="0.35">
      <c r="A94" t="s">
        <v>371</v>
      </c>
      <c r="B94" s="107">
        <v>1</v>
      </c>
      <c r="C94" s="34" t="s">
        <v>371</v>
      </c>
      <c r="D94" s="107">
        <v>2</v>
      </c>
    </row>
    <row r="95" spans="1:6" x14ac:dyDescent="0.35">
      <c r="A95" t="s">
        <v>374</v>
      </c>
      <c r="B95" s="107">
        <f>B93*B94</f>
        <v>3825</v>
      </c>
      <c r="C95" s="34" t="s">
        <v>374</v>
      </c>
      <c r="D95" s="107">
        <f>D93*D94</f>
        <v>4893</v>
      </c>
    </row>
    <row r="96" spans="1:6" x14ac:dyDescent="0.35">
      <c r="A96" t="s">
        <v>376</v>
      </c>
      <c r="B96" s="107">
        <v>339.3</v>
      </c>
      <c r="C96" s="34" t="s">
        <v>380</v>
      </c>
      <c r="D96" s="107">
        <v>340</v>
      </c>
    </row>
    <row r="97" spans="1:10" x14ac:dyDescent="0.35">
      <c r="A97" t="s">
        <v>381</v>
      </c>
      <c r="B97" s="112">
        <f>B101/(B86*1000)</f>
        <v>3.1888135593220339E-2</v>
      </c>
      <c r="D97" s="112">
        <f>D101/(D86*1000)</f>
        <v>4.9753063837570881E-2</v>
      </c>
    </row>
    <row r="98" spans="1:10" x14ac:dyDescent="0.35">
      <c r="A98" t="s">
        <v>388</v>
      </c>
      <c r="B98" s="114">
        <f>(B83*1000000)/B101</f>
        <v>8132.2419474859144</v>
      </c>
      <c r="C98" s="34" t="s">
        <v>388</v>
      </c>
      <c r="D98" s="114">
        <f>(D83*1000000)/D101</f>
        <v>7352.9411764705883</v>
      </c>
    </row>
    <row r="99" spans="1:10" x14ac:dyDescent="0.35">
      <c r="A99" t="s">
        <v>389</v>
      </c>
      <c r="B99" s="114" t="b">
        <v>0</v>
      </c>
      <c r="C99" s="34" t="s">
        <v>389</v>
      </c>
      <c r="D99" s="114" t="b">
        <v>0</v>
      </c>
    </row>
    <row r="100" spans="1:10" x14ac:dyDescent="0.35">
      <c r="A100" s="82" t="s">
        <v>240</v>
      </c>
      <c r="C100" s="83" t="s">
        <v>240</v>
      </c>
    </row>
    <row r="101" spans="1:10" x14ac:dyDescent="0.35">
      <c r="A101" t="s">
        <v>176</v>
      </c>
      <c r="B101" s="108">
        <v>18814</v>
      </c>
      <c r="C101" s="37" t="s">
        <v>176</v>
      </c>
      <c r="D101" s="108">
        <v>27200</v>
      </c>
    </row>
    <row r="102" spans="1:10" x14ac:dyDescent="0.35">
      <c r="A102" t="s">
        <v>260</v>
      </c>
      <c r="B102" s="108" t="s">
        <v>262</v>
      </c>
      <c r="C102" s="37" t="s">
        <v>260</v>
      </c>
      <c r="D102" s="108">
        <v>6500</v>
      </c>
    </row>
    <row r="103" spans="1:10" x14ac:dyDescent="0.35">
      <c r="B103" s="108">
        <v>8900</v>
      </c>
      <c r="C103" s="37" t="s">
        <v>245</v>
      </c>
      <c r="D103" s="108">
        <v>14500</v>
      </c>
    </row>
    <row r="104" spans="1:10" x14ac:dyDescent="0.35">
      <c r="B104" s="108"/>
      <c r="C104" s="37" t="s">
        <v>263</v>
      </c>
      <c r="D104" s="108">
        <v>25800</v>
      </c>
    </row>
    <row r="105" spans="1:10" x14ac:dyDescent="0.35">
      <c r="A105" s="4" t="s">
        <v>264</v>
      </c>
      <c r="B105" s="105"/>
      <c r="C105" s="53"/>
      <c r="D105" s="105"/>
      <c r="E105" s="53"/>
      <c r="F105" s="105"/>
      <c r="G105" s="4"/>
      <c r="H105" s="4"/>
      <c r="I105" s="4"/>
      <c r="J105" s="4"/>
    </row>
    <row r="106" spans="1:10" s="19" customFormat="1" x14ac:dyDescent="0.35">
      <c r="A106" s="86" t="s">
        <v>265</v>
      </c>
      <c r="B106" s="109"/>
      <c r="C106" s="85"/>
      <c r="D106" s="109"/>
      <c r="E106" s="85"/>
      <c r="F106" s="109"/>
    </row>
    <row r="107" spans="1:10" x14ac:dyDescent="0.35">
      <c r="A107" t="s">
        <v>254</v>
      </c>
      <c r="B107" s="107" t="s">
        <v>255</v>
      </c>
    </row>
    <row r="108" spans="1:10" x14ac:dyDescent="0.35">
      <c r="A108" t="s">
        <v>244</v>
      </c>
      <c r="B108" s="110">
        <v>17</v>
      </c>
    </row>
    <row r="109" spans="1:10" x14ac:dyDescent="0.35">
      <c r="A109" t="s">
        <v>231</v>
      </c>
      <c r="B109" s="107">
        <v>29</v>
      </c>
    </row>
    <row r="110" spans="1:10" x14ac:dyDescent="0.35">
      <c r="A110" t="s">
        <v>232</v>
      </c>
      <c r="B110" s="107">
        <v>1.82</v>
      </c>
    </row>
    <row r="111" spans="1:10" x14ac:dyDescent="0.35">
      <c r="A111" t="s">
        <v>233</v>
      </c>
      <c r="B111" s="107">
        <v>54</v>
      </c>
    </row>
    <row r="112" spans="1:10" x14ac:dyDescent="0.35">
      <c r="A112" t="s">
        <v>241</v>
      </c>
    </row>
    <row r="113" spans="1:10" x14ac:dyDescent="0.35">
      <c r="A113" t="s">
        <v>230</v>
      </c>
      <c r="B113" s="107">
        <v>2</v>
      </c>
    </row>
    <row r="114" spans="1:10" x14ac:dyDescent="0.35">
      <c r="A114" t="s">
        <v>48</v>
      </c>
      <c r="B114" s="107">
        <v>4</v>
      </c>
    </row>
    <row r="115" spans="1:10" x14ac:dyDescent="0.35">
      <c r="A115" t="s">
        <v>236</v>
      </c>
      <c r="B115" s="107">
        <v>3</v>
      </c>
    </row>
    <row r="116" spans="1:10" x14ac:dyDescent="0.35">
      <c r="A116" t="s">
        <v>237</v>
      </c>
      <c r="B116" s="111">
        <f>(B114-B115)/B114</f>
        <v>0.25</v>
      </c>
    </row>
    <row r="117" spans="1:10" x14ac:dyDescent="0.35">
      <c r="A117" t="s">
        <v>370</v>
      </c>
      <c r="B117" s="111" t="s">
        <v>375</v>
      </c>
    </row>
    <row r="118" spans="1:10" x14ac:dyDescent="0.35">
      <c r="A118" t="s">
        <v>242</v>
      </c>
      <c r="B118" s="107">
        <v>184</v>
      </c>
    </row>
    <row r="119" spans="1:10" x14ac:dyDescent="0.35">
      <c r="A119" t="s">
        <v>371</v>
      </c>
      <c r="B119" s="107">
        <v>4</v>
      </c>
    </row>
    <row r="120" spans="1:10" x14ac:dyDescent="0.35">
      <c r="A120" t="s">
        <v>374</v>
      </c>
      <c r="B120" s="107">
        <f>B118*B119</f>
        <v>736</v>
      </c>
    </row>
    <row r="121" spans="1:10" x14ac:dyDescent="0.35">
      <c r="A121" t="s">
        <v>376</v>
      </c>
      <c r="B121" s="107">
        <v>295.60000000000002</v>
      </c>
    </row>
    <row r="122" spans="1:10" x14ac:dyDescent="0.35">
      <c r="A122" t="s">
        <v>381</v>
      </c>
      <c r="B122" s="107" t="s">
        <v>377</v>
      </c>
    </row>
    <row r="123" spans="1:10" x14ac:dyDescent="0.35">
      <c r="A123" t="s">
        <v>388</v>
      </c>
    </row>
    <row r="124" spans="1:10" x14ac:dyDescent="0.35">
      <c r="A124" s="82" t="s">
        <v>240</v>
      </c>
    </row>
    <row r="127" spans="1:10" x14ac:dyDescent="0.35">
      <c r="A127" s="4" t="s">
        <v>266</v>
      </c>
      <c r="B127" s="105"/>
      <c r="C127" s="53"/>
      <c r="D127" s="105"/>
      <c r="E127" s="53"/>
      <c r="F127" s="105"/>
      <c r="G127" s="4"/>
      <c r="H127" s="4"/>
      <c r="I127" s="4"/>
      <c r="J127" s="4"/>
    </row>
    <row r="128" spans="1:10" x14ac:dyDescent="0.35">
      <c r="A128" s="28" t="s">
        <v>267</v>
      </c>
      <c r="B128" s="109"/>
      <c r="C128" s="85"/>
      <c r="D128" s="109"/>
      <c r="E128" s="85"/>
      <c r="F128" s="109"/>
      <c r="G128" s="19"/>
      <c r="H128" s="19"/>
    </row>
    <row r="129" spans="1:2" x14ac:dyDescent="0.35">
      <c r="A129" t="s">
        <v>254</v>
      </c>
      <c r="B129" s="107" t="s">
        <v>255</v>
      </c>
    </row>
    <row r="130" spans="1:2" x14ac:dyDescent="0.35">
      <c r="A130" t="s">
        <v>244</v>
      </c>
      <c r="B130" s="107">
        <v>2.5</v>
      </c>
    </row>
    <row r="131" spans="1:2" x14ac:dyDescent="0.35">
      <c r="A131" t="s">
        <v>231</v>
      </c>
      <c r="B131" s="107">
        <v>11.6</v>
      </c>
    </row>
    <row r="132" spans="1:2" x14ac:dyDescent="0.35">
      <c r="A132" t="s">
        <v>232</v>
      </c>
    </row>
    <row r="133" spans="1:2" x14ac:dyDescent="0.35">
      <c r="A133" t="s">
        <v>233</v>
      </c>
    </row>
    <row r="134" spans="1:2" x14ac:dyDescent="0.35">
      <c r="A134" t="s">
        <v>241</v>
      </c>
    </row>
    <row r="135" spans="1:2" x14ac:dyDescent="0.35">
      <c r="A135" t="s">
        <v>230</v>
      </c>
    </row>
    <row r="136" spans="1:2" x14ac:dyDescent="0.35">
      <c r="A136" t="s">
        <v>48</v>
      </c>
      <c r="B136" s="107">
        <v>9</v>
      </c>
    </row>
    <row r="137" spans="1:2" x14ac:dyDescent="0.35">
      <c r="A137" t="s">
        <v>236</v>
      </c>
      <c r="B137" s="107">
        <v>7</v>
      </c>
    </row>
    <row r="138" spans="1:2" x14ac:dyDescent="0.35">
      <c r="A138" t="s">
        <v>237</v>
      </c>
      <c r="B138" s="111">
        <f>(B136-B137)/B136</f>
        <v>0.22222222222222221</v>
      </c>
    </row>
    <row r="139" spans="1:2" x14ac:dyDescent="0.35">
      <c r="A139" t="s">
        <v>370</v>
      </c>
      <c r="B139" s="111" t="s">
        <v>373</v>
      </c>
    </row>
    <row r="140" spans="1:2" x14ac:dyDescent="0.35">
      <c r="A140" t="s">
        <v>242</v>
      </c>
      <c r="B140" s="107">
        <v>29</v>
      </c>
    </row>
    <row r="141" spans="1:2" x14ac:dyDescent="0.35">
      <c r="A141" t="s">
        <v>371</v>
      </c>
      <c r="B141" s="107">
        <v>5</v>
      </c>
    </row>
    <row r="142" spans="1:2" x14ac:dyDescent="0.35">
      <c r="A142" t="s">
        <v>374</v>
      </c>
      <c r="B142" s="107">
        <f>B140*5</f>
        <v>145</v>
      </c>
    </row>
    <row r="143" spans="1:2" x14ac:dyDescent="0.35">
      <c r="A143" t="s">
        <v>376</v>
      </c>
      <c r="B143" s="107" t="s">
        <v>377</v>
      </c>
    </row>
    <row r="144" spans="1:2" x14ac:dyDescent="0.35">
      <c r="A144" t="s">
        <v>388</v>
      </c>
    </row>
    <row r="145" spans="1:2" x14ac:dyDescent="0.35">
      <c r="A145" s="82" t="s">
        <v>240</v>
      </c>
    </row>
    <row r="146" spans="1:2" x14ac:dyDescent="0.35">
      <c r="A146" s="82" t="s">
        <v>176</v>
      </c>
      <c r="B146" s="107">
        <v>100</v>
      </c>
    </row>
    <row r="147" spans="1:2" x14ac:dyDescent="0.35">
      <c r="A147" t="s">
        <v>239</v>
      </c>
      <c r="B147" s="107">
        <v>40</v>
      </c>
    </row>
    <row r="148" spans="1:2" x14ac:dyDescent="0.35">
      <c r="B148" s="107" t="s">
        <v>21</v>
      </c>
    </row>
  </sheetData>
  <conditionalFormatting sqref="A26:XFD26">
    <cfRule type="containsText" dxfId="42" priority="1" operator="containsText" text="TRUE">
      <formula>NOT(ISERROR(SEARCH("TRUE",A26)))</formula>
    </cfRule>
    <cfRule type="containsText" dxfId="41" priority="2" operator="containsText" text="FALSE">
      <formula>NOT(ISERROR(SEARCH("FALSE",A26)))</formula>
    </cfRule>
  </conditionalFormatting>
  <conditionalFormatting sqref="A50:XFD50">
    <cfRule type="containsText" dxfId="40" priority="3" operator="containsText" text="TRUE">
      <formula>NOT(ISERROR(SEARCH("TRUE",A50)))</formula>
    </cfRule>
    <cfRule type="containsText" dxfId="39" priority="4" operator="containsText" text="FALSE">
      <formula>NOT(ISERROR(SEARCH("FALSE",A50)))</formula>
    </cfRule>
  </conditionalFormatting>
  <conditionalFormatting sqref="A75:XFD75">
    <cfRule type="containsText" dxfId="38" priority="5" operator="containsText" text="FALSE">
      <formula>NOT(ISERROR(SEARCH("FALSE",A75)))</formula>
    </cfRule>
    <cfRule type="containsText" dxfId="37" priority="6" operator="containsText" text="TRUE">
      <formula>NOT(ISERROR(SEARCH("TRUE",A75)))</formula>
    </cfRule>
  </conditionalFormatting>
  <conditionalFormatting sqref="A99:XFD99">
    <cfRule type="containsText" dxfId="36" priority="7" operator="containsText" text="TRUE">
      <formula>NOT(ISERROR(SEARCH("TRUE",A99)))</formula>
    </cfRule>
    <cfRule type="containsText" dxfId="35" priority="8" operator="containsText" text="FALSE">
      <formula>NOT(ISERROR(SEARCH("FALSE",A99)))</formula>
    </cfRule>
  </conditionalFormatting>
  <conditionalFormatting sqref="B9">
    <cfRule type="containsText" dxfId="34" priority="24" operator="containsText" text="Retired">
      <formula>NOT(ISERROR(SEARCH("Retired",B9)))</formula>
    </cfRule>
    <cfRule type="containsText" dxfId="33" priority="25" operator="containsText" text="Active">
      <formula>NOT(ISERROR(SEARCH("Active",B9)))</formula>
    </cfRule>
    <cfRule type="containsText" dxfId="32" priority="26" operator="containsText" text="In Development">
      <formula>NOT(ISERROR(SEARCH("In Development",B9)))</formula>
    </cfRule>
  </conditionalFormatting>
  <conditionalFormatting sqref="B33">
    <cfRule type="containsText" dxfId="31" priority="33" operator="containsText" text="Retired">
      <formula>NOT(ISERROR(SEARCH("Retired",B33)))</formula>
    </cfRule>
    <cfRule type="containsText" dxfId="30" priority="34" operator="containsText" text="Active">
      <formula>NOT(ISERROR(SEARCH("Active",B33)))</formula>
    </cfRule>
    <cfRule type="containsText" dxfId="29" priority="35" operator="containsText" text="In Development">
      <formula>NOT(ISERROR(SEARCH("In Development",B33)))</formula>
    </cfRule>
  </conditionalFormatting>
  <conditionalFormatting sqref="B59">
    <cfRule type="containsText" dxfId="28" priority="36" operator="containsText" text="Retired">
      <formula>NOT(ISERROR(SEARCH("Retired",B59)))</formula>
    </cfRule>
    <cfRule type="containsText" dxfId="27" priority="37" operator="containsText" text="Active">
      <formula>NOT(ISERROR(SEARCH("Active",B59)))</formula>
    </cfRule>
    <cfRule type="containsText" dxfId="26" priority="38" operator="containsText" text="In Development">
      <formula>NOT(ISERROR(SEARCH("In Development",B59)))</formula>
    </cfRule>
  </conditionalFormatting>
  <conditionalFormatting sqref="B82">
    <cfRule type="containsText" dxfId="25" priority="18" operator="containsText" text="Retired">
      <formula>NOT(ISERROR(SEARCH("Retired",B82)))</formula>
    </cfRule>
    <cfRule type="containsText" dxfId="24" priority="19" operator="containsText" text="Active">
      <formula>NOT(ISERROR(SEARCH("Active",B82)))</formula>
    </cfRule>
    <cfRule type="containsText" dxfId="23" priority="20" operator="containsText" text="In Development">
      <formula>NOT(ISERROR(SEARCH("In Development",B82)))</formula>
    </cfRule>
  </conditionalFormatting>
  <conditionalFormatting sqref="B107">
    <cfRule type="containsText" dxfId="22" priority="12" operator="containsText" text="Retired">
      <formula>NOT(ISERROR(SEARCH("Retired",B107)))</formula>
    </cfRule>
    <cfRule type="containsText" dxfId="21" priority="13" operator="containsText" text="Active">
      <formula>NOT(ISERROR(SEARCH("Active",B107)))</formula>
    </cfRule>
    <cfRule type="containsText" dxfId="20" priority="14" operator="containsText" text="In Development">
      <formula>NOT(ISERROR(SEARCH("In Development",B107)))</formula>
    </cfRule>
  </conditionalFormatting>
  <conditionalFormatting sqref="B129">
    <cfRule type="containsText" dxfId="19" priority="9" operator="containsText" text="Retired">
      <formula>NOT(ISERROR(SEARCH("Retired",B129)))</formula>
    </cfRule>
    <cfRule type="containsText" dxfId="18" priority="10" operator="containsText" text="Active">
      <formula>NOT(ISERROR(SEARCH("Active",B129)))</formula>
    </cfRule>
    <cfRule type="containsText" dxfId="17" priority="11" operator="containsText" text="In Development">
      <formula>NOT(ISERROR(SEARCH("In Development",B129)))</formula>
    </cfRule>
  </conditionalFormatting>
  <conditionalFormatting sqref="D9">
    <cfRule type="containsText" dxfId="16" priority="21" operator="containsText" text="Retired">
      <formula>NOT(ISERROR(SEARCH("Retired",D9)))</formula>
    </cfRule>
    <cfRule type="containsText" dxfId="15" priority="22" operator="containsText" text="Active">
      <formula>NOT(ISERROR(SEARCH("Active",D9)))</formula>
    </cfRule>
    <cfRule type="containsText" dxfId="14" priority="23" operator="containsText" text="In Development">
      <formula>NOT(ISERROR(SEARCH("In Development",D9)))</formula>
    </cfRule>
  </conditionalFormatting>
  <conditionalFormatting sqref="D33">
    <cfRule type="containsText" dxfId="13" priority="30" operator="containsText" text="Retired">
      <formula>NOT(ISERROR(SEARCH("Retired",D33)))</formula>
    </cfRule>
    <cfRule type="containsText" dxfId="12" priority="31" operator="containsText" text="Active">
      <formula>NOT(ISERROR(SEARCH("Active",D33)))</formula>
    </cfRule>
    <cfRule type="containsText" dxfId="11" priority="32" operator="containsText" text="In Development">
      <formula>NOT(ISERROR(SEARCH("In Development",D33)))</formula>
    </cfRule>
  </conditionalFormatting>
  <conditionalFormatting sqref="D59">
    <cfRule type="containsText" dxfId="10" priority="39" operator="containsText" text="Retired">
      <formula>NOT(ISERROR(SEARCH("Retired",D59)))</formula>
    </cfRule>
    <cfRule type="containsText" dxfId="9" priority="40" operator="containsText" text="Active">
      <formula>NOT(ISERROR(SEARCH("Active",D59)))</formula>
    </cfRule>
    <cfRule type="containsText" dxfId="8" priority="41" operator="containsText" text="In Development">
      <formula>NOT(ISERROR(SEARCH("In Development",D59)))</formula>
    </cfRule>
  </conditionalFormatting>
  <conditionalFormatting sqref="D82">
    <cfRule type="containsText" dxfId="7" priority="15" operator="containsText" text="Retired">
      <formula>NOT(ISERROR(SEARCH("Retired",D82)))</formula>
    </cfRule>
    <cfRule type="containsText" dxfId="6" priority="16" operator="containsText" text="Active">
      <formula>NOT(ISERROR(SEARCH("Active",D82)))</formula>
    </cfRule>
    <cfRule type="containsText" dxfId="5" priority="17" operator="containsText" text="In Development">
      <formula>NOT(ISERROR(SEARCH("In Development",D82)))</formula>
    </cfRule>
  </conditionalFormatting>
  <conditionalFormatting sqref="F33">
    <cfRule type="containsText" dxfId="4" priority="27" operator="containsText" text="Retired">
      <formula>NOT(ISERROR(SEARCH("Retired",F33)))</formula>
    </cfRule>
    <cfRule type="containsText" dxfId="3" priority="28" operator="containsText" text="Active">
      <formula>NOT(ISERROR(SEARCH("Active",F33)))</formula>
    </cfRule>
    <cfRule type="containsText" dxfId="2" priority="29" operator="containsText" text="In Development">
      <formula>NOT(ISERROR(SEARCH("In Development",F33)))</formula>
    </cfRule>
  </conditionalFormatting>
  <hyperlinks>
    <hyperlink ref="A81" r:id="rId1" xr:uid="{E44746BA-C7E0-4274-A9FA-AA49E3A70F14}"/>
    <hyperlink ref="C81" r:id="rId2" xr:uid="{75165838-7025-4DCF-B909-C56D5096797F}"/>
    <hyperlink ref="A58" r:id="rId3" xr:uid="{9780EE9B-95C4-4DAE-B1E0-51F78951059F}"/>
    <hyperlink ref="C58" r:id="rId4" xr:uid="{40F590DD-6F2A-4AAC-BDAD-14038AD5E90C}"/>
    <hyperlink ref="A32" r:id="rId5" xr:uid="{24E39645-11DA-4CBF-9C62-9EE5678540DF}"/>
    <hyperlink ref="C32" r:id="rId6" xr:uid="{35F29CBB-92F4-4CC4-9554-E761DA16D03E}"/>
    <hyperlink ref="E32" r:id="rId7" xr:uid="{8F1FB1A7-39FF-4612-982E-3F574605F929}"/>
    <hyperlink ref="C8" r:id="rId8" xr:uid="{A07D5DA9-BBA8-49D9-A9E4-A99803EA61A3}"/>
    <hyperlink ref="A8" r:id="rId9" xr:uid="{B7CD88E3-B1E7-4DE7-BD02-8E9030985DFC}"/>
    <hyperlink ref="A106" r:id="rId10" xr:uid="{3CE51900-8DF8-4982-ACE2-A1793395B14A}"/>
  </hyperlinks>
  <pageMargins left="0.7" right="0.7" top="0.75" bottom="0.75" header="0.3" footer="0.3"/>
  <legacy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1D1E6-93E2-4768-850E-EEEF0057B66A}">
  <dimension ref="A8:E13"/>
  <sheetViews>
    <sheetView tabSelected="1" workbookViewId="0">
      <selection activeCell="B15" sqref="B15"/>
    </sheetView>
  </sheetViews>
  <sheetFormatPr defaultRowHeight="14.5" x14ac:dyDescent="0.35"/>
  <cols>
    <col min="1" max="1" width="12.453125" customWidth="1"/>
    <col min="2" max="2" width="44.26953125" customWidth="1"/>
    <col min="5" max="5" width="12.453125" customWidth="1"/>
  </cols>
  <sheetData>
    <row r="8" spans="1:5" s="117" customFormat="1" x14ac:dyDescent="0.35">
      <c r="A8" s="8" t="s">
        <v>20</v>
      </c>
      <c r="B8" s="4" t="s">
        <v>18</v>
      </c>
      <c r="C8" s="52" t="s">
        <v>19</v>
      </c>
      <c r="E8" s="8"/>
    </row>
    <row r="9" spans="1:5" x14ac:dyDescent="0.35">
      <c r="B9" t="s">
        <v>21</v>
      </c>
      <c r="C9" s="34"/>
    </row>
    <row r="10" spans="1:5" x14ac:dyDescent="0.35">
      <c r="A10" s="3">
        <v>43951</v>
      </c>
      <c r="B10" t="s">
        <v>22</v>
      </c>
      <c r="C10" s="34" t="s">
        <v>23</v>
      </c>
      <c r="E10" s="3"/>
    </row>
    <row r="11" spans="1:5" x14ac:dyDescent="0.35">
      <c r="A11" s="3">
        <v>44579</v>
      </c>
      <c r="B11" s="17" t="s">
        <v>24</v>
      </c>
      <c r="C11" s="34" t="s">
        <v>25</v>
      </c>
      <c r="E11" s="3"/>
    </row>
    <row r="12" spans="1:5" x14ac:dyDescent="0.35">
      <c r="A12" s="3">
        <v>44515</v>
      </c>
      <c r="B12" s="17" t="s">
        <v>26</v>
      </c>
      <c r="C12" s="34" t="s">
        <v>27</v>
      </c>
      <c r="E12" s="3"/>
    </row>
    <row r="13" spans="1:5" x14ac:dyDescent="0.35">
      <c r="A13" s="3">
        <v>44481</v>
      </c>
      <c r="B13" s="17" t="s">
        <v>28</v>
      </c>
      <c r="C13" s="34"/>
      <c r="E1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31" sqref="E31"/>
    </sheetView>
  </sheetViews>
  <sheetFormatPr defaultRowHeight="14.5" x14ac:dyDescent="0.35"/>
  <cols>
    <col min="5" max="5" width="8.7265625" style="1"/>
  </cols>
  <sheetData>
    <row r="1" spans="1:5" s="4" customFormat="1" x14ac:dyDescent="0.35">
      <c r="A1" s="4" t="s">
        <v>369</v>
      </c>
      <c r="E1" s="95"/>
    </row>
    <row r="2" spans="1:5" s="28" customFormat="1" x14ac:dyDescent="0.35">
      <c r="A2" s="28" t="s">
        <v>368</v>
      </c>
      <c r="B2" s="28" t="s">
        <v>52</v>
      </c>
      <c r="C2" s="28" t="s">
        <v>51</v>
      </c>
      <c r="D2" s="28" t="s">
        <v>347</v>
      </c>
      <c r="E2" s="104" t="s">
        <v>237</v>
      </c>
    </row>
    <row r="3" spans="1:5" x14ac:dyDescent="0.35">
      <c r="A3">
        <v>2024</v>
      </c>
      <c r="B3">
        <f>COUNTIF(Missions!F21, "Success")</f>
        <v>1</v>
      </c>
      <c r="C3">
        <f>COUNTIF(Missions!F21, "Failure")</f>
        <v>0</v>
      </c>
      <c r="D3">
        <f t="shared" ref="D3:D9" si="0">SUM(B3:C3)</f>
        <v>1</v>
      </c>
      <c r="E3" s="1">
        <f t="shared" ref="E3:E9" si="1">B3/D3</f>
        <v>1</v>
      </c>
    </row>
    <row r="4" spans="1:5" x14ac:dyDescent="0.35">
      <c r="A4">
        <v>2023</v>
      </c>
      <c r="B4">
        <f>COUNTIF(Missions!$F$23:$F$32, "Success")</f>
        <v>9</v>
      </c>
      <c r="C4">
        <f>COUNTIF(Missions!$F$23:$F$32, "Failure")</f>
        <v>1</v>
      </c>
      <c r="D4">
        <f t="shared" si="0"/>
        <v>10</v>
      </c>
      <c r="E4" s="1">
        <f t="shared" si="1"/>
        <v>0.9</v>
      </c>
    </row>
    <row r="5" spans="1:5" x14ac:dyDescent="0.35">
      <c r="A5">
        <v>2022</v>
      </c>
      <c r="B5">
        <f>COUNTIF(Missions!$F$34:$F$42, "Success")</f>
        <v>9</v>
      </c>
      <c r="C5">
        <f>COUNTIF(Missions!$F$34:$F$42, "Failure")</f>
        <v>0</v>
      </c>
      <c r="D5">
        <f t="shared" si="0"/>
        <v>9</v>
      </c>
      <c r="E5" s="1">
        <f t="shared" si="1"/>
        <v>1</v>
      </c>
    </row>
    <row r="6" spans="1:5" x14ac:dyDescent="0.35">
      <c r="A6">
        <v>2021</v>
      </c>
      <c r="B6">
        <f>COUNTIF(Missions!$F$44:$F$49,"Success")</f>
        <v>5</v>
      </c>
      <c r="C6">
        <f>COUNTIF(Missions!$F$44:$F$49,"Failure")</f>
        <v>1</v>
      </c>
      <c r="D6">
        <f t="shared" si="0"/>
        <v>6</v>
      </c>
      <c r="E6" s="1">
        <f t="shared" si="1"/>
        <v>0.83333333333333337</v>
      </c>
    </row>
    <row r="7" spans="1:5" x14ac:dyDescent="0.35">
      <c r="A7">
        <v>2020</v>
      </c>
      <c r="B7">
        <f>COUNTIF(Missions!$F$51:$F$57,"Success")</f>
        <v>6</v>
      </c>
      <c r="C7">
        <f>COUNTIF(Missions!$F$51:$F$57,"Failure")</f>
        <v>1</v>
      </c>
      <c r="D7">
        <f t="shared" si="0"/>
        <v>7</v>
      </c>
      <c r="E7" s="1">
        <f t="shared" si="1"/>
        <v>0.8571428571428571</v>
      </c>
    </row>
    <row r="8" spans="1:5" x14ac:dyDescent="0.35">
      <c r="A8">
        <v>2019</v>
      </c>
      <c r="B8">
        <f>COUNTIF(Missions!$F$59:$F$64,"Success")</f>
        <v>6</v>
      </c>
      <c r="C8">
        <f>COUNTIF(Missions!$F$59:$F$64,"Failure")</f>
        <v>0</v>
      </c>
      <c r="D8">
        <f t="shared" si="0"/>
        <v>6</v>
      </c>
      <c r="E8" s="1">
        <f t="shared" si="1"/>
        <v>1</v>
      </c>
    </row>
    <row r="9" spans="1:5" s="2" customFormat="1" x14ac:dyDescent="0.35">
      <c r="A9" s="2">
        <v>2018</v>
      </c>
      <c r="B9" s="2">
        <f>COUNTIF(Missions!$F$66:$F$69,"Success")</f>
        <v>3</v>
      </c>
      <c r="C9" s="2">
        <f>COUNTIF(Missions!$F$66:$F$69,"Failure")</f>
        <v>1</v>
      </c>
      <c r="D9" s="2">
        <f t="shared" si="0"/>
        <v>4</v>
      </c>
      <c r="E9" s="22">
        <f t="shared" si="1"/>
        <v>0.75</v>
      </c>
    </row>
    <row r="10" spans="1:5" x14ac:dyDescent="0.35">
      <c r="A10" t="s">
        <v>76</v>
      </c>
      <c r="D10">
        <f>SUM(D3:D9)</f>
        <v>43</v>
      </c>
      <c r="E10" s="1">
        <f>AVERAGE(E3:E9)</f>
        <v>0.90578231292516997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69"/>
  <sheetViews>
    <sheetView workbookViewId="0">
      <pane xSplit="2" ySplit="20" topLeftCell="C21" activePane="bottomRight" state="frozen"/>
      <selection pane="topRight" activeCell="B1" sqref="B1"/>
      <selection pane="bottomLeft" activeCell="A11" sqref="A11"/>
      <selection pane="bottomRight" activeCell="J16" sqref="J16"/>
    </sheetView>
  </sheetViews>
  <sheetFormatPr defaultRowHeight="14.5" x14ac:dyDescent="0.35"/>
  <cols>
    <col min="1" max="1" width="5.36328125" customWidth="1"/>
    <col min="2" max="2" width="10.453125" bestFit="1" customWidth="1"/>
    <col min="3" max="3" width="23.1796875" customWidth="1"/>
    <col min="4" max="4" width="11.6328125" customWidth="1"/>
    <col min="5" max="5" width="10.81640625" customWidth="1"/>
  </cols>
  <sheetData>
    <row r="1" spans="1:5" x14ac:dyDescent="0.35">
      <c r="B1" t="s">
        <v>348</v>
      </c>
    </row>
    <row r="4" spans="1:5" s="28" customFormat="1" x14ac:dyDescent="0.35">
      <c r="B4" s="28" t="s">
        <v>349</v>
      </c>
    </row>
    <row r="5" spans="1:5" x14ac:dyDescent="0.35">
      <c r="B5" t="s">
        <v>52</v>
      </c>
      <c r="C5">
        <f>COUNTIF(F:F,"Success")</f>
        <v>39</v>
      </c>
    </row>
    <row r="6" spans="1:5" x14ac:dyDescent="0.35">
      <c r="A6" s="2"/>
      <c r="B6" s="2" t="s">
        <v>51</v>
      </c>
      <c r="C6" s="2">
        <f>COUNTIF(F:F, "Failure")</f>
        <v>4</v>
      </c>
      <c r="D6" s="2"/>
      <c r="E6" s="2"/>
    </row>
    <row r="7" spans="1:5" x14ac:dyDescent="0.35">
      <c r="B7" t="s">
        <v>76</v>
      </c>
      <c r="C7">
        <f>SUM(C5:C6)</f>
        <v>43</v>
      </c>
    </row>
    <row r="8" spans="1:5" x14ac:dyDescent="0.35">
      <c r="B8" t="s">
        <v>237</v>
      </c>
      <c r="C8" s="11">
        <f>C5/C7</f>
        <v>0.90697674418604646</v>
      </c>
    </row>
    <row r="9" spans="1:5" s="19" customFormat="1" x14ac:dyDescent="0.35">
      <c r="B9" s="28" t="s">
        <v>344</v>
      </c>
      <c r="C9" s="19" t="s">
        <v>346</v>
      </c>
      <c r="D9" s="19" t="s">
        <v>345</v>
      </c>
    </row>
    <row r="10" spans="1:5" x14ac:dyDescent="0.35">
      <c r="B10">
        <v>2024</v>
      </c>
      <c r="C10">
        <v>1</v>
      </c>
      <c r="D10" s="11">
        <f t="shared" ref="D10:D16" si="0">C10/C$17</f>
        <v>2.3255813953488372E-2</v>
      </c>
    </row>
    <row r="11" spans="1:5" x14ac:dyDescent="0.35">
      <c r="B11">
        <v>2023</v>
      </c>
      <c r="C11">
        <f>C22</f>
        <v>10</v>
      </c>
      <c r="D11" s="11">
        <f t="shared" si="0"/>
        <v>0.23255813953488372</v>
      </c>
    </row>
    <row r="12" spans="1:5" x14ac:dyDescent="0.35">
      <c r="B12">
        <v>2022</v>
      </c>
      <c r="C12">
        <f>C33</f>
        <v>9</v>
      </c>
      <c r="D12" s="11">
        <f t="shared" si="0"/>
        <v>0.20930232558139536</v>
      </c>
    </row>
    <row r="13" spans="1:5" x14ac:dyDescent="0.35">
      <c r="B13">
        <v>2021</v>
      </c>
      <c r="C13">
        <f>C43</f>
        <v>6</v>
      </c>
      <c r="D13" s="11">
        <f t="shared" si="0"/>
        <v>0.13953488372093023</v>
      </c>
    </row>
    <row r="14" spans="1:5" x14ac:dyDescent="0.35">
      <c r="B14">
        <v>2020</v>
      </c>
      <c r="C14">
        <f>C50</f>
        <v>7</v>
      </c>
      <c r="D14" s="11">
        <f t="shared" si="0"/>
        <v>0.16279069767441862</v>
      </c>
    </row>
    <row r="15" spans="1:5" x14ac:dyDescent="0.35">
      <c r="B15">
        <v>2019</v>
      </c>
      <c r="C15">
        <f>C58</f>
        <v>6</v>
      </c>
      <c r="D15" s="11">
        <f t="shared" si="0"/>
        <v>0.13953488372093023</v>
      </c>
    </row>
    <row r="16" spans="1:5" x14ac:dyDescent="0.35">
      <c r="A16" s="2"/>
      <c r="B16" s="2">
        <v>2018</v>
      </c>
      <c r="C16" s="2">
        <f>C65</f>
        <v>4</v>
      </c>
      <c r="D16" s="21">
        <f t="shared" si="0"/>
        <v>9.3023255813953487E-2</v>
      </c>
      <c r="E16" s="2"/>
    </row>
    <row r="17" spans="1:8" x14ac:dyDescent="0.35">
      <c r="B17" t="s">
        <v>347</v>
      </c>
      <c r="C17">
        <f>SUM(C10:C16)</f>
        <v>43</v>
      </c>
      <c r="D17" s="11">
        <f>SUM(D10:D16)</f>
        <v>1</v>
      </c>
    </row>
    <row r="19" spans="1:8" s="4" customFormat="1" x14ac:dyDescent="0.35">
      <c r="B19" s="4" t="s">
        <v>174</v>
      </c>
      <c r="H19" s="93" t="s">
        <v>318</v>
      </c>
    </row>
    <row r="20" spans="1:8" s="92" customFormat="1" x14ac:dyDescent="0.35">
      <c r="A20" s="92" t="s">
        <v>343</v>
      </c>
      <c r="B20" s="92" t="s">
        <v>314</v>
      </c>
      <c r="C20" s="92" t="s">
        <v>315</v>
      </c>
      <c r="D20" s="92" t="s">
        <v>50</v>
      </c>
      <c r="E20" s="92" t="s">
        <v>49</v>
      </c>
      <c r="F20" s="92" t="s">
        <v>254</v>
      </c>
      <c r="G20" s="92" t="s">
        <v>368</v>
      </c>
    </row>
    <row r="21" spans="1:8" x14ac:dyDescent="0.35">
      <c r="A21">
        <v>43</v>
      </c>
      <c r="B21" s="3">
        <v>45322</v>
      </c>
      <c r="C21" t="s">
        <v>316</v>
      </c>
      <c r="D21" t="s">
        <v>317</v>
      </c>
      <c r="E21" t="s">
        <v>342</v>
      </c>
      <c r="F21" t="s">
        <v>52</v>
      </c>
      <c r="G21">
        <v>2024</v>
      </c>
    </row>
    <row r="22" spans="1:8" s="19" customFormat="1" x14ac:dyDescent="0.35">
      <c r="B22" s="94" t="s">
        <v>320</v>
      </c>
      <c r="C22" s="19">
        <f>COUNTA(C23:C32)</f>
        <v>10</v>
      </c>
    </row>
    <row r="23" spans="1:8" x14ac:dyDescent="0.35">
      <c r="A23">
        <v>42</v>
      </c>
      <c r="B23" s="3">
        <v>45275</v>
      </c>
      <c r="C23" t="s">
        <v>269</v>
      </c>
      <c r="D23" t="s">
        <v>270</v>
      </c>
      <c r="E23" t="s">
        <v>342</v>
      </c>
      <c r="F23" t="s">
        <v>52</v>
      </c>
      <c r="G23">
        <v>2023</v>
      </c>
    </row>
    <row r="24" spans="1:8" x14ac:dyDescent="0.35">
      <c r="A24">
        <v>41</v>
      </c>
      <c r="B24" s="3">
        <v>45188</v>
      </c>
      <c r="C24" t="s">
        <v>319</v>
      </c>
      <c r="D24" t="s">
        <v>271</v>
      </c>
      <c r="E24" t="s">
        <v>342</v>
      </c>
      <c r="F24" t="s">
        <v>51</v>
      </c>
      <c r="G24">
        <v>2023</v>
      </c>
    </row>
    <row r="25" spans="1:8" x14ac:dyDescent="0.35">
      <c r="A25">
        <v>40</v>
      </c>
      <c r="B25" s="3">
        <v>45162</v>
      </c>
      <c r="C25" t="s">
        <v>272</v>
      </c>
      <c r="D25" t="s">
        <v>274</v>
      </c>
      <c r="E25" t="s">
        <v>342</v>
      </c>
      <c r="F25" t="s">
        <v>52</v>
      </c>
      <c r="G25">
        <v>2023</v>
      </c>
    </row>
    <row r="26" spans="1:8" x14ac:dyDescent="0.35">
      <c r="A26">
        <v>39</v>
      </c>
      <c r="B26" s="3">
        <v>45125</v>
      </c>
      <c r="C26" t="s">
        <v>273</v>
      </c>
      <c r="D26" t="s">
        <v>276</v>
      </c>
      <c r="E26" t="s">
        <v>342</v>
      </c>
      <c r="F26" t="s">
        <v>52</v>
      </c>
      <c r="G26">
        <v>2023</v>
      </c>
    </row>
    <row r="27" spans="1:8" x14ac:dyDescent="0.35">
      <c r="A27">
        <v>38</v>
      </c>
      <c r="B27" s="3">
        <v>45095</v>
      </c>
      <c r="C27" t="s">
        <v>275</v>
      </c>
      <c r="D27" t="s">
        <v>53</v>
      </c>
      <c r="E27" t="s">
        <v>341</v>
      </c>
      <c r="F27" t="s">
        <v>52</v>
      </c>
      <c r="G27">
        <v>2023</v>
      </c>
    </row>
    <row r="28" spans="1:8" x14ac:dyDescent="0.35">
      <c r="A28">
        <v>37</v>
      </c>
      <c r="B28" s="3">
        <v>45072</v>
      </c>
      <c r="C28" t="s">
        <v>277</v>
      </c>
      <c r="D28" t="s">
        <v>53</v>
      </c>
      <c r="E28" t="s">
        <v>342</v>
      </c>
      <c r="F28" t="s">
        <v>52</v>
      </c>
      <c r="G28">
        <v>2023</v>
      </c>
    </row>
    <row r="29" spans="1:8" x14ac:dyDescent="0.35">
      <c r="A29">
        <v>36</v>
      </c>
      <c r="B29" s="3">
        <v>45054</v>
      </c>
      <c r="C29" t="s">
        <v>278</v>
      </c>
      <c r="D29" t="s">
        <v>53</v>
      </c>
      <c r="E29" t="s">
        <v>342</v>
      </c>
      <c r="F29" t="s">
        <v>52</v>
      </c>
      <c r="G29">
        <v>2023</v>
      </c>
    </row>
    <row r="30" spans="1:8" x14ac:dyDescent="0.35">
      <c r="A30">
        <v>35</v>
      </c>
      <c r="B30" s="3">
        <v>45009</v>
      </c>
      <c r="C30" t="s">
        <v>279</v>
      </c>
      <c r="D30" t="s">
        <v>321</v>
      </c>
      <c r="E30" t="s">
        <v>342</v>
      </c>
      <c r="F30" t="s">
        <v>52</v>
      </c>
      <c r="G30">
        <v>2023</v>
      </c>
    </row>
    <row r="31" spans="1:8" x14ac:dyDescent="0.35">
      <c r="A31">
        <v>34</v>
      </c>
      <c r="B31" s="3">
        <v>45001</v>
      </c>
      <c r="C31" t="s">
        <v>280</v>
      </c>
      <c r="D31" t="s">
        <v>271</v>
      </c>
      <c r="E31" t="s">
        <v>341</v>
      </c>
      <c r="F31" t="s">
        <v>52</v>
      </c>
      <c r="G31">
        <v>2023</v>
      </c>
    </row>
    <row r="32" spans="1:8" x14ac:dyDescent="0.35">
      <c r="A32">
        <v>33</v>
      </c>
      <c r="B32" s="3">
        <v>44950</v>
      </c>
      <c r="C32" t="s">
        <v>281</v>
      </c>
      <c r="D32" t="s">
        <v>322</v>
      </c>
      <c r="E32" t="s">
        <v>341</v>
      </c>
      <c r="F32" t="s">
        <v>52</v>
      </c>
      <c r="G32">
        <v>2023</v>
      </c>
    </row>
    <row r="33" spans="1:7" s="19" customFormat="1" x14ac:dyDescent="0.35">
      <c r="B33" s="94" t="s">
        <v>326</v>
      </c>
      <c r="C33" s="19">
        <f>COUNTA(C34:C42)</f>
        <v>9</v>
      </c>
    </row>
    <row r="34" spans="1:7" x14ac:dyDescent="0.35">
      <c r="A34">
        <v>32</v>
      </c>
      <c r="B34" s="3">
        <v>44869</v>
      </c>
      <c r="C34" t="s">
        <v>282</v>
      </c>
      <c r="D34" t="s">
        <v>324</v>
      </c>
      <c r="E34" t="s">
        <v>342</v>
      </c>
      <c r="F34" t="s">
        <v>52</v>
      </c>
      <c r="G34">
        <v>2022</v>
      </c>
    </row>
    <row r="35" spans="1:7" x14ac:dyDescent="0.35">
      <c r="A35">
        <v>31</v>
      </c>
      <c r="B35" s="3">
        <v>44841</v>
      </c>
      <c r="C35" t="s">
        <v>283</v>
      </c>
      <c r="D35" t="s">
        <v>284</v>
      </c>
      <c r="E35" t="s">
        <v>342</v>
      </c>
      <c r="F35" t="s">
        <v>52</v>
      </c>
      <c r="G35">
        <v>2022</v>
      </c>
    </row>
    <row r="36" spans="1:7" x14ac:dyDescent="0.35">
      <c r="A36">
        <v>30</v>
      </c>
      <c r="B36" s="3">
        <v>44819</v>
      </c>
      <c r="C36" t="s">
        <v>285</v>
      </c>
      <c r="D36" t="s">
        <v>286</v>
      </c>
      <c r="E36" t="s">
        <v>342</v>
      </c>
      <c r="F36" t="s">
        <v>52</v>
      </c>
      <c r="G36">
        <v>2022</v>
      </c>
    </row>
    <row r="37" spans="1:7" x14ac:dyDescent="0.35">
      <c r="A37">
        <v>29</v>
      </c>
      <c r="B37" s="3">
        <v>44777</v>
      </c>
      <c r="C37" t="s">
        <v>323</v>
      </c>
      <c r="D37" t="s">
        <v>287</v>
      </c>
      <c r="E37" t="s">
        <v>342</v>
      </c>
      <c r="F37" t="s">
        <v>52</v>
      </c>
      <c r="G37">
        <v>2022</v>
      </c>
    </row>
    <row r="38" spans="1:7" x14ac:dyDescent="0.35">
      <c r="A38">
        <v>28</v>
      </c>
      <c r="B38" s="3">
        <v>44755</v>
      </c>
      <c r="C38" t="s">
        <v>288</v>
      </c>
      <c r="D38" t="s">
        <v>287</v>
      </c>
      <c r="E38" t="s">
        <v>342</v>
      </c>
      <c r="F38" t="s">
        <v>52</v>
      </c>
      <c r="G38">
        <v>2022</v>
      </c>
    </row>
    <row r="39" spans="1:7" x14ac:dyDescent="0.35">
      <c r="A39">
        <v>27</v>
      </c>
      <c r="B39" s="3">
        <v>44740</v>
      </c>
      <c r="C39" t="s">
        <v>289</v>
      </c>
      <c r="D39" t="s">
        <v>325</v>
      </c>
      <c r="E39" t="s">
        <v>342</v>
      </c>
      <c r="F39" t="s">
        <v>52</v>
      </c>
      <c r="G39">
        <v>2022</v>
      </c>
    </row>
    <row r="40" spans="1:7" x14ac:dyDescent="0.35">
      <c r="A40">
        <v>26</v>
      </c>
      <c r="B40" s="3">
        <v>44683</v>
      </c>
      <c r="C40" t="s">
        <v>290</v>
      </c>
      <c r="D40" t="s">
        <v>274</v>
      </c>
      <c r="E40" t="s">
        <v>342</v>
      </c>
      <c r="F40" t="s">
        <v>52</v>
      </c>
      <c r="G40">
        <v>2022</v>
      </c>
    </row>
    <row r="41" spans="1:7" x14ac:dyDescent="0.35">
      <c r="A41">
        <v>25</v>
      </c>
      <c r="B41" s="3">
        <v>44653</v>
      </c>
      <c r="C41" t="s">
        <v>291</v>
      </c>
      <c r="D41" t="s">
        <v>327</v>
      </c>
      <c r="E41" t="s">
        <v>342</v>
      </c>
      <c r="F41" t="s">
        <v>52</v>
      </c>
      <c r="G41">
        <v>2022</v>
      </c>
    </row>
    <row r="42" spans="1:7" x14ac:dyDescent="0.35">
      <c r="A42">
        <v>24</v>
      </c>
      <c r="B42" s="3">
        <v>44620</v>
      </c>
      <c r="C42" t="s">
        <v>293</v>
      </c>
      <c r="D42" t="s">
        <v>286</v>
      </c>
      <c r="E42" t="s">
        <v>342</v>
      </c>
      <c r="F42" t="s">
        <v>52</v>
      </c>
      <c r="G42">
        <v>2022</v>
      </c>
    </row>
    <row r="43" spans="1:7" s="19" customFormat="1" x14ac:dyDescent="0.35">
      <c r="B43" s="94" t="s">
        <v>337</v>
      </c>
      <c r="C43" s="19">
        <f>COUNTA(C44:C49)</f>
        <v>6</v>
      </c>
    </row>
    <row r="44" spans="1:7" x14ac:dyDescent="0.35">
      <c r="A44">
        <v>23</v>
      </c>
      <c r="B44" s="3">
        <v>44539</v>
      </c>
      <c r="C44" t="s">
        <v>294</v>
      </c>
      <c r="D44" t="s">
        <v>292</v>
      </c>
      <c r="E44" t="s">
        <v>342</v>
      </c>
      <c r="F44" t="s">
        <v>52</v>
      </c>
      <c r="G44">
        <v>2021</v>
      </c>
    </row>
    <row r="45" spans="1:7" x14ac:dyDescent="0.35">
      <c r="A45">
        <v>22</v>
      </c>
      <c r="B45" s="3">
        <v>44518</v>
      </c>
      <c r="C45" t="s">
        <v>328</v>
      </c>
      <c r="D45" t="s">
        <v>292</v>
      </c>
      <c r="E45" t="s">
        <v>342</v>
      </c>
      <c r="F45" t="s">
        <v>52</v>
      </c>
      <c r="G45">
        <v>2021</v>
      </c>
    </row>
    <row r="46" spans="1:7" x14ac:dyDescent="0.35">
      <c r="A46">
        <v>21</v>
      </c>
      <c r="B46" s="3">
        <v>44406</v>
      </c>
      <c r="C46" t="s">
        <v>329</v>
      </c>
      <c r="D46" t="s">
        <v>295</v>
      </c>
      <c r="E46" t="s">
        <v>342</v>
      </c>
      <c r="F46" t="s">
        <v>52</v>
      </c>
      <c r="G46">
        <v>2021</v>
      </c>
    </row>
    <row r="47" spans="1:7" x14ac:dyDescent="0.35">
      <c r="A47">
        <v>20</v>
      </c>
      <c r="B47" s="3">
        <v>44331</v>
      </c>
      <c r="C47" t="s">
        <v>330</v>
      </c>
      <c r="D47" t="s">
        <v>292</v>
      </c>
      <c r="E47" t="s">
        <v>342</v>
      </c>
      <c r="F47" t="s">
        <v>51</v>
      </c>
      <c r="G47">
        <v>2021</v>
      </c>
    </row>
    <row r="48" spans="1:7" x14ac:dyDescent="0.35">
      <c r="A48">
        <v>19</v>
      </c>
      <c r="B48" s="3">
        <v>44277</v>
      </c>
      <c r="C48" t="s">
        <v>296</v>
      </c>
      <c r="D48" t="s">
        <v>274</v>
      </c>
      <c r="E48" t="s">
        <v>342</v>
      </c>
      <c r="F48" t="s">
        <v>52</v>
      </c>
      <c r="G48">
        <v>2021</v>
      </c>
    </row>
    <row r="49" spans="1:7" x14ac:dyDescent="0.35">
      <c r="A49">
        <v>18</v>
      </c>
      <c r="B49" s="3">
        <v>44216</v>
      </c>
      <c r="C49" t="s">
        <v>297</v>
      </c>
      <c r="D49" t="s">
        <v>298</v>
      </c>
      <c r="E49" t="s">
        <v>342</v>
      </c>
      <c r="F49" t="s">
        <v>52</v>
      </c>
      <c r="G49">
        <v>2021</v>
      </c>
    </row>
    <row r="50" spans="1:7" s="19" customFormat="1" x14ac:dyDescent="0.35">
      <c r="B50" s="94" t="s">
        <v>338</v>
      </c>
      <c r="C50" s="19">
        <f>COUNTA(C51:C57)</f>
        <v>7</v>
      </c>
    </row>
    <row r="51" spans="1:7" x14ac:dyDescent="0.35">
      <c r="A51">
        <v>17</v>
      </c>
      <c r="B51" s="3">
        <v>44180</v>
      </c>
      <c r="C51" t="s">
        <v>299</v>
      </c>
      <c r="D51" t="s">
        <v>286</v>
      </c>
      <c r="E51" t="s">
        <v>342</v>
      </c>
      <c r="F51" t="s">
        <v>52</v>
      </c>
      <c r="G51">
        <v>2020</v>
      </c>
    </row>
    <row r="52" spans="1:7" x14ac:dyDescent="0.35">
      <c r="A52">
        <v>16</v>
      </c>
      <c r="B52" s="3">
        <v>44155</v>
      </c>
      <c r="C52" t="s">
        <v>331</v>
      </c>
      <c r="D52" t="s">
        <v>274</v>
      </c>
      <c r="E52" t="s">
        <v>342</v>
      </c>
      <c r="F52" t="s">
        <v>52</v>
      </c>
      <c r="G52">
        <v>2020</v>
      </c>
    </row>
    <row r="53" spans="1:7" x14ac:dyDescent="0.35">
      <c r="A53">
        <v>15</v>
      </c>
      <c r="B53" s="3">
        <v>44132</v>
      </c>
      <c r="C53" t="s">
        <v>300</v>
      </c>
      <c r="D53" t="s">
        <v>274</v>
      </c>
      <c r="E53" t="s">
        <v>342</v>
      </c>
      <c r="F53" t="s">
        <v>52</v>
      </c>
      <c r="G53">
        <v>2020</v>
      </c>
    </row>
    <row r="54" spans="1:7" x14ac:dyDescent="0.35">
      <c r="A54">
        <v>14</v>
      </c>
      <c r="B54" s="3">
        <v>44074</v>
      </c>
      <c r="C54" t="s">
        <v>301</v>
      </c>
      <c r="D54" t="s">
        <v>271</v>
      </c>
      <c r="E54" t="s">
        <v>342</v>
      </c>
      <c r="F54" t="s">
        <v>52</v>
      </c>
      <c r="G54">
        <v>2020</v>
      </c>
    </row>
    <row r="55" spans="1:7" x14ac:dyDescent="0.35">
      <c r="A55">
        <v>13</v>
      </c>
      <c r="B55" s="3">
        <v>44016</v>
      </c>
      <c r="C55" t="s">
        <v>302</v>
      </c>
      <c r="D55" t="s">
        <v>274</v>
      </c>
      <c r="E55" t="s">
        <v>342</v>
      </c>
      <c r="F55" t="s">
        <v>51</v>
      </c>
      <c r="G55">
        <v>2020</v>
      </c>
    </row>
    <row r="56" spans="1:7" x14ac:dyDescent="0.35">
      <c r="A56">
        <v>12</v>
      </c>
      <c r="B56" s="3">
        <v>43995</v>
      </c>
      <c r="C56" t="s">
        <v>303</v>
      </c>
      <c r="D56" t="s">
        <v>274</v>
      </c>
      <c r="E56" t="s">
        <v>342</v>
      </c>
      <c r="F56" t="s">
        <v>52</v>
      </c>
      <c r="G56">
        <v>2020</v>
      </c>
    </row>
    <row r="57" spans="1:7" x14ac:dyDescent="0.35">
      <c r="A57">
        <v>11</v>
      </c>
      <c r="B57" s="3">
        <v>43861</v>
      </c>
      <c r="C57" t="s">
        <v>332</v>
      </c>
      <c r="D57" t="s">
        <v>287</v>
      </c>
      <c r="E57" t="s">
        <v>342</v>
      </c>
      <c r="F57" t="s">
        <v>52</v>
      </c>
      <c r="G57">
        <v>2020</v>
      </c>
    </row>
    <row r="58" spans="1:7" s="19" customFormat="1" x14ac:dyDescent="0.35">
      <c r="B58" s="94" t="s">
        <v>339</v>
      </c>
      <c r="C58" s="19">
        <f>COUNTA(C59:C64)</f>
        <v>6</v>
      </c>
    </row>
    <row r="59" spans="1:7" x14ac:dyDescent="0.35">
      <c r="A59">
        <v>10</v>
      </c>
      <c r="B59" s="3">
        <v>43805</v>
      </c>
      <c r="C59" t="s">
        <v>304</v>
      </c>
      <c r="D59" t="s">
        <v>274</v>
      </c>
      <c r="E59" t="s">
        <v>342</v>
      </c>
      <c r="F59" t="s">
        <v>52</v>
      </c>
      <c r="G59">
        <v>2019</v>
      </c>
    </row>
    <row r="60" spans="1:7" x14ac:dyDescent="0.35">
      <c r="A60">
        <v>9</v>
      </c>
      <c r="B60" s="3">
        <v>43755</v>
      </c>
      <c r="C60" t="s">
        <v>305</v>
      </c>
      <c r="D60" t="s">
        <v>306</v>
      </c>
      <c r="E60" t="s">
        <v>342</v>
      </c>
      <c r="F60" t="s">
        <v>52</v>
      </c>
      <c r="G60">
        <v>2019</v>
      </c>
    </row>
    <row r="61" spans="1:7" x14ac:dyDescent="0.35">
      <c r="A61">
        <v>8</v>
      </c>
      <c r="B61" s="3">
        <v>43696</v>
      </c>
      <c r="C61" t="s">
        <v>333</v>
      </c>
      <c r="D61" t="s">
        <v>274</v>
      </c>
      <c r="E61" t="s">
        <v>342</v>
      </c>
      <c r="F61" t="s">
        <v>52</v>
      </c>
      <c r="G61">
        <v>2019</v>
      </c>
    </row>
    <row r="62" spans="1:7" x14ac:dyDescent="0.35">
      <c r="A62">
        <v>7</v>
      </c>
      <c r="B62" s="3">
        <v>43645</v>
      </c>
      <c r="C62" t="s">
        <v>334</v>
      </c>
      <c r="D62" t="s">
        <v>307</v>
      </c>
      <c r="E62" t="s">
        <v>342</v>
      </c>
      <c r="F62" t="s">
        <v>52</v>
      </c>
      <c r="G62">
        <v>2019</v>
      </c>
    </row>
    <row r="63" spans="1:7" x14ac:dyDescent="0.35">
      <c r="A63">
        <v>6</v>
      </c>
      <c r="B63" s="3">
        <v>43590</v>
      </c>
      <c r="C63" t="s">
        <v>308</v>
      </c>
      <c r="D63" t="s">
        <v>309</v>
      </c>
      <c r="E63" t="s">
        <v>342</v>
      </c>
      <c r="F63" t="s">
        <v>52</v>
      </c>
      <c r="G63">
        <v>2019</v>
      </c>
    </row>
    <row r="64" spans="1:7" x14ac:dyDescent="0.35">
      <c r="A64">
        <v>5</v>
      </c>
      <c r="B64" s="3">
        <v>43552</v>
      </c>
      <c r="C64" t="s">
        <v>310</v>
      </c>
      <c r="D64" t="s">
        <v>175</v>
      </c>
      <c r="E64" t="s">
        <v>342</v>
      </c>
      <c r="F64" t="s">
        <v>52</v>
      </c>
      <c r="G64">
        <v>2019</v>
      </c>
    </row>
    <row r="65" spans="1:7" s="19" customFormat="1" x14ac:dyDescent="0.35">
      <c r="B65" s="94" t="s">
        <v>340</v>
      </c>
      <c r="C65" s="19">
        <f>COUNTA(C66:C69)</f>
        <v>4</v>
      </c>
    </row>
    <row r="66" spans="1:7" x14ac:dyDescent="0.35">
      <c r="A66">
        <v>4</v>
      </c>
      <c r="B66" s="3">
        <v>43450</v>
      </c>
      <c r="C66" t="s">
        <v>311</v>
      </c>
      <c r="D66" t="s">
        <v>53</v>
      </c>
      <c r="E66" t="s">
        <v>342</v>
      </c>
      <c r="F66" t="s">
        <v>52</v>
      </c>
      <c r="G66">
        <v>2018</v>
      </c>
    </row>
    <row r="67" spans="1:7" x14ac:dyDescent="0.35">
      <c r="A67">
        <v>3</v>
      </c>
      <c r="B67" s="3">
        <v>43415</v>
      </c>
      <c r="C67" t="s">
        <v>312</v>
      </c>
      <c r="D67" t="s">
        <v>274</v>
      </c>
      <c r="E67" t="s">
        <v>342</v>
      </c>
      <c r="F67" t="s">
        <v>52</v>
      </c>
      <c r="G67">
        <v>2018</v>
      </c>
    </row>
    <row r="68" spans="1:7" x14ac:dyDescent="0.35">
      <c r="A68">
        <v>2</v>
      </c>
      <c r="B68" s="3">
        <v>43121</v>
      </c>
      <c r="C68" t="s">
        <v>313</v>
      </c>
      <c r="D68" t="s">
        <v>274</v>
      </c>
      <c r="E68" t="s">
        <v>342</v>
      </c>
      <c r="F68" t="s">
        <v>52</v>
      </c>
      <c r="G68">
        <v>2018</v>
      </c>
    </row>
    <row r="69" spans="1:7" x14ac:dyDescent="0.35">
      <c r="A69">
        <v>1</v>
      </c>
      <c r="B69" s="3">
        <v>42880</v>
      </c>
      <c r="C69" t="s">
        <v>335</v>
      </c>
      <c r="D69" t="s">
        <v>336</v>
      </c>
      <c r="E69" t="s">
        <v>342</v>
      </c>
      <c r="F69" t="s">
        <v>51</v>
      </c>
      <c r="G69">
        <v>2018</v>
      </c>
    </row>
  </sheetData>
  <phoneticPr fontId="22" type="noConversion"/>
  <conditionalFormatting sqref="D10:D16">
    <cfRule type="colorScale" priority="1">
      <colorScale>
        <cfvo type="min"/>
        <cfvo type="percentile" val="50"/>
        <cfvo type="max"/>
        <color rgb="FFF8696B"/>
        <color rgb="FFFFEB84"/>
        <color rgb="FF63BE7B"/>
      </colorScale>
    </cfRule>
  </conditionalFormatting>
  <conditionalFormatting sqref="F21:F1048576">
    <cfRule type="containsText" dxfId="1" priority="2" operator="containsText" text="Failure">
      <formula>NOT(ISERROR(SEARCH("Failure",F21)))</formula>
    </cfRule>
    <cfRule type="containsText" dxfId="0" priority="3" operator="containsText" text="Success">
      <formula>NOT(ISERROR(SEARCH("Success",F21)))</formula>
    </cfRule>
  </conditionalFormatting>
  <hyperlinks>
    <hyperlink ref="H19" r:id="rId1" xr:uid="{95217AF9-062E-44DB-B155-55F7D476BDB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D6" sqref="D6"/>
    </sheetView>
  </sheetViews>
  <sheetFormatPr defaultRowHeight="14.5" x14ac:dyDescent="0.35"/>
  <sheetData>
    <row r="1" spans="1:5" x14ac:dyDescent="0.35">
      <c r="A1" t="s">
        <v>390</v>
      </c>
      <c r="B1" t="s">
        <v>392</v>
      </c>
      <c r="C1" t="s">
        <v>391</v>
      </c>
      <c r="D1" t="s">
        <v>394</v>
      </c>
      <c r="E1" t="s">
        <v>395</v>
      </c>
    </row>
    <row r="5" spans="1:5" x14ac:dyDescent="0.35">
      <c r="A5" s="116">
        <v>44593</v>
      </c>
      <c r="B5" t="s">
        <v>393</v>
      </c>
      <c r="C5">
        <v>143</v>
      </c>
      <c r="D5" t="s">
        <v>396</v>
      </c>
      <c r="E5" t="s">
        <v>397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Competition</vt:lpstr>
      <vt:lpstr>Acquisitions</vt:lpstr>
      <vt:lpstr>Analysis</vt:lpstr>
      <vt:lpstr>Missions</vt:lpstr>
      <vt:lpstr>Contracts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2024-02-21T20:20:04Z</dcterms:modified>
</cp:coreProperties>
</file>