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534a1defcf7f9d1a/Company Models CloudSave/AAPL/"/>
    </mc:Choice>
  </mc:AlternateContent>
  <xr:revisionPtr revIDLastSave="1959" documentId="11_BF1672B24CEC37617396783AD82603929199BC82" xr6:coauthVersionLast="47" xr6:coauthVersionMax="47" xr10:uidLastSave="{A043F67F-ECEB-4F87-A5BC-0F61B701CA71}"/>
  <bookViews>
    <workbookView xWindow="5670" yWindow="4210" windowWidth="29050" windowHeight="19020" firstSheet="1" activeTab="1" xr2:uid="{00000000-000D-0000-FFFF-FFFF00000000}"/>
  </bookViews>
  <sheets>
    <sheet name="Main" sheetId="1" r:id="rId1"/>
    <sheet name="Info" sheetId="2" r:id="rId2"/>
    <sheet name="Model" sheetId="3" r:id="rId3"/>
    <sheet name="New Model" sheetId="5" r:id="rId4"/>
    <sheet name="Sheet1"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49" i="5" l="1"/>
  <c r="AD148" i="5"/>
  <c r="AD110" i="5"/>
  <c r="AE110" i="5"/>
  <c r="AF110" i="5"/>
  <c r="AG110" i="5" s="1"/>
  <c r="AH110" i="5" s="1"/>
  <c r="AI110" i="5" s="1"/>
  <c r="AJ110" i="5" s="1"/>
  <c r="AK110" i="5" s="1"/>
  <c r="AL110" i="5" s="1"/>
  <c r="AM110" i="5" s="1"/>
  <c r="AN110" i="5" s="1"/>
  <c r="AO110" i="5" s="1"/>
  <c r="AP110" i="5" s="1"/>
  <c r="AQ110" i="5" s="1"/>
  <c r="AR110" i="5" s="1"/>
  <c r="AS110" i="5" s="1"/>
  <c r="AT110" i="5" s="1"/>
  <c r="AU110" i="5" s="1"/>
  <c r="AV110" i="5" s="1"/>
  <c r="AW110" i="5" s="1"/>
  <c r="AX110" i="5" s="1"/>
  <c r="AY110" i="5" s="1"/>
  <c r="AZ110" i="5" s="1"/>
  <c r="BA110" i="5" s="1"/>
  <c r="BB110" i="5" s="1"/>
  <c r="BC110" i="5" s="1"/>
  <c r="BD110" i="5" s="1"/>
  <c r="BE110" i="5" s="1"/>
  <c r="BF110" i="5" s="1"/>
  <c r="BG110" i="5" s="1"/>
  <c r="BH110" i="5" s="1"/>
  <c r="BI110" i="5" s="1"/>
  <c r="BJ110" i="5" s="1"/>
  <c r="BK110" i="5" s="1"/>
  <c r="BL110" i="5" s="1"/>
  <c r="BM110" i="5" s="1"/>
  <c r="BN110" i="5" s="1"/>
  <c r="BO110" i="5" s="1"/>
  <c r="BP110" i="5" s="1"/>
  <c r="BQ110" i="5" s="1"/>
  <c r="BR110" i="5" s="1"/>
  <c r="BS110" i="5" s="1"/>
  <c r="BT110" i="5" s="1"/>
  <c r="BU110" i="5" s="1"/>
  <c r="BV110" i="5" s="1"/>
  <c r="BW110" i="5" s="1"/>
  <c r="BX110" i="5" s="1"/>
  <c r="BY110" i="5" s="1"/>
  <c r="BZ110" i="5" s="1"/>
  <c r="CA110" i="5" s="1"/>
  <c r="CB110" i="5" s="1"/>
  <c r="CC110" i="5" s="1"/>
  <c r="CD110" i="5" s="1"/>
  <c r="CE110" i="5" s="1"/>
  <c r="CF110" i="5" s="1"/>
  <c r="CG110" i="5" s="1"/>
  <c r="CH110" i="5" s="1"/>
  <c r="CI110" i="5" s="1"/>
  <c r="CJ110" i="5" s="1"/>
  <c r="AC110" i="5"/>
  <c r="W110" i="5"/>
  <c r="X110" i="5"/>
  <c r="Y110" i="5"/>
  <c r="Z110" i="5"/>
  <c r="AA110" i="5"/>
  <c r="AB110" i="5"/>
  <c r="V110" i="5"/>
  <c r="W108" i="5"/>
  <c r="X108" i="5"/>
  <c r="Y108" i="5"/>
  <c r="Z108" i="5" s="1"/>
  <c r="AA108" i="5" s="1"/>
  <c r="AB108" i="5" s="1"/>
  <c r="V108" i="5"/>
  <c r="AD150" i="5" a="1"/>
  <c r="AD150" i="5" s="1"/>
  <c r="E126" i="5"/>
  <c r="F126" i="5"/>
  <c r="G126" i="5"/>
  <c r="H126" i="5"/>
  <c r="I126" i="5"/>
  <c r="J126" i="5"/>
  <c r="K126" i="5"/>
  <c r="L126" i="5"/>
  <c r="M126" i="5"/>
  <c r="N126" i="5"/>
  <c r="O126" i="5"/>
  <c r="P126" i="5"/>
  <c r="Q126" i="5"/>
  <c r="R126" i="5"/>
  <c r="S126" i="5"/>
  <c r="T126" i="5"/>
  <c r="D126" i="5"/>
  <c r="U126" i="5"/>
  <c r="E120" i="5"/>
  <c r="F120" i="5"/>
  <c r="G120" i="5"/>
  <c r="H120" i="5"/>
  <c r="I120" i="5"/>
  <c r="J120" i="5"/>
  <c r="K120" i="5"/>
  <c r="L120" i="5"/>
  <c r="M120" i="5"/>
  <c r="N120" i="5"/>
  <c r="O120" i="5"/>
  <c r="P120" i="5"/>
  <c r="Q120" i="5"/>
  <c r="R120" i="5"/>
  <c r="S120" i="5"/>
  <c r="T120" i="5"/>
  <c r="E121" i="5"/>
  <c r="F121" i="5"/>
  <c r="G121" i="5"/>
  <c r="H121" i="5"/>
  <c r="I121" i="5"/>
  <c r="J121" i="5"/>
  <c r="K121" i="5"/>
  <c r="L121" i="5"/>
  <c r="M121" i="5"/>
  <c r="N121" i="5"/>
  <c r="O121" i="5"/>
  <c r="P121" i="5"/>
  <c r="Q121" i="5"/>
  <c r="R121" i="5"/>
  <c r="S121" i="5"/>
  <c r="T121" i="5"/>
  <c r="D121" i="5"/>
  <c r="D120" i="5"/>
  <c r="U121" i="5"/>
  <c r="U120" i="5"/>
  <c r="AD137" i="5" a="1"/>
  <c r="AD137" i="5" s="1"/>
  <c r="V1" i="5"/>
  <c r="W1" i="5" s="1"/>
  <c r="X1" i="5" s="1"/>
  <c r="Y1" i="5" s="1"/>
  <c r="Z1" i="5" s="1"/>
  <c r="AA1" i="5" s="1"/>
  <c r="AB1" i="5" s="1"/>
  <c r="AC1" i="5" s="1"/>
  <c r="AD1" i="5" s="1"/>
  <c r="AE1" i="5" s="1"/>
  <c r="AF1" i="5" s="1"/>
  <c r="AG1" i="5" s="1"/>
  <c r="AH1" i="5" s="1"/>
  <c r="AI1" i="5" s="1"/>
  <c r="AJ1" i="5" s="1"/>
  <c r="AK1" i="5" s="1"/>
  <c r="AL1" i="5" s="1"/>
  <c r="AM1" i="5" s="1"/>
  <c r="AN1" i="5" s="1"/>
  <c r="AO1" i="5" s="1"/>
  <c r="AP1" i="5" s="1"/>
  <c r="AQ1" i="5" s="1"/>
  <c r="AR1" i="5" s="1"/>
  <c r="AS1" i="5" s="1"/>
  <c r="AT1" i="5" s="1"/>
  <c r="AU1" i="5" s="1"/>
  <c r="AV1" i="5" s="1"/>
  <c r="AW1" i="5" s="1"/>
  <c r="AX1" i="5" s="1"/>
  <c r="AY1" i="5" s="1"/>
  <c r="AZ1" i="5" s="1"/>
  <c r="BA1" i="5" s="1"/>
  <c r="BB1" i="5" s="1"/>
  <c r="BC1" i="5" s="1"/>
  <c r="BD1" i="5" s="1"/>
  <c r="BE1" i="5" s="1"/>
  <c r="BF1" i="5" s="1"/>
  <c r="BG1" i="5" s="1"/>
  <c r="BH1" i="5" s="1"/>
  <c r="BI1" i="5" s="1"/>
  <c r="BJ1" i="5" s="1"/>
  <c r="BK1" i="5" s="1"/>
  <c r="BL1" i="5" s="1"/>
  <c r="BM1" i="5" s="1"/>
  <c r="BN1" i="5" s="1"/>
  <c r="BO1" i="5" s="1"/>
  <c r="BP1" i="5" s="1"/>
  <c r="BQ1" i="5" s="1"/>
  <c r="BR1" i="5" s="1"/>
  <c r="BS1" i="5" s="1"/>
  <c r="BT1" i="5" s="1"/>
  <c r="BU1" i="5" s="1"/>
  <c r="BV1" i="5" s="1"/>
  <c r="BW1" i="5" s="1"/>
  <c r="BX1" i="5" s="1"/>
  <c r="BY1" i="5" s="1"/>
  <c r="BZ1" i="5" s="1"/>
  <c r="CA1" i="5" s="1"/>
  <c r="CB1" i="5" s="1"/>
  <c r="CC1" i="5" s="1"/>
  <c r="CD1" i="5" s="1"/>
  <c r="CE1" i="5" s="1"/>
  <c r="CF1" i="5" s="1"/>
  <c r="CG1" i="5" s="1"/>
  <c r="CH1" i="5" s="1"/>
  <c r="CI1" i="5" s="1"/>
  <c r="CJ1" i="5" s="1"/>
  <c r="J16" i="5"/>
  <c r="J17" i="5"/>
  <c r="H70" i="5"/>
  <c r="H68" i="5" s="1"/>
  <c r="H116" i="5" s="1"/>
  <c r="I70" i="5"/>
  <c r="I68" i="5" s="1"/>
  <c r="I116" i="5" s="1"/>
  <c r="H71" i="5"/>
  <c r="H69" i="5" s="1"/>
  <c r="I71" i="5"/>
  <c r="I69" i="5" s="1"/>
  <c r="G71" i="5"/>
  <c r="G69" i="5" s="1"/>
  <c r="G70" i="5"/>
  <c r="G68" i="5" s="1"/>
  <c r="G116" i="5" s="1"/>
  <c r="H98" i="5"/>
  <c r="I98" i="5"/>
  <c r="H95" i="5"/>
  <c r="I95" i="5"/>
  <c r="H89" i="5"/>
  <c r="H92" i="5" s="1"/>
  <c r="I89" i="5"/>
  <c r="I92" i="5" s="1"/>
  <c r="G16" i="5"/>
  <c r="H16" i="5"/>
  <c r="I16" i="5"/>
  <c r="G17" i="5"/>
  <c r="H17" i="5"/>
  <c r="I17" i="5"/>
  <c r="J71" i="5"/>
  <c r="J69" i="5" s="1"/>
  <c r="J70" i="5"/>
  <c r="J68" i="5" s="1"/>
  <c r="J116" i="5" s="1"/>
  <c r="J98" i="5"/>
  <c r="K98" i="5"/>
  <c r="J95" i="5"/>
  <c r="K95" i="5"/>
  <c r="J89" i="5"/>
  <c r="J92" i="5" s="1"/>
  <c r="K89" i="5"/>
  <c r="K92" i="5" s="1"/>
  <c r="L98" i="5"/>
  <c r="M98" i="5"/>
  <c r="L95" i="5"/>
  <c r="M95" i="5"/>
  <c r="L89" i="5"/>
  <c r="L92" i="5" s="1"/>
  <c r="M90" i="5"/>
  <c r="M89" i="5"/>
  <c r="N98" i="5"/>
  <c r="O98" i="5"/>
  <c r="N90" i="5"/>
  <c r="O90" i="5"/>
  <c r="N89" i="5"/>
  <c r="O89" i="5"/>
  <c r="N95" i="5"/>
  <c r="O95" i="5"/>
  <c r="P90" i="5"/>
  <c r="P89" i="5"/>
  <c r="Q90" i="5"/>
  <c r="Q89" i="5"/>
  <c r="E68" i="5"/>
  <c r="E116" i="5" s="1"/>
  <c r="F68" i="5"/>
  <c r="F116" i="5" s="1"/>
  <c r="K68" i="5"/>
  <c r="K116" i="5" s="1"/>
  <c r="L68" i="5"/>
  <c r="L116" i="5" s="1"/>
  <c r="M68" i="5"/>
  <c r="M116" i="5" s="1"/>
  <c r="N68" i="5"/>
  <c r="N116" i="5" s="1"/>
  <c r="O68" i="5"/>
  <c r="O116" i="5" s="1"/>
  <c r="E69" i="5"/>
  <c r="F69" i="5"/>
  <c r="K69" i="5"/>
  <c r="L69" i="5"/>
  <c r="M69" i="5"/>
  <c r="N69" i="5"/>
  <c r="O69" i="5"/>
  <c r="D69" i="5"/>
  <c r="D68" i="5"/>
  <c r="D116" i="5" s="1"/>
  <c r="P69" i="5"/>
  <c r="P68" i="5"/>
  <c r="P116" i="5" s="1"/>
  <c r="E99" i="5"/>
  <c r="F99" i="5"/>
  <c r="G99" i="5"/>
  <c r="L100" i="5"/>
  <c r="N100" i="5"/>
  <c r="P99" i="5"/>
  <c r="Q99" i="5"/>
  <c r="R99" i="5"/>
  <c r="S99" i="5"/>
  <c r="D99" i="5"/>
  <c r="T99" i="5"/>
  <c r="U99" i="5"/>
  <c r="E96" i="5"/>
  <c r="F96" i="5"/>
  <c r="G96" i="5"/>
  <c r="J100" i="5"/>
  <c r="P96" i="5"/>
  <c r="Q96" i="5"/>
  <c r="R96" i="5"/>
  <c r="S96" i="5"/>
  <c r="T96" i="5"/>
  <c r="U96" i="5"/>
  <c r="R90" i="5"/>
  <c r="S90" i="5"/>
  <c r="R89" i="5"/>
  <c r="S89" i="5"/>
  <c r="Q116" i="5"/>
  <c r="R116" i="5"/>
  <c r="S116" i="5"/>
  <c r="T116" i="5"/>
  <c r="U116" i="5"/>
  <c r="E110" i="5"/>
  <c r="F110" i="5"/>
  <c r="G110" i="5"/>
  <c r="H110" i="5"/>
  <c r="I110" i="5"/>
  <c r="J110" i="5"/>
  <c r="K110" i="5"/>
  <c r="L110" i="5"/>
  <c r="M110" i="5"/>
  <c r="N110" i="5"/>
  <c r="O110" i="5"/>
  <c r="P110" i="5"/>
  <c r="Q110" i="5"/>
  <c r="R110" i="5"/>
  <c r="D110" i="5"/>
  <c r="T110" i="5"/>
  <c r="U110" i="5"/>
  <c r="S110" i="5"/>
  <c r="T90" i="5"/>
  <c r="U90" i="5"/>
  <c r="E92" i="5"/>
  <c r="F92" i="5"/>
  <c r="G92" i="5"/>
  <c r="D92" i="5"/>
  <c r="T89" i="5"/>
  <c r="U89" i="5"/>
  <c r="E59" i="5"/>
  <c r="F59" i="5"/>
  <c r="G59" i="5"/>
  <c r="H59" i="5"/>
  <c r="I59" i="5"/>
  <c r="J59" i="5"/>
  <c r="K59" i="5"/>
  <c r="L59" i="5"/>
  <c r="M59" i="5"/>
  <c r="N59" i="5"/>
  <c r="O59" i="5"/>
  <c r="P59" i="5"/>
  <c r="Q59" i="5"/>
  <c r="R59" i="5"/>
  <c r="S59" i="5"/>
  <c r="T59" i="5"/>
  <c r="D59" i="5"/>
  <c r="U59" i="5"/>
  <c r="E54" i="5"/>
  <c r="F54" i="5"/>
  <c r="F75" i="5" s="1"/>
  <c r="G54" i="5"/>
  <c r="H54" i="5"/>
  <c r="I54" i="5"/>
  <c r="J54" i="5"/>
  <c r="J85" i="5" s="1"/>
  <c r="K54" i="5"/>
  <c r="K85" i="5" s="1"/>
  <c r="L54" i="5"/>
  <c r="M54" i="5"/>
  <c r="N54" i="5"/>
  <c r="O54" i="5"/>
  <c r="P54" i="5"/>
  <c r="Q54" i="5"/>
  <c r="R54" i="5"/>
  <c r="S54" i="5"/>
  <c r="T54" i="5"/>
  <c r="E55" i="5"/>
  <c r="F55" i="5"/>
  <c r="G55" i="5"/>
  <c r="H55" i="5"/>
  <c r="H56" i="5" s="1"/>
  <c r="H80" i="5" s="1"/>
  <c r="I55" i="5"/>
  <c r="J55" i="5"/>
  <c r="K55" i="5"/>
  <c r="L55" i="5"/>
  <c r="M55" i="5"/>
  <c r="N55" i="5"/>
  <c r="O55" i="5"/>
  <c r="P55" i="5"/>
  <c r="Q55" i="5"/>
  <c r="R55" i="5"/>
  <c r="S55" i="5"/>
  <c r="T55" i="5"/>
  <c r="D55" i="5"/>
  <c r="D54" i="5"/>
  <c r="D75" i="5" s="1"/>
  <c r="U55" i="5"/>
  <c r="U54" i="5"/>
  <c r="V54" i="5" s="1"/>
  <c r="E50" i="5"/>
  <c r="F50" i="5"/>
  <c r="G50" i="5"/>
  <c r="G51" i="5" s="1"/>
  <c r="H50" i="5"/>
  <c r="H51" i="5" s="1"/>
  <c r="I50" i="5"/>
  <c r="I51" i="5" s="1"/>
  <c r="J50" i="5"/>
  <c r="K50" i="5"/>
  <c r="K51" i="5" s="1"/>
  <c r="L50" i="5"/>
  <c r="L51" i="5" s="1"/>
  <c r="M50" i="5"/>
  <c r="M51" i="5" s="1"/>
  <c r="N50" i="5"/>
  <c r="N51" i="5" s="1"/>
  <c r="O50" i="5"/>
  <c r="O51" i="5" s="1"/>
  <c r="P50" i="5"/>
  <c r="P51" i="5" s="1"/>
  <c r="Q50" i="5"/>
  <c r="Q51" i="5" s="1"/>
  <c r="R50" i="5"/>
  <c r="R51" i="5" s="1"/>
  <c r="S50" i="5"/>
  <c r="S51" i="5" s="1"/>
  <c r="T50" i="5"/>
  <c r="T51" i="5" s="1"/>
  <c r="D50" i="5"/>
  <c r="D51" i="5" s="1"/>
  <c r="U50" i="5"/>
  <c r="U51" i="5" s="1"/>
  <c r="E44" i="5"/>
  <c r="E45" i="5" s="1"/>
  <c r="F44" i="5"/>
  <c r="F45" i="5" s="1"/>
  <c r="G44" i="5"/>
  <c r="H44" i="5"/>
  <c r="I44" i="5"/>
  <c r="I45" i="5" s="1"/>
  <c r="J44" i="5"/>
  <c r="J45" i="5" s="1"/>
  <c r="K44" i="5"/>
  <c r="L44" i="5"/>
  <c r="L45" i="5" s="1"/>
  <c r="M44" i="5"/>
  <c r="M45" i="5" s="1"/>
  <c r="N44" i="5"/>
  <c r="N45" i="5" s="1"/>
  <c r="O44" i="5"/>
  <c r="O45" i="5" s="1"/>
  <c r="P44" i="5"/>
  <c r="P45" i="5" s="1"/>
  <c r="Q44" i="5"/>
  <c r="Q45" i="5" s="1"/>
  <c r="R44" i="5"/>
  <c r="R45" i="5" s="1"/>
  <c r="S44" i="5"/>
  <c r="S45" i="5" s="1"/>
  <c r="T44" i="5"/>
  <c r="T45" i="5" s="1"/>
  <c r="D44" i="5"/>
  <c r="D45" i="5" s="1"/>
  <c r="U44" i="5"/>
  <c r="U45" i="5" s="1"/>
  <c r="E18" i="5"/>
  <c r="E20" i="5" s="1"/>
  <c r="E25" i="5" s="1"/>
  <c r="F18" i="5"/>
  <c r="F22" i="5" s="1"/>
  <c r="K18" i="5"/>
  <c r="K24" i="5" s="1"/>
  <c r="L18" i="5"/>
  <c r="L22" i="5" s="1"/>
  <c r="M18" i="5"/>
  <c r="M20" i="5" s="1"/>
  <c r="N18" i="5"/>
  <c r="N24" i="5" s="1"/>
  <c r="O18" i="5"/>
  <c r="O20" i="5" s="1"/>
  <c r="P18" i="5"/>
  <c r="P24" i="5" s="1"/>
  <c r="Q18" i="5"/>
  <c r="Q20" i="5" s="1"/>
  <c r="R18" i="5"/>
  <c r="R20" i="5" s="1"/>
  <c r="S18" i="5"/>
  <c r="S21" i="5" s="1"/>
  <c r="T18" i="5"/>
  <c r="T21" i="5" s="1"/>
  <c r="D18" i="5"/>
  <c r="D24" i="5" s="1"/>
  <c r="U18" i="5"/>
  <c r="U20" i="5" s="1"/>
  <c r="E32" i="5"/>
  <c r="E34" i="5" s="1"/>
  <c r="E39" i="5" s="1"/>
  <c r="F32" i="5"/>
  <c r="F35" i="5" s="1"/>
  <c r="G32" i="5"/>
  <c r="G34" i="5" s="1"/>
  <c r="H32" i="5"/>
  <c r="H34" i="5" s="1"/>
  <c r="I32" i="5"/>
  <c r="I34" i="5" s="1"/>
  <c r="J32" i="5"/>
  <c r="J34" i="5" s="1"/>
  <c r="K32" i="5"/>
  <c r="K34" i="5" s="1"/>
  <c r="L32" i="5"/>
  <c r="L37" i="5" s="1"/>
  <c r="M32" i="5"/>
  <c r="M35" i="5" s="1"/>
  <c r="N32" i="5"/>
  <c r="N34" i="5" s="1"/>
  <c r="O32" i="5"/>
  <c r="O35" i="5" s="1"/>
  <c r="P32" i="5"/>
  <c r="P38" i="5" s="1"/>
  <c r="Q32" i="5"/>
  <c r="Q37" i="5" s="1"/>
  <c r="R32" i="5"/>
  <c r="R36" i="5" s="1"/>
  <c r="S32" i="5"/>
  <c r="S35" i="5" s="1"/>
  <c r="T32" i="5"/>
  <c r="T34" i="5" s="1"/>
  <c r="D32" i="5"/>
  <c r="D38" i="5" s="1"/>
  <c r="U32" i="5"/>
  <c r="U36" i="5" s="1"/>
  <c r="T1" i="5"/>
  <c r="S1" i="5" s="1"/>
  <c r="R1" i="5" s="1"/>
  <c r="Q1" i="5" s="1"/>
  <c r="P1" i="5" s="1"/>
  <c r="O1" i="5" s="1"/>
  <c r="N1" i="5" s="1"/>
  <c r="M1" i="5" s="1"/>
  <c r="L1" i="5" s="1"/>
  <c r="K1" i="5" s="1"/>
  <c r="J1" i="5" s="1"/>
  <c r="I1" i="5" s="1"/>
  <c r="H1" i="5" s="1"/>
  <c r="T3" i="5"/>
  <c r="S3" i="5" s="1"/>
  <c r="R3" i="5" s="1"/>
  <c r="Q3" i="5" s="1"/>
  <c r="P3" i="5" s="1"/>
  <c r="O3" i="5" s="1"/>
  <c r="N3" i="5" s="1"/>
  <c r="M3" i="5" s="1"/>
  <c r="L3" i="5" s="1"/>
  <c r="K3" i="5" s="1"/>
  <c r="J3" i="5" s="1"/>
  <c r="I3" i="5" s="1"/>
  <c r="H3" i="5" s="1"/>
  <c r="R87" i="3"/>
  <c r="S87" i="3"/>
  <c r="S88" i="3" s="1"/>
  <c r="R75" i="3"/>
  <c r="S75" i="3"/>
  <c r="R70" i="3"/>
  <c r="R71" i="3" s="1"/>
  <c r="S70" i="3"/>
  <c r="S71" i="3" s="1"/>
  <c r="L37" i="3"/>
  <c r="M37" i="3"/>
  <c r="Q27" i="3"/>
  <c r="R27" i="3"/>
  <c r="R29" i="3" s="1"/>
  <c r="R32" i="3" s="1"/>
  <c r="Q12" i="3"/>
  <c r="R12" i="3"/>
  <c r="R17" i="3" s="1"/>
  <c r="R18" i="3" s="1"/>
  <c r="T86" i="3"/>
  <c r="U86" i="3"/>
  <c r="T75" i="3"/>
  <c r="T76" i="3" s="1"/>
  <c r="U75" i="3"/>
  <c r="O37" i="3"/>
  <c r="S39" i="3"/>
  <c r="V87" i="3"/>
  <c r="W87" i="3"/>
  <c r="W88" i="3" s="1"/>
  <c r="S29" i="3"/>
  <c r="S31" i="3" s="1"/>
  <c r="T29" i="3"/>
  <c r="T30" i="3" s="1"/>
  <c r="U29" i="3"/>
  <c r="U30" i="3" s="1"/>
  <c r="V29" i="3"/>
  <c r="V32" i="3" s="1"/>
  <c r="W29" i="3"/>
  <c r="W30" i="3" s="1"/>
  <c r="X29" i="3"/>
  <c r="X31" i="3" s="1"/>
  <c r="Y29" i="3"/>
  <c r="Y30" i="3" s="1"/>
  <c r="Z29" i="3"/>
  <c r="AA29" i="3"/>
  <c r="AB29" i="3"/>
  <c r="AC29" i="3"/>
  <c r="AD29" i="3"/>
  <c r="AE29" i="3"/>
  <c r="AE30" i="3" s="1"/>
  <c r="AF29" i="3"/>
  <c r="AF33" i="3" s="1"/>
  <c r="AG29" i="3"/>
  <c r="AG33" i="3" s="1"/>
  <c r="Q29" i="3"/>
  <c r="Q32" i="3" s="1"/>
  <c r="R94" i="3"/>
  <c r="S94" i="3"/>
  <c r="T94" i="3"/>
  <c r="U94" i="3"/>
  <c r="V94" i="3"/>
  <c r="W94" i="3"/>
  <c r="X94" i="3"/>
  <c r="Y94" i="3"/>
  <c r="Z94" i="3"/>
  <c r="AA94" i="3"/>
  <c r="AA95" i="3" s="1"/>
  <c r="AB94" i="3"/>
  <c r="AB95" i="3" s="1"/>
  <c r="AC94" i="3"/>
  <c r="AD94" i="3"/>
  <c r="AE94" i="3"/>
  <c r="AE95" i="3" s="1"/>
  <c r="AF94" i="3"/>
  <c r="AF95" i="3" s="1"/>
  <c r="AG94" i="3"/>
  <c r="AG95" i="3" s="1"/>
  <c r="AH94" i="3"/>
  <c r="AI94" i="3"/>
  <c r="AI95" i="3" s="1"/>
  <c r="AC95" i="3"/>
  <c r="AD95" i="3"/>
  <c r="AH95" i="3"/>
  <c r="Q94" i="3"/>
  <c r="Q95" i="3" s="1"/>
  <c r="R88" i="3"/>
  <c r="T88" i="3"/>
  <c r="U88" i="3"/>
  <c r="V88" i="3"/>
  <c r="X88" i="3"/>
  <c r="Y88" i="3"/>
  <c r="Z88" i="3"/>
  <c r="AA88" i="3"/>
  <c r="AB88" i="3"/>
  <c r="AC88" i="3"/>
  <c r="AD88" i="3"/>
  <c r="AE88" i="3"/>
  <c r="AE89" i="3" s="1"/>
  <c r="AF88" i="3"/>
  <c r="AF89" i="3" s="1"/>
  <c r="AG88" i="3"/>
  <c r="AG89" i="3" s="1"/>
  <c r="AH88" i="3"/>
  <c r="AH89" i="3" s="1"/>
  <c r="AI88" i="3"/>
  <c r="AA89" i="3"/>
  <c r="AB89" i="3"/>
  <c r="AC89" i="3"/>
  <c r="AD89" i="3"/>
  <c r="AI89" i="3"/>
  <c r="Q88" i="3"/>
  <c r="Q89" i="3" s="1"/>
  <c r="R84" i="3"/>
  <c r="S84" i="3"/>
  <c r="T84" i="3"/>
  <c r="U84" i="3"/>
  <c r="V84" i="3"/>
  <c r="W84" i="3"/>
  <c r="X84" i="3"/>
  <c r="Y84" i="3"/>
  <c r="Z84" i="3"/>
  <c r="AA84" i="3"/>
  <c r="AB84" i="3"/>
  <c r="AC84" i="3"/>
  <c r="AD84" i="3"/>
  <c r="AE84" i="3"/>
  <c r="AF84" i="3"/>
  <c r="AG84" i="3"/>
  <c r="AH84" i="3"/>
  <c r="AI84" i="3"/>
  <c r="Q84" i="3"/>
  <c r="R76" i="3"/>
  <c r="S76" i="3"/>
  <c r="U76" i="3"/>
  <c r="V76" i="3"/>
  <c r="W76" i="3"/>
  <c r="X76" i="3"/>
  <c r="Y76" i="3"/>
  <c r="Z76" i="3"/>
  <c r="AA76" i="3"/>
  <c r="AB76" i="3"/>
  <c r="AC76" i="3"/>
  <c r="AD76" i="3"/>
  <c r="AE76" i="3"/>
  <c r="AE77" i="3" s="1"/>
  <c r="AF76" i="3"/>
  <c r="AF77" i="3" s="1"/>
  <c r="AG76" i="3"/>
  <c r="AG77" i="3" s="1"/>
  <c r="AH76" i="3"/>
  <c r="AI76" i="3"/>
  <c r="AB77" i="3"/>
  <c r="AC77" i="3"/>
  <c r="AD77" i="3"/>
  <c r="AH77" i="3"/>
  <c r="AI77" i="3"/>
  <c r="Q76" i="3"/>
  <c r="Q77" i="3" s="1"/>
  <c r="T71" i="3"/>
  <c r="U71" i="3"/>
  <c r="V71" i="3"/>
  <c r="W71" i="3"/>
  <c r="W77" i="3" s="1"/>
  <c r="X71" i="3"/>
  <c r="Y71" i="3"/>
  <c r="Z71" i="3"/>
  <c r="AA71" i="3"/>
  <c r="AB71" i="3"/>
  <c r="AC71" i="3"/>
  <c r="AD71" i="3"/>
  <c r="AE71" i="3"/>
  <c r="AF71" i="3"/>
  <c r="AG71" i="3"/>
  <c r="AH71" i="3"/>
  <c r="AI71" i="3"/>
  <c r="Q71" i="3"/>
  <c r="R101" i="3"/>
  <c r="S101" i="3"/>
  <c r="T101" i="3"/>
  <c r="U101" i="3"/>
  <c r="V101" i="3"/>
  <c r="W101" i="3"/>
  <c r="X101" i="3"/>
  <c r="Y101" i="3"/>
  <c r="Z101" i="3"/>
  <c r="AA101" i="3"/>
  <c r="AB101" i="3"/>
  <c r="AC101" i="3"/>
  <c r="AD101" i="3"/>
  <c r="AE101" i="3"/>
  <c r="AF101" i="3"/>
  <c r="AG101" i="3"/>
  <c r="AH101" i="3"/>
  <c r="AI101" i="3"/>
  <c r="Q101" i="3"/>
  <c r="R39" i="3"/>
  <c r="T39" i="3"/>
  <c r="U39" i="3"/>
  <c r="V39" i="3"/>
  <c r="W39" i="3"/>
  <c r="X39" i="3"/>
  <c r="Y39" i="3"/>
  <c r="Z39" i="3"/>
  <c r="AA39" i="3"/>
  <c r="AB39" i="3"/>
  <c r="AC39" i="3"/>
  <c r="AD39" i="3"/>
  <c r="AE39" i="3"/>
  <c r="AF39" i="3"/>
  <c r="AG39" i="3"/>
  <c r="AH39" i="3"/>
  <c r="AI39" i="3"/>
  <c r="Q39" i="3"/>
  <c r="R49" i="3"/>
  <c r="S49" i="3"/>
  <c r="T49" i="3"/>
  <c r="U49" i="3"/>
  <c r="V49" i="3"/>
  <c r="W49" i="3"/>
  <c r="X49" i="3"/>
  <c r="Y49" i="3"/>
  <c r="Z49" i="3"/>
  <c r="AA49" i="3"/>
  <c r="AB49" i="3"/>
  <c r="AC49" i="3"/>
  <c r="AD49" i="3"/>
  <c r="AE49" i="3"/>
  <c r="AF49" i="3"/>
  <c r="AG49" i="3"/>
  <c r="AH49" i="3"/>
  <c r="AI49" i="3"/>
  <c r="Q49" i="3"/>
  <c r="R43" i="3"/>
  <c r="S43" i="3"/>
  <c r="T43" i="3"/>
  <c r="U43" i="3"/>
  <c r="V43" i="3"/>
  <c r="W43" i="3"/>
  <c r="X43" i="3"/>
  <c r="Y43" i="3"/>
  <c r="Z43" i="3"/>
  <c r="AA43" i="3"/>
  <c r="AA44" i="3" s="1"/>
  <c r="AA45" i="3" s="1"/>
  <c r="AB43" i="3"/>
  <c r="AC43" i="3"/>
  <c r="AD43" i="3"/>
  <c r="AE43" i="3"/>
  <c r="AF43" i="3"/>
  <c r="AG43" i="3"/>
  <c r="AH43" i="3"/>
  <c r="AI43" i="3"/>
  <c r="Q43" i="3"/>
  <c r="Y31" i="3"/>
  <c r="Y33" i="3"/>
  <c r="AA30" i="3"/>
  <c r="AB30" i="3"/>
  <c r="AC30" i="3"/>
  <c r="AD30" i="3"/>
  <c r="AH29" i="3"/>
  <c r="AH31" i="3" s="1"/>
  <c r="AI29" i="3"/>
  <c r="AI31" i="3" s="1"/>
  <c r="Z31" i="3"/>
  <c r="S17" i="3"/>
  <c r="S19" i="3" s="1"/>
  <c r="T17" i="3"/>
  <c r="T18" i="3" s="1"/>
  <c r="U17" i="3"/>
  <c r="U21" i="3" s="1"/>
  <c r="V17" i="3"/>
  <c r="V19" i="3" s="1"/>
  <c r="W17" i="3"/>
  <c r="W18" i="3" s="1"/>
  <c r="X17" i="3"/>
  <c r="X18" i="3" s="1"/>
  <c r="Y17" i="3"/>
  <c r="Y19" i="3" s="1"/>
  <c r="Z17" i="3"/>
  <c r="Z18" i="3" s="1"/>
  <c r="AA17" i="3"/>
  <c r="AA22" i="3" s="1"/>
  <c r="AB17" i="3"/>
  <c r="AB21" i="3" s="1"/>
  <c r="AC17" i="3"/>
  <c r="AC20" i="3" s="1"/>
  <c r="AD17" i="3"/>
  <c r="AD21" i="3" s="1"/>
  <c r="AE17" i="3"/>
  <c r="AE22" i="3" s="1"/>
  <c r="AF17" i="3"/>
  <c r="AF22" i="3" s="1"/>
  <c r="AG17" i="3"/>
  <c r="AG22" i="3" s="1"/>
  <c r="AH17" i="3"/>
  <c r="AH22" i="3" s="1"/>
  <c r="AI17" i="3"/>
  <c r="AI22" i="3" s="1"/>
  <c r="Q17" i="3"/>
  <c r="Q18" i="3" s="1"/>
  <c r="R75" i="5" l="1"/>
  <c r="I75" i="5"/>
  <c r="N75" i="5"/>
  <c r="T75" i="5"/>
  <c r="P75" i="5"/>
  <c r="G75" i="5"/>
  <c r="S75" i="5"/>
  <c r="M75" i="5"/>
  <c r="L75" i="5"/>
  <c r="H75" i="5"/>
  <c r="I86" i="5"/>
  <c r="E75" i="5"/>
  <c r="I85" i="5"/>
  <c r="Q75" i="5"/>
  <c r="O75" i="5"/>
  <c r="V58" i="5"/>
  <c r="V57" i="5"/>
  <c r="V56" i="5"/>
  <c r="W54" i="5"/>
  <c r="J75" i="5"/>
  <c r="U85" i="5"/>
  <c r="H86" i="5"/>
  <c r="H85" i="5"/>
  <c r="U86" i="5"/>
  <c r="G86" i="5"/>
  <c r="G85" i="5"/>
  <c r="U75" i="5"/>
  <c r="D85" i="5"/>
  <c r="F86" i="5"/>
  <c r="F85" i="5"/>
  <c r="D86" i="5"/>
  <c r="E86" i="5"/>
  <c r="E85" i="5"/>
  <c r="T86" i="5"/>
  <c r="T85" i="5"/>
  <c r="S86" i="5"/>
  <c r="S85" i="5"/>
  <c r="K75" i="5"/>
  <c r="R86" i="5"/>
  <c r="R85" i="5"/>
  <c r="Q86" i="5"/>
  <c r="Q85" i="5"/>
  <c r="P86" i="5"/>
  <c r="P85" i="5"/>
  <c r="O86" i="5"/>
  <c r="O85" i="5"/>
  <c r="N86" i="5"/>
  <c r="N85" i="5"/>
  <c r="M86" i="5"/>
  <c r="M85" i="5"/>
  <c r="L86" i="5"/>
  <c r="L85" i="5"/>
  <c r="K86" i="5"/>
  <c r="J86" i="5"/>
  <c r="O92" i="5"/>
  <c r="I18" i="5"/>
  <c r="I20" i="5" s="1"/>
  <c r="Q92" i="5"/>
  <c r="T100" i="5"/>
  <c r="T101" i="5" s="1"/>
  <c r="Q56" i="5"/>
  <c r="H18" i="5"/>
  <c r="H20" i="5" s="1"/>
  <c r="N92" i="5"/>
  <c r="J18" i="5"/>
  <c r="J20" i="5" s="1"/>
  <c r="G18" i="5"/>
  <c r="G20" i="5" s="1"/>
  <c r="M92" i="5"/>
  <c r="R100" i="5"/>
  <c r="R101" i="5" s="1"/>
  <c r="M100" i="5"/>
  <c r="M101" i="5" s="1"/>
  <c r="D56" i="5"/>
  <c r="E56" i="5"/>
  <c r="U100" i="5"/>
  <c r="U101" i="5" s="1"/>
  <c r="F100" i="5"/>
  <c r="F101" i="5" s="1"/>
  <c r="E100" i="5"/>
  <c r="E101" i="5" s="1"/>
  <c r="F52" i="5"/>
  <c r="S100" i="5"/>
  <c r="S101" i="5" s="1"/>
  <c r="H60" i="5"/>
  <c r="O100" i="5"/>
  <c r="O101" i="5" s="1"/>
  <c r="K100" i="5"/>
  <c r="K101" i="5" s="1"/>
  <c r="G100" i="5"/>
  <c r="G101" i="5" s="1"/>
  <c r="Q100" i="5"/>
  <c r="Q101" i="5" s="1"/>
  <c r="L101" i="5"/>
  <c r="P100" i="5"/>
  <c r="P101" i="5" s="1"/>
  <c r="T92" i="5"/>
  <c r="N101" i="5"/>
  <c r="J101" i="5"/>
  <c r="I100" i="5"/>
  <c r="I101" i="5" s="1"/>
  <c r="H100" i="5"/>
  <c r="H101" i="5" s="1"/>
  <c r="P92" i="5"/>
  <c r="G46" i="5"/>
  <c r="P56" i="5"/>
  <c r="L56" i="5"/>
  <c r="J56" i="5"/>
  <c r="M56" i="5"/>
  <c r="K56" i="5"/>
  <c r="H46" i="5"/>
  <c r="J52" i="5"/>
  <c r="I56" i="5"/>
  <c r="R92" i="5"/>
  <c r="G56" i="5"/>
  <c r="E52" i="5"/>
  <c r="K23" i="5"/>
  <c r="K21" i="5"/>
  <c r="J46" i="5"/>
  <c r="J51" i="5"/>
  <c r="U56" i="5"/>
  <c r="O56" i="5"/>
  <c r="F56" i="5"/>
  <c r="T52" i="5"/>
  <c r="E51" i="5"/>
  <c r="G52" i="5"/>
  <c r="M46" i="5"/>
  <c r="K46" i="5"/>
  <c r="F46" i="5"/>
  <c r="I46" i="5"/>
  <c r="N56" i="5"/>
  <c r="H45" i="5"/>
  <c r="F51" i="5"/>
  <c r="E46" i="5"/>
  <c r="U46" i="5"/>
  <c r="U52" i="5"/>
  <c r="D46" i="5"/>
  <c r="T56" i="5"/>
  <c r="D52" i="5"/>
  <c r="T46" i="5"/>
  <c r="S56" i="5"/>
  <c r="Q46" i="5"/>
  <c r="K45" i="5"/>
  <c r="Q52" i="5"/>
  <c r="P46" i="5"/>
  <c r="U92" i="5"/>
  <c r="P52" i="5"/>
  <c r="O46" i="5"/>
  <c r="O52" i="5"/>
  <c r="N46" i="5"/>
  <c r="N52" i="5"/>
  <c r="G45" i="5"/>
  <c r="M52" i="5"/>
  <c r="L46" i="5"/>
  <c r="L52" i="5"/>
  <c r="K52" i="5"/>
  <c r="I52" i="5"/>
  <c r="H52" i="5"/>
  <c r="S92" i="5"/>
  <c r="R52" i="5"/>
  <c r="S52" i="5"/>
  <c r="R56" i="5"/>
  <c r="S46" i="5"/>
  <c r="R46" i="5"/>
  <c r="P23" i="5"/>
  <c r="L20" i="5"/>
  <c r="F21" i="5"/>
  <c r="N21" i="5"/>
  <c r="K20" i="5"/>
  <c r="K36" i="5"/>
  <c r="K35" i="5"/>
  <c r="F24" i="5"/>
  <c r="F20" i="5"/>
  <c r="F25" i="5" s="1"/>
  <c r="F23" i="5"/>
  <c r="K22" i="5"/>
  <c r="P21" i="5"/>
  <c r="K38" i="5"/>
  <c r="L21" i="5"/>
  <c r="L24" i="5"/>
  <c r="K37" i="5"/>
  <c r="L23" i="5"/>
  <c r="U22" i="5"/>
  <c r="U23" i="5"/>
  <c r="U21" i="5"/>
  <c r="U24" i="5"/>
  <c r="N23" i="5"/>
  <c r="P20" i="5"/>
  <c r="N37" i="5"/>
  <c r="N20" i="5"/>
  <c r="P22" i="5"/>
  <c r="N22" i="5"/>
  <c r="S22" i="5"/>
  <c r="S20" i="5"/>
  <c r="S24" i="5"/>
  <c r="S23" i="5"/>
  <c r="T24" i="5"/>
  <c r="T22" i="5"/>
  <c r="T20" i="5"/>
  <c r="T23" i="5"/>
  <c r="R24" i="5"/>
  <c r="R23" i="5"/>
  <c r="R22" i="5"/>
  <c r="R21" i="5"/>
  <c r="Q24" i="5"/>
  <c r="Q23" i="5"/>
  <c r="Q22" i="5"/>
  <c r="Q21" i="5"/>
  <c r="O24" i="5"/>
  <c r="O23" i="5"/>
  <c r="O22" i="5"/>
  <c r="O21" i="5"/>
  <c r="M24" i="5"/>
  <c r="M23" i="5"/>
  <c r="M22" i="5"/>
  <c r="M21" i="5"/>
  <c r="E24" i="5"/>
  <c r="E23" i="5"/>
  <c r="E22" i="5"/>
  <c r="E21" i="5"/>
  <c r="D20" i="5"/>
  <c r="D25" i="5" s="1"/>
  <c r="D21" i="5"/>
  <c r="D22" i="5"/>
  <c r="D23" i="5"/>
  <c r="O37" i="5"/>
  <c r="N38" i="5"/>
  <c r="J37" i="5"/>
  <c r="G37" i="5"/>
  <c r="N36" i="5"/>
  <c r="J36" i="5"/>
  <c r="N35" i="5"/>
  <c r="O34" i="5"/>
  <c r="I37" i="5"/>
  <c r="F37" i="5"/>
  <c r="L36" i="5"/>
  <c r="L38" i="5"/>
  <c r="I36" i="5"/>
  <c r="F36" i="5"/>
  <c r="F38" i="5"/>
  <c r="L35" i="5"/>
  <c r="P37" i="5"/>
  <c r="I38" i="5"/>
  <c r="I35" i="5"/>
  <c r="F34" i="5"/>
  <c r="F39" i="5" s="1"/>
  <c r="J38" i="5"/>
  <c r="E37" i="5"/>
  <c r="J35" i="5"/>
  <c r="G38" i="5"/>
  <c r="G35" i="5"/>
  <c r="O36" i="5"/>
  <c r="D37" i="5"/>
  <c r="M36" i="5"/>
  <c r="E38" i="5"/>
  <c r="E35" i="5"/>
  <c r="U37" i="5"/>
  <c r="U34" i="5"/>
  <c r="M34" i="5"/>
  <c r="G36" i="5"/>
  <c r="L34" i="5"/>
  <c r="M37" i="5"/>
  <c r="U38" i="5"/>
  <c r="E36" i="5"/>
  <c r="O38" i="5"/>
  <c r="M38" i="5"/>
  <c r="R34" i="5"/>
  <c r="U35" i="5"/>
  <c r="Q34" i="5"/>
  <c r="R35" i="5"/>
  <c r="Q35" i="5"/>
  <c r="P35" i="5"/>
  <c r="Q36" i="5"/>
  <c r="P36" i="5"/>
  <c r="S34" i="5"/>
  <c r="P34" i="5"/>
  <c r="H38" i="5"/>
  <c r="H37" i="5"/>
  <c r="H36" i="5"/>
  <c r="H35" i="5"/>
  <c r="T38" i="5"/>
  <c r="R38" i="5"/>
  <c r="S37" i="5"/>
  <c r="T36" i="5"/>
  <c r="S38" i="5"/>
  <c r="Q38" i="5"/>
  <c r="R37" i="5"/>
  <c r="S36" i="5"/>
  <c r="T35" i="5"/>
  <c r="T37" i="5"/>
  <c r="D35" i="5"/>
  <c r="D34" i="5"/>
  <c r="D39" i="5" s="1"/>
  <c r="D36" i="5"/>
  <c r="S89" i="3"/>
  <c r="R89" i="3"/>
  <c r="R95" i="3" s="1"/>
  <c r="S95" i="3"/>
  <c r="R77" i="3"/>
  <c r="S77" i="3"/>
  <c r="N37" i="3"/>
  <c r="T89" i="3"/>
  <c r="T95" i="3" s="1"/>
  <c r="U89" i="3"/>
  <c r="U95" i="3" s="1"/>
  <c r="T77" i="3"/>
  <c r="U77" i="3"/>
  <c r="S34" i="3"/>
  <c r="S30" i="3"/>
  <c r="S33" i="3"/>
  <c r="S32" i="3"/>
  <c r="T33" i="3"/>
  <c r="T31" i="3"/>
  <c r="V89" i="3"/>
  <c r="V95" i="3" s="1"/>
  <c r="W89" i="3"/>
  <c r="W95" i="3" s="1"/>
  <c r="V77" i="3"/>
  <c r="V31" i="3"/>
  <c r="V30" i="3"/>
  <c r="V34" i="3"/>
  <c r="V33" i="3"/>
  <c r="X89" i="3"/>
  <c r="Y89" i="3"/>
  <c r="X95" i="3"/>
  <c r="Y95" i="3"/>
  <c r="Y77" i="3"/>
  <c r="X77" i="3"/>
  <c r="X30" i="3"/>
  <c r="X34" i="3"/>
  <c r="X32" i="3"/>
  <c r="X33" i="3"/>
  <c r="Z89" i="3"/>
  <c r="Z95" i="3" s="1"/>
  <c r="Z77" i="3"/>
  <c r="R30" i="3"/>
  <c r="W33" i="3"/>
  <c r="W31" i="3"/>
  <c r="U33" i="3"/>
  <c r="U31" i="3"/>
  <c r="R34" i="3"/>
  <c r="R33" i="3"/>
  <c r="R31" i="3"/>
  <c r="Y34" i="3"/>
  <c r="Y32" i="3"/>
  <c r="W34" i="3"/>
  <c r="W32" i="3"/>
  <c r="U34" i="3"/>
  <c r="U32" i="3"/>
  <c r="T34" i="3"/>
  <c r="T32" i="3"/>
  <c r="Q31" i="3"/>
  <c r="Q33" i="3"/>
  <c r="Q30" i="3"/>
  <c r="Q34" i="3"/>
  <c r="AA77" i="3"/>
  <c r="X44" i="3"/>
  <c r="X45" i="3" s="1"/>
  <c r="AB44" i="3"/>
  <c r="AB50" i="3" s="1"/>
  <c r="AB54" i="3" s="1"/>
  <c r="AB56" i="3" s="1"/>
  <c r="AB58" i="3" s="1"/>
  <c r="R44" i="3"/>
  <c r="R45" i="3" s="1"/>
  <c r="Z44" i="3"/>
  <c r="Z45" i="3" s="1"/>
  <c r="V44" i="3"/>
  <c r="V45" i="3" s="1"/>
  <c r="U44" i="3"/>
  <c r="U45" i="3" s="1"/>
  <c r="T44" i="3"/>
  <c r="T45" i="3" s="1"/>
  <c r="AC44" i="3"/>
  <c r="AC50" i="3" s="1"/>
  <c r="AC51" i="3" s="1"/>
  <c r="AE44" i="3"/>
  <c r="AE45" i="3" s="1"/>
  <c r="AI44" i="3"/>
  <c r="S44" i="3"/>
  <c r="S45" i="3" s="1"/>
  <c r="AH44" i="3"/>
  <c r="AH45" i="3" s="1"/>
  <c r="AC54" i="3"/>
  <c r="AC56" i="3" s="1"/>
  <c r="W44" i="3"/>
  <c r="W45" i="3" s="1"/>
  <c r="AG44" i="3"/>
  <c r="AG45" i="3" s="1"/>
  <c r="AF44" i="3"/>
  <c r="AF45" i="3" s="1"/>
  <c r="AD44" i="3"/>
  <c r="AA50" i="3"/>
  <c r="Y44" i="3"/>
  <c r="Q44" i="3"/>
  <c r="Q45" i="3" s="1"/>
  <c r="Z32" i="3"/>
  <c r="Z33" i="3"/>
  <c r="Z34" i="3"/>
  <c r="AG34" i="3"/>
  <c r="AC34" i="3"/>
  <c r="AD33" i="3"/>
  <c r="AC33" i="3"/>
  <c r="AB33" i="3"/>
  <c r="AG31" i="3"/>
  <c r="AF31" i="3"/>
  <c r="AG30" i="3"/>
  <c r="AE31" i="3"/>
  <c r="AI34" i="3"/>
  <c r="AD31" i="3"/>
  <c r="AE33" i="3"/>
  <c r="AH34" i="3"/>
  <c r="AA33" i="3"/>
  <c r="AC31" i="3"/>
  <c r="AI32" i="3"/>
  <c r="AB31" i="3"/>
  <c r="AF34" i="3"/>
  <c r="AH32" i="3"/>
  <c r="AA31" i="3"/>
  <c r="AE34" i="3"/>
  <c r="AG32" i="3"/>
  <c r="AI30" i="3"/>
  <c r="AD34" i="3"/>
  <c r="AF32" i="3"/>
  <c r="AH30" i="3"/>
  <c r="AE32" i="3"/>
  <c r="AB34" i="3"/>
  <c r="AD32" i="3"/>
  <c r="AF30" i="3"/>
  <c r="AA34" i="3"/>
  <c r="AC32" i="3"/>
  <c r="AI33" i="3"/>
  <c r="AB32" i="3"/>
  <c r="AH33" i="3"/>
  <c r="AA32" i="3"/>
  <c r="Z30" i="3"/>
  <c r="X22" i="3"/>
  <c r="Y22" i="3"/>
  <c r="AD22" i="3"/>
  <c r="AC22" i="3"/>
  <c r="Y21" i="3"/>
  <c r="X21" i="3"/>
  <c r="Y20" i="3"/>
  <c r="X20" i="3"/>
  <c r="AC21" i="3"/>
  <c r="X19" i="3"/>
  <c r="V18" i="3"/>
  <c r="U20" i="3"/>
  <c r="T19" i="3"/>
  <c r="S18" i="3"/>
  <c r="S20" i="3"/>
  <c r="R19" i="3"/>
  <c r="V20" i="3"/>
  <c r="W22" i="3"/>
  <c r="T21" i="3"/>
  <c r="Q19" i="3"/>
  <c r="T22" i="3"/>
  <c r="S21" i="3"/>
  <c r="R20" i="3"/>
  <c r="AI18" i="3"/>
  <c r="U19" i="3"/>
  <c r="V22" i="3"/>
  <c r="Q20" i="3"/>
  <c r="S22" i="3"/>
  <c r="R21" i="3"/>
  <c r="AI19" i="3"/>
  <c r="AH18" i="3"/>
  <c r="W21" i="3"/>
  <c r="T20" i="3"/>
  <c r="Q21" i="3"/>
  <c r="R22" i="3"/>
  <c r="AI20" i="3"/>
  <c r="AH19" i="3"/>
  <c r="AG18" i="3"/>
  <c r="U18" i="3"/>
  <c r="V21" i="3"/>
  <c r="U22" i="3"/>
  <c r="Q22" i="3"/>
  <c r="AI21" i="3"/>
  <c r="AH20" i="3"/>
  <c r="AG19" i="3"/>
  <c r="AF18" i="3"/>
  <c r="W20" i="3"/>
  <c r="AH21" i="3"/>
  <c r="AG20" i="3"/>
  <c r="AF19" i="3"/>
  <c r="AE18" i="3"/>
  <c r="W19" i="3"/>
  <c r="AG21" i="3"/>
  <c r="AF20" i="3"/>
  <c r="AE19" i="3"/>
  <c r="AD18" i="3"/>
  <c r="AF21" i="3"/>
  <c r="AE20" i="3"/>
  <c r="AD19" i="3"/>
  <c r="AC18" i="3"/>
  <c r="AE21" i="3"/>
  <c r="AD20" i="3"/>
  <c r="AC19" i="3"/>
  <c r="Y18" i="3"/>
  <c r="AB19" i="3"/>
  <c r="AB20" i="3"/>
  <c r="AB18" i="3"/>
  <c r="AA21" i="3"/>
  <c r="AA20" i="3"/>
  <c r="AA19" i="3"/>
  <c r="Z22" i="3"/>
  <c r="Z21" i="3"/>
  <c r="Z20" i="3"/>
  <c r="Z19" i="3"/>
  <c r="AA18" i="3"/>
  <c r="AB22" i="3"/>
  <c r="V59" i="5" l="1"/>
  <c r="V60" i="5" s="1"/>
  <c r="V62" i="5" s="1"/>
  <c r="X54" i="5"/>
  <c r="W56" i="5"/>
  <c r="W57" i="5"/>
  <c r="W58" i="5"/>
  <c r="G22" i="5"/>
  <c r="S60" i="5"/>
  <c r="S80" i="5"/>
  <c r="M60" i="5"/>
  <c r="M80" i="5"/>
  <c r="G23" i="5"/>
  <c r="J60" i="5"/>
  <c r="J80" i="5"/>
  <c r="Q60" i="5"/>
  <c r="Q80" i="5"/>
  <c r="F60" i="5"/>
  <c r="F80" i="5"/>
  <c r="L60" i="5"/>
  <c r="L80" i="5"/>
  <c r="H62" i="5"/>
  <c r="H81" i="5"/>
  <c r="J23" i="5"/>
  <c r="U60" i="5"/>
  <c r="U80" i="5"/>
  <c r="K60" i="5"/>
  <c r="K80" i="5"/>
  <c r="J21" i="5"/>
  <c r="G21" i="5"/>
  <c r="E60" i="5"/>
  <c r="E80" i="5"/>
  <c r="D60" i="5"/>
  <c r="D80" i="5"/>
  <c r="T60" i="5"/>
  <c r="T80" i="5"/>
  <c r="J24" i="5"/>
  <c r="N60" i="5"/>
  <c r="N80" i="5"/>
  <c r="G60" i="5"/>
  <c r="G80" i="5"/>
  <c r="O60" i="5"/>
  <c r="O80" i="5"/>
  <c r="R60" i="5"/>
  <c r="R80" i="5"/>
  <c r="P60" i="5"/>
  <c r="P80" i="5"/>
  <c r="J22" i="5"/>
  <c r="I60" i="5"/>
  <c r="I80" i="5"/>
  <c r="I21" i="5"/>
  <c r="I22" i="5"/>
  <c r="I23" i="5"/>
  <c r="I24" i="5"/>
  <c r="H22" i="5"/>
  <c r="H21" i="5"/>
  <c r="H23" i="5"/>
  <c r="H24" i="5"/>
  <c r="G24" i="5"/>
  <c r="J39" i="5"/>
  <c r="G39" i="5"/>
  <c r="H39" i="5"/>
  <c r="I39" i="5"/>
  <c r="K39" i="5"/>
  <c r="L39" i="5"/>
  <c r="K25" i="5"/>
  <c r="L25" i="5"/>
  <c r="M39" i="5"/>
  <c r="M25" i="5"/>
  <c r="N39" i="5"/>
  <c r="N25" i="5"/>
  <c r="O39" i="5"/>
  <c r="P39" i="5"/>
  <c r="O25" i="5"/>
  <c r="P25" i="5"/>
  <c r="Q39" i="5"/>
  <c r="R39" i="5"/>
  <c r="Q25" i="5"/>
  <c r="R25" i="5"/>
  <c r="U25" i="5"/>
  <c r="S25" i="5"/>
  <c r="T25" i="5"/>
  <c r="U39" i="5"/>
  <c r="T39" i="5"/>
  <c r="S39" i="5"/>
  <c r="Z50" i="3"/>
  <c r="Z54" i="3" s="1"/>
  <c r="Z56" i="3" s="1"/>
  <c r="V50" i="3"/>
  <c r="V54" i="3" s="1"/>
  <c r="V56" i="3" s="1"/>
  <c r="X50" i="3"/>
  <c r="X54" i="3" s="1"/>
  <c r="X56" i="3" s="1"/>
  <c r="R50" i="3"/>
  <c r="R51" i="3" s="1"/>
  <c r="AB45" i="3"/>
  <c r="AF50" i="3"/>
  <c r="AF51" i="3" s="1"/>
  <c r="AG50" i="3"/>
  <c r="AG51" i="3" s="1"/>
  <c r="AB59" i="3"/>
  <c r="AC45" i="3"/>
  <c r="U50" i="3"/>
  <c r="U51" i="3" s="1"/>
  <c r="T50" i="3"/>
  <c r="T54" i="3" s="1"/>
  <c r="T56" i="3" s="1"/>
  <c r="AB51" i="3"/>
  <c r="AH50" i="3"/>
  <c r="AH51" i="3" s="1"/>
  <c r="W50" i="3"/>
  <c r="W54" i="3" s="1"/>
  <c r="W56" i="3" s="1"/>
  <c r="AE50" i="3"/>
  <c r="AE54" i="3" s="1"/>
  <c r="AE56" i="3" s="1"/>
  <c r="AC58" i="3"/>
  <c r="AC59" i="3"/>
  <c r="AI45" i="3"/>
  <c r="AI50" i="3"/>
  <c r="AA51" i="3"/>
  <c r="AA54" i="3"/>
  <c r="AA56" i="3" s="1"/>
  <c r="S50" i="3"/>
  <c r="AD50" i="3"/>
  <c r="AD45" i="3"/>
  <c r="Y45" i="3"/>
  <c r="Y50" i="3"/>
  <c r="Q50" i="3"/>
  <c r="J25" i="5" l="1"/>
  <c r="W59" i="5"/>
  <c r="W60" i="5" s="1"/>
  <c r="W62" i="5" s="1"/>
  <c r="W63" i="5" s="1"/>
  <c r="W64" i="5" s="1"/>
  <c r="V63" i="5"/>
  <c r="V64" i="5" s="1"/>
  <c r="H64" i="5"/>
  <c r="H67" i="5" s="1"/>
  <c r="H83" i="5"/>
  <c r="Y54" i="5"/>
  <c r="X56" i="5"/>
  <c r="X57" i="5"/>
  <c r="X58" i="5"/>
  <c r="T62" i="5"/>
  <c r="T81" i="5"/>
  <c r="I62" i="5"/>
  <c r="I81" i="5"/>
  <c r="F62" i="5"/>
  <c r="F81" i="5"/>
  <c r="Q62" i="5"/>
  <c r="Q81" i="5"/>
  <c r="P62" i="5"/>
  <c r="P81" i="5"/>
  <c r="E62" i="5"/>
  <c r="E81" i="5"/>
  <c r="J62" i="5"/>
  <c r="J81" i="5"/>
  <c r="L62" i="5"/>
  <c r="L81" i="5"/>
  <c r="G25" i="5"/>
  <c r="R62" i="5"/>
  <c r="R81" i="5"/>
  <c r="D62" i="5"/>
  <c r="D81" i="5"/>
  <c r="K62" i="5"/>
  <c r="K81" i="5"/>
  <c r="M62" i="5"/>
  <c r="M81" i="5"/>
  <c r="N62" i="5"/>
  <c r="N81" i="5"/>
  <c r="O62" i="5"/>
  <c r="O81" i="5"/>
  <c r="H66" i="5"/>
  <c r="H82" i="5"/>
  <c r="U62" i="5"/>
  <c r="U81" i="5"/>
  <c r="S62" i="5"/>
  <c r="S81" i="5"/>
  <c r="G62" i="5"/>
  <c r="G81" i="5"/>
  <c r="I25" i="5"/>
  <c r="H25" i="5"/>
  <c r="X51" i="3"/>
  <c r="Z51" i="3"/>
  <c r="W51" i="3"/>
  <c r="T51" i="3"/>
  <c r="V51" i="3"/>
  <c r="AG54" i="3"/>
  <c r="AG56" i="3" s="1"/>
  <c r="AE51" i="3"/>
  <c r="R54" i="3"/>
  <c r="R56" i="3" s="1"/>
  <c r="R59" i="3" s="1"/>
  <c r="AF54" i="3"/>
  <c r="AF56" i="3" s="1"/>
  <c r="AF58" i="3" s="1"/>
  <c r="AH54" i="3"/>
  <c r="AH56" i="3" s="1"/>
  <c r="AH59" i="3" s="1"/>
  <c r="U54" i="3"/>
  <c r="U56" i="3" s="1"/>
  <c r="U59" i="3" s="1"/>
  <c r="AH58" i="3"/>
  <c r="S51" i="3"/>
  <c r="S54" i="3"/>
  <c r="S56" i="3" s="1"/>
  <c r="X59" i="3"/>
  <c r="X58" i="3"/>
  <c r="AD51" i="3"/>
  <c r="AD54" i="3"/>
  <c r="AD56" i="3" s="1"/>
  <c r="W58" i="3"/>
  <c r="W59" i="3"/>
  <c r="AI51" i="3"/>
  <c r="AI54" i="3"/>
  <c r="AI56" i="3" s="1"/>
  <c r="AA58" i="3"/>
  <c r="AA59" i="3"/>
  <c r="AE59" i="3"/>
  <c r="AE58" i="3"/>
  <c r="Q51" i="3"/>
  <c r="Q54" i="3"/>
  <c r="Q56" i="3" s="1"/>
  <c r="V58" i="3"/>
  <c r="V59" i="3"/>
  <c r="AG59" i="3"/>
  <c r="AG58" i="3"/>
  <c r="T58" i="3"/>
  <c r="T59" i="3"/>
  <c r="Z58" i="3"/>
  <c r="Z59" i="3"/>
  <c r="Y51" i="3"/>
  <c r="Y54" i="3"/>
  <c r="Y56" i="3" s="1"/>
  <c r="R64" i="5" l="1"/>
  <c r="R83" i="5"/>
  <c r="K64" i="5"/>
  <c r="K67" i="5" s="1"/>
  <c r="K83" i="5"/>
  <c r="F64" i="5"/>
  <c r="F83" i="5"/>
  <c r="X59" i="5"/>
  <c r="X60" i="5" s="1"/>
  <c r="X62" i="5" s="1"/>
  <c r="L64" i="5"/>
  <c r="L67" i="5" s="1"/>
  <c r="L83" i="5"/>
  <c r="Q64" i="5"/>
  <c r="Q82" i="5" s="1"/>
  <c r="Q83" i="5"/>
  <c r="J64" i="5"/>
  <c r="J66" i="5" s="1"/>
  <c r="J83" i="5"/>
  <c r="Z54" i="5"/>
  <c r="Y56" i="5"/>
  <c r="Y57" i="5"/>
  <c r="Y58" i="5"/>
  <c r="D64" i="5"/>
  <c r="D76" i="5" s="1"/>
  <c r="D83" i="5"/>
  <c r="U64" i="5"/>
  <c r="U82" i="5" s="1"/>
  <c r="U83" i="5"/>
  <c r="O64" i="5"/>
  <c r="O67" i="5" s="1"/>
  <c r="O83" i="5"/>
  <c r="G64" i="5"/>
  <c r="H76" i="5" s="1"/>
  <c r="G83" i="5"/>
  <c r="N64" i="5"/>
  <c r="N67" i="5" s="1"/>
  <c r="N83" i="5"/>
  <c r="I64" i="5"/>
  <c r="I82" i="5" s="1"/>
  <c r="I83" i="5"/>
  <c r="P64" i="5"/>
  <c r="P66" i="5" s="1"/>
  <c r="P83" i="5"/>
  <c r="S64" i="5"/>
  <c r="S66" i="5" s="1"/>
  <c r="S83" i="5"/>
  <c r="T64" i="5"/>
  <c r="T83" i="5"/>
  <c r="E64" i="5"/>
  <c r="E67" i="5" s="1"/>
  <c r="E83" i="5"/>
  <c r="M64" i="5"/>
  <c r="M67" i="5" s="1"/>
  <c r="M83" i="5"/>
  <c r="O66" i="5"/>
  <c r="F66" i="5"/>
  <c r="F82" i="5"/>
  <c r="E82" i="5"/>
  <c r="E66" i="5"/>
  <c r="M82" i="5"/>
  <c r="M66" i="5"/>
  <c r="D66" i="5"/>
  <c r="U67" i="5"/>
  <c r="AF59" i="3"/>
  <c r="U58" i="3"/>
  <c r="R58" i="3"/>
  <c r="AI58" i="3"/>
  <c r="AI59" i="3"/>
  <c r="Q59" i="3"/>
  <c r="Q58" i="3"/>
  <c r="S58" i="3"/>
  <c r="S59" i="3"/>
  <c r="AD58" i="3"/>
  <c r="AD59" i="3"/>
  <c r="Y58" i="3"/>
  <c r="Y59" i="3"/>
  <c r="D96" i="5"/>
  <c r="D100" i="5" s="1"/>
  <c r="D101" i="5" s="1"/>
  <c r="U76" i="5" l="1"/>
  <c r="U66" i="5"/>
  <c r="D67" i="5"/>
  <c r="T66" i="5"/>
  <c r="T82" i="5"/>
  <c r="L76" i="5"/>
  <c r="D82" i="5"/>
  <c r="T67" i="5"/>
  <c r="K66" i="5"/>
  <c r="K82" i="5"/>
  <c r="G66" i="5"/>
  <c r="Q67" i="5"/>
  <c r="Q66" i="5"/>
  <c r="G76" i="5"/>
  <c r="R76" i="5"/>
  <c r="O82" i="5"/>
  <c r="O76" i="5"/>
  <c r="K76" i="5"/>
  <c r="M76" i="5"/>
  <c r="N76" i="5"/>
  <c r="Y59" i="5"/>
  <c r="Y60" i="5" s="1"/>
  <c r="Y62" i="5" s="1"/>
  <c r="Y63" i="5" s="1"/>
  <c r="Y64" i="5" s="1"/>
  <c r="S76" i="5"/>
  <c r="E76" i="5"/>
  <c r="F76" i="5"/>
  <c r="N66" i="5"/>
  <c r="N82" i="5"/>
  <c r="G82" i="5"/>
  <c r="G67" i="5"/>
  <c r="L66" i="5"/>
  <c r="R82" i="5"/>
  <c r="Q76" i="5"/>
  <c r="P82" i="5"/>
  <c r="P76" i="5"/>
  <c r="P67" i="5"/>
  <c r="S82" i="5"/>
  <c r="AA54" i="5"/>
  <c r="Z56" i="5"/>
  <c r="Z57" i="5"/>
  <c r="Z58" i="5"/>
  <c r="Z59" i="5" s="1"/>
  <c r="R66" i="5"/>
  <c r="J67" i="5"/>
  <c r="X63" i="5"/>
  <c r="X64" i="5" s="1"/>
  <c r="R67" i="5"/>
  <c r="I66" i="5"/>
  <c r="I76" i="5"/>
  <c r="J76" i="5"/>
  <c r="L82" i="5"/>
  <c r="J82" i="5"/>
  <c r="I67" i="5"/>
  <c r="T76" i="5"/>
  <c r="S67" i="5"/>
  <c r="F67" i="5"/>
  <c r="Z60" i="5" l="1"/>
  <c r="Z62" i="5" s="1"/>
  <c r="Z63" i="5" s="1"/>
  <c r="Z64" i="5" s="1"/>
  <c r="AB54" i="5"/>
  <c r="AA58" i="5"/>
  <c r="AA56" i="5"/>
  <c r="AA57" i="5"/>
  <c r="AB58" i="5" l="1"/>
  <c r="AB56" i="5"/>
  <c r="AB57" i="5"/>
  <c r="AA59" i="5"/>
  <c r="AA60" i="5" s="1"/>
  <c r="AA62" i="5" s="1"/>
  <c r="AB59" i="5" l="1"/>
  <c r="AB60" i="5" s="1"/>
  <c r="AB62" i="5" s="1"/>
  <c r="AB63" i="5" s="1"/>
  <c r="AB64" i="5" s="1"/>
  <c r="AC64" i="5" s="1"/>
  <c r="AA63" i="5"/>
  <c r="AA64" i="5" s="1"/>
  <c r="AD64" i="5" l="1"/>
  <c r="AE64" i="5" s="1"/>
  <c r="AF64" i="5" s="1"/>
  <c r="AG64" i="5" s="1"/>
  <c r="AH64" i="5" s="1"/>
  <c r="AI64" i="5" s="1"/>
  <c r="AJ64" i="5" s="1"/>
  <c r="AK64" i="5" s="1"/>
  <c r="AL64" i="5" s="1"/>
  <c r="AM64" i="5" s="1"/>
  <c r="AN64" i="5" s="1"/>
  <c r="AO64" i="5" s="1"/>
  <c r="AP64" i="5" s="1"/>
  <c r="AQ64" i="5" s="1"/>
  <c r="AR64" i="5" s="1"/>
  <c r="AS64" i="5" s="1"/>
  <c r="AT64" i="5" s="1"/>
  <c r="AU64" i="5" s="1"/>
  <c r="AV64" i="5" s="1"/>
  <c r="AW64" i="5" s="1"/>
  <c r="AX64" i="5" s="1"/>
  <c r="AY64" i="5" s="1"/>
  <c r="AZ64" i="5" s="1"/>
  <c r="BA64" i="5" s="1"/>
  <c r="BB64" i="5" s="1"/>
  <c r="BC64" i="5" s="1"/>
  <c r="BD64" i="5" s="1"/>
  <c r="BE64" i="5" s="1"/>
  <c r="BF64" i="5" s="1"/>
  <c r="BG64" i="5" s="1"/>
  <c r="BH64" i="5" s="1"/>
  <c r="BI64" i="5" s="1"/>
  <c r="BJ64" i="5" s="1"/>
  <c r="BK64" i="5" s="1"/>
  <c r="BL64" i="5" s="1"/>
  <c r="BM64" i="5" s="1"/>
  <c r="BN64" i="5" s="1"/>
  <c r="BO64" i="5" s="1"/>
  <c r="BP64" i="5" s="1"/>
  <c r="BQ64" i="5" s="1"/>
  <c r="BR64" i="5" s="1"/>
  <c r="BS64" i="5" s="1"/>
  <c r="BT64" i="5" s="1"/>
  <c r="BU64" i="5" s="1"/>
  <c r="BV64" i="5" s="1"/>
  <c r="BW64" i="5" s="1"/>
  <c r="BX64" i="5" s="1"/>
  <c r="BY64" i="5" s="1"/>
  <c r="BZ64" i="5" s="1"/>
  <c r="CA64" i="5" s="1"/>
  <c r="CB64" i="5" s="1"/>
  <c r="CC64" i="5" s="1"/>
  <c r="CD64" i="5" s="1"/>
  <c r="CE64" i="5" s="1"/>
  <c r="CF64" i="5" s="1"/>
  <c r="CG64" i="5" s="1"/>
  <c r="CH64" i="5" s="1"/>
  <c r="CI64" i="5" s="1"/>
  <c r="CJ64" i="5" s="1"/>
  <c r="AD135" i="5" l="1"/>
  <c r="AD136" i="5"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2"/>
        </ext>
      </extLst>
    </bk>
  </futureMetadata>
  <cellMetadata count="1">
    <bk>
      <rc t="1" v="0"/>
    </bk>
  </cellMetadata>
  <valueMetadata count="1">
    <bk>
      <rc t="2" v="0"/>
    </bk>
  </valueMetadata>
</metadata>
</file>

<file path=xl/sharedStrings.xml><?xml version="1.0" encoding="utf-8"?>
<sst xmlns="http://schemas.openxmlformats.org/spreadsheetml/2006/main" count="236" uniqueCount="135">
  <si>
    <t>Ticker</t>
  </si>
  <si>
    <t>Price</t>
  </si>
  <si>
    <t>Shares</t>
  </si>
  <si>
    <t>MC</t>
  </si>
  <si>
    <t>Cash</t>
  </si>
  <si>
    <t>Debt</t>
  </si>
  <si>
    <t>EV</t>
  </si>
  <si>
    <t>Company Name</t>
  </si>
  <si>
    <t>Apple Inc.</t>
  </si>
  <si>
    <t>AAPL</t>
  </si>
  <si>
    <t>Country</t>
  </si>
  <si>
    <t>USA</t>
  </si>
  <si>
    <t>Sector</t>
  </si>
  <si>
    <t>Information Technology</t>
  </si>
  <si>
    <t>Industry</t>
  </si>
  <si>
    <t>Consumer Electronics</t>
  </si>
  <si>
    <t>Quarter</t>
  </si>
  <si>
    <t>Filing Date</t>
  </si>
  <si>
    <t>Period of Report</t>
  </si>
  <si>
    <t>Revenue Breakdown *in millions, USD</t>
  </si>
  <si>
    <t>North America</t>
  </si>
  <si>
    <t>Europe</t>
  </si>
  <si>
    <t>China</t>
  </si>
  <si>
    <t>Japan</t>
  </si>
  <si>
    <t>Rest of Asia-Pacific</t>
  </si>
  <si>
    <t>Total Net Sales</t>
  </si>
  <si>
    <t>Sales by category *in millions, USD</t>
  </si>
  <si>
    <t>iPhone</t>
  </si>
  <si>
    <t>Mac</t>
  </si>
  <si>
    <t>iPad</t>
  </si>
  <si>
    <t>Wearables, Home and Accessories</t>
  </si>
  <si>
    <t>Services</t>
  </si>
  <si>
    <t>Income Statement *in millions, USD</t>
  </si>
  <si>
    <t>Revenue</t>
  </si>
  <si>
    <t>Products</t>
  </si>
  <si>
    <t>Total Revenue</t>
  </si>
  <si>
    <t>COGs</t>
  </si>
  <si>
    <t>Total COGs</t>
  </si>
  <si>
    <t>Gross Profit</t>
  </si>
  <si>
    <t>Gross Margins</t>
  </si>
  <si>
    <t>Operating Expenses</t>
  </si>
  <si>
    <t>R&amp;D</t>
  </si>
  <si>
    <t>SG&amp;A</t>
  </si>
  <si>
    <t>Total Operating Expenses</t>
  </si>
  <si>
    <t>Operating Income</t>
  </si>
  <si>
    <t>Operating Margin</t>
  </si>
  <si>
    <t>Other income</t>
  </si>
  <si>
    <t>Income before taxes</t>
  </si>
  <si>
    <t>Taxes</t>
  </si>
  <si>
    <t>Net Income</t>
  </si>
  <si>
    <t>EPS -Basic</t>
  </si>
  <si>
    <t>EPS - Diluted</t>
  </si>
  <si>
    <t>Shares - Basic</t>
  </si>
  <si>
    <t>Shares - Diluted</t>
  </si>
  <si>
    <t>Other Income/ Expenses</t>
  </si>
  <si>
    <t>Balance Sheet *in millions, USD</t>
  </si>
  <si>
    <t>Current Assets</t>
  </si>
  <si>
    <t>Equity</t>
  </si>
  <si>
    <t>Non-current Liabilities</t>
  </si>
  <si>
    <t>Current Liabilities</t>
  </si>
  <si>
    <t>Non-current Assets</t>
  </si>
  <si>
    <t xml:space="preserve">Cash </t>
  </si>
  <si>
    <t>Marketable securities</t>
  </si>
  <si>
    <t>AR</t>
  </si>
  <si>
    <t>Vendor non-trade recievables</t>
  </si>
  <si>
    <t>Inventories</t>
  </si>
  <si>
    <t>Other current assets</t>
  </si>
  <si>
    <t>Total Current Assets</t>
  </si>
  <si>
    <t>PP&amp;E</t>
  </si>
  <si>
    <t>Other non-current assets</t>
  </si>
  <si>
    <t>Total Non-current Assets</t>
  </si>
  <si>
    <t>Total Assets</t>
  </si>
  <si>
    <t>AP</t>
  </si>
  <si>
    <t>Other current liabilities</t>
  </si>
  <si>
    <t>Deferred revenue</t>
  </si>
  <si>
    <t>Commercial paper</t>
  </si>
  <si>
    <t>Term debt</t>
  </si>
  <si>
    <t>Total Current Liabilities</t>
  </si>
  <si>
    <t>Other non-current liabilities</t>
  </si>
  <si>
    <t>Total Non-current Liabilities</t>
  </si>
  <si>
    <t>Total Liabilities</t>
  </si>
  <si>
    <t>Common stock</t>
  </si>
  <si>
    <t>Accumulated deficit</t>
  </si>
  <si>
    <t>Accumulated comprehensive loss</t>
  </si>
  <si>
    <t>Total Equity</t>
  </si>
  <si>
    <t>Total Equity &amp; Liabilities</t>
  </si>
  <si>
    <t>Current Ratio</t>
  </si>
  <si>
    <t>Cash Flow *in millions, USD</t>
  </si>
  <si>
    <t>CFFO</t>
  </si>
  <si>
    <t>CapEx</t>
  </si>
  <si>
    <t>FCF</t>
  </si>
  <si>
    <t>SBI</t>
  </si>
  <si>
    <t>SBC</t>
  </si>
  <si>
    <t>SBB</t>
  </si>
  <si>
    <t>Dividends</t>
  </si>
  <si>
    <t>3-month adjusted</t>
  </si>
  <si>
    <t>Fiscal Period</t>
  </si>
  <si>
    <t>Income Statement *in millions,USD</t>
  </si>
  <si>
    <t>Revenue by Region</t>
  </si>
  <si>
    <t>Americas</t>
  </si>
  <si>
    <t>Rest of Asia Pacific</t>
  </si>
  <si>
    <t>Mix</t>
  </si>
  <si>
    <t>Revenue by Category *in millions, USD</t>
  </si>
  <si>
    <t>Wearable Home and Accessories</t>
  </si>
  <si>
    <t xml:space="preserve">Total </t>
  </si>
  <si>
    <t>Margin</t>
  </si>
  <si>
    <t>Gross Growth</t>
  </si>
  <si>
    <t xml:space="preserve">Revenue </t>
  </si>
  <si>
    <t>Other income  (expense)</t>
  </si>
  <si>
    <t>Income before tax</t>
  </si>
  <si>
    <t>EPS - Basic</t>
  </si>
  <si>
    <t>Balance Sheet *in millions,USD</t>
  </si>
  <si>
    <t>Short Term Debt</t>
  </si>
  <si>
    <t>Long Term Debt</t>
  </si>
  <si>
    <t>Net Cash</t>
  </si>
  <si>
    <t>Cash Flow *in millions,USD</t>
  </si>
  <si>
    <t xml:space="preserve">CFFO </t>
  </si>
  <si>
    <t>Dividends/Share</t>
  </si>
  <si>
    <t>Total Non-Current Assets</t>
  </si>
  <si>
    <t>Total  Non-Current Liabilities</t>
  </si>
  <si>
    <t>-</t>
  </si>
  <si>
    <t>Unit Sales *in thousands</t>
  </si>
  <si>
    <t>Growth</t>
  </si>
  <si>
    <t>OpEx</t>
  </si>
  <si>
    <t>Gross Margin</t>
  </si>
  <si>
    <t>Profit Margin</t>
  </si>
  <si>
    <t>Earnings</t>
  </si>
  <si>
    <t>Tax Rate</t>
  </si>
  <si>
    <t>Maturity</t>
  </si>
  <si>
    <t>Discount</t>
  </si>
  <si>
    <t>NPV</t>
  </si>
  <si>
    <t>Forecast</t>
  </si>
  <si>
    <t>Current Price</t>
  </si>
  <si>
    <t>FCF Forecast</t>
  </si>
  <si>
    <t>Earnings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</si>
</sst>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_([$$-409]* #,##0.00_);_([$$-409]* \(#,##0.00\);_([$$-409]* &quot;-&quot;??_);_(@_)"/>
  </numFmts>
  <fonts count="6" x14ac:knownFonts="1">
    <font>
      <sz val="11"/>
      <color theme="1"/>
      <name val="Calibri"/>
      <family val="2"/>
      <scheme val="minor"/>
    </font>
    <font>
      <b/>
      <sz val="11"/>
      <name val="Calibri"/>
      <family val="2"/>
    </font>
    <font>
      <b/>
      <sz val="11"/>
      <color theme="0"/>
      <name val="Calibri"/>
      <family val="2"/>
      <scheme val="minor"/>
    </font>
    <font>
      <b/>
      <sz val="11"/>
      <color theme="1"/>
      <name val="Calibri"/>
      <family val="2"/>
      <scheme val="minor"/>
    </font>
    <font>
      <i/>
      <u/>
      <sz val="11"/>
      <color theme="1"/>
      <name val="Calibri"/>
      <family val="2"/>
      <scheme val="minor"/>
    </font>
    <font>
      <b/>
      <i/>
      <u/>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2" fillId="2" borderId="0" xfId="0" applyFont="1" applyFill="1"/>
    <xf numFmtId="0" fontId="1" fillId="0" borderId="1" xfId="0" applyFont="1" applyBorder="1" applyAlignment="1">
      <alignment horizontal="center" vertical="top"/>
    </xf>
    <xf numFmtId="14" fontId="0" fillId="0" borderId="0" xfId="0" applyNumberFormat="1"/>
    <xf numFmtId="3" fontId="0" fillId="0" borderId="0" xfId="0" applyNumberFormat="1"/>
    <xf numFmtId="3" fontId="0" fillId="0" borderId="2" xfId="0" applyNumberFormat="1" applyBorder="1"/>
    <xf numFmtId="3" fontId="4" fillId="3" borderId="0" xfId="0" applyNumberFormat="1" applyFont="1" applyFill="1"/>
    <xf numFmtId="3" fontId="2" fillId="2" borderId="0" xfId="0" applyNumberFormat="1" applyFont="1" applyFill="1"/>
    <xf numFmtId="9" fontId="0" fillId="0" borderId="0" xfId="0" applyNumberFormat="1"/>
    <xf numFmtId="9" fontId="0" fillId="0" borderId="2" xfId="0" applyNumberFormat="1" applyBorder="1"/>
    <xf numFmtId="3" fontId="0" fillId="0" borderId="3" xfId="0" applyNumberFormat="1" applyBorder="1"/>
    <xf numFmtId="4" fontId="0" fillId="0" borderId="0" xfId="0" applyNumberFormat="1"/>
    <xf numFmtId="3" fontId="3" fillId="0" borderId="0" xfId="0" applyNumberFormat="1" applyFont="1"/>
    <xf numFmtId="0" fontId="0" fillId="3" borderId="0" xfId="0" applyFill="1"/>
    <xf numFmtId="0" fontId="4" fillId="3" borderId="0" xfId="0" applyFont="1" applyFill="1"/>
    <xf numFmtId="0" fontId="3" fillId="0" borderId="0" xfId="0" applyFont="1"/>
    <xf numFmtId="0" fontId="5" fillId="0" borderId="0" xfId="0" applyFont="1"/>
    <xf numFmtId="9" fontId="4" fillId="3" borderId="0" xfId="0" applyNumberFormat="1" applyFont="1" applyFill="1"/>
    <xf numFmtId="164" fontId="0" fillId="0" borderId="0" xfId="0" applyNumberFormat="1"/>
    <xf numFmtId="3" fontId="3" fillId="0" borderId="3" xfId="0" applyNumberFormat="1" applyFont="1" applyBorder="1"/>
    <xf numFmtId="10" fontId="0" fillId="0" borderId="0" xfId="0" applyNumberFormat="1"/>
    <xf numFmtId="165" fontId="0" fillId="0" borderId="0" xfId="0" applyNumberFormat="1"/>
    <xf numFmtId="164" fontId="4" fillId="3" borderId="0" xfId="0" applyNumberFormat="1" applyFont="1" applyFill="1"/>
    <xf numFmtId="8"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ichStyles" Target="richData/richStyles.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dSupportingPropertyBag" Target="richData/rdsupportingpropertybag.xml"/></Relationships>
</file>

<file path=xl/drawings/drawing1.xml><?xml version="1.0" encoding="utf-8"?>
<xdr:wsDr xmlns:xdr="http://schemas.openxmlformats.org/drawingml/2006/spreadsheetDrawing" xmlns:a="http://schemas.openxmlformats.org/drawingml/2006/main">
  <xdr:twoCellAnchor>
    <xdr:from>
      <xdr:col>20</xdr:col>
      <xdr:colOff>730250</xdr:colOff>
      <xdr:row>0</xdr:row>
      <xdr:rowOff>15875</xdr:rowOff>
    </xdr:from>
    <xdr:to>
      <xdr:col>21</xdr:col>
      <xdr:colOff>0</xdr:colOff>
      <xdr:row>175</xdr:row>
      <xdr:rowOff>174625</xdr:rowOff>
    </xdr:to>
    <xdr:cxnSp macro="">
      <xdr:nvCxnSpPr>
        <xdr:cNvPr id="3" name="Straight Connector 2">
          <a:extLst>
            <a:ext uri="{FF2B5EF4-FFF2-40B4-BE49-F238E27FC236}">
              <a16:creationId xmlns:a16="http://schemas.microsoft.com/office/drawing/2014/main" id="{7EAAD692-EB29-FDC4-EC2A-E43FBC1DE285}"/>
            </a:ext>
          </a:extLst>
        </xdr:cNvPr>
        <xdr:cNvCxnSpPr/>
      </xdr:nvCxnSpPr>
      <xdr:spPr>
        <a:xfrm>
          <a:off x="16637000" y="15875"/>
          <a:ext cx="15875" cy="28352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https://www.bing.com/financeapi/forcetrigger?t=a1mou2&amp;q=XNAS%3aAAPL&amp;form=skydnc</v>
    <v>Learn more on Bing</v>
  </rv>
  <rv s="1">
    <v>en-US</v>
    <v>a1mou2</v>
    <v>268435456</v>
    <v>1</v>
    <v>Powered by Refinitiv</v>
    <v>0</v>
    <v>APPLE INC. (XNAS:AAPL)</v>
    <v>2</v>
    <v>3</v>
    <v>Finance</v>
    <v>4</v>
    <v>237.23</v>
    <v>164.07499999999999</v>
    <v>1.2410000000000001</v>
    <v>3.28</v>
    <v>3.467E-3</v>
    <v>1.4991000000000001E-2</v>
    <v>0.77</v>
    <v>USD</v>
    <v>Apple Inc. designs, manufactures and markets smartphones, personal computers, tablets, wearables and accessories, and sells a variety of related services. Its product categories include iPhone, Mac, iPad, and Wearables, Home and Accessories. Its software platforms include iOS, iPadOS, macOS, watchOS, and tvOS. Its services include advertising, AppleCare, cloud services, digital content and payment services. It operates various platforms, including the App Store, that allow customers to discover and download applications and digital content, such as books, music, video, games and podcasts. It also offers digital content through subscription-based services, including Apple Arcade, Apple Fitness+, Apple Music, Apple News+ and Apple TV+. Its products include iPhone 15 Pro, iPhone 15, iPhone 14, iPhone 13, MacBook Air, MacBook Pro, iMac, Mac mini, Mac Studio, Mac Pro, and others. It also provides DarwinAI, which specializes in visual quality inspection using its Explainable AI platform.</v>
    <v>161000</v>
    <v>Nasdaq Stock Market</v>
    <v>XNAS</v>
    <v>XNAS</v>
    <v>One Apple Park Way, CUPERTINO, CA, 95014 US</v>
    <v>223.82</v>
    <v>Computers, Phones &amp; Household Electronics</v>
    <v>Stock</v>
    <v>45504.88512145781</v>
    <v>0</v>
    <v>220.63</v>
    <v>3405392486400</v>
    <v>APPLE INC.</v>
    <v>APPLE INC.</v>
    <v>221.44</v>
    <v>34.024000000000001</v>
    <v>218.8</v>
    <v>222.08</v>
    <v>222.85</v>
    <v>15334080000</v>
    <v>AAPL</v>
    <v>APPLE INC. (XNAS:AAPL)</v>
    <v>49518809</v>
    <v>54335984</v>
    <v>1977</v>
  </rv>
  <rv s="2">
    <v>1</v>
  </rv>
</rvData>
</file>

<file path=xl/richData/rdrichvaluestructure.xml><?xml version="1.0" encoding="utf-8"?>
<rvStructures xmlns="http://schemas.microsoft.com/office/spreadsheetml/2017/richdata" count="3">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v>1</v>
      <v>1</v>
      <v>5</v>
    </spb>
    <spb s="4">
      <v>at close</v>
      <v>from previous close</v>
      <v>from previous close</v>
      <v>Source: Nasdaq Last Sale</v>
      <v>GMT</v>
      <v>Real-Time Nasdaq Last Sale</v>
      <v>from close</v>
      <v>from close</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8" sqref="A1:A8"/>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tabSelected="1" workbookViewId="0">
      <selection activeCell="U15" sqref="U15"/>
    </sheetView>
  </sheetViews>
  <sheetFormatPr defaultRowHeight="14.5" x14ac:dyDescent="0.35"/>
  <sheetData>
    <row r="1" spans="1:2" x14ac:dyDescent="0.35">
      <c r="A1" t="s">
        <v>7</v>
      </c>
      <c r="B1" t="s">
        <v>8</v>
      </c>
    </row>
    <row r="2" spans="1:2" x14ac:dyDescent="0.35">
      <c r="A2" t="s">
        <v>0</v>
      </c>
      <c r="B2" t="s">
        <v>9</v>
      </c>
    </row>
    <row r="3" spans="1:2" x14ac:dyDescent="0.35">
      <c r="A3" t="s">
        <v>10</v>
      </c>
      <c r="B3" t="s">
        <v>11</v>
      </c>
    </row>
    <row r="4" spans="1:2" x14ac:dyDescent="0.35">
      <c r="A4" t="s">
        <v>12</v>
      </c>
      <c r="B4" t="s">
        <v>13</v>
      </c>
    </row>
    <row r="5" spans="1:2" x14ac:dyDescent="0.35">
      <c r="A5" t="s">
        <v>14</v>
      </c>
      <c r="B5"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6"/>
  <sheetViews>
    <sheetView workbookViewId="0">
      <pane xSplit="2" ySplit="8" topLeftCell="L9" activePane="bottomRight" state="frozen"/>
      <selection pane="topRight" activeCell="C1" sqref="C1"/>
      <selection pane="bottomLeft" activeCell="A7" sqref="A7"/>
      <selection pane="bottomRight" activeCell="Q66" sqref="Q66"/>
    </sheetView>
  </sheetViews>
  <sheetFormatPr defaultRowHeight="14.5" x14ac:dyDescent="0.35"/>
  <cols>
    <col min="1" max="1" width="4.81640625" customWidth="1"/>
    <col min="2" max="2" width="18.36328125" customWidth="1"/>
    <col min="15" max="21" width="10.453125" bestFit="1" customWidth="1"/>
    <col min="22" max="23" width="9.453125" bestFit="1" customWidth="1"/>
    <col min="24" max="27" width="10.453125" bestFit="1" customWidth="1"/>
    <col min="28" max="28" width="9.7265625" bestFit="1" customWidth="1"/>
  </cols>
  <sheetData>
    <row r="1" spans="1:28" x14ac:dyDescent="0.35">
      <c r="A1" s="2"/>
    </row>
    <row r="2" spans="1:28" x14ac:dyDescent="0.35">
      <c r="B2" t="s">
        <v>16</v>
      </c>
    </row>
    <row r="3" spans="1:28" x14ac:dyDescent="0.35">
      <c r="B3" t="s">
        <v>17</v>
      </c>
      <c r="O3" s="3">
        <v>40478</v>
      </c>
      <c r="P3" s="3">
        <v>40842</v>
      </c>
      <c r="Q3" s="3">
        <v>41213</v>
      </c>
      <c r="R3" s="3">
        <v>41577</v>
      </c>
      <c r="S3" s="3">
        <v>41939</v>
      </c>
      <c r="T3" s="3">
        <v>42305</v>
      </c>
      <c r="U3" s="3">
        <v>42669</v>
      </c>
      <c r="V3" s="3">
        <v>43042</v>
      </c>
      <c r="W3" s="3">
        <v>43409</v>
      </c>
      <c r="X3" s="3">
        <v>43769</v>
      </c>
      <c r="Y3" s="3">
        <v>44134</v>
      </c>
      <c r="Z3" s="3">
        <v>44498</v>
      </c>
      <c r="AA3" s="3">
        <v>44862</v>
      </c>
      <c r="AB3" s="3">
        <v>45233</v>
      </c>
    </row>
    <row r="4" spans="1:28" x14ac:dyDescent="0.35">
      <c r="B4" t="s">
        <v>18</v>
      </c>
      <c r="O4">
        <v>2010</v>
      </c>
      <c r="P4">
        <v>2011</v>
      </c>
      <c r="Q4">
        <v>2012</v>
      </c>
      <c r="R4">
        <v>2013</v>
      </c>
      <c r="S4">
        <v>2014</v>
      </c>
      <c r="T4">
        <v>2015</v>
      </c>
      <c r="U4">
        <v>2016</v>
      </c>
      <c r="V4">
        <v>2017</v>
      </c>
      <c r="W4">
        <v>2018</v>
      </c>
      <c r="X4">
        <v>2019</v>
      </c>
      <c r="Y4">
        <v>2020</v>
      </c>
      <c r="Z4">
        <v>2021</v>
      </c>
      <c r="AA4">
        <v>2022</v>
      </c>
      <c r="AB4">
        <v>2023</v>
      </c>
    </row>
    <row r="5" spans="1:28" s="1" customFormat="1" x14ac:dyDescent="0.35"/>
    <row r="11" spans="1:28" s="1" customFormat="1" x14ac:dyDescent="0.35">
      <c r="B11" s="1" t="s">
        <v>19</v>
      </c>
    </row>
    <row r="12" spans="1:28" s="4" customFormat="1" x14ac:dyDescent="0.35">
      <c r="B12" s="4" t="s">
        <v>20</v>
      </c>
      <c r="Q12" s="4">
        <f>57512+18828</f>
        <v>76340</v>
      </c>
      <c r="R12" s="4">
        <f>62739+20228</f>
        <v>82967</v>
      </c>
      <c r="S12" s="4">
        <v>80095</v>
      </c>
      <c r="T12" s="4">
        <v>83864</v>
      </c>
      <c r="U12" s="4">
        <v>86613</v>
      </c>
      <c r="V12" s="4">
        <v>96600</v>
      </c>
      <c r="W12" s="4">
        <v>112093</v>
      </c>
      <c r="X12" s="4">
        <v>116914</v>
      </c>
      <c r="Y12" s="4">
        <v>124556</v>
      </c>
      <c r="Z12" s="4">
        <v>153306</v>
      </c>
      <c r="AA12" s="4">
        <v>169658</v>
      </c>
      <c r="AB12" s="4">
        <v>162560</v>
      </c>
    </row>
    <row r="13" spans="1:28" s="4" customFormat="1" x14ac:dyDescent="0.35">
      <c r="B13" s="4" t="s">
        <v>21</v>
      </c>
      <c r="Q13" s="4">
        <v>36323</v>
      </c>
      <c r="R13" s="4">
        <v>37883</v>
      </c>
      <c r="S13" s="4">
        <v>44285</v>
      </c>
      <c r="T13" s="4">
        <v>50337</v>
      </c>
      <c r="U13" s="4">
        <v>49952</v>
      </c>
      <c r="V13" s="4">
        <v>54938</v>
      </c>
      <c r="W13" s="4">
        <v>62420</v>
      </c>
      <c r="X13" s="4">
        <v>60288</v>
      </c>
      <c r="Y13" s="4">
        <v>68640</v>
      </c>
      <c r="Z13" s="4">
        <v>89307</v>
      </c>
      <c r="AA13" s="4">
        <v>95118</v>
      </c>
      <c r="AB13" s="4">
        <v>94294</v>
      </c>
    </row>
    <row r="14" spans="1:28" s="4" customFormat="1" x14ac:dyDescent="0.35">
      <c r="B14" s="4" t="s">
        <v>22</v>
      </c>
      <c r="Q14" s="4">
        <v>22533</v>
      </c>
      <c r="R14" s="4">
        <v>25417</v>
      </c>
      <c r="S14" s="4">
        <v>31853</v>
      </c>
      <c r="T14" s="4">
        <v>58715</v>
      </c>
      <c r="U14" s="4">
        <v>48492</v>
      </c>
      <c r="V14" s="4">
        <v>44764</v>
      </c>
      <c r="W14" s="4">
        <v>51942</v>
      </c>
      <c r="X14" s="4">
        <v>43678</v>
      </c>
      <c r="Y14" s="4">
        <v>40308</v>
      </c>
      <c r="Z14" s="4">
        <v>68366</v>
      </c>
      <c r="AA14" s="4">
        <v>74200</v>
      </c>
      <c r="AB14" s="4">
        <v>72559</v>
      </c>
    </row>
    <row r="15" spans="1:28" s="4" customFormat="1" x14ac:dyDescent="0.35">
      <c r="B15" s="4" t="s">
        <v>23</v>
      </c>
      <c r="Q15" s="4">
        <v>10571</v>
      </c>
      <c r="R15" s="4">
        <v>13462</v>
      </c>
      <c r="S15" s="4">
        <v>15314</v>
      </c>
      <c r="T15" s="4">
        <v>15706</v>
      </c>
      <c r="U15" s="4">
        <v>16928</v>
      </c>
      <c r="V15" s="4">
        <v>17733</v>
      </c>
      <c r="W15" s="4">
        <v>21733</v>
      </c>
      <c r="X15" s="4">
        <v>21506</v>
      </c>
      <c r="Y15" s="4">
        <v>21418</v>
      </c>
      <c r="Z15" s="4">
        <v>28482</v>
      </c>
      <c r="AA15" s="4">
        <v>25977</v>
      </c>
      <c r="AB15" s="4">
        <v>24257</v>
      </c>
    </row>
    <row r="16" spans="1:28" s="5" customFormat="1" x14ac:dyDescent="0.35">
      <c r="B16" s="5" t="s">
        <v>24</v>
      </c>
      <c r="Q16" s="5">
        <v>10741</v>
      </c>
      <c r="R16" s="5">
        <v>11181</v>
      </c>
      <c r="S16" s="5">
        <v>11248</v>
      </c>
      <c r="T16" s="5">
        <v>15093</v>
      </c>
      <c r="U16" s="5">
        <v>13654</v>
      </c>
      <c r="V16" s="5">
        <v>15199</v>
      </c>
      <c r="W16" s="5">
        <v>17407</v>
      </c>
      <c r="X16" s="5">
        <v>17788</v>
      </c>
      <c r="Y16" s="5">
        <v>19593</v>
      </c>
      <c r="Z16" s="5">
        <v>26356</v>
      </c>
      <c r="AA16" s="5">
        <v>29375</v>
      </c>
      <c r="AB16" s="5">
        <v>29615</v>
      </c>
    </row>
    <row r="17" spans="2:35" s="12" customFormat="1" x14ac:dyDescent="0.35">
      <c r="B17" s="12" t="s">
        <v>25</v>
      </c>
      <c r="Q17" s="12">
        <f>SUM(Q12:Q16)</f>
        <v>156508</v>
      </c>
      <c r="R17" s="12">
        <f t="shared" ref="R17:AI17" si="0">SUM(R12:R16)</f>
        <v>170910</v>
      </c>
      <c r="S17" s="12">
        <f t="shared" si="0"/>
        <v>182795</v>
      </c>
      <c r="T17" s="12">
        <f t="shared" si="0"/>
        <v>223715</v>
      </c>
      <c r="U17" s="12">
        <f t="shared" si="0"/>
        <v>215639</v>
      </c>
      <c r="V17" s="12">
        <f t="shared" si="0"/>
        <v>229234</v>
      </c>
      <c r="W17" s="12">
        <f t="shared" si="0"/>
        <v>265595</v>
      </c>
      <c r="X17" s="12">
        <f t="shared" si="0"/>
        <v>260174</v>
      </c>
      <c r="Y17" s="12">
        <f t="shared" si="0"/>
        <v>274515</v>
      </c>
      <c r="Z17" s="12">
        <f t="shared" si="0"/>
        <v>365817</v>
      </c>
      <c r="AA17" s="12">
        <f t="shared" si="0"/>
        <v>394328</v>
      </c>
      <c r="AB17" s="12">
        <f t="shared" si="0"/>
        <v>383285</v>
      </c>
      <c r="AC17" s="12">
        <f t="shared" si="0"/>
        <v>0</v>
      </c>
      <c r="AD17" s="12">
        <f t="shared" si="0"/>
        <v>0</v>
      </c>
      <c r="AE17" s="12">
        <f t="shared" si="0"/>
        <v>0</v>
      </c>
      <c r="AF17" s="12">
        <f t="shared" si="0"/>
        <v>0</v>
      </c>
      <c r="AG17" s="12">
        <f t="shared" si="0"/>
        <v>0</v>
      </c>
      <c r="AH17" s="12">
        <f t="shared" si="0"/>
        <v>0</v>
      </c>
      <c r="AI17" s="12">
        <f t="shared" si="0"/>
        <v>0</v>
      </c>
    </row>
    <row r="18" spans="2:35" s="8" customFormat="1" x14ac:dyDescent="0.35">
      <c r="B18" s="8" t="s">
        <v>20</v>
      </c>
      <c r="Q18" s="8">
        <f>Q12/Q$17</f>
        <v>0.48777059319651389</v>
      </c>
      <c r="R18" s="8">
        <f t="shared" ref="R18:AI18" si="1">R12/R$17</f>
        <v>0.4854426306243052</v>
      </c>
      <c r="S18" s="8">
        <f t="shared" si="1"/>
        <v>0.43816844005580019</v>
      </c>
      <c r="T18" s="8">
        <f t="shared" si="1"/>
        <v>0.3748698120376372</v>
      </c>
      <c r="U18" s="8">
        <f t="shared" si="1"/>
        <v>0.4016573996355019</v>
      </c>
      <c r="V18" s="8">
        <f t="shared" si="1"/>
        <v>0.4214034567298045</v>
      </c>
      <c r="W18" s="8">
        <f t="shared" si="1"/>
        <v>0.42204484271164744</v>
      </c>
      <c r="X18" s="8">
        <f t="shared" si="1"/>
        <v>0.44936849954261376</v>
      </c>
      <c r="Y18" s="8">
        <f t="shared" si="1"/>
        <v>0.45373112580369013</v>
      </c>
      <c r="Z18" s="8">
        <f t="shared" si="1"/>
        <v>0.41907839165484384</v>
      </c>
      <c r="AA18" s="8">
        <f t="shared" si="1"/>
        <v>0.43024588667302349</v>
      </c>
      <c r="AB18" s="8">
        <f t="shared" si="1"/>
        <v>0.42412304160089748</v>
      </c>
      <c r="AC18" s="8" t="e">
        <f t="shared" si="1"/>
        <v>#DIV/0!</v>
      </c>
      <c r="AD18" s="8" t="e">
        <f t="shared" si="1"/>
        <v>#DIV/0!</v>
      </c>
      <c r="AE18" s="8" t="e">
        <f t="shared" si="1"/>
        <v>#DIV/0!</v>
      </c>
      <c r="AF18" s="8" t="e">
        <f t="shared" si="1"/>
        <v>#DIV/0!</v>
      </c>
      <c r="AG18" s="8" t="e">
        <f t="shared" si="1"/>
        <v>#DIV/0!</v>
      </c>
      <c r="AH18" s="8" t="e">
        <f t="shared" si="1"/>
        <v>#DIV/0!</v>
      </c>
      <c r="AI18" s="8" t="e">
        <f t="shared" si="1"/>
        <v>#DIV/0!</v>
      </c>
    </row>
    <row r="19" spans="2:35" s="8" customFormat="1" x14ac:dyDescent="0.35">
      <c r="B19" s="8" t="s">
        <v>21</v>
      </c>
      <c r="Q19" s="8">
        <f>Q13/Q$17</f>
        <v>0.2320839829273903</v>
      </c>
      <c r="R19" s="8">
        <f t="shared" ref="R19:AI19" si="2">R13/R$17</f>
        <v>0.22165467204961675</v>
      </c>
      <c r="S19" s="8">
        <f t="shared" si="2"/>
        <v>0.24226592631089472</v>
      </c>
      <c r="T19" s="8">
        <f t="shared" si="2"/>
        <v>0.22500502871957626</v>
      </c>
      <c r="U19" s="8">
        <f t="shared" si="2"/>
        <v>0.23164640904474609</v>
      </c>
      <c r="V19" s="8">
        <f t="shared" si="2"/>
        <v>0.23965903836254657</v>
      </c>
      <c r="W19" s="8">
        <f t="shared" si="2"/>
        <v>0.23501948455354957</v>
      </c>
      <c r="X19" s="8">
        <f t="shared" si="2"/>
        <v>0.23172184768654824</v>
      </c>
      <c r="Y19" s="8">
        <f t="shared" si="2"/>
        <v>0.25004098136713843</v>
      </c>
      <c r="Z19" s="8">
        <f t="shared" si="2"/>
        <v>0.2441302618522376</v>
      </c>
      <c r="AA19" s="8">
        <f t="shared" si="2"/>
        <v>0.24121543486640562</v>
      </c>
      <c r="AB19" s="8">
        <f t="shared" si="2"/>
        <v>0.24601536715498912</v>
      </c>
      <c r="AC19" s="8" t="e">
        <f t="shared" si="2"/>
        <v>#DIV/0!</v>
      </c>
      <c r="AD19" s="8" t="e">
        <f t="shared" si="2"/>
        <v>#DIV/0!</v>
      </c>
      <c r="AE19" s="8" t="e">
        <f t="shared" si="2"/>
        <v>#DIV/0!</v>
      </c>
      <c r="AF19" s="8" t="e">
        <f t="shared" si="2"/>
        <v>#DIV/0!</v>
      </c>
      <c r="AG19" s="8" t="e">
        <f t="shared" si="2"/>
        <v>#DIV/0!</v>
      </c>
      <c r="AH19" s="8" t="e">
        <f t="shared" si="2"/>
        <v>#DIV/0!</v>
      </c>
      <c r="AI19" s="8" t="e">
        <f t="shared" si="2"/>
        <v>#DIV/0!</v>
      </c>
    </row>
    <row r="20" spans="2:35" s="8" customFormat="1" x14ac:dyDescent="0.35">
      <c r="B20" s="8" t="s">
        <v>22</v>
      </c>
      <c r="Q20" s="8">
        <f>Q14/Q$17</f>
        <v>0.14397347100467708</v>
      </c>
      <c r="R20" s="8">
        <f t="shared" ref="R20:AI20" si="3">R14/R$17</f>
        <v>0.14871569832075363</v>
      </c>
      <c r="S20" s="8">
        <f t="shared" si="3"/>
        <v>0.17425531332913921</v>
      </c>
      <c r="T20" s="8">
        <f t="shared" si="3"/>
        <v>0.262454462150504</v>
      </c>
      <c r="U20" s="8">
        <f t="shared" si="3"/>
        <v>0.22487583414873932</v>
      </c>
      <c r="V20" s="8">
        <f t="shared" si="3"/>
        <v>0.19527644241255659</v>
      </c>
      <c r="W20" s="8">
        <f t="shared" si="3"/>
        <v>0.19556844067094636</v>
      </c>
      <c r="X20" s="8">
        <f t="shared" si="3"/>
        <v>0.16787995725937258</v>
      </c>
      <c r="Y20" s="8">
        <f t="shared" si="3"/>
        <v>0.14683350636577236</v>
      </c>
      <c r="Z20" s="8">
        <f t="shared" si="3"/>
        <v>0.18688579262308749</v>
      </c>
      <c r="AA20" s="8">
        <f t="shared" si="3"/>
        <v>0.18816822543669229</v>
      </c>
      <c r="AB20" s="8">
        <f t="shared" si="3"/>
        <v>0.18930821712302856</v>
      </c>
      <c r="AC20" s="8" t="e">
        <f t="shared" si="3"/>
        <v>#DIV/0!</v>
      </c>
      <c r="AD20" s="8" t="e">
        <f t="shared" si="3"/>
        <v>#DIV/0!</v>
      </c>
      <c r="AE20" s="8" t="e">
        <f t="shared" si="3"/>
        <v>#DIV/0!</v>
      </c>
      <c r="AF20" s="8" t="e">
        <f t="shared" si="3"/>
        <v>#DIV/0!</v>
      </c>
      <c r="AG20" s="8" t="e">
        <f t="shared" si="3"/>
        <v>#DIV/0!</v>
      </c>
      <c r="AH20" s="8" t="e">
        <f t="shared" si="3"/>
        <v>#DIV/0!</v>
      </c>
      <c r="AI20" s="8" t="e">
        <f t="shared" si="3"/>
        <v>#DIV/0!</v>
      </c>
    </row>
    <row r="21" spans="2:35" s="8" customFormat="1" x14ac:dyDescent="0.35">
      <c r="B21" s="8" t="s">
        <v>23</v>
      </c>
      <c r="Q21" s="8">
        <f>Q15/Q$17</f>
        <v>6.7542873207759355E-2</v>
      </c>
      <c r="R21" s="8">
        <f t="shared" ref="R21:AI21" si="4">R15/R$17</f>
        <v>7.8766602305306882E-2</v>
      </c>
      <c r="S21" s="8">
        <f t="shared" si="4"/>
        <v>8.3776908558768015E-2</v>
      </c>
      <c r="T21" s="8">
        <f t="shared" si="4"/>
        <v>7.0205395257358694E-2</v>
      </c>
      <c r="U21" s="8">
        <f t="shared" si="4"/>
        <v>7.8501569753152256E-2</v>
      </c>
      <c r="V21" s="8">
        <f t="shared" si="4"/>
        <v>7.7357634556828397E-2</v>
      </c>
      <c r="W21" s="8">
        <f t="shared" si="4"/>
        <v>8.1827594645983548E-2</v>
      </c>
      <c r="X21" s="8">
        <f t="shared" si="4"/>
        <v>8.2660065955860312E-2</v>
      </c>
      <c r="Y21" s="8">
        <f t="shared" si="4"/>
        <v>7.8021237455148176E-2</v>
      </c>
      <c r="Z21" s="8">
        <f t="shared" si="4"/>
        <v>7.7858601431863475E-2</v>
      </c>
      <c r="AA21" s="8">
        <f t="shared" si="4"/>
        <v>6.5876630622223126E-2</v>
      </c>
      <c r="AB21" s="8">
        <f t="shared" si="4"/>
        <v>6.3287110113883924E-2</v>
      </c>
      <c r="AC21" s="8" t="e">
        <f t="shared" si="4"/>
        <v>#DIV/0!</v>
      </c>
      <c r="AD21" s="8" t="e">
        <f t="shared" si="4"/>
        <v>#DIV/0!</v>
      </c>
      <c r="AE21" s="8" t="e">
        <f t="shared" si="4"/>
        <v>#DIV/0!</v>
      </c>
      <c r="AF21" s="8" t="e">
        <f t="shared" si="4"/>
        <v>#DIV/0!</v>
      </c>
      <c r="AG21" s="8" t="e">
        <f t="shared" si="4"/>
        <v>#DIV/0!</v>
      </c>
      <c r="AH21" s="8" t="e">
        <f t="shared" si="4"/>
        <v>#DIV/0!</v>
      </c>
      <c r="AI21" s="8" t="e">
        <f t="shared" si="4"/>
        <v>#DIV/0!</v>
      </c>
    </row>
    <row r="22" spans="2:35" s="8" customFormat="1" x14ac:dyDescent="0.35">
      <c r="B22" s="9" t="s">
        <v>24</v>
      </c>
      <c r="Q22" s="8">
        <f>Q16/Q$17</f>
        <v>6.8629079663659359E-2</v>
      </c>
      <c r="R22" s="8">
        <f t="shared" ref="R22:AI22" si="5">R16/R$17</f>
        <v>6.542039670001755E-2</v>
      </c>
      <c r="S22" s="8">
        <f t="shared" si="5"/>
        <v>6.1533411745397851E-2</v>
      </c>
      <c r="T22" s="8">
        <f t="shared" si="5"/>
        <v>6.7465301834923899E-2</v>
      </c>
      <c r="U22" s="8">
        <f t="shared" si="5"/>
        <v>6.33187874178604E-2</v>
      </c>
      <c r="V22" s="8">
        <f t="shared" si="5"/>
        <v>6.6303427938263951E-2</v>
      </c>
      <c r="W22" s="8">
        <f t="shared" si="5"/>
        <v>6.5539637417873081E-2</v>
      </c>
      <c r="X22" s="8">
        <f t="shared" si="5"/>
        <v>6.8369629555605091E-2</v>
      </c>
      <c r="Y22" s="8">
        <f t="shared" si="5"/>
        <v>7.1373149008250911E-2</v>
      </c>
      <c r="Z22" s="8">
        <f t="shared" si="5"/>
        <v>7.2046952437967618E-2</v>
      </c>
      <c r="AA22" s="8">
        <f t="shared" si="5"/>
        <v>7.4493822401655474E-2</v>
      </c>
      <c r="AB22" s="8">
        <f t="shared" si="5"/>
        <v>7.7266264007200908E-2</v>
      </c>
      <c r="AC22" s="8" t="e">
        <f t="shared" si="5"/>
        <v>#DIV/0!</v>
      </c>
      <c r="AD22" s="8" t="e">
        <f t="shared" si="5"/>
        <v>#DIV/0!</v>
      </c>
      <c r="AE22" s="8" t="e">
        <f t="shared" si="5"/>
        <v>#DIV/0!</v>
      </c>
      <c r="AF22" s="8" t="e">
        <f t="shared" si="5"/>
        <v>#DIV/0!</v>
      </c>
      <c r="AG22" s="8" t="e">
        <f t="shared" si="5"/>
        <v>#DIV/0!</v>
      </c>
      <c r="AH22" s="8" t="e">
        <f t="shared" si="5"/>
        <v>#DIV/0!</v>
      </c>
      <c r="AI22" s="8" t="e">
        <f t="shared" si="5"/>
        <v>#DIV/0!</v>
      </c>
    </row>
    <row r="23" spans="2:35" s="6" customFormat="1" x14ac:dyDescent="0.35">
      <c r="B23" s="6" t="s">
        <v>26</v>
      </c>
    </row>
    <row r="24" spans="2:35" s="4" customFormat="1" x14ac:dyDescent="0.35">
      <c r="B24" s="4" t="s">
        <v>27</v>
      </c>
      <c r="Q24" s="4">
        <v>78692</v>
      </c>
      <c r="R24" s="4">
        <v>91279</v>
      </c>
      <c r="S24" s="4">
        <v>101991</v>
      </c>
      <c r="T24" s="4">
        <v>155040</v>
      </c>
      <c r="U24" s="4">
        <v>136700</v>
      </c>
      <c r="V24" s="4">
        <v>141319</v>
      </c>
      <c r="W24" s="4">
        <v>164888</v>
      </c>
      <c r="X24" s="4">
        <v>142381</v>
      </c>
      <c r="Y24" s="4">
        <v>137781</v>
      </c>
      <c r="Z24" s="4">
        <v>191973</v>
      </c>
      <c r="AA24" s="4">
        <v>205489</v>
      </c>
      <c r="AB24" s="4">
        <v>200583</v>
      </c>
    </row>
    <row r="25" spans="2:35" s="4" customFormat="1" x14ac:dyDescent="0.35">
      <c r="B25" s="4" t="s">
        <v>28</v>
      </c>
      <c r="Q25" s="4">
        <v>23221</v>
      </c>
      <c r="R25" s="4">
        <v>21483</v>
      </c>
      <c r="S25" s="4">
        <v>24079</v>
      </c>
      <c r="T25" s="4">
        <v>23227</v>
      </c>
      <c r="U25" s="4">
        <v>20628</v>
      </c>
      <c r="V25" s="4">
        <v>19222</v>
      </c>
      <c r="W25" s="4">
        <v>25198</v>
      </c>
      <c r="X25" s="4">
        <v>25740</v>
      </c>
      <c r="Y25" s="4">
        <v>28622</v>
      </c>
      <c r="Z25" s="4">
        <v>35190</v>
      </c>
      <c r="AA25" s="4">
        <v>40177</v>
      </c>
      <c r="AB25" s="4">
        <v>29357</v>
      </c>
    </row>
    <row r="26" spans="2:35" s="4" customFormat="1" x14ac:dyDescent="0.35">
      <c r="B26" s="4" t="s">
        <v>29</v>
      </c>
      <c r="Q26" s="4">
        <v>30945</v>
      </c>
      <c r="R26" s="4">
        <v>31980</v>
      </c>
      <c r="S26" s="4">
        <v>30283</v>
      </c>
      <c r="T26" s="4">
        <v>25471</v>
      </c>
      <c r="U26" s="4">
        <v>22831</v>
      </c>
      <c r="V26" s="4">
        <v>25850</v>
      </c>
      <c r="W26" s="4">
        <v>18380</v>
      </c>
      <c r="X26" s="4">
        <v>21280</v>
      </c>
      <c r="Y26" s="4">
        <v>23724</v>
      </c>
      <c r="Z26" s="4">
        <v>31862</v>
      </c>
      <c r="AA26" s="4">
        <v>29292</v>
      </c>
      <c r="AB26" s="4">
        <v>28300</v>
      </c>
    </row>
    <row r="27" spans="2:35" s="4" customFormat="1" x14ac:dyDescent="0.35">
      <c r="B27" s="4" t="s">
        <v>30</v>
      </c>
      <c r="Q27" s="4">
        <f>5615+5145</f>
        <v>10760</v>
      </c>
      <c r="R27" s="4">
        <f>5706+4411</f>
        <v>10117</v>
      </c>
      <c r="S27" s="4">
        <v>8379</v>
      </c>
      <c r="T27" s="4">
        <v>10067</v>
      </c>
      <c r="U27" s="4">
        <v>11132</v>
      </c>
      <c r="V27" s="4">
        <v>12863</v>
      </c>
      <c r="W27" s="4">
        <v>17381</v>
      </c>
      <c r="X27" s="4">
        <v>24482</v>
      </c>
      <c r="Y27" s="4">
        <v>30620</v>
      </c>
      <c r="Z27" s="4">
        <v>38367</v>
      </c>
      <c r="AA27" s="4">
        <v>41241</v>
      </c>
      <c r="AB27" s="4">
        <v>39845</v>
      </c>
    </row>
    <row r="28" spans="2:35" s="5" customFormat="1" x14ac:dyDescent="0.35">
      <c r="B28" s="5" t="s">
        <v>31</v>
      </c>
      <c r="Q28" s="5">
        <v>12890</v>
      </c>
      <c r="R28" s="5">
        <v>16051</v>
      </c>
      <c r="S28" s="5">
        <v>18063</v>
      </c>
      <c r="T28" s="5">
        <v>19909</v>
      </c>
      <c r="U28" s="5">
        <v>24348</v>
      </c>
      <c r="V28" s="5">
        <v>29980</v>
      </c>
      <c r="W28" s="5">
        <v>39748</v>
      </c>
      <c r="X28" s="5">
        <v>46291</v>
      </c>
      <c r="Y28" s="5">
        <v>53768</v>
      </c>
      <c r="Z28" s="5">
        <v>68425</v>
      </c>
      <c r="AA28" s="5">
        <v>78129</v>
      </c>
      <c r="AB28" s="5">
        <v>85200</v>
      </c>
    </row>
    <row r="29" spans="2:35" s="12" customFormat="1" x14ac:dyDescent="0.35">
      <c r="B29" s="12" t="s">
        <v>25</v>
      </c>
      <c r="Q29" s="12">
        <f>SUM(Q24:Q28)</f>
        <v>156508</v>
      </c>
      <c r="R29" s="12">
        <f t="shared" ref="R29:AG29" si="6">SUM(R24:R28)</f>
        <v>170910</v>
      </c>
      <c r="S29" s="12">
        <f t="shared" si="6"/>
        <v>182795</v>
      </c>
      <c r="T29" s="12">
        <f t="shared" si="6"/>
        <v>233714</v>
      </c>
      <c r="U29" s="12">
        <f t="shared" si="6"/>
        <v>215639</v>
      </c>
      <c r="V29" s="12">
        <f t="shared" si="6"/>
        <v>229234</v>
      </c>
      <c r="W29" s="12">
        <f t="shared" si="6"/>
        <v>265595</v>
      </c>
      <c r="X29" s="12">
        <f t="shared" si="6"/>
        <v>260174</v>
      </c>
      <c r="Y29" s="12">
        <f t="shared" si="6"/>
        <v>274515</v>
      </c>
      <c r="Z29" s="12">
        <f t="shared" si="6"/>
        <v>365817</v>
      </c>
      <c r="AA29" s="12">
        <f t="shared" si="6"/>
        <v>394328</v>
      </c>
      <c r="AB29" s="12">
        <f t="shared" si="6"/>
        <v>383285</v>
      </c>
      <c r="AC29" s="12">
        <f t="shared" si="6"/>
        <v>0</v>
      </c>
      <c r="AD29" s="12">
        <f t="shared" si="6"/>
        <v>0</v>
      </c>
      <c r="AE29" s="12">
        <f t="shared" si="6"/>
        <v>0</v>
      </c>
      <c r="AF29" s="12">
        <f t="shared" si="6"/>
        <v>0</v>
      </c>
      <c r="AG29" s="12">
        <f t="shared" si="6"/>
        <v>0</v>
      </c>
      <c r="AH29" s="12">
        <f t="shared" ref="AH29:AI29" si="7">SUM(AH24:AH28)</f>
        <v>0</v>
      </c>
      <c r="AI29" s="12">
        <f t="shared" si="7"/>
        <v>0</v>
      </c>
    </row>
    <row r="30" spans="2:35" s="8" customFormat="1" x14ac:dyDescent="0.35">
      <c r="B30" s="8" t="s">
        <v>27</v>
      </c>
      <c r="Q30" s="8">
        <f>Q24/Q$29</f>
        <v>0.5027985789863777</v>
      </c>
      <c r="R30" s="8">
        <f t="shared" ref="R30:Y30" si="8">R24/R$29</f>
        <v>0.53407641448715704</v>
      </c>
      <c r="S30" s="8">
        <f t="shared" si="8"/>
        <v>0.55795289805519843</v>
      </c>
      <c r="T30" s="8">
        <f t="shared" si="8"/>
        <v>0.66337489410133754</v>
      </c>
      <c r="U30" s="8">
        <f t="shared" si="8"/>
        <v>0.63392985498912535</v>
      </c>
      <c r="V30" s="8">
        <f t="shared" si="8"/>
        <v>0.61648359318425716</v>
      </c>
      <c r="W30" s="8">
        <f t="shared" si="8"/>
        <v>0.62082494022854351</v>
      </c>
      <c r="X30" s="8">
        <f t="shared" si="8"/>
        <v>0.54725299222827795</v>
      </c>
      <c r="Y30" s="8">
        <f t="shared" si="8"/>
        <v>0.50190699961750729</v>
      </c>
      <c r="Z30" s="8">
        <f>Z24/Z$29</f>
        <v>0.52477878283404</v>
      </c>
      <c r="AA30" s="8">
        <f t="shared" ref="AA30:AI30" si="9">AA24/AA$29</f>
        <v>0.52111186626361805</v>
      </c>
      <c r="AB30" s="8">
        <f t="shared" si="9"/>
        <v>0.52332598458066448</v>
      </c>
      <c r="AC30" s="8" t="e">
        <f t="shared" si="9"/>
        <v>#DIV/0!</v>
      </c>
      <c r="AD30" s="8" t="e">
        <f t="shared" si="9"/>
        <v>#DIV/0!</v>
      </c>
      <c r="AE30" s="8" t="e">
        <f t="shared" si="9"/>
        <v>#DIV/0!</v>
      </c>
      <c r="AF30" s="8" t="e">
        <f t="shared" si="9"/>
        <v>#DIV/0!</v>
      </c>
      <c r="AG30" s="8" t="e">
        <f t="shared" si="9"/>
        <v>#DIV/0!</v>
      </c>
      <c r="AH30" s="8" t="e">
        <f t="shared" si="9"/>
        <v>#DIV/0!</v>
      </c>
      <c r="AI30" s="8" t="e">
        <f t="shared" si="9"/>
        <v>#DIV/0!</v>
      </c>
    </row>
    <row r="31" spans="2:35" s="8" customFormat="1" x14ac:dyDescent="0.35">
      <c r="B31" s="8" t="s">
        <v>28</v>
      </c>
      <c r="Q31" s="8">
        <f>Q25/Q$29</f>
        <v>0.14836941242620186</v>
      </c>
      <c r="R31" s="8">
        <f t="shared" ref="R31:Y31" si="10">R25/R$29</f>
        <v>0.12569773565034228</v>
      </c>
      <c r="S31" s="8">
        <f t="shared" si="10"/>
        <v>0.13172679777893267</v>
      </c>
      <c r="T31" s="8">
        <f t="shared" si="10"/>
        <v>9.9382150833925223E-2</v>
      </c>
      <c r="U31" s="8">
        <f t="shared" si="10"/>
        <v>9.5659875996457047E-2</v>
      </c>
      <c r="V31" s="8">
        <f t="shared" si="10"/>
        <v>8.3853180592756746E-2</v>
      </c>
      <c r="W31" s="8">
        <f t="shared" si="10"/>
        <v>9.487377397917883E-2</v>
      </c>
      <c r="X31" s="8">
        <f t="shared" si="10"/>
        <v>9.8933790463305332E-2</v>
      </c>
      <c r="Y31" s="8">
        <f t="shared" si="10"/>
        <v>0.10426388357648944</v>
      </c>
      <c r="Z31" s="8">
        <f>Z25/Z$29</f>
        <v>9.6195638803008063E-2</v>
      </c>
      <c r="AA31" s="8">
        <f t="shared" ref="AA31:AI31" si="11">AA25/AA$29</f>
        <v>0.10188726136617232</v>
      </c>
      <c r="AB31" s="8">
        <f t="shared" si="11"/>
        <v>7.659313565623492E-2</v>
      </c>
      <c r="AC31" s="8" t="e">
        <f t="shared" si="11"/>
        <v>#DIV/0!</v>
      </c>
      <c r="AD31" s="8" t="e">
        <f t="shared" si="11"/>
        <v>#DIV/0!</v>
      </c>
      <c r="AE31" s="8" t="e">
        <f t="shared" si="11"/>
        <v>#DIV/0!</v>
      </c>
      <c r="AF31" s="8" t="e">
        <f t="shared" si="11"/>
        <v>#DIV/0!</v>
      </c>
      <c r="AG31" s="8" t="e">
        <f t="shared" si="11"/>
        <v>#DIV/0!</v>
      </c>
      <c r="AH31" s="8" t="e">
        <f t="shared" si="11"/>
        <v>#DIV/0!</v>
      </c>
      <c r="AI31" s="8" t="e">
        <f t="shared" si="11"/>
        <v>#DIV/0!</v>
      </c>
    </row>
    <row r="32" spans="2:35" s="8" customFormat="1" x14ac:dyDescent="0.35">
      <c r="B32" s="8" t="s">
        <v>29</v>
      </c>
      <c r="Q32" s="8">
        <f>Q26/Q$29</f>
        <v>0.19772152222250619</v>
      </c>
      <c r="R32" s="8">
        <f t="shared" ref="R32:Y32" si="12">R26/R$29</f>
        <v>0.18711602597858523</v>
      </c>
      <c r="S32" s="8">
        <f t="shared" si="12"/>
        <v>0.1656664569599825</v>
      </c>
      <c r="T32" s="8">
        <f t="shared" si="12"/>
        <v>0.10898362956433932</v>
      </c>
      <c r="U32" s="8">
        <f t="shared" si="12"/>
        <v>0.10587602428132202</v>
      </c>
      <c r="V32" s="8">
        <f t="shared" si="12"/>
        <v>0.11276686704415576</v>
      </c>
      <c r="W32" s="8">
        <f t="shared" si="12"/>
        <v>6.9203109998305687E-2</v>
      </c>
      <c r="X32" s="8">
        <f t="shared" si="12"/>
        <v>8.1791416513564003E-2</v>
      </c>
      <c r="Y32" s="8">
        <f t="shared" si="12"/>
        <v>8.6421507021474234E-2</v>
      </c>
      <c r="Z32" s="8">
        <f>Z26/Z$29</f>
        <v>8.7098193905696022E-2</v>
      </c>
      <c r="AA32" s="8">
        <f t="shared" ref="AA32:AI32" si="13">AA26/AA$29</f>
        <v>7.4283337728997187E-2</v>
      </c>
      <c r="AB32" s="8">
        <f t="shared" si="13"/>
        <v>7.3835396636967268E-2</v>
      </c>
      <c r="AC32" s="8" t="e">
        <f t="shared" si="13"/>
        <v>#DIV/0!</v>
      </c>
      <c r="AD32" s="8" t="e">
        <f t="shared" si="13"/>
        <v>#DIV/0!</v>
      </c>
      <c r="AE32" s="8" t="e">
        <f t="shared" si="13"/>
        <v>#DIV/0!</v>
      </c>
      <c r="AF32" s="8" t="e">
        <f t="shared" si="13"/>
        <v>#DIV/0!</v>
      </c>
      <c r="AG32" s="8" t="e">
        <f t="shared" si="13"/>
        <v>#DIV/0!</v>
      </c>
      <c r="AH32" s="8" t="e">
        <f t="shared" si="13"/>
        <v>#DIV/0!</v>
      </c>
      <c r="AI32" s="8" t="e">
        <f t="shared" si="13"/>
        <v>#DIV/0!</v>
      </c>
    </row>
    <row r="33" spans="2:35" s="8" customFormat="1" x14ac:dyDescent="0.35">
      <c r="B33" s="8" t="s">
        <v>30</v>
      </c>
      <c r="Q33" s="8">
        <f>Q27/Q$29</f>
        <v>6.875047920873055E-2</v>
      </c>
      <c r="R33" s="8">
        <f t="shared" ref="R33:Y33" si="14">R27/R$29</f>
        <v>5.9194897899479258E-2</v>
      </c>
      <c r="S33" s="8">
        <f t="shared" si="14"/>
        <v>4.5838234087365627E-2</v>
      </c>
      <c r="T33" s="8">
        <f t="shared" si="14"/>
        <v>4.3074013537913861E-2</v>
      </c>
      <c r="U33" s="8">
        <f t="shared" si="14"/>
        <v>5.1623314892018608E-2</v>
      </c>
      <c r="V33" s="8">
        <f t="shared" si="14"/>
        <v>5.6112967535356884E-2</v>
      </c>
      <c r="W33" s="8">
        <f t="shared" si="14"/>
        <v>6.5441744008735106E-2</v>
      </c>
      <c r="X33" s="8">
        <f t="shared" si="14"/>
        <v>9.4098564806629412E-2</v>
      </c>
      <c r="Y33" s="8">
        <f t="shared" si="14"/>
        <v>0.11154217438027066</v>
      </c>
      <c r="Z33" s="8">
        <f>Z27/Z$29</f>
        <v>0.10488030900696249</v>
      </c>
      <c r="AA33" s="8">
        <f t="shared" ref="AA33:AI33" si="15">AA27/AA$29</f>
        <v>0.10458552271205697</v>
      </c>
      <c r="AB33" s="8">
        <f t="shared" si="15"/>
        <v>0.1039565858303873</v>
      </c>
      <c r="AC33" s="8" t="e">
        <f t="shared" si="15"/>
        <v>#DIV/0!</v>
      </c>
      <c r="AD33" s="8" t="e">
        <f t="shared" si="15"/>
        <v>#DIV/0!</v>
      </c>
      <c r="AE33" s="8" t="e">
        <f t="shared" si="15"/>
        <v>#DIV/0!</v>
      </c>
      <c r="AF33" s="8" t="e">
        <f t="shared" si="15"/>
        <v>#DIV/0!</v>
      </c>
      <c r="AG33" s="8" t="e">
        <f t="shared" si="15"/>
        <v>#DIV/0!</v>
      </c>
      <c r="AH33" s="8" t="e">
        <f t="shared" si="15"/>
        <v>#DIV/0!</v>
      </c>
      <c r="AI33" s="8" t="e">
        <f t="shared" si="15"/>
        <v>#DIV/0!</v>
      </c>
    </row>
    <row r="34" spans="2:35" s="8" customFormat="1" x14ac:dyDescent="0.35">
      <c r="B34" s="9" t="s">
        <v>31</v>
      </c>
      <c r="Q34" s="8">
        <f>Q28/Q$29</f>
        <v>8.2360007156183704E-2</v>
      </c>
      <c r="R34" s="8">
        <f t="shared" ref="R34:Y34" si="16">R28/R$29</f>
        <v>9.3914925984436251E-2</v>
      </c>
      <c r="S34" s="8">
        <f t="shared" si="16"/>
        <v>9.8815613118520745E-2</v>
      </c>
      <c r="T34" s="8">
        <f t="shared" si="16"/>
        <v>8.5185311962484064E-2</v>
      </c>
      <c r="U34" s="8">
        <f t="shared" si="16"/>
        <v>0.11291092984107698</v>
      </c>
      <c r="V34" s="8">
        <f t="shared" si="16"/>
        <v>0.13078339164347347</v>
      </c>
      <c r="W34" s="8">
        <f t="shared" si="16"/>
        <v>0.14965643178523691</v>
      </c>
      <c r="X34" s="8">
        <f t="shared" si="16"/>
        <v>0.17792323598822327</v>
      </c>
      <c r="Y34" s="8">
        <f t="shared" si="16"/>
        <v>0.19586543540425841</v>
      </c>
      <c r="Z34" s="8">
        <f>Z28/Z$29</f>
        <v>0.18704707545029345</v>
      </c>
      <c r="AA34" s="8">
        <f t="shared" ref="AA34:AI34" si="17">AA28/AA$29</f>
        <v>0.19813201192915542</v>
      </c>
      <c r="AB34" s="8">
        <f t="shared" si="17"/>
        <v>0.222288897295746</v>
      </c>
      <c r="AC34" s="8" t="e">
        <f t="shared" si="17"/>
        <v>#DIV/0!</v>
      </c>
      <c r="AD34" s="8" t="e">
        <f t="shared" si="17"/>
        <v>#DIV/0!</v>
      </c>
      <c r="AE34" s="8" t="e">
        <f t="shared" si="17"/>
        <v>#DIV/0!</v>
      </c>
      <c r="AF34" s="8" t="e">
        <f t="shared" si="17"/>
        <v>#DIV/0!</v>
      </c>
      <c r="AG34" s="8" t="e">
        <f t="shared" si="17"/>
        <v>#DIV/0!</v>
      </c>
      <c r="AH34" s="8" t="e">
        <f t="shared" si="17"/>
        <v>#DIV/0!</v>
      </c>
      <c r="AI34" s="8" t="e">
        <f t="shared" si="17"/>
        <v>#DIV/0!</v>
      </c>
    </row>
    <row r="35" spans="2:35" s="7" customFormat="1" x14ac:dyDescent="0.35">
      <c r="B35" s="7" t="s">
        <v>32</v>
      </c>
    </row>
    <row r="36" spans="2:35" s="6" customFormat="1" x14ac:dyDescent="0.35">
      <c r="B36" s="6" t="s">
        <v>33</v>
      </c>
    </row>
    <row r="37" spans="2:35" s="4" customFormat="1" x14ac:dyDescent="0.35">
      <c r="B37" s="4" t="s">
        <v>34</v>
      </c>
      <c r="L37" s="4">
        <f>Q29-Q28</f>
        <v>143618</v>
      </c>
      <c r="M37" s="4">
        <f>R29-R28</f>
        <v>154859</v>
      </c>
      <c r="N37" s="4">
        <f>S29-S28</f>
        <v>164732</v>
      </c>
      <c r="O37" s="4">
        <f>T29-T28</f>
        <v>213805</v>
      </c>
      <c r="Q37" s="4">
        <v>143618</v>
      </c>
      <c r="R37" s="4">
        <v>154859</v>
      </c>
      <c r="S37" s="4">
        <v>164732</v>
      </c>
      <c r="T37" s="4">
        <v>213805</v>
      </c>
      <c r="U37" s="4">
        <v>191291</v>
      </c>
      <c r="V37" s="4">
        <v>216371</v>
      </c>
      <c r="W37" s="4">
        <v>225847</v>
      </c>
      <c r="X37" s="4">
        <v>213883</v>
      </c>
      <c r="Y37" s="4">
        <v>220747</v>
      </c>
      <c r="Z37" s="4">
        <v>297392</v>
      </c>
      <c r="AA37" s="4">
        <v>316199</v>
      </c>
      <c r="AB37" s="4">
        <v>298085</v>
      </c>
    </row>
    <row r="38" spans="2:35" s="5" customFormat="1" x14ac:dyDescent="0.35">
      <c r="B38" s="5" t="s">
        <v>31</v>
      </c>
      <c r="Q38" s="5">
        <v>12890</v>
      </c>
      <c r="R38" s="5">
        <v>16051</v>
      </c>
      <c r="S38" s="5">
        <v>18063</v>
      </c>
      <c r="T38" s="5">
        <v>19909</v>
      </c>
      <c r="U38" s="5">
        <v>24348</v>
      </c>
      <c r="V38" s="5">
        <v>12863</v>
      </c>
      <c r="W38" s="5">
        <v>39748</v>
      </c>
      <c r="X38" s="5">
        <v>46291</v>
      </c>
      <c r="Y38" s="5">
        <v>53768</v>
      </c>
      <c r="Z38" s="5">
        <v>68425</v>
      </c>
      <c r="AA38" s="5">
        <v>78129</v>
      </c>
      <c r="AB38" s="5">
        <v>85200</v>
      </c>
    </row>
    <row r="39" spans="2:35" s="12" customFormat="1" x14ac:dyDescent="0.35">
      <c r="B39" s="12" t="s">
        <v>35</v>
      </c>
      <c r="Q39" s="12">
        <f>SUM(Q37:Q38)</f>
        <v>156508</v>
      </c>
      <c r="R39" s="12">
        <f t="shared" ref="R39:AI39" si="18">SUM(R37:R38)</f>
        <v>170910</v>
      </c>
      <c r="S39" s="12">
        <f t="shared" si="18"/>
        <v>182795</v>
      </c>
      <c r="T39" s="12">
        <f t="shared" si="18"/>
        <v>233714</v>
      </c>
      <c r="U39" s="12">
        <f t="shared" si="18"/>
        <v>215639</v>
      </c>
      <c r="V39" s="12">
        <f t="shared" si="18"/>
        <v>229234</v>
      </c>
      <c r="W39" s="12">
        <f t="shared" si="18"/>
        <v>265595</v>
      </c>
      <c r="X39" s="12">
        <f t="shared" si="18"/>
        <v>260174</v>
      </c>
      <c r="Y39" s="12">
        <f t="shared" si="18"/>
        <v>274515</v>
      </c>
      <c r="Z39" s="12">
        <f t="shared" si="18"/>
        <v>365817</v>
      </c>
      <c r="AA39" s="12">
        <f t="shared" si="18"/>
        <v>394328</v>
      </c>
      <c r="AB39" s="12">
        <f t="shared" si="18"/>
        <v>383285</v>
      </c>
      <c r="AC39" s="12">
        <f t="shared" si="18"/>
        <v>0</v>
      </c>
      <c r="AD39" s="12">
        <f t="shared" si="18"/>
        <v>0</v>
      </c>
      <c r="AE39" s="12">
        <f t="shared" si="18"/>
        <v>0</v>
      </c>
      <c r="AF39" s="12">
        <f t="shared" si="18"/>
        <v>0</v>
      </c>
      <c r="AG39" s="12">
        <f t="shared" si="18"/>
        <v>0</v>
      </c>
      <c r="AH39" s="12">
        <f t="shared" si="18"/>
        <v>0</v>
      </c>
      <c r="AI39" s="12">
        <f t="shared" si="18"/>
        <v>0</v>
      </c>
    </row>
    <row r="40" spans="2:35" s="6" customFormat="1" x14ac:dyDescent="0.35">
      <c r="B40" s="6" t="s">
        <v>36</v>
      </c>
    </row>
    <row r="41" spans="2:35" s="4" customFormat="1" x14ac:dyDescent="0.35">
      <c r="B41" s="4" t="s">
        <v>34</v>
      </c>
      <c r="Q41" s="4">
        <v>87846</v>
      </c>
      <c r="R41" s="4">
        <v>106606</v>
      </c>
      <c r="S41" s="4">
        <v>112258</v>
      </c>
      <c r="T41" s="4">
        <v>140089</v>
      </c>
      <c r="U41" s="4">
        <v>131376</v>
      </c>
      <c r="V41" s="4">
        <v>141048</v>
      </c>
      <c r="W41" s="4">
        <v>148164</v>
      </c>
      <c r="X41" s="4">
        <v>144996</v>
      </c>
      <c r="Y41" s="4">
        <v>151286</v>
      </c>
      <c r="Z41" s="4">
        <v>192266</v>
      </c>
      <c r="AA41" s="4">
        <v>201471</v>
      </c>
      <c r="AB41" s="4">
        <v>189282</v>
      </c>
    </row>
    <row r="42" spans="2:35" s="5" customFormat="1" x14ac:dyDescent="0.35">
      <c r="B42" s="5" t="s">
        <v>31</v>
      </c>
      <c r="Q42" s="5">
        <v>0</v>
      </c>
      <c r="R42" s="5">
        <v>0</v>
      </c>
      <c r="S42" s="5">
        <v>0</v>
      </c>
      <c r="T42" s="5">
        <v>0</v>
      </c>
      <c r="U42" s="5">
        <v>0</v>
      </c>
      <c r="V42" s="5">
        <v>0</v>
      </c>
      <c r="W42" s="5">
        <v>15592</v>
      </c>
      <c r="X42" s="5">
        <v>16786</v>
      </c>
      <c r="Y42" s="5">
        <v>18273</v>
      </c>
      <c r="Z42" s="5">
        <v>20715</v>
      </c>
      <c r="AA42" s="5">
        <v>22075</v>
      </c>
      <c r="AB42" s="5">
        <v>24855</v>
      </c>
    </row>
    <row r="43" spans="2:35" s="10" customFormat="1" x14ac:dyDescent="0.35">
      <c r="B43" s="10" t="s">
        <v>37</v>
      </c>
      <c r="Q43" s="10">
        <f>SUM(Q41:Q42)</f>
        <v>87846</v>
      </c>
      <c r="R43" s="10">
        <f t="shared" ref="R43:AI43" si="19">SUM(R41:R42)</f>
        <v>106606</v>
      </c>
      <c r="S43" s="10">
        <f t="shared" si="19"/>
        <v>112258</v>
      </c>
      <c r="T43" s="10">
        <f t="shared" si="19"/>
        <v>140089</v>
      </c>
      <c r="U43" s="10">
        <f t="shared" si="19"/>
        <v>131376</v>
      </c>
      <c r="V43" s="10">
        <f t="shared" si="19"/>
        <v>141048</v>
      </c>
      <c r="W43" s="10">
        <f t="shared" si="19"/>
        <v>163756</v>
      </c>
      <c r="X43" s="10">
        <f t="shared" si="19"/>
        <v>161782</v>
      </c>
      <c r="Y43" s="10">
        <f t="shared" si="19"/>
        <v>169559</v>
      </c>
      <c r="Z43" s="10">
        <f t="shared" si="19"/>
        <v>212981</v>
      </c>
      <c r="AA43" s="10">
        <f t="shared" si="19"/>
        <v>223546</v>
      </c>
      <c r="AB43" s="10">
        <f t="shared" si="19"/>
        <v>214137</v>
      </c>
      <c r="AC43" s="10">
        <f t="shared" si="19"/>
        <v>0</v>
      </c>
      <c r="AD43" s="10">
        <f t="shared" si="19"/>
        <v>0</v>
      </c>
      <c r="AE43" s="10">
        <f t="shared" si="19"/>
        <v>0</v>
      </c>
      <c r="AF43" s="10">
        <f t="shared" si="19"/>
        <v>0</v>
      </c>
      <c r="AG43" s="10">
        <f t="shared" si="19"/>
        <v>0</v>
      </c>
      <c r="AH43" s="10">
        <f t="shared" si="19"/>
        <v>0</v>
      </c>
      <c r="AI43" s="10">
        <f t="shared" si="19"/>
        <v>0</v>
      </c>
    </row>
    <row r="44" spans="2:35" s="4" customFormat="1" x14ac:dyDescent="0.35">
      <c r="B44" s="4" t="s">
        <v>38</v>
      </c>
      <c r="Q44" s="4">
        <f>Q39-Q43</f>
        <v>68662</v>
      </c>
      <c r="R44" s="4">
        <f t="shared" ref="R44:AI44" si="20">R39-R43</f>
        <v>64304</v>
      </c>
      <c r="S44" s="4">
        <f t="shared" si="20"/>
        <v>70537</v>
      </c>
      <c r="T44" s="4">
        <f t="shared" si="20"/>
        <v>93625</v>
      </c>
      <c r="U44" s="4">
        <f t="shared" si="20"/>
        <v>84263</v>
      </c>
      <c r="V44" s="4">
        <f t="shared" si="20"/>
        <v>88186</v>
      </c>
      <c r="W44" s="4">
        <f t="shared" si="20"/>
        <v>101839</v>
      </c>
      <c r="X44" s="4">
        <f t="shared" si="20"/>
        <v>98392</v>
      </c>
      <c r="Y44" s="4">
        <f t="shared" si="20"/>
        <v>104956</v>
      </c>
      <c r="Z44" s="4">
        <f t="shared" si="20"/>
        <v>152836</v>
      </c>
      <c r="AA44" s="4">
        <f t="shared" si="20"/>
        <v>170782</v>
      </c>
      <c r="AB44" s="4">
        <f t="shared" si="20"/>
        <v>169148</v>
      </c>
      <c r="AC44" s="4">
        <f t="shared" si="20"/>
        <v>0</v>
      </c>
      <c r="AD44" s="4">
        <f t="shared" si="20"/>
        <v>0</v>
      </c>
      <c r="AE44" s="4">
        <f t="shared" si="20"/>
        <v>0</v>
      </c>
      <c r="AF44" s="4">
        <f t="shared" si="20"/>
        <v>0</v>
      </c>
      <c r="AG44" s="4">
        <f t="shared" si="20"/>
        <v>0</v>
      </c>
      <c r="AH44" s="4">
        <f t="shared" si="20"/>
        <v>0</v>
      </c>
      <c r="AI44" s="4">
        <f t="shared" si="20"/>
        <v>0</v>
      </c>
    </row>
    <row r="45" spans="2:35" s="8" customFormat="1" x14ac:dyDescent="0.35">
      <c r="B45" s="8" t="s">
        <v>39</v>
      </c>
      <c r="Q45" s="8">
        <f>Q44/Q39</f>
        <v>0.43871239808827661</v>
      </c>
      <c r="R45" s="8">
        <f t="shared" ref="R45:AI45" si="21">R44/R39</f>
        <v>0.37624480720847231</v>
      </c>
      <c r="S45" s="8">
        <f t="shared" si="21"/>
        <v>0.38588035777783858</v>
      </c>
      <c r="T45" s="8">
        <f t="shared" si="21"/>
        <v>0.40059645549688938</v>
      </c>
      <c r="U45" s="8">
        <f t="shared" si="21"/>
        <v>0.39075955648097049</v>
      </c>
      <c r="V45" s="8">
        <f t="shared" si="21"/>
        <v>0.38469860491899105</v>
      </c>
      <c r="W45" s="8">
        <f t="shared" si="21"/>
        <v>0.38343718820007905</v>
      </c>
      <c r="X45" s="8">
        <f t="shared" si="21"/>
        <v>0.37817768109034722</v>
      </c>
      <c r="Y45" s="8">
        <f t="shared" si="21"/>
        <v>0.38233247727810865</v>
      </c>
      <c r="Z45" s="8">
        <f t="shared" si="21"/>
        <v>0.41779359625167778</v>
      </c>
      <c r="AA45" s="8">
        <f t="shared" si="21"/>
        <v>0.43309630561360085</v>
      </c>
      <c r="AB45" s="8">
        <f t="shared" si="21"/>
        <v>0.44131129577207562</v>
      </c>
      <c r="AC45" s="8" t="e">
        <f t="shared" si="21"/>
        <v>#DIV/0!</v>
      </c>
      <c r="AD45" s="8" t="e">
        <f t="shared" si="21"/>
        <v>#DIV/0!</v>
      </c>
      <c r="AE45" s="8" t="e">
        <f t="shared" si="21"/>
        <v>#DIV/0!</v>
      </c>
      <c r="AF45" s="8" t="e">
        <f t="shared" si="21"/>
        <v>#DIV/0!</v>
      </c>
      <c r="AG45" s="8" t="e">
        <f t="shared" si="21"/>
        <v>#DIV/0!</v>
      </c>
      <c r="AH45" s="8" t="e">
        <f t="shared" si="21"/>
        <v>#DIV/0!</v>
      </c>
      <c r="AI45" s="8" t="e">
        <f t="shared" si="21"/>
        <v>#DIV/0!</v>
      </c>
    </row>
    <row r="46" spans="2:35" s="6" customFormat="1" x14ac:dyDescent="0.35">
      <c r="B46" s="6" t="s">
        <v>40</v>
      </c>
    </row>
    <row r="47" spans="2:35" s="4" customFormat="1" x14ac:dyDescent="0.35">
      <c r="B47" s="4" t="s">
        <v>41</v>
      </c>
      <c r="Q47" s="4">
        <v>3381</v>
      </c>
      <c r="R47" s="4">
        <v>4475</v>
      </c>
      <c r="S47" s="4">
        <v>6041</v>
      </c>
      <c r="T47" s="4">
        <v>8067</v>
      </c>
      <c r="U47" s="4">
        <v>10045</v>
      </c>
      <c r="V47" s="4">
        <v>11581</v>
      </c>
      <c r="W47" s="4">
        <v>14236</v>
      </c>
      <c r="X47" s="4">
        <v>16217</v>
      </c>
      <c r="Y47" s="4">
        <v>18752</v>
      </c>
      <c r="Z47" s="4">
        <v>21914</v>
      </c>
      <c r="AA47" s="4">
        <v>26251</v>
      </c>
      <c r="AB47" s="4">
        <v>29915</v>
      </c>
    </row>
    <row r="48" spans="2:35" s="5" customFormat="1" x14ac:dyDescent="0.35">
      <c r="B48" s="5" t="s">
        <v>42</v>
      </c>
      <c r="Q48" s="5">
        <v>10040</v>
      </c>
      <c r="R48" s="5">
        <v>10830</v>
      </c>
      <c r="S48" s="5">
        <v>11993</v>
      </c>
      <c r="T48" s="5">
        <v>14329</v>
      </c>
      <c r="U48" s="5">
        <v>14194</v>
      </c>
      <c r="V48" s="5">
        <v>15261</v>
      </c>
      <c r="W48" s="5">
        <v>16705</v>
      </c>
      <c r="X48" s="5">
        <v>18245</v>
      </c>
      <c r="Y48" s="5">
        <v>19916</v>
      </c>
      <c r="Z48" s="5">
        <v>21973</v>
      </c>
      <c r="AA48" s="5">
        <v>25094</v>
      </c>
      <c r="AB48" s="5">
        <v>24932</v>
      </c>
    </row>
    <row r="49" spans="2:35" s="5" customFormat="1" x14ac:dyDescent="0.35">
      <c r="B49" s="5" t="s">
        <v>43</v>
      </c>
      <c r="Q49" s="5">
        <f>SUM(Q47:Q48)</f>
        <v>13421</v>
      </c>
      <c r="R49" s="5">
        <f t="shared" ref="R49:AI49" si="22">SUM(R47:R48)</f>
        <v>15305</v>
      </c>
      <c r="S49" s="5">
        <f t="shared" si="22"/>
        <v>18034</v>
      </c>
      <c r="T49" s="5">
        <f t="shared" si="22"/>
        <v>22396</v>
      </c>
      <c r="U49" s="5">
        <f t="shared" si="22"/>
        <v>24239</v>
      </c>
      <c r="V49" s="5">
        <f t="shared" si="22"/>
        <v>26842</v>
      </c>
      <c r="W49" s="5">
        <f t="shared" si="22"/>
        <v>30941</v>
      </c>
      <c r="X49" s="5">
        <f t="shared" si="22"/>
        <v>34462</v>
      </c>
      <c r="Y49" s="5">
        <f t="shared" si="22"/>
        <v>38668</v>
      </c>
      <c r="Z49" s="5">
        <f t="shared" si="22"/>
        <v>43887</v>
      </c>
      <c r="AA49" s="5">
        <f t="shared" si="22"/>
        <v>51345</v>
      </c>
      <c r="AB49" s="5">
        <f t="shared" si="22"/>
        <v>54847</v>
      </c>
      <c r="AC49" s="5">
        <f t="shared" si="22"/>
        <v>0</v>
      </c>
      <c r="AD49" s="5">
        <f t="shared" si="22"/>
        <v>0</v>
      </c>
      <c r="AE49" s="5">
        <f t="shared" si="22"/>
        <v>0</v>
      </c>
      <c r="AF49" s="5">
        <f t="shared" si="22"/>
        <v>0</v>
      </c>
      <c r="AG49" s="5">
        <f t="shared" si="22"/>
        <v>0</v>
      </c>
      <c r="AH49" s="5">
        <f t="shared" si="22"/>
        <v>0</v>
      </c>
      <c r="AI49" s="5">
        <f t="shared" si="22"/>
        <v>0</v>
      </c>
    </row>
    <row r="50" spans="2:35" s="4" customFormat="1" x14ac:dyDescent="0.35">
      <c r="B50" s="4" t="s">
        <v>44</v>
      </c>
      <c r="Q50" s="4">
        <f>Q44-Q49</f>
        <v>55241</v>
      </c>
      <c r="R50" s="4">
        <f t="shared" ref="R50:AI50" si="23">R44-R49</f>
        <v>48999</v>
      </c>
      <c r="S50" s="4">
        <f t="shared" si="23"/>
        <v>52503</v>
      </c>
      <c r="T50" s="4">
        <f t="shared" si="23"/>
        <v>71229</v>
      </c>
      <c r="U50" s="4">
        <f t="shared" si="23"/>
        <v>60024</v>
      </c>
      <c r="V50" s="4">
        <f t="shared" si="23"/>
        <v>61344</v>
      </c>
      <c r="W50" s="4">
        <f t="shared" si="23"/>
        <v>70898</v>
      </c>
      <c r="X50" s="4">
        <f t="shared" si="23"/>
        <v>63930</v>
      </c>
      <c r="Y50" s="4">
        <f t="shared" si="23"/>
        <v>66288</v>
      </c>
      <c r="Z50" s="4">
        <f t="shared" si="23"/>
        <v>108949</v>
      </c>
      <c r="AA50" s="4">
        <f t="shared" si="23"/>
        <v>119437</v>
      </c>
      <c r="AB50" s="4">
        <f t="shared" si="23"/>
        <v>114301</v>
      </c>
      <c r="AC50" s="4">
        <f t="shared" si="23"/>
        <v>0</v>
      </c>
      <c r="AD50" s="4">
        <f t="shared" si="23"/>
        <v>0</v>
      </c>
      <c r="AE50" s="4">
        <f t="shared" si="23"/>
        <v>0</v>
      </c>
      <c r="AF50" s="4">
        <f t="shared" si="23"/>
        <v>0</v>
      </c>
      <c r="AG50" s="4">
        <f t="shared" si="23"/>
        <v>0</v>
      </c>
      <c r="AH50" s="4">
        <f t="shared" si="23"/>
        <v>0</v>
      </c>
      <c r="AI50" s="4">
        <f t="shared" si="23"/>
        <v>0</v>
      </c>
    </row>
    <row r="51" spans="2:35" s="8" customFormat="1" x14ac:dyDescent="0.35">
      <c r="B51" s="8" t="s">
        <v>45</v>
      </c>
      <c r="Q51" s="8">
        <f>Q50/Q39</f>
        <v>0.35295959311984054</v>
      </c>
      <c r="R51" s="8">
        <f t="shared" ref="R51:AI51" si="24">R50/R39</f>
        <v>0.28669475162366159</v>
      </c>
      <c r="S51" s="8">
        <f t="shared" si="24"/>
        <v>0.28722339232473537</v>
      </c>
      <c r="T51" s="8">
        <f t="shared" si="24"/>
        <v>0.30476993248158007</v>
      </c>
      <c r="U51" s="8">
        <f t="shared" si="24"/>
        <v>0.27835410106706115</v>
      </c>
      <c r="V51" s="8">
        <f t="shared" si="24"/>
        <v>0.26760428208729942</v>
      </c>
      <c r="W51" s="8">
        <f t="shared" si="24"/>
        <v>0.26694026619477024</v>
      </c>
      <c r="X51" s="8">
        <f t="shared" si="24"/>
        <v>0.24572017188496928</v>
      </c>
      <c r="Y51" s="8">
        <f t="shared" si="24"/>
        <v>0.24147314354406862</v>
      </c>
      <c r="Z51" s="8">
        <f t="shared" si="24"/>
        <v>0.29782377527561593</v>
      </c>
      <c r="AA51" s="8">
        <f t="shared" si="24"/>
        <v>0.30288744395528594</v>
      </c>
      <c r="AB51" s="8">
        <f t="shared" si="24"/>
        <v>0.29821412265024722</v>
      </c>
      <c r="AC51" s="8" t="e">
        <f t="shared" si="24"/>
        <v>#DIV/0!</v>
      </c>
      <c r="AD51" s="8" t="e">
        <f t="shared" si="24"/>
        <v>#DIV/0!</v>
      </c>
      <c r="AE51" s="8" t="e">
        <f t="shared" si="24"/>
        <v>#DIV/0!</v>
      </c>
      <c r="AF51" s="8" t="e">
        <f t="shared" si="24"/>
        <v>#DIV/0!</v>
      </c>
      <c r="AG51" s="8" t="e">
        <f t="shared" si="24"/>
        <v>#DIV/0!</v>
      </c>
      <c r="AH51" s="8" t="e">
        <f t="shared" si="24"/>
        <v>#DIV/0!</v>
      </c>
      <c r="AI51" s="8" t="e">
        <f t="shared" si="24"/>
        <v>#DIV/0!</v>
      </c>
    </row>
    <row r="52" spans="2:35" s="6" customFormat="1" x14ac:dyDescent="0.35">
      <c r="B52" s="6" t="s">
        <v>54</v>
      </c>
    </row>
    <row r="53" spans="2:35" s="5" customFormat="1" x14ac:dyDescent="0.35">
      <c r="B53" s="5" t="s">
        <v>46</v>
      </c>
      <c r="Q53" s="5">
        <v>522</v>
      </c>
      <c r="R53" s="5">
        <v>1156</v>
      </c>
      <c r="S53" s="5">
        <v>980</v>
      </c>
      <c r="T53" s="5">
        <v>1285</v>
      </c>
      <c r="U53" s="5">
        <v>1348</v>
      </c>
      <c r="V53" s="5">
        <v>2745</v>
      </c>
      <c r="W53" s="5">
        <v>2005</v>
      </c>
      <c r="X53" s="5">
        <v>1807</v>
      </c>
      <c r="Y53" s="5">
        <v>803</v>
      </c>
      <c r="Z53" s="5">
        <v>258</v>
      </c>
      <c r="AA53" s="5">
        <v>-334</v>
      </c>
      <c r="AB53" s="5">
        <v>-565</v>
      </c>
    </row>
    <row r="54" spans="2:35" s="4" customFormat="1" x14ac:dyDescent="0.35">
      <c r="B54" s="4" t="s">
        <v>47</v>
      </c>
      <c r="Q54" s="4">
        <f>Q50+Q53</f>
        <v>55763</v>
      </c>
      <c r="R54" s="4">
        <f t="shared" ref="R54:AI54" si="25">R50+R53</f>
        <v>50155</v>
      </c>
      <c r="S54" s="4">
        <f t="shared" si="25"/>
        <v>53483</v>
      </c>
      <c r="T54" s="4">
        <f t="shared" si="25"/>
        <v>72514</v>
      </c>
      <c r="U54" s="4">
        <f t="shared" si="25"/>
        <v>61372</v>
      </c>
      <c r="V54" s="4">
        <f t="shared" si="25"/>
        <v>64089</v>
      </c>
      <c r="W54" s="4">
        <f t="shared" si="25"/>
        <v>72903</v>
      </c>
      <c r="X54" s="4">
        <f t="shared" si="25"/>
        <v>65737</v>
      </c>
      <c r="Y54" s="4">
        <f t="shared" si="25"/>
        <v>67091</v>
      </c>
      <c r="Z54" s="4">
        <f t="shared" si="25"/>
        <v>109207</v>
      </c>
      <c r="AA54" s="4">
        <f t="shared" si="25"/>
        <v>119103</v>
      </c>
      <c r="AB54" s="4">
        <f t="shared" si="25"/>
        <v>113736</v>
      </c>
      <c r="AC54" s="4">
        <f t="shared" si="25"/>
        <v>0</v>
      </c>
      <c r="AD54" s="4">
        <f t="shared" si="25"/>
        <v>0</v>
      </c>
      <c r="AE54" s="4">
        <f t="shared" si="25"/>
        <v>0</v>
      </c>
      <c r="AF54" s="4">
        <f t="shared" si="25"/>
        <v>0</v>
      </c>
      <c r="AG54" s="4">
        <f t="shared" si="25"/>
        <v>0</v>
      </c>
      <c r="AH54" s="4">
        <f t="shared" si="25"/>
        <v>0</v>
      </c>
      <c r="AI54" s="4">
        <f t="shared" si="25"/>
        <v>0</v>
      </c>
    </row>
    <row r="55" spans="2:35" s="5" customFormat="1" x14ac:dyDescent="0.35">
      <c r="B55" s="5" t="s">
        <v>48</v>
      </c>
      <c r="Q55" s="5">
        <v>14030</v>
      </c>
      <c r="R55" s="5">
        <v>13118</v>
      </c>
      <c r="S55" s="5">
        <v>13973</v>
      </c>
      <c r="T55" s="5">
        <v>19121</v>
      </c>
      <c r="U55" s="5">
        <v>15685</v>
      </c>
      <c r="V55" s="5">
        <v>15738</v>
      </c>
      <c r="W55" s="5">
        <v>13372</v>
      </c>
      <c r="X55" s="5">
        <v>10481</v>
      </c>
      <c r="Y55" s="5">
        <v>9680</v>
      </c>
      <c r="Z55" s="5">
        <v>14527</v>
      </c>
      <c r="AA55" s="5">
        <v>19300</v>
      </c>
      <c r="AB55" s="5">
        <v>16741</v>
      </c>
    </row>
    <row r="56" spans="2:35" s="4" customFormat="1" x14ac:dyDescent="0.35">
      <c r="B56" s="4" t="s">
        <v>49</v>
      </c>
      <c r="Q56" s="4">
        <f>Q54-Q55</f>
        <v>41733</v>
      </c>
      <c r="R56" s="4">
        <f t="shared" ref="R56:AI56" si="26">R54-R55</f>
        <v>37037</v>
      </c>
      <c r="S56" s="4">
        <f t="shared" si="26"/>
        <v>39510</v>
      </c>
      <c r="T56" s="4">
        <f t="shared" si="26"/>
        <v>53393</v>
      </c>
      <c r="U56" s="4">
        <f t="shared" si="26"/>
        <v>45687</v>
      </c>
      <c r="V56" s="4">
        <f t="shared" si="26"/>
        <v>48351</v>
      </c>
      <c r="W56" s="4">
        <f t="shared" si="26"/>
        <v>59531</v>
      </c>
      <c r="X56" s="4">
        <f t="shared" si="26"/>
        <v>55256</v>
      </c>
      <c r="Y56" s="4">
        <f t="shared" si="26"/>
        <v>57411</v>
      </c>
      <c r="Z56" s="4">
        <f t="shared" si="26"/>
        <v>94680</v>
      </c>
      <c r="AA56" s="4">
        <f t="shared" si="26"/>
        <v>99803</v>
      </c>
      <c r="AB56" s="4">
        <f t="shared" si="26"/>
        <v>96995</v>
      </c>
      <c r="AC56" s="4">
        <f t="shared" si="26"/>
        <v>0</v>
      </c>
      <c r="AD56" s="4">
        <f t="shared" si="26"/>
        <v>0</v>
      </c>
      <c r="AE56" s="4">
        <f t="shared" si="26"/>
        <v>0</v>
      </c>
      <c r="AF56" s="4">
        <f t="shared" si="26"/>
        <v>0</v>
      </c>
      <c r="AG56" s="4">
        <f t="shared" si="26"/>
        <v>0</v>
      </c>
      <c r="AH56" s="4">
        <f t="shared" si="26"/>
        <v>0</v>
      </c>
      <c r="AI56" s="4">
        <f t="shared" si="26"/>
        <v>0</v>
      </c>
    </row>
    <row r="57" spans="2:35" s="4" customFormat="1" x14ac:dyDescent="0.35"/>
    <row r="58" spans="2:35" s="11" customFormat="1" x14ac:dyDescent="0.35">
      <c r="B58" s="11" t="s">
        <v>50</v>
      </c>
      <c r="Q58" s="11">
        <f>Q56/Q60</f>
        <v>6.37755920709394</v>
      </c>
      <c r="R58" s="11">
        <f t="shared" ref="R58:AI58" si="27">R56/R60</f>
        <v>5.7179512514434983</v>
      </c>
      <c r="S58" s="11">
        <f t="shared" si="27"/>
        <v>6.4924053153918813</v>
      </c>
      <c r="T58" s="11">
        <f t="shared" si="27"/>
        <v>9.2802178043289363</v>
      </c>
      <c r="U58" s="11">
        <f t="shared" si="27"/>
        <v>8.3510333003096431</v>
      </c>
      <c r="V58" s="11">
        <f t="shared" si="27"/>
        <v>9.2675402061088974</v>
      </c>
      <c r="W58" s="11">
        <f t="shared" si="27"/>
        <v>3.0033534276651981</v>
      </c>
      <c r="X58" s="11">
        <f t="shared" si="27"/>
        <v>2.9914457730615696</v>
      </c>
      <c r="Y58" s="11">
        <f t="shared" si="27"/>
        <v>3.3085872682177895</v>
      </c>
      <c r="Z58" s="11">
        <f t="shared" si="27"/>
        <v>5.6690292811230183</v>
      </c>
      <c r="AA58" s="11">
        <f t="shared" si="27"/>
        <v>6.1546144376377772</v>
      </c>
      <c r="AB58" s="11">
        <f t="shared" si="27"/>
        <v>6.1606692635543778</v>
      </c>
      <c r="AC58" s="11" t="e">
        <f t="shared" si="27"/>
        <v>#DIV/0!</v>
      </c>
      <c r="AD58" s="11" t="e">
        <f t="shared" si="27"/>
        <v>#DIV/0!</v>
      </c>
      <c r="AE58" s="11" t="e">
        <f t="shared" si="27"/>
        <v>#DIV/0!</v>
      </c>
      <c r="AF58" s="11" t="e">
        <f t="shared" si="27"/>
        <v>#DIV/0!</v>
      </c>
      <c r="AG58" s="11" t="e">
        <f t="shared" si="27"/>
        <v>#DIV/0!</v>
      </c>
      <c r="AH58" s="11" t="e">
        <f t="shared" si="27"/>
        <v>#DIV/0!</v>
      </c>
      <c r="AI58" s="11" t="e">
        <f t="shared" si="27"/>
        <v>#DIV/0!</v>
      </c>
    </row>
    <row r="59" spans="2:35" s="11" customFormat="1" x14ac:dyDescent="0.35">
      <c r="B59" s="11" t="s">
        <v>51</v>
      </c>
      <c r="Q59" s="11">
        <f>Q56/Q61</f>
        <v>6.3064763445557777</v>
      </c>
      <c r="R59" s="11">
        <f t="shared" ref="R59:AI59" si="28">R56/R61</f>
        <v>5.6790982137298718</v>
      </c>
      <c r="S59" s="11">
        <f t="shared" si="28"/>
        <v>6.4530744220284548</v>
      </c>
      <c r="T59" s="11">
        <f t="shared" si="28"/>
        <v>9.2167036159935254</v>
      </c>
      <c r="U59" s="11">
        <f t="shared" si="28"/>
        <v>8.3063028961611227</v>
      </c>
      <c r="V59" s="11">
        <f t="shared" si="28"/>
        <v>9.2067470826545037</v>
      </c>
      <c r="W59" s="11">
        <f t="shared" si="28"/>
        <v>2.9764852614455632</v>
      </c>
      <c r="X59" s="11">
        <f t="shared" si="28"/>
        <v>2.9714474637107351</v>
      </c>
      <c r="Y59" s="11">
        <f t="shared" si="28"/>
        <v>3.2753479618630856</v>
      </c>
      <c r="Z59" s="11">
        <f t="shared" si="28"/>
        <v>5.6140204408927188</v>
      </c>
      <c r="AA59" s="11">
        <f t="shared" si="28"/>
        <v>6.1132002014722815</v>
      </c>
      <c r="AB59" s="11">
        <f t="shared" si="28"/>
        <v>6.1340529138031972</v>
      </c>
      <c r="AC59" s="11" t="e">
        <f t="shared" si="28"/>
        <v>#DIV/0!</v>
      </c>
      <c r="AD59" s="11" t="e">
        <f t="shared" si="28"/>
        <v>#DIV/0!</v>
      </c>
      <c r="AE59" s="11" t="e">
        <f t="shared" si="28"/>
        <v>#DIV/0!</v>
      </c>
      <c r="AF59" s="11" t="e">
        <f t="shared" si="28"/>
        <v>#DIV/0!</v>
      </c>
      <c r="AG59" s="11" t="e">
        <f t="shared" si="28"/>
        <v>#DIV/0!</v>
      </c>
      <c r="AH59" s="11" t="e">
        <f t="shared" si="28"/>
        <v>#DIV/0!</v>
      </c>
      <c r="AI59" s="11" t="e">
        <f t="shared" si="28"/>
        <v>#DIV/0!</v>
      </c>
    </row>
    <row r="60" spans="2:35" s="4" customFormat="1" x14ac:dyDescent="0.35">
      <c r="B60" s="4" t="s">
        <v>52</v>
      </c>
      <c r="Q60" s="4">
        <v>6543.7259999999997</v>
      </c>
      <c r="R60" s="4">
        <v>6477.32</v>
      </c>
      <c r="S60" s="4">
        <v>6085.5720000000001</v>
      </c>
      <c r="T60" s="4">
        <v>5753.4210000000003</v>
      </c>
      <c r="U60" s="4">
        <v>5470.82</v>
      </c>
      <c r="V60" s="4">
        <v>5217.2420000000002</v>
      </c>
      <c r="W60" s="4">
        <v>19821.509999999998</v>
      </c>
      <c r="X60" s="4">
        <v>18471.335999999999</v>
      </c>
      <c r="Y60" s="4">
        <v>17352.118999999999</v>
      </c>
      <c r="Z60" s="4">
        <v>16701.272000000001</v>
      </c>
      <c r="AA60" s="4">
        <v>16215.963</v>
      </c>
      <c r="AB60" s="4">
        <v>15744.231</v>
      </c>
    </row>
    <row r="61" spans="2:35" s="4" customFormat="1" x14ac:dyDescent="0.35">
      <c r="B61" s="4" t="s">
        <v>53</v>
      </c>
      <c r="Q61" s="4">
        <v>6617.4830000000002</v>
      </c>
      <c r="R61" s="4">
        <v>6521.634</v>
      </c>
      <c r="S61" s="4">
        <v>6122.6629999999996</v>
      </c>
      <c r="T61" s="4">
        <v>5793.0690000000004</v>
      </c>
      <c r="U61" s="4">
        <v>5500.2809999999999</v>
      </c>
      <c r="V61" s="4">
        <v>5251.692</v>
      </c>
      <c r="W61" s="4">
        <v>20000.435000000001</v>
      </c>
      <c r="X61" s="4">
        <v>18595.651000000002</v>
      </c>
      <c r="Y61" s="4">
        <v>17528.214</v>
      </c>
      <c r="Z61" s="4">
        <v>16864.919000000002</v>
      </c>
      <c r="AA61" s="4">
        <v>16325.819</v>
      </c>
      <c r="AB61" s="4">
        <v>15812.547</v>
      </c>
    </row>
    <row r="62" spans="2:35" s="4" customFormat="1" x14ac:dyDescent="0.35"/>
    <row r="63" spans="2:35" s="7" customFormat="1" x14ac:dyDescent="0.35">
      <c r="B63" s="7" t="s">
        <v>55</v>
      </c>
    </row>
    <row r="64" spans="2:35" s="6" customFormat="1" x14ac:dyDescent="0.35">
      <c r="B64" s="6" t="s">
        <v>56</v>
      </c>
    </row>
    <row r="65" spans="2:35" s="4" customFormat="1" x14ac:dyDescent="0.35">
      <c r="B65" s="4" t="s">
        <v>61</v>
      </c>
      <c r="R65" s="4">
        <v>14259</v>
      </c>
      <c r="S65" s="4">
        <v>13844</v>
      </c>
      <c r="T65" s="4">
        <v>21120</v>
      </c>
      <c r="U65" s="4">
        <v>20484</v>
      </c>
      <c r="V65" s="4">
        <v>20289</v>
      </c>
      <c r="W65" s="4">
        <v>25913</v>
      </c>
      <c r="X65" s="4">
        <v>48844</v>
      </c>
      <c r="Y65" s="4">
        <v>38016</v>
      </c>
      <c r="Z65" s="4">
        <v>34940</v>
      </c>
      <c r="AA65" s="4">
        <v>23646</v>
      </c>
      <c r="AB65" s="4">
        <v>29965</v>
      </c>
    </row>
    <row r="66" spans="2:35" s="4" customFormat="1" x14ac:dyDescent="0.35">
      <c r="B66" s="4" t="s">
        <v>62</v>
      </c>
      <c r="R66" s="4">
        <v>26287</v>
      </c>
      <c r="S66" s="4">
        <v>11233</v>
      </c>
      <c r="T66" s="4">
        <v>20481</v>
      </c>
      <c r="U66" s="4">
        <v>46671</v>
      </c>
      <c r="V66" s="4">
        <v>53892</v>
      </c>
      <c r="W66" s="4">
        <v>40388</v>
      </c>
      <c r="X66" s="4">
        <v>51713</v>
      </c>
      <c r="Y66" s="4">
        <v>52927</v>
      </c>
      <c r="Z66" s="4">
        <v>27699</v>
      </c>
      <c r="AA66" s="4">
        <v>24658</v>
      </c>
      <c r="AB66" s="4">
        <v>31590</v>
      </c>
    </row>
    <row r="67" spans="2:35" s="4" customFormat="1" x14ac:dyDescent="0.35">
      <c r="B67" s="4" t="s">
        <v>63</v>
      </c>
      <c r="R67" s="4">
        <v>13102</v>
      </c>
      <c r="S67" s="4">
        <v>17460</v>
      </c>
      <c r="T67" s="4">
        <v>16849</v>
      </c>
      <c r="U67" s="4">
        <v>15754</v>
      </c>
      <c r="V67" s="4">
        <v>17874</v>
      </c>
      <c r="W67" s="4">
        <v>23186</v>
      </c>
      <c r="X67" s="4">
        <v>22926</v>
      </c>
      <c r="Y67" s="4">
        <v>16120</v>
      </c>
      <c r="Z67" s="4">
        <v>26278</v>
      </c>
      <c r="AA67" s="4">
        <v>28184</v>
      </c>
      <c r="AB67" s="4">
        <v>29508</v>
      </c>
    </row>
    <row r="68" spans="2:35" s="4" customFormat="1" x14ac:dyDescent="0.35">
      <c r="B68" s="4" t="s">
        <v>64</v>
      </c>
      <c r="R68" s="4">
        <v>1764</v>
      </c>
      <c r="S68" s="4">
        <v>2111</v>
      </c>
      <c r="T68" s="4">
        <v>2349</v>
      </c>
      <c r="U68" s="4">
        <v>2132</v>
      </c>
      <c r="V68" s="4">
        <v>4855</v>
      </c>
      <c r="W68" s="4">
        <v>3956</v>
      </c>
      <c r="X68" s="4">
        <v>4106</v>
      </c>
      <c r="Y68" s="4">
        <v>4061</v>
      </c>
      <c r="Z68" s="4">
        <v>6580</v>
      </c>
      <c r="AA68" s="4">
        <v>32748</v>
      </c>
      <c r="AB68" s="4">
        <v>31477</v>
      </c>
    </row>
    <row r="69" spans="2:35" s="4" customFormat="1" x14ac:dyDescent="0.35">
      <c r="B69" s="4" t="s">
        <v>65</v>
      </c>
      <c r="R69" s="4">
        <v>3453</v>
      </c>
      <c r="S69" s="4">
        <v>4318</v>
      </c>
      <c r="T69" s="4">
        <v>13494</v>
      </c>
      <c r="U69" s="4">
        <v>13545</v>
      </c>
      <c r="V69" s="4">
        <v>17799</v>
      </c>
      <c r="W69" s="4">
        <v>25809</v>
      </c>
      <c r="X69" s="4">
        <v>22878</v>
      </c>
      <c r="Y69" s="4">
        <v>21325</v>
      </c>
      <c r="Z69" s="4">
        <v>25228</v>
      </c>
      <c r="AA69" s="4">
        <v>4946</v>
      </c>
      <c r="AB69" s="4">
        <v>6331</v>
      </c>
    </row>
    <row r="70" spans="2:35" s="5" customFormat="1" x14ac:dyDescent="0.35">
      <c r="B70" s="5" t="s">
        <v>66</v>
      </c>
      <c r="R70" s="5">
        <f>7539+6882</f>
        <v>14421</v>
      </c>
      <c r="S70" s="5">
        <f>9759+9806</f>
        <v>19565</v>
      </c>
      <c r="T70" s="5">
        <v>15085</v>
      </c>
      <c r="U70" s="5">
        <v>8283</v>
      </c>
      <c r="V70" s="5">
        <v>13936</v>
      </c>
      <c r="W70" s="5">
        <v>12087</v>
      </c>
      <c r="X70" s="5">
        <v>12352</v>
      </c>
      <c r="Y70" s="5">
        <v>11264</v>
      </c>
      <c r="Z70" s="5">
        <v>14111</v>
      </c>
      <c r="AA70" s="5">
        <v>21223</v>
      </c>
      <c r="AB70" s="5">
        <v>14695</v>
      </c>
    </row>
    <row r="71" spans="2:35" s="4" customFormat="1" x14ac:dyDescent="0.35">
      <c r="B71" s="4" t="s">
        <v>67</v>
      </c>
      <c r="Q71" s="4">
        <f>SUM(Q65:Q70)</f>
        <v>0</v>
      </c>
      <c r="R71" s="4">
        <f t="shared" ref="R71:AI71" si="29">SUM(R65:R70)</f>
        <v>73286</v>
      </c>
      <c r="S71" s="4">
        <f t="shared" si="29"/>
        <v>68531</v>
      </c>
      <c r="T71" s="4">
        <f t="shared" si="29"/>
        <v>89378</v>
      </c>
      <c r="U71" s="4">
        <f t="shared" si="29"/>
        <v>106869</v>
      </c>
      <c r="V71" s="4">
        <f t="shared" si="29"/>
        <v>128645</v>
      </c>
      <c r="W71" s="4">
        <f t="shared" si="29"/>
        <v>131339</v>
      </c>
      <c r="X71" s="4">
        <f t="shared" si="29"/>
        <v>162819</v>
      </c>
      <c r="Y71" s="4">
        <f t="shared" si="29"/>
        <v>143713</v>
      </c>
      <c r="Z71" s="4">
        <f t="shared" si="29"/>
        <v>134836</v>
      </c>
      <c r="AA71" s="4">
        <f t="shared" si="29"/>
        <v>135405</v>
      </c>
      <c r="AB71" s="4">
        <f t="shared" si="29"/>
        <v>143566</v>
      </c>
      <c r="AC71" s="4">
        <f t="shared" si="29"/>
        <v>0</v>
      </c>
      <c r="AD71" s="4">
        <f t="shared" si="29"/>
        <v>0</v>
      </c>
      <c r="AE71" s="4">
        <f t="shared" si="29"/>
        <v>0</v>
      </c>
      <c r="AF71" s="4">
        <f t="shared" si="29"/>
        <v>0</v>
      </c>
      <c r="AG71" s="4">
        <f t="shared" si="29"/>
        <v>0</v>
      </c>
      <c r="AH71" s="4">
        <f t="shared" si="29"/>
        <v>0</v>
      </c>
      <c r="AI71" s="4">
        <f t="shared" si="29"/>
        <v>0</v>
      </c>
    </row>
    <row r="72" spans="2:35" s="6" customFormat="1" x14ac:dyDescent="0.35">
      <c r="B72" s="6" t="s">
        <v>60</v>
      </c>
    </row>
    <row r="73" spans="2:35" s="4" customFormat="1" x14ac:dyDescent="0.35">
      <c r="B73" s="4" t="s">
        <v>62</v>
      </c>
      <c r="R73" s="4">
        <v>106215</v>
      </c>
      <c r="S73" s="4">
        <v>130162</v>
      </c>
      <c r="T73" s="4">
        <v>164065</v>
      </c>
      <c r="U73" s="4">
        <v>170430</v>
      </c>
      <c r="V73" s="4">
        <v>194714</v>
      </c>
      <c r="W73" s="4">
        <v>170799</v>
      </c>
      <c r="X73" s="4">
        <v>105341</v>
      </c>
      <c r="Y73" s="4">
        <v>100887</v>
      </c>
      <c r="Z73" s="4">
        <v>127877</v>
      </c>
      <c r="AA73" s="4">
        <v>120805</v>
      </c>
      <c r="AB73" s="4">
        <v>100544</v>
      </c>
    </row>
    <row r="74" spans="2:35" s="4" customFormat="1" x14ac:dyDescent="0.35">
      <c r="B74" s="4" t="s">
        <v>68</v>
      </c>
      <c r="R74" s="4">
        <v>16597</v>
      </c>
      <c r="S74" s="4">
        <v>20624</v>
      </c>
      <c r="T74" s="4">
        <v>22471</v>
      </c>
      <c r="U74" s="4">
        <v>27010</v>
      </c>
      <c r="V74" s="4">
        <v>33783</v>
      </c>
      <c r="W74" s="4">
        <v>41304</v>
      </c>
      <c r="X74" s="4">
        <v>37378</v>
      </c>
      <c r="Y74" s="4">
        <v>36766</v>
      </c>
      <c r="Z74" s="4">
        <v>39440</v>
      </c>
      <c r="AA74" s="4">
        <v>42117</v>
      </c>
      <c r="AB74" s="4">
        <v>43715</v>
      </c>
    </row>
    <row r="75" spans="2:35" s="5" customFormat="1" x14ac:dyDescent="0.35">
      <c r="B75" s="5" t="s">
        <v>69</v>
      </c>
      <c r="R75" s="5">
        <f>1577+4179+5146</f>
        <v>10902</v>
      </c>
      <c r="S75" s="5">
        <f>4616+4142+3764</f>
        <v>12522</v>
      </c>
      <c r="T75" s="5">
        <f>5116+3893+5422</f>
        <v>14431</v>
      </c>
      <c r="U75" s="5">
        <f>5414+3206+8757</f>
        <v>17377</v>
      </c>
      <c r="V75" s="5">
        <v>18177</v>
      </c>
      <c r="W75" s="5">
        <v>22283</v>
      </c>
      <c r="X75" s="5">
        <v>32978</v>
      </c>
      <c r="Y75" s="5">
        <v>42522</v>
      </c>
      <c r="Z75" s="5">
        <v>48849</v>
      </c>
      <c r="AA75" s="5">
        <v>54428</v>
      </c>
      <c r="AB75" s="5">
        <v>64758</v>
      </c>
    </row>
    <row r="76" spans="2:35" s="10" customFormat="1" x14ac:dyDescent="0.35">
      <c r="B76" s="10" t="s">
        <v>70</v>
      </c>
      <c r="Q76" s="10">
        <f>SUM(Q73:Q75)</f>
        <v>0</v>
      </c>
      <c r="R76" s="10">
        <f t="shared" ref="R76:AI76" si="30">SUM(R73:R75)</f>
        <v>133714</v>
      </c>
      <c r="S76" s="10">
        <f t="shared" si="30"/>
        <v>163308</v>
      </c>
      <c r="T76" s="10">
        <f t="shared" si="30"/>
        <v>200967</v>
      </c>
      <c r="U76" s="10">
        <f t="shared" si="30"/>
        <v>214817</v>
      </c>
      <c r="V76" s="10">
        <f t="shared" si="30"/>
        <v>246674</v>
      </c>
      <c r="W76" s="10">
        <f t="shared" si="30"/>
        <v>234386</v>
      </c>
      <c r="X76" s="10">
        <f t="shared" si="30"/>
        <v>175697</v>
      </c>
      <c r="Y76" s="10">
        <f t="shared" si="30"/>
        <v>180175</v>
      </c>
      <c r="Z76" s="10">
        <f t="shared" si="30"/>
        <v>216166</v>
      </c>
      <c r="AA76" s="10">
        <f t="shared" si="30"/>
        <v>217350</v>
      </c>
      <c r="AB76" s="10">
        <f t="shared" si="30"/>
        <v>209017</v>
      </c>
      <c r="AC76" s="10">
        <f t="shared" si="30"/>
        <v>0</v>
      </c>
      <c r="AD76" s="10">
        <f t="shared" si="30"/>
        <v>0</v>
      </c>
      <c r="AE76" s="10">
        <f t="shared" si="30"/>
        <v>0</v>
      </c>
      <c r="AF76" s="10">
        <f t="shared" si="30"/>
        <v>0</v>
      </c>
      <c r="AG76" s="10">
        <f t="shared" si="30"/>
        <v>0</v>
      </c>
      <c r="AH76" s="10">
        <f t="shared" si="30"/>
        <v>0</v>
      </c>
      <c r="AI76" s="10">
        <f t="shared" si="30"/>
        <v>0</v>
      </c>
    </row>
    <row r="77" spans="2:35" s="4" customFormat="1" x14ac:dyDescent="0.35">
      <c r="B77" s="4" t="s">
        <v>71</v>
      </c>
      <c r="Q77" s="4">
        <f>Q76+Q71</f>
        <v>0</v>
      </c>
      <c r="R77" s="4">
        <f t="shared" ref="R77:AI77" si="31">R76+R71</f>
        <v>207000</v>
      </c>
      <c r="S77" s="4">
        <f t="shared" si="31"/>
        <v>231839</v>
      </c>
      <c r="T77" s="4">
        <f t="shared" si="31"/>
        <v>290345</v>
      </c>
      <c r="U77" s="4">
        <f t="shared" si="31"/>
        <v>321686</v>
      </c>
      <c r="V77" s="4">
        <f t="shared" si="31"/>
        <v>375319</v>
      </c>
      <c r="W77" s="4">
        <f t="shared" si="31"/>
        <v>365725</v>
      </c>
      <c r="X77" s="4">
        <f t="shared" si="31"/>
        <v>338516</v>
      </c>
      <c r="Y77" s="4">
        <f t="shared" si="31"/>
        <v>323888</v>
      </c>
      <c r="Z77" s="4">
        <f t="shared" si="31"/>
        <v>351002</v>
      </c>
      <c r="AA77" s="4">
        <f t="shared" si="31"/>
        <v>352755</v>
      </c>
      <c r="AB77" s="4">
        <f t="shared" si="31"/>
        <v>352583</v>
      </c>
      <c r="AC77" s="4">
        <f t="shared" si="31"/>
        <v>0</v>
      </c>
      <c r="AD77" s="4">
        <f t="shared" si="31"/>
        <v>0</v>
      </c>
      <c r="AE77" s="4">
        <f t="shared" si="31"/>
        <v>0</v>
      </c>
      <c r="AF77" s="4">
        <f t="shared" si="31"/>
        <v>0</v>
      </c>
      <c r="AG77" s="4">
        <f t="shared" si="31"/>
        <v>0</v>
      </c>
      <c r="AH77" s="4">
        <f t="shared" si="31"/>
        <v>0</v>
      </c>
      <c r="AI77" s="4">
        <f t="shared" si="31"/>
        <v>0</v>
      </c>
    </row>
    <row r="78" spans="2:35" s="6" customFormat="1" x14ac:dyDescent="0.35">
      <c r="B78" s="6" t="s">
        <v>59</v>
      </c>
    </row>
    <row r="79" spans="2:35" s="4" customFormat="1" x14ac:dyDescent="0.35">
      <c r="B79" s="4" t="s">
        <v>72</v>
      </c>
      <c r="R79" s="4">
        <v>22367</v>
      </c>
      <c r="S79" s="4">
        <v>30196</v>
      </c>
      <c r="T79" s="4">
        <v>35490</v>
      </c>
      <c r="U79" s="4">
        <v>37294</v>
      </c>
      <c r="V79" s="4">
        <v>44242</v>
      </c>
      <c r="W79" s="4">
        <v>55888</v>
      </c>
      <c r="X79" s="4">
        <v>46236</v>
      </c>
      <c r="Y79" s="4">
        <v>42296</v>
      </c>
      <c r="Z79" s="4">
        <v>54763</v>
      </c>
      <c r="AA79" s="4">
        <v>64115</v>
      </c>
      <c r="AB79" s="4">
        <v>62611</v>
      </c>
    </row>
    <row r="80" spans="2:35" s="4" customFormat="1" x14ac:dyDescent="0.35">
      <c r="B80" s="4" t="s">
        <v>73</v>
      </c>
      <c r="R80" s="4">
        <v>13856</v>
      </c>
      <c r="S80" s="4">
        <v>18453</v>
      </c>
      <c r="T80" s="4">
        <v>25181</v>
      </c>
      <c r="U80" s="4">
        <v>22027</v>
      </c>
      <c r="V80" s="4">
        <v>30551</v>
      </c>
      <c r="W80" s="4">
        <v>32687</v>
      </c>
      <c r="X80" s="4">
        <v>37720</v>
      </c>
      <c r="Y80" s="4">
        <v>42684</v>
      </c>
      <c r="Z80" s="4">
        <v>47493</v>
      </c>
      <c r="AA80" s="4">
        <v>60845</v>
      </c>
      <c r="AB80" s="4">
        <v>58829</v>
      </c>
    </row>
    <row r="81" spans="2:35" s="4" customFormat="1" x14ac:dyDescent="0.35">
      <c r="B81" s="4" t="s">
        <v>74</v>
      </c>
      <c r="R81" s="4">
        <v>7435</v>
      </c>
      <c r="S81" s="4">
        <v>8491</v>
      </c>
      <c r="T81" s="4">
        <v>8490</v>
      </c>
      <c r="U81" s="4">
        <v>8080</v>
      </c>
      <c r="V81" s="4">
        <v>7548</v>
      </c>
      <c r="W81" s="4">
        <v>7543</v>
      </c>
      <c r="X81" s="4">
        <v>5522</v>
      </c>
      <c r="Y81" s="4">
        <v>6643</v>
      </c>
      <c r="Z81" s="4">
        <v>7612</v>
      </c>
      <c r="AA81" s="4">
        <v>7912</v>
      </c>
      <c r="AB81" s="4">
        <v>8061</v>
      </c>
    </row>
    <row r="82" spans="2:35" s="4" customFormat="1" x14ac:dyDescent="0.35">
      <c r="B82" s="4" t="s">
        <v>75</v>
      </c>
      <c r="R82" s="4">
        <v>0</v>
      </c>
      <c r="S82" s="4">
        <v>6308</v>
      </c>
      <c r="T82" s="4">
        <v>8499</v>
      </c>
      <c r="U82" s="4">
        <v>8105</v>
      </c>
      <c r="V82" s="4">
        <v>11977</v>
      </c>
      <c r="W82" s="4">
        <v>11964</v>
      </c>
      <c r="X82" s="4">
        <v>5980</v>
      </c>
      <c r="Y82" s="4">
        <v>4996</v>
      </c>
      <c r="Z82" s="4">
        <v>6000</v>
      </c>
      <c r="AA82" s="4">
        <v>9982</v>
      </c>
      <c r="AB82" s="4">
        <v>5985</v>
      </c>
    </row>
    <row r="83" spans="2:35" s="5" customFormat="1" x14ac:dyDescent="0.35">
      <c r="B83" s="5" t="s">
        <v>76</v>
      </c>
      <c r="R83" s="5">
        <v>0</v>
      </c>
      <c r="S83" s="5">
        <v>0</v>
      </c>
      <c r="T83" s="5">
        <v>2500</v>
      </c>
      <c r="U83" s="5">
        <v>3500</v>
      </c>
      <c r="V83" s="5">
        <v>6496</v>
      </c>
      <c r="W83" s="5">
        <v>8784</v>
      </c>
      <c r="X83" s="5">
        <v>10260</v>
      </c>
      <c r="Y83" s="5">
        <v>8773</v>
      </c>
      <c r="Z83" s="5">
        <v>9613</v>
      </c>
      <c r="AA83" s="5">
        <v>11128</v>
      </c>
      <c r="AB83" s="5">
        <v>9822</v>
      </c>
    </row>
    <row r="84" spans="2:35" s="4" customFormat="1" x14ac:dyDescent="0.35">
      <c r="B84" s="4" t="s">
        <v>77</v>
      </c>
      <c r="Q84" s="4">
        <f>SUM(Q79:Q83)</f>
        <v>0</v>
      </c>
      <c r="R84" s="4">
        <f t="shared" ref="R84:AI84" si="32">SUM(R79:R83)</f>
        <v>43658</v>
      </c>
      <c r="S84" s="4">
        <f t="shared" si="32"/>
        <v>63448</v>
      </c>
      <c r="T84" s="4">
        <f t="shared" si="32"/>
        <v>80160</v>
      </c>
      <c r="U84" s="4">
        <f t="shared" si="32"/>
        <v>79006</v>
      </c>
      <c r="V84" s="4">
        <f t="shared" si="32"/>
        <v>100814</v>
      </c>
      <c r="W84" s="4">
        <f t="shared" si="32"/>
        <v>116866</v>
      </c>
      <c r="X84" s="4">
        <f t="shared" si="32"/>
        <v>105718</v>
      </c>
      <c r="Y84" s="4">
        <f t="shared" si="32"/>
        <v>105392</v>
      </c>
      <c r="Z84" s="4">
        <f t="shared" si="32"/>
        <v>125481</v>
      </c>
      <c r="AA84" s="4">
        <f t="shared" si="32"/>
        <v>153982</v>
      </c>
      <c r="AB84" s="4">
        <f t="shared" si="32"/>
        <v>145308</v>
      </c>
      <c r="AC84" s="4">
        <f t="shared" si="32"/>
        <v>0</v>
      </c>
      <c r="AD84" s="4">
        <f t="shared" si="32"/>
        <v>0</v>
      </c>
      <c r="AE84" s="4">
        <f t="shared" si="32"/>
        <v>0</v>
      </c>
      <c r="AF84" s="4">
        <f t="shared" si="32"/>
        <v>0</v>
      </c>
      <c r="AG84" s="4">
        <f t="shared" si="32"/>
        <v>0</v>
      </c>
      <c r="AH84" s="4">
        <f t="shared" si="32"/>
        <v>0</v>
      </c>
      <c r="AI84" s="4">
        <f t="shared" si="32"/>
        <v>0</v>
      </c>
    </row>
    <row r="85" spans="2:35" s="6" customFormat="1" x14ac:dyDescent="0.35">
      <c r="B85" s="6" t="s">
        <v>58</v>
      </c>
    </row>
    <row r="86" spans="2:35" s="4" customFormat="1" x14ac:dyDescent="0.35">
      <c r="B86" s="4" t="s">
        <v>76</v>
      </c>
      <c r="R86" s="4">
        <v>16960</v>
      </c>
      <c r="S86" s="4">
        <v>28987</v>
      </c>
      <c r="T86" s="4">
        <f>53329+3624</f>
        <v>56953</v>
      </c>
      <c r="U86" s="4">
        <f>75427+2930</f>
        <v>78357</v>
      </c>
      <c r="V86" s="4">
        <v>97207</v>
      </c>
      <c r="W86" s="4">
        <v>93735</v>
      </c>
      <c r="X86" s="4">
        <v>91807</v>
      </c>
      <c r="Y86" s="4">
        <v>98667</v>
      </c>
      <c r="Z86" s="4">
        <v>109106</v>
      </c>
      <c r="AA86" s="4">
        <v>98959</v>
      </c>
      <c r="AB86" s="4">
        <v>95281</v>
      </c>
    </row>
    <row r="87" spans="2:35" s="5" customFormat="1" x14ac:dyDescent="0.35">
      <c r="B87" s="5" t="s">
        <v>78</v>
      </c>
      <c r="R87" s="5">
        <f>20208+2625</f>
        <v>22833</v>
      </c>
      <c r="S87" s="5">
        <f>24826+3031</f>
        <v>27857</v>
      </c>
      <c r="T87" s="5">
        <v>33427</v>
      </c>
      <c r="U87" s="5">
        <v>36074</v>
      </c>
      <c r="V87" s="5">
        <f>40415+2836</f>
        <v>43251</v>
      </c>
      <c r="W87" s="5">
        <f>45180+2797</f>
        <v>47977</v>
      </c>
      <c r="X87" s="5">
        <v>50503</v>
      </c>
      <c r="Y87" s="5">
        <v>54490</v>
      </c>
      <c r="Z87" s="5">
        <v>53325</v>
      </c>
      <c r="AA87" s="5">
        <v>49142</v>
      </c>
      <c r="AB87" s="5">
        <v>49848</v>
      </c>
    </row>
    <row r="88" spans="2:35" s="5" customFormat="1" x14ac:dyDescent="0.35">
      <c r="B88" s="5" t="s">
        <v>79</v>
      </c>
      <c r="Q88" s="5">
        <f>SUM(Q86:Q87)</f>
        <v>0</v>
      </c>
      <c r="R88" s="5">
        <f t="shared" ref="R88:AI88" si="33">SUM(R86:R87)</f>
        <v>39793</v>
      </c>
      <c r="S88" s="5">
        <f t="shared" si="33"/>
        <v>56844</v>
      </c>
      <c r="T88" s="5">
        <f t="shared" si="33"/>
        <v>90380</v>
      </c>
      <c r="U88" s="5">
        <f t="shared" si="33"/>
        <v>114431</v>
      </c>
      <c r="V88" s="5">
        <f t="shared" si="33"/>
        <v>140458</v>
      </c>
      <c r="W88" s="5">
        <f t="shared" si="33"/>
        <v>141712</v>
      </c>
      <c r="X88" s="5">
        <f t="shared" si="33"/>
        <v>142310</v>
      </c>
      <c r="Y88" s="5">
        <f t="shared" si="33"/>
        <v>153157</v>
      </c>
      <c r="Z88" s="5">
        <f t="shared" si="33"/>
        <v>162431</v>
      </c>
      <c r="AA88" s="5">
        <f t="shared" si="33"/>
        <v>148101</v>
      </c>
      <c r="AB88" s="5">
        <f t="shared" si="33"/>
        <v>145129</v>
      </c>
      <c r="AC88" s="5">
        <f t="shared" si="33"/>
        <v>0</v>
      </c>
      <c r="AD88" s="5">
        <f t="shared" si="33"/>
        <v>0</v>
      </c>
      <c r="AE88" s="5">
        <f t="shared" si="33"/>
        <v>0</v>
      </c>
      <c r="AF88" s="5">
        <f t="shared" si="33"/>
        <v>0</v>
      </c>
      <c r="AG88" s="5">
        <f t="shared" si="33"/>
        <v>0</v>
      </c>
      <c r="AH88" s="5">
        <f t="shared" si="33"/>
        <v>0</v>
      </c>
      <c r="AI88" s="5">
        <f t="shared" si="33"/>
        <v>0</v>
      </c>
    </row>
    <row r="89" spans="2:35" s="4" customFormat="1" x14ac:dyDescent="0.35">
      <c r="B89" s="4" t="s">
        <v>80</v>
      </c>
      <c r="Q89" s="4">
        <f>Q88+Q84</f>
        <v>0</v>
      </c>
      <c r="R89" s="4">
        <f t="shared" ref="R89:AI89" si="34">R88+R84</f>
        <v>83451</v>
      </c>
      <c r="S89" s="4">
        <f t="shared" si="34"/>
        <v>120292</v>
      </c>
      <c r="T89" s="4">
        <f t="shared" si="34"/>
        <v>170540</v>
      </c>
      <c r="U89" s="4">
        <f t="shared" si="34"/>
        <v>193437</v>
      </c>
      <c r="V89" s="4">
        <f t="shared" si="34"/>
        <v>241272</v>
      </c>
      <c r="W89" s="4">
        <f t="shared" si="34"/>
        <v>258578</v>
      </c>
      <c r="X89" s="4">
        <f t="shared" si="34"/>
        <v>248028</v>
      </c>
      <c r="Y89" s="4">
        <f t="shared" si="34"/>
        <v>258549</v>
      </c>
      <c r="Z89" s="4">
        <f t="shared" si="34"/>
        <v>287912</v>
      </c>
      <c r="AA89" s="4">
        <f t="shared" si="34"/>
        <v>302083</v>
      </c>
      <c r="AB89" s="4">
        <f t="shared" si="34"/>
        <v>290437</v>
      </c>
      <c r="AC89" s="4">
        <f t="shared" si="34"/>
        <v>0</v>
      </c>
      <c r="AD89" s="4">
        <f t="shared" si="34"/>
        <v>0</v>
      </c>
      <c r="AE89" s="4">
        <f t="shared" si="34"/>
        <v>0</v>
      </c>
      <c r="AF89" s="4">
        <f t="shared" si="34"/>
        <v>0</v>
      </c>
      <c r="AG89" s="4">
        <f t="shared" si="34"/>
        <v>0</v>
      </c>
      <c r="AH89" s="4">
        <f t="shared" si="34"/>
        <v>0</v>
      </c>
      <c r="AI89" s="4">
        <f t="shared" si="34"/>
        <v>0</v>
      </c>
    </row>
    <row r="90" spans="2:35" s="6" customFormat="1" x14ac:dyDescent="0.35">
      <c r="B90" s="6" t="s">
        <v>57</v>
      </c>
    </row>
    <row r="91" spans="2:35" s="4" customFormat="1" x14ac:dyDescent="0.35">
      <c r="B91" s="4" t="s">
        <v>81</v>
      </c>
      <c r="R91" s="4">
        <v>19764</v>
      </c>
      <c r="S91" s="4">
        <v>23313</v>
      </c>
      <c r="T91" s="4">
        <v>27416</v>
      </c>
      <c r="U91" s="4">
        <v>31251</v>
      </c>
      <c r="V91" s="4">
        <v>35867</v>
      </c>
      <c r="W91" s="4">
        <v>40201</v>
      </c>
      <c r="X91" s="4">
        <v>45174</v>
      </c>
      <c r="Y91" s="4">
        <v>50779</v>
      </c>
      <c r="Z91" s="4">
        <v>57365</v>
      </c>
      <c r="AA91" s="4">
        <v>64849</v>
      </c>
      <c r="AB91" s="4">
        <v>73812</v>
      </c>
    </row>
    <row r="92" spans="2:35" s="4" customFormat="1" x14ac:dyDescent="0.35">
      <c r="B92" s="4" t="s">
        <v>82</v>
      </c>
      <c r="R92" s="4">
        <v>104256</v>
      </c>
      <c r="S92" s="4">
        <v>87152</v>
      </c>
      <c r="T92" s="4">
        <v>92284</v>
      </c>
      <c r="U92" s="4">
        <v>96364</v>
      </c>
      <c r="V92" s="4">
        <v>98330</v>
      </c>
      <c r="W92" s="4">
        <v>70400</v>
      </c>
      <c r="X92" s="4">
        <v>45898</v>
      </c>
      <c r="Y92" s="4">
        <v>14966</v>
      </c>
      <c r="Z92" s="4">
        <v>5562</v>
      </c>
      <c r="AA92" s="4">
        <v>-3068</v>
      </c>
      <c r="AB92" s="4">
        <v>-214</v>
      </c>
    </row>
    <row r="93" spans="2:35" s="5" customFormat="1" x14ac:dyDescent="0.35">
      <c r="B93" s="5" t="s">
        <v>83</v>
      </c>
      <c r="R93" s="5">
        <v>-471</v>
      </c>
      <c r="S93" s="5">
        <v>1082</v>
      </c>
      <c r="T93" s="5">
        <v>-345</v>
      </c>
      <c r="U93" s="5">
        <v>634</v>
      </c>
      <c r="V93" s="5">
        <v>-150</v>
      </c>
      <c r="W93" s="5">
        <v>-3454</v>
      </c>
      <c r="X93" s="5">
        <v>-584</v>
      </c>
      <c r="Y93" s="5">
        <v>-406</v>
      </c>
      <c r="Z93" s="5">
        <v>163</v>
      </c>
      <c r="AA93" s="5">
        <v>-11109</v>
      </c>
      <c r="AB93" s="5">
        <v>-11452</v>
      </c>
    </row>
    <row r="94" spans="2:35" s="10" customFormat="1" x14ac:dyDescent="0.35">
      <c r="B94" s="10" t="s">
        <v>84</v>
      </c>
      <c r="Q94" s="10">
        <f>SUM(Q91:Q93)</f>
        <v>0</v>
      </c>
      <c r="R94" s="10">
        <f t="shared" ref="R94:AI94" si="35">SUM(R91:R93)</f>
        <v>123549</v>
      </c>
      <c r="S94" s="10">
        <f t="shared" si="35"/>
        <v>111547</v>
      </c>
      <c r="T94" s="10">
        <f t="shared" si="35"/>
        <v>119355</v>
      </c>
      <c r="U94" s="10">
        <f t="shared" si="35"/>
        <v>128249</v>
      </c>
      <c r="V94" s="10">
        <f t="shared" si="35"/>
        <v>134047</v>
      </c>
      <c r="W94" s="10">
        <f t="shared" si="35"/>
        <v>107147</v>
      </c>
      <c r="X94" s="10">
        <f t="shared" si="35"/>
        <v>90488</v>
      </c>
      <c r="Y94" s="10">
        <f t="shared" si="35"/>
        <v>65339</v>
      </c>
      <c r="Z94" s="10">
        <f t="shared" si="35"/>
        <v>63090</v>
      </c>
      <c r="AA94" s="10">
        <f t="shared" si="35"/>
        <v>50672</v>
      </c>
      <c r="AB94" s="10">
        <f t="shared" si="35"/>
        <v>62146</v>
      </c>
      <c r="AC94" s="10">
        <f t="shared" si="35"/>
        <v>0</v>
      </c>
      <c r="AD94" s="10">
        <f t="shared" si="35"/>
        <v>0</v>
      </c>
      <c r="AE94" s="10">
        <f t="shared" si="35"/>
        <v>0</v>
      </c>
      <c r="AF94" s="10">
        <f t="shared" si="35"/>
        <v>0</v>
      </c>
      <c r="AG94" s="10">
        <f t="shared" si="35"/>
        <v>0</v>
      </c>
      <c r="AH94" s="10">
        <f t="shared" si="35"/>
        <v>0</v>
      </c>
      <c r="AI94" s="10">
        <f t="shared" si="35"/>
        <v>0</v>
      </c>
    </row>
    <row r="95" spans="2:35" s="4" customFormat="1" x14ac:dyDescent="0.35">
      <c r="B95" s="4" t="s">
        <v>85</v>
      </c>
      <c r="Q95" s="4">
        <f>Q94+Q89</f>
        <v>0</v>
      </c>
      <c r="R95" s="4">
        <f t="shared" ref="R95:AI95" si="36">R94+R89</f>
        <v>207000</v>
      </c>
      <c r="S95" s="4">
        <f t="shared" si="36"/>
        <v>231839</v>
      </c>
      <c r="T95" s="4">
        <f t="shared" si="36"/>
        <v>289895</v>
      </c>
      <c r="U95" s="4">
        <f t="shared" si="36"/>
        <v>321686</v>
      </c>
      <c r="V95" s="4">
        <f t="shared" si="36"/>
        <v>375319</v>
      </c>
      <c r="W95" s="4">
        <f t="shared" si="36"/>
        <v>365725</v>
      </c>
      <c r="X95" s="4">
        <f t="shared" si="36"/>
        <v>338516</v>
      </c>
      <c r="Y95" s="4">
        <f t="shared" si="36"/>
        <v>323888</v>
      </c>
      <c r="Z95" s="4">
        <f t="shared" si="36"/>
        <v>351002</v>
      </c>
      <c r="AA95" s="4">
        <f t="shared" si="36"/>
        <v>352755</v>
      </c>
      <c r="AB95" s="4">
        <f t="shared" si="36"/>
        <v>352583</v>
      </c>
      <c r="AC95" s="4">
        <f t="shared" si="36"/>
        <v>0</v>
      </c>
      <c r="AD95" s="4">
        <f t="shared" si="36"/>
        <v>0</v>
      </c>
      <c r="AE95" s="4">
        <f t="shared" si="36"/>
        <v>0</v>
      </c>
      <c r="AF95" s="4">
        <f t="shared" si="36"/>
        <v>0</v>
      </c>
      <c r="AG95" s="4">
        <f t="shared" si="36"/>
        <v>0</v>
      </c>
      <c r="AH95" s="4">
        <f t="shared" si="36"/>
        <v>0</v>
      </c>
      <c r="AI95" s="4">
        <f t="shared" si="36"/>
        <v>0</v>
      </c>
    </row>
    <row r="96" spans="2:35" s="4" customFormat="1" x14ac:dyDescent="0.35"/>
    <row r="97" spans="2:35" s="4" customFormat="1" x14ac:dyDescent="0.35">
      <c r="B97" s="4" t="s">
        <v>86</v>
      </c>
    </row>
    <row r="98" spans="2:35" s="7" customFormat="1" x14ac:dyDescent="0.35">
      <c r="B98" s="7" t="s">
        <v>87</v>
      </c>
    </row>
    <row r="99" spans="2:35" s="4" customFormat="1" x14ac:dyDescent="0.35">
      <c r="B99" s="4" t="s">
        <v>88</v>
      </c>
      <c r="Q99" s="4">
        <v>50856</v>
      </c>
      <c r="R99" s="4">
        <v>53666</v>
      </c>
      <c r="S99" s="4">
        <v>59713</v>
      </c>
      <c r="T99" s="4">
        <v>81266</v>
      </c>
      <c r="U99" s="4">
        <v>66231</v>
      </c>
      <c r="V99" s="4">
        <v>64225</v>
      </c>
      <c r="W99" s="4">
        <v>77434</v>
      </c>
      <c r="X99" s="4">
        <v>69391</v>
      </c>
      <c r="Y99" s="4">
        <v>80674</v>
      </c>
      <c r="Z99" s="4">
        <v>104038</v>
      </c>
      <c r="AA99" s="4">
        <v>122151</v>
      </c>
      <c r="AB99" s="4">
        <v>110543</v>
      </c>
    </row>
    <row r="100" spans="2:35" s="5" customFormat="1" x14ac:dyDescent="0.35">
      <c r="B100" s="5" t="s">
        <v>89</v>
      </c>
      <c r="Q100" s="5">
        <v>-8295</v>
      </c>
      <c r="R100" s="5">
        <v>-8165</v>
      </c>
      <c r="S100" s="5">
        <v>-9571</v>
      </c>
      <c r="T100" s="5">
        <v>-11247</v>
      </c>
      <c r="U100" s="5">
        <v>-12734</v>
      </c>
      <c r="V100" s="5">
        <v>-12451</v>
      </c>
      <c r="W100" s="5">
        <v>-13313</v>
      </c>
      <c r="X100" s="5">
        <v>-10495</v>
      </c>
      <c r="Y100" s="5">
        <v>-7309</v>
      </c>
      <c r="Z100" s="5">
        <v>-11085</v>
      </c>
      <c r="AA100" s="5">
        <v>-10708</v>
      </c>
      <c r="AB100" s="5">
        <v>-10959</v>
      </c>
    </row>
    <row r="101" spans="2:35" s="4" customFormat="1" x14ac:dyDescent="0.35">
      <c r="B101" s="4" t="s">
        <v>90</v>
      </c>
      <c r="Q101" s="4">
        <f>SUM(Q99:Q100)</f>
        <v>42561</v>
      </c>
      <c r="R101" s="4">
        <f t="shared" ref="R101:AI101" si="37">SUM(R99:R100)</f>
        <v>45501</v>
      </c>
      <c r="S101" s="4">
        <f t="shared" si="37"/>
        <v>50142</v>
      </c>
      <c r="T101" s="4">
        <f t="shared" si="37"/>
        <v>70019</v>
      </c>
      <c r="U101" s="4">
        <f t="shared" si="37"/>
        <v>53497</v>
      </c>
      <c r="V101" s="4">
        <f t="shared" si="37"/>
        <v>51774</v>
      </c>
      <c r="W101" s="4">
        <f t="shared" si="37"/>
        <v>64121</v>
      </c>
      <c r="X101" s="4">
        <f t="shared" si="37"/>
        <v>58896</v>
      </c>
      <c r="Y101" s="4">
        <f t="shared" si="37"/>
        <v>73365</v>
      </c>
      <c r="Z101" s="4">
        <f t="shared" si="37"/>
        <v>92953</v>
      </c>
      <c r="AA101" s="4">
        <f t="shared" si="37"/>
        <v>111443</v>
      </c>
      <c r="AB101" s="4">
        <f t="shared" si="37"/>
        <v>99584</v>
      </c>
      <c r="AC101" s="4">
        <f t="shared" si="37"/>
        <v>0</v>
      </c>
      <c r="AD101" s="4">
        <f t="shared" si="37"/>
        <v>0</v>
      </c>
      <c r="AE101" s="4">
        <f t="shared" si="37"/>
        <v>0</v>
      </c>
      <c r="AF101" s="4">
        <f t="shared" si="37"/>
        <v>0</v>
      </c>
      <c r="AG101" s="4">
        <f t="shared" si="37"/>
        <v>0</v>
      </c>
      <c r="AH101" s="4">
        <f t="shared" si="37"/>
        <v>0</v>
      </c>
      <c r="AI101" s="4">
        <f t="shared" si="37"/>
        <v>0</v>
      </c>
    </row>
    <row r="102" spans="2:35" s="4" customFormat="1" x14ac:dyDescent="0.35"/>
    <row r="103" spans="2:35" s="4" customFormat="1" x14ac:dyDescent="0.35">
      <c r="B103" s="4" t="s">
        <v>91</v>
      </c>
      <c r="Q103" s="4">
        <v>665</v>
      </c>
      <c r="R103" s="4">
        <v>530</v>
      </c>
      <c r="S103" s="4">
        <v>730</v>
      </c>
      <c r="T103" s="4">
        <v>543</v>
      </c>
      <c r="U103" s="4">
        <v>495</v>
      </c>
      <c r="V103" s="4">
        <v>555</v>
      </c>
      <c r="W103" s="4">
        <v>669</v>
      </c>
      <c r="X103" s="4">
        <v>781</v>
      </c>
      <c r="Y103" s="4">
        <v>880</v>
      </c>
      <c r="Z103" s="4">
        <v>0</v>
      </c>
      <c r="AA103" s="4">
        <v>0</v>
      </c>
      <c r="AB103" s="4">
        <v>0</v>
      </c>
    </row>
    <row r="104" spans="2:35" s="4" customFormat="1" x14ac:dyDescent="0.35">
      <c r="B104" s="4" t="s">
        <v>92</v>
      </c>
      <c r="Q104" s="4">
        <v>1740</v>
      </c>
      <c r="R104" s="4">
        <v>2253</v>
      </c>
      <c r="S104" s="4">
        <v>2863</v>
      </c>
      <c r="T104" s="4">
        <v>3586</v>
      </c>
      <c r="U104" s="4">
        <v>4210</v>
      </c>
      <c r="V104" s="4">
        <v>4840</v>
      </c>
      <c r="W104" s="4">
        <v>5340</v>
      </c>
      <c r="X104" s="4">
        <v>6068</v>
      </c>
      <c r="Y104" s="4">
        <v>6829</v>
      </c>
      <c r="Z104" s="4">
        <v>7906</v>
      </c>
      <c r="AA104" s="4">
        <v>9038</v>
      </c>
      <c r="AB104" s="4">
        <v>10833</v>
      </c>
    </row>
    <row r="105" spans="2:35" s="4" customFormat="1" x14ac:dyDescent="0.35">
      <c r="B105" s="4" t="s">
        <v>93</v>
      </c>
      <c r="Q105" s="4">
        <v>0</v>
      </c>
      <c r="R105" s="4">
        <v>-22860</v>
      </c>
      <c r="S105" s="4">
        <v>-45000</v>
      </c>
      <c r="T105" s="4">
        <v>-35253</v>
      </c>
      <c r="U105" s="4">
        <v>-29722</v>
      </c>
      <c r="V105" s="4">
        <v>-32900</v>
      </c>
      <c r="W105" s="4">
        <v>-72738</v>
      </c>
      <c r="X105" s="4">
        <v>-66897</v>
      </c>
      <c r="Y105" s="4">
        <v>-72358</v>
      </c>
      <c r="Z105" s="4">
        <v>-85971</v>
      </c>
      <c r="AA105" s="4">
        <v>-89402</v>
      </c>
      <c r="AB105" s="4">
        <v>-77550</v>
      </c>
    </row>
    <row r="106" spans="2:35" s="4" customFormat="1" x14ac:dyDescent="0.35">
      <c r="B106" s="4" t="s">
        <v>94</v>
      </c>
      <c r="Q106" s="4">
        <v>-2488</v>
      </c>
      <c r="R106" s="4">
        <v>-10564</v>
      </c>
      <c r="S106" s="4">
        <v>-11126</v>
      </c>
      <c r="T106" s="4">
        <v>-11561</v>
      </c>
      <c r="U106" s="4">
        <v>-12150</v>
      </c>
      <c r="V106" s="4">
        <v>-12769</v>
      </c>
      <c r="W106" s="4">
        <v>-13712</v>
      </c>
      <c r="X106" s="4">
        <v>-14119</v>
      </c>
      <c r="Y106" s="4">
        <v>-14081</v>
      </c>
      <c r="Z106" s="4">
        <v>-14467</v>
      </c>
      <c r="AA106" s="4">
        <v>-14841</v>
      </c>
      <c r="AB106" s="4">
        <v>-15025</v>
      </c>
    </row>
    <row r="107" spans="2:35" s="4" customFormat="1" x14ac:dyDescent="0.35"/>
    <row r="108" spans="2:35" s="6" customFormat="1" x14ac:dyDescent="0.35">
      <c r="B108" s="6" t="s">
        <v>95</v>
      </c>
    </row>
    <row r="109" spans="2:35" s="4" customFormat="1" x14ac:dyDescent="0.35">
      <c r="B109" s="4" t="s">
        <v>88</v>
      </c>
    </row>
    <row r="110" spans="2:35" s="5" customFormat="1" x14ac:dyDescent="0.35">
      <c r="B110" s="5" t="s">
        <v>89</v>
      </c>
    </row>
    <row r="111" spans="2:35" s="4" customFormat="1" x14ac:dyDescent="0.35">
      <c r="B111" s="4" t="s">
        <v>90</v>
      </c>
    </row>
    <row r="112" spans="2:35" s="4" customFormat="1" x14ac:dyDescent="0.35"/>
    <row r="113" spans="2:2" s="4" customFormat="1" x14ac:dyDescent="0.35">
      <c r="B113" s="4" t="s">
        <v>91</v>
      </c>
    </row>
    <row r="114" spans="2:2" s="4" customFormat="1" x14ac:dyDescent="0.35">
      <c r="B114" s="4" t="s">
        <v>92</v>
      </c>
    </row>
    <row r="115" spans="2:2" s="4" customFormat="1" x14ac:dyDescent="0.35">
      <c r="B115" s="4" t="s">
        <v>93</v>
      </c>
    </row>
    <row r="116" spans="2:2" s="4" customFormat="1" x14ac:dyDescent="0.35">
      <c r="B116" s="4" t="s">
        <v>94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87391-1093-46D2-8B50-5B79A61BA4C2}">
  <dimension ref="B1:CJ150"/>
  <sheetViews>
    <sheetView zoomScale="55" zoomScaleNormal="55" workbookViewId="0">
      <pane xSplit="2" ySplit="5" topLeftCell="C6" activePane="bottomRight" state="frozen"/>
      <selection pane="topRight" activeCell="C1" sqref="C1"/>
      <selection pane="bottomLeft" activeCell="A6" sqref="A6"/>
      <selection pane="bottomRight" activeCell="V16" sqref="V16"/>
    </sheetView>
  </sheetViews>
  <sheetFormatPr defaultColWidth="10.6328125" defaultRowHeight="14.5" x14ac:dyDescent="0.35"/>
  <cols>
    <col min="1" max="1" width="10.6328125" customWidth="1"/>
    <col min="2" max="2" width="24.81640625" customWidth="1"/>
    <col min="30" max="30" width="13.26953125" bestFit="1" customWidth="1"/>
  </cols>
  <sheetData>
    <row r="1" spans="2:88" x14ac:dyDescent="0.35">
      <c r="B1" t="s">
        <v>96</v>
      </c>
      <c r="G1">
        <v>2009</v>
      </c>
      <c r="H1">
        <f>I1-1</f>
        <v>2010</v>
      </c>
      <c r="I1">
        <f t="shared" ref="I1:S1" si="0">J1-1</f>
        <v>2011</v>
      </c>
      <c r="J1">
        <f t="shared" si="0"/>
        <v>2012</v>
      </c>
      <c r="K1">
        <f t="shared" si="0"/>
        <v>2013</v>
      </c>
      <c r="L1">
        <f t="shared" si="0"/>
        <v>2014</v>
      </c>
      <c r="M1">
        <f t="shared" si="0"/>
        <v>2015</v>
      </c>
      <c r="N1">
        <f t="shared" si="0"/>
        <v>2016</v>
      </c>
      <c r="O1">
        <f t="shared" si="0"/>
        <v>2017</v>
      </c>
      <c r="P1">
        <f t="shared" si="0"/>
        <v>2018</v>
      </c>
      <c r="Q1">
        <f t="shared" si="0"/>
        <v>2019</v>
      </c>
      <c r="R1">
        <f t="shared" si="0"/>
        <v>2020</v>
      </c>
      <c r="S1">
        <f t="shared" si="0"/>
        <v>2021</v>
      </c>
      <c r="T1">
        <f>U1-1</f>
        <v>2022</v>
      </c>
      <c r="U1">
        <v>2023</v>
      </c>
      <c r="V1">
        <f>U1+1</f>
        <v>2024</v>
      </c>
      <c r="W1">
        <f t="shared" ref="W1:CH1" si="1">V1+1</f>
        <v>2025</v>
      </c>
      <c r="X1">
        <f t="shared" si="1"/>
        <v>2026</v>
      </c>
      <c r="Y1">
        <f t="shared" si="1"/>
        <v>2027</v>
      </c>
      <c r="Z1">
        <f t="shared" si="1"/>
        <v>2028</v>
      </c>
      <c r="AA1">
        <f t="shared" si="1"/>
        <v>2029</v>
      </c>
      <c r="AB1">
        <f t="shared" si="1"/>
        <v>2030</v>
      </c>
      <c r="AC1">
        <f t="shared" si="1"/>
        <v>2031</v>
      </c>
      <c r="AD1">
        <f t="shared" si="1"/>
        <v>2032</v>
      </c>
      <c r="AE1">
        <f t="shared" si="1"/>
        <v>2033</v>
      </c>
      <c r="AF1">
        <f t="shared" si="1"/>
        <v>2034</v>
      </c>
      <c r="AG1">
        <f t="shared" si="1"/>
        <v>2035</v>
      </c>
      <c r="AH1">
        <f t="shared" si="1"/>
        <v>2036</v>
      </c>
      <c r="AI1">
        <f t="shared" si="1"/>
        <v>2037</v>
      </c>
      <c r="AJ1">
        <f t="shared" si="1"/>
        <v>2038</v>
      </c>
      <c r="AK1">
        <f t="shared" si="1"/>
        <v>2039</v>
      </c>
      <c r="AL1">
        <f t="shared" si="1"/>
        <v>2040</v>
      </c>
      <c r="AM1">
        <f t="shared" si="1"/>
        <v>2041</v>
      </c>
      <c r="AN1">
        <f t="shared" si="1"/>
        <v>2042</v>
      </c>
      <c r="AO1">
        <f t="shared" si="1"/>
        <v>2043</v>
      </c>
      <c r="AP1">
        <f t="shared" si="1"/>
        <v>2044</v>
      </c>
      <c r="AQ1">
        <f t="shared" si="1"/>
        <v>2045</v>
      </c>
      <c r="AR1">
        <f t="shared" si="1"/>
        <v>2046</v>
      </c>
      <c r="AS1">
        <f t="shared" si="1"/>
        <v>2047</v>
      </c>
      <c r="AT1">
        <f t="shared" si="1"/>
        <v>2048</v>
      </c>
      <c r="AU1">
        <f t="shared" si="1"/>
        <v>2049</v>
      </c>
      <c r="AV1">
        <f t="shared" si="1"/>
        <v>2050</v>
      </c>
      <c r="AW1">
        <f t="shared" si="1"/>
        <v>2051</v>
      </c>
      <c r="AX1">
        <f t="shared" si="1"/>
        <v>2052</v>
      </c>
      <c r="AY1">
        <f t="shared" si="1"/>
        <v>2053</v>
      </c>
      <c r="AZ1">
        <f t="shared" si="1"/>
        <v>2054</v>
      </c>
      <c r="BA1">
        <f t="shared" si="1"/>
        <v>2055</v>
      </c>
      <c r="BB1">
        <f t="shared" si="1"/>
        <v>2056</v>
      </c>
      <c r="BC1">
        <f t="shared" si="1"/>
        <v>2057</v>
      </c>
      <c r="BD1">
        <f t="shared" si="1"/>
        <v>2058</v>
      </c>
      <c r="BE1">
        <f t="shared" si="1"/>
        <v>2059</v>
      </c>
      <c r="BF1">
        <f t="shared" si="1"/>
        <v>2060</v>
      </c>
      <c r="BG1">
        <f t="shared" si="1"/>
        <v>2061</v>
      </c>
      <c r="BH1">
        <f t="shared" si="1"/>
        <v>2062</v>
      </c>
      <c r="BI1">
        <f t="shared" si="1"/>
        <v>2063</v>
      </c>
      <c r="BJ1">
        <f t="shared" si="1"/>
        <v>2064</v>
      </c>
      <c r="BK1">
        <f t="shared" si="1"/>
        <v>2065</v>
      </c>
      <c r="BL1">
        <f t="shared" si="1"/>
        <v>2066</v>
      </c>
      <c r="BM1">
        <f t="shared" si="1"/>
        <v>2067</v>
      </c>
      <c r="BN1">
        <f t="shared" si="1"/>
        <v>2068</v>
      </c>
      <c r="BO1">
        <f t="shared" si="1"/>
        <v>2069</v>
      </c>
      <c r="BP1">
        <f t="shared" si="1"/>
        <v>2070</v>
      </c>
      <c r="BQ1">
        <f t="shared" si="1"/>
        <v>2071</v>
      </c>
      <c r="BR1">
        <f t="shared" si="1"/>
        <v>2072</v>
      </c>
      <c r="BS1">
        <f t="shared" si="1"/>
        <v>2073</v>
      </c>
      <c r="BT1">
        <f t="shared" si="1"/>
        <v>2074</v>
      </c>
      <c r="BU1">
        <f t="shared" si="1"/>
        <v>2075</v>
      </c>
      <c r="BV1">
        <f t="shared" si="1"/>
        <v>2076</v>
      </c>
      <c r="BW1">
        <f t="shared" si="1"/>
        <v>2077</v>
      </c>
      <c r="BX1">
        <f t="shared" si="1"/>
        <v>2078</v>
      </c>
      <c r="BY1">
        <f t="shared" si="1"/>
        <v>2079</v>
      </c>
      <c r="BZ1">
        <f t="shared" si="1"/>
        <v>2080</v>
      </c>
      <c r="CA1">
        <f t="shared" si="1"/>
        <v>2081</v>
      </c>
      <c r="CB1">
        <f t="shared" si="1"/>
        <v>2082</v>
      </c>
      <c r="CC1">
        <f t="shared" si="1"/>
        <v>2083</v>
      </c>
      <c r="CD1">
        <f t="shared" si="1"/>
        <v>2084</v>
      </c>
      <c r="CE1">
        <f t="shared" si="1"/>
        <v>2085</v>
      </c>
      <c r="CF1">
        <f t="shared" si="1"/>
        <v>2086</v>
      </c>
      <c r="CG1">
        <f t="shared" si="1"/>
        <v>2087</v>
      </c>
      <c r="CH1">
        <f t="shared" si="1"/>
        <v>2088</v>
      </c>
      <c r="CI1">
        <f t="shared" ref="CI1:CJ1" si="2">CH1+1</f>
        <v>2089</v>
      </c>
      <c r="CJ1">
        <f t="shared" si="2"/>
        <v>2090</v>
      </c>
    </row>
    <row r="2" spans="2:88" x14ac:dyDescent="0.35">
      <c r="B2" t="s">
        <v>17</v>
      </c>
      <c r="H2" s="3">
        <v>40478</v>
      </c>
      <c r="I2" s="3">
        <v>40842</v>
      </c>
      <c r="J2" s="3">
        <v>41213</v>
      </c>
      <c r="K2" s="3">
        <v>41577</v>
      </c>
      <c r="L2" s="3">
        <v>41939</v>
      </c>
      <c r="M2" s="3">
        <v>42305</v>
      </c>
      <c r="N2" s="3">
        <v>42669</v>
      </c>
      <c r="O2" s="3">
        <v>43042</v>
      </c>
      <c r="P2" s="3">
        <v>43409</v>
      </c>
      <c r="Q2" s="3">
        <v>43769</v>
      </c>
      <c r="R2" s="3">
        <v>44134</v>
      </c>
      <c r="S2" s="3">
        <v>44498</v>
      </c>
      <c r="T2" s="3">
        <v>44862</v>
      </c>
      <c r="U2" s="3">
        <v>45233</v>
      </c>
    </row>
    <row r="3" spans="2:88" x14ac:dyDescent="0.35">
      <c r="B3" t="s">
        <v>18</v>
      </c>
      <c r="H3" s="3">
        <f>DATE(YEAR(I3)-1,MONTH(I3), DAY(I3))</f>
        <v>40451</v>
      </c>
      <c r="I3" s="3">
        <f t="shared" ref="I3:S3" si="3">DATE(YEAR(J3)-1,MONTH(J3), DAY(J3))</f>
        <v>40816</v>
      </c>
      <c r="J3" s="3">
        <f t="shared" si="3"/>
        <v>41182</v>
      </c>
      <c r="K3" s="3">
        <f t="shared" si="3"/>
        <v>41547</v>
      </c>
      <c r="L3" s="3">
        <f t="shared" si="3"/>
        <v>41912</v>
      </c>
      <c r="M3" s="3">
        <f t="shared" si="3"/>
        <v>42277</v>
      </c>
      <c r="N3" s="3">
        <f t="shared" si="3"/>
        <v>42643</v>
      </c>
      <c r="O3" s="3">
        <f t="shared" si="3"/>
        <v>43008</v>
      </c>
      <c r="P3" s="3">
        <f t="shared" si="3"/>
        <v>43373</v>
      </c>
      <c r="Q3" s="3">
        <f t="shared" si="3"/>
        <v>43738</v>
      </c>
      <c r="R3" s="3">
        <f t="shared" si="3"/>
        <v>44104</v>
      </c>
      <c r="S3" s="3">
        <f t="shared" si="3"/>
        <v>44469</v>
      </c>
      <c r="T3" s="3">
        <f>DATE(YEAR(U3)-1,MONTH(U3), DAY(U3))</f>
        <v>44834</v>
      </c>
      <c r="U3" s="3">
        <v>45199</v>
      </c>
    </row>
    <row r="7" spans="2:88" s="14" customFormat="1" x14ac:dyDescent="0.35">
      <c r="B7" s="14" t="s">
        <v>121</v>
      </c>
    </row>
    <row r="8" spans="2:88" s="4" customFormat="1" x14ac:dyDescent="0.35">
      <c r="B8" s="4" t="s">
        <v>27</v>
      </c>
      <c r="G8" s="4">
        <v>20731</v>
      </c>
      <c r="H8" s="4">
        <v>39989</v>
      </c>
      <c r="I8" s="4">
        <v>72293</v>
      </c>
      <c r="K8" s="4">
        <v>150257</v>
      </c>
      <c r="L8" s="4">
        <v>169219</v>
      </c>
      <c r="M8" s="4">
        <v>231218</v>
      </c>
      <c r="N8" s="4">
        <v>211884</v>
      </c>
      <c r="O8" s="4">
        <v>216756</v>
      </c>
    </row>
    <row r="9" spans="2:88" s="4" customFormat="1" x14ac:dyDescent="0.35">
      <c r="B9" s="4" t="s">
        <v>29</v>
      </c>
      <c r="G9" s="4">
        <v>0</v>
      </c>
      <c r="H9" s="4">
        <v>7458</v>
      </c>
      <c r="I9" s="4">
        <v>32394</v>
      </c>
      <c r="K9" s="4">
        <v>71033</v>
      </c>
      <c r="L9" s="4">
        <v>67977</v>
      </c>
      <c r="M9" s="4">
        <v>54856</v>
      </c>
      <c r="N9" s="4">
        <v>45590</v>
      </c>
      <c r="O9" s="4">
        <v>43753</v>
      </c>
    </row>
    <row r="10" spans="2:88" s="4" customFormat="1" x14ac:dyDescent="0.35">
      <c r="B10" s="4" t="s">
        <v>28</v>
      </c>
      <c r="G10" s="4" t="s">
        <v>120</v>
      </c>
      <c r="H10" s="4" t="s">
        <v>120</v>
      </c>
      <c r="I10" s="4" t="s">
        <v>120</v>
      </c>
      <c r="K10" s="4">
        <v>16341</v>
      </c>
      <c r="L10" s="4">
        <v>18906</v>
      </c>
      <c r="M10" s="4">
        <v>20587</v>
      </c>
      <c r="N10" s="4">
        <v>18484</v>
      </c>
      <c r="O10" s="4">
        <v>19251</v>
      </c>
    </row>
    <row r="12" spans="2:88" s="14" customFormat="1" x14ac:dyDescent="0.35">
      <c r="B12" s="14" t="s">
        <v>102</v>
      </c>
    </row>
    <row r="13" spans="2:88" s="4" customFormat="1" x14ac:dyDescent="0.35">
      <c r="B13" s="4" t="s">
        <v>27</v>
      </c>
      <c r="G13" s="4">
        <v>13033</v>
      </c>
      <c r="H13" s="4">
        <v>25179</v>
      </c>
      <c r="I13" s="4">
        <v>47057</v>
      </c>
      <c r="J13" s="4">
        <v>80477</v>
      </c>
      <c r="K13" s="4">
        <v>91279</v>
      </c>
      <c r="L13" s="4">
        <v>101991</v>
      </c>
      <c r="M13" s="4">
        <v>155041</v>
      </c>
      <c r="N13" s="4">
        <v>136700</v>
      </c>
      <c r="O13" s="4">
        <v>139337</v>
      </c>
      <c r="P13" s="4">
        <v>164888</v>
      </c>
      <c r="Q13" s="4">
        <v>142381</v>
      </c>
      <c r="R13" s="4">
        <v>137781</v>
      </c>
      <c r="S13" s="4">
        <v>191973</v>
      </c>
      <c r="T13" s="4">
        <v>205489</v>
      </c>
      <c r="U13" s="4">
        <v>200583</v>
      </c>
    </row>
    <row r="14" spans="2:88" s="4" customFormat="1" x14ac:dyDescent="0.35">
      <c r="B14" s="4" t="s">
        <v>28</v>
      </c>
      <c r="G14" s="4">
        <v>13859</v>
      </c>
      <c r="H14" s="4">
        <v>17479</v>
      </c>
      <c r="I14" s="4">
        <v>21783</v>
      </c>
      <c r="J14" s="4">
        <v>23221</v>
      </c>
      <c r="K14" s="4">
        <v>31980</v>
      </c>
      <c r="L14" s="4">
        <v>30283</v>
      </c>
      <c r="M14" s="4">
        <v>23227</v>
      </c>
      <c r="N14" s="4">
        <v>20628</v>
      </c>
      <c r="O14" s="4">
        <v>25569</v>
      </c>
      <c r="P14" s="4">
        <v>25198</v>
      </c>
      <c r="Q14" s="4">
        <v>25740</v>
      </c>
      <c r="R14" s="4">
        <v>28622</v>
      </c>
      <c r="S14" s="4">
        <v>35190</v>
      </c>
      <c r="T14" s="4">
        <v>40177</v>
      </c>
      <c r="U14" s="4">
        <v>29357</v>
      </c>
    </row>
    <row r="15" spans="2:88" s="4" customFormat="1" x14ac:dyDescent="0.35">
      <c r="B15" s="4" t="s">
        <v>29</v>
      </c>
      <c r="G15" s="4">
        <v>0</v>
      </c>
      <c r="H15" s="4">
        <v>4958</v>
      </c>
      <c r="I15" s="4">
        <v>20358</v>
      </c>
      <c r="J15" s="4">
        <v>32424</v>
      </c>
      <c r="K15" s="4">
        <v>21483</v>
      </c>
      <c r="L15" s="4">
        <v>24079</v>
      </c>
      <c r="M15" s="4">
        <v>25471</v>
      </c>
      <c r="N15" s="4">
        <v>22831</v>
      </c>
      <c r="O15" s="4">
        <v>18802</v>
      </c>
      <c r="P15" s="4">
        <v>18380</v>
      </c>
      <c r="Q15" s="4">
        <v>21280</v>
      </c>
      <c r="R15" s="4">
        <v>23724</v>
      </c>
      <c r="S15" s="4">
        <v>31862</v>
      </c>
      <c r="T15" s="4">
        <v>29292</v>
      </c>
      <c r="U15" s="4">
        <v>28300</v>
      </c>
    </row>
    <row r="16" spans="2:88" s="4" customFormat="1" x14ac:dyDescent="0.35">
      <c r="B16" s="4" t="s">
        <v>103</v>
      </c>
      <c r="G16" s="4">
        <f>8091+1475</f>
        <v>9566</v>
      </c>
      <c r="H16" s="4">
        <f>8274+1814</f>
        <v>10088</v>
      </c>
      <c r="I16" s="4">
        <f>2330+7453</f>
        <v>9783</v>
      </c>
      <c r="J16" s="4">
        <f>5615+2778</f>
        <v>8393</v>
      </c>
      <c r="K16" s="4">
        <v>16051</v>
      </c>
      <c r="L16" s="4">
        <v>18063</v>
      </c>
      <c r="M16" s="4">
        <v>19909</v>
      </c>
      <c r="N16" s="4">
        <v>24348</v>
      </c>
      <c r="O16" s="4">
        <v>12826</v>
      </c>
      <c r="P16" s="4">
        <v>17381</v>
      </c>
      <c r="Q16" s="4">
        <v>24482</v>
      </c>
      <c r="R16" s="4">
        <v>30620</v>
      </c>
      <c r="S16" s="4">
        <v>38367</v>
      </c>
      <c r="T16" s="4">
        <v>41241</v>
      </c>
      <c r="U16" s="4">
        <v>39845</v>
      </c>
    </row>
    <row r="17" spans="2:21" s="5" customFormat="1" x14ac:dyDescent="0.35">
      <c r="B17" s="5" t="s">
        <v>31</v>
      </c>
      <c r="G17" s="5">
        <f>4036+2411</f>
        <v>6447</v>
      </c>
      <c r="H17" s="5">
        <f>4948+2573</f>
        <v>7521</v>
      </c>
      <c r="I17" s="5">
        <f>6314+2954</f>
        <v>9268</v>
      </c>
      <c r="J17" s="5">
        <f>8534+3459</f>
        <v>11993</v>
      </c>
      <c r="K17" s="5">
        <v>10117</v>
      </c>
      <c r="L17" s="5">
        <v>8379</v>
      </c>
      <c r="M17" s="5">
        <v>10067</v>
      </c>
      <c r="N17" s="5">
        <v>11132</v>
      </c>
      <c r="O17" s="5">
        <v>32700</v>
      </c>
      <c r="P17" s="5">
        <v>39748</v>
      </c>
      <c r="Q17" s="5">
        <v>46291</v>
      </c>
      <c r="R17" s="5">
        <v>53768</v>
      </c>
      <c r="S17" s="5">
        <v>68425</v>
      </c>
      <c r="T17" s="5">
        <v>78129</v>
      </c>
      <c r="U17" s="5">
        <v>85200</v>
      </c>
    </row>
    <row r="18" spans="2:21" s="12" customFormat="1" x14ac:dyDescent="0.35">
      <c r="B18" s="12" t="s">
        <v>35</v>
      </c>
      <c r="D18" s="12">
        <f>SUM(D13:D17)</f>
        <v>0</v>
      </c>
      <c r="E18" s="12">
        <f t="shared" ref="E18:T18" si="4">SUM(E13:E17)</f>
        <v>0</v>
      </c>
      <c r="F18" s="12">
        <f t="shared" si="4"/>
        <v>0</v>
      </c>
      <c r="G18" s="12">
        <f t="shared" si="4"/>
        <v>42905</v>
      </c>
      <c r="H18" s="12">
        <f t="shared" si="4"/>
        <v>65225</v>
      </c>
      <c r="I18" s="12">
        <f t="shared" si="4"/>
        <v>108249</v>
      </c>
      <c r="J18" s="12">
        <f t="shared" si="4"/>
        <v>156508</v>
      </c>
      <c r="K18" s="12">
        <f t="shared" si="4"/>
        <v>170910</v>
      </c>
      <c r="L18" s="12">
        <f t="shared" si="4"/>
        <v>182795</v>
      </c>
      <c r="M18" s="12">
        <f t="shared" si="4"/>
        <v>233715</v>
      </c>
      <c r="N18" s="12">
        <f t="shared" si="4"/>
        <v>215639</v>
      </c>
      <c r="O18" s="12">
        <f t="shared" si="4"/>
        <v>229234</v>
      </c>
      <c r="P18" s="12">
        <f t="shared" si="4"/>
        <v>265595</v>
      </c>
      <c r="Q18" s="12">
        <f t="shared" si="4"/>
        <v>260174</v>
      </c>
      <c r="R18" s="12">
        <f t="shared" si="4"/>
        <v>274515</v>
      </c>
      <c r="S18" s="12">
        <f t="shared" si="4"/>
        <v>365817</v>
      </c>
      <c r="T18" s="12">
        <f t="shared" si="4"/>
        <v>394328</v>
      </c>
      <c r="U18" s="12">
        <f>SUM(U13:U17)</f>
        <v>383285</v>
      </c>
    </row>
    <row r="19" spans="2:21" x14ac:dyDescent="0.35">
      <c r="B19" s="16" t="s">
        <v>101</v>
      </c>
    </row>
    <row r="20" spans="2:21" s="8" customFormat="1" x14ac:dyDescent="0.35">
      <c r="B20" s="8" t="s">
        <v>27</v>
      </c>
      <c r="D20" s="8" t="e">
        <f>D13/D$18</f>
        <v>#DIV/0!</v>
      </c>
      <c r="E20" s="8" t="e">
        <f t="shared" ref="E20:T20" si="5">E13/E$18</f>
        <v>#DIV/0!</v>
      </c>
      <c r="F20" s="8" t="e">
        <f t="shared" si="5"/>
        <v>#DIV/0!</v>
      </c>
      <c r="G20" s="8">
        <f t="shared" si="5"/>
        <v>0.30376413005477215</v>
      </c>
      <c r="H20" s="8">
        <f t="shared" si="5"/>
        <v>0.38603296282100419</v>
      </c>
      <c r="I20" s="8">
        <f t="shared" si="5"/>
        <v>0.43471071326294008</v>
      </c>
      <c r="J20" s="8">
        <f t="shared" si="5"/>
        <v>0.51420374677332792</v>
      </c>
      <c r="K20" s="8">
        <f t="shared" si="5"/>
        <v>0.53407641448715704</v>
      </c>
      <c r="L20" s="8">
        <f t="shared" si="5"/>
        <v>0.55795289805519843</v>
      </c>
      <c r="M20" s="8">
        <f t="shared" si="5"/>
        <v>0.6633763344244058</v>
      </c>
      <c r="N20" s="8">
        <f t="shared" si="5"/>
        <v>0.63392985498912535</v>
      </c>
      <c r="O20" s="8">
        <f t="shared" si="5"/>
        <v>0.60783740631843441</v>
      </c>
      <c r="P20" s="8">
        <f t="shared" si="5"/>
        <v>0.62082494022854351</v>
      </c>
      <c r="Q20" s="8">
        <f t="shared" si="5"/>
        <v>0.54725299222827795</v>
      </c>
      <c r="R20" s="8">
        <f t="shared" si="5"/>
        <v>0.50190699961750729</v>
      </c>
      <c r="S20" s="8">
        <f t="shared" si="5"/>
        <v>0.52477878283404</v>
      </c>
      <c r="T20" s="8">
        <f t="shared" si="5"/>
        <v>0.52111186626361805</v>
      </c>
      <c r="U20" s="8">
        <f>U13/U$18</f>
        <v>0.52332598458066448</v>
      </c>
    </row>
    <row r="21" spans="2:21" s="8" customFormat="1" x14ac:dyDescent="0.35">
      <c r="B21" s="8" t="s">
        <v>28</v>
      </c>
      <c r="D21" s="8" t="e">
        <f>D14/D$18</f>
        <v>#DIV/0!</v>
      </c>
      <c r="E21" s="8" t="e">
        <f t="shared" ref="E21:T21" si="6">E14/E$18</f>
        <v>#DIV/0!</v>
      </c>
      <c r="F21" s="8" t="e">
        <f t="shared" si="6"/>
        <v>#DIV/0!</v>
      </c>
      <c r="G21" s="8">
        <f t="shared" si="6"/>
        <v>0.32301596550518585</v>
      </c>
      <c r="H21" s="8">
        <f t="shared" si="6"/>
        <v>0.26798006899195093</v>
      </c>
      <c r="I21" s="8">
        <f t="shared" si="6"/>
        <v>0.20123049635562454</v>
      </c>
      <c r="J21" s="8">
        <f t="shared" si="6"/>
        <v>0.14836941242620186</v>
      </c>
      <c r="K21" s="8">
        <f t="shared" si="6"/>
        <v>0.18711602597858523</v>
      </c>
      <c r="L21" s="8">
        <f t="shared" si="6"/>
        <v>0.1656664569599825</v>
      </c>
      <c r="M21" s="8">
        <f t="shared" si="6"/>
        <v>9.9381725605973081E-2</v>
      </c>
      <c r="N21" s="8">
        <f t="shared" si="6"/>
        <v>9.5659875996457047E-2</v>
      </c>
      <c r="O21" s="8">
        <f t="shared" si="6"/>
        <v>0.11154104539466222</v>
      </c>
      <c r="P21" s="8">
        <f t="shared" si="6"/>
        <v>9.487377397917883E-2</v>
      </c>
      <c r="Q21" s="8">
        <f t="shared" si="6"/>
        <v>9.8933790463305332E-2</v>
      </c>
      <c r="R21" s="8">
        <f t="shared" si="6"/>
        <v>0.10426388357648944</v>
      </c>
      <c r="S21" s="8">
        <f t="shared" si="6"/>
        <v>9.6195638803008063E-2</v>
      </c>
      <c r="T21" s="8">
        <f t="shared" si="6"/>
        <v>0.10188726136617232</v>
      </c>
      <c r="U21" s="8">
        <f>U14/U$18</f>
        <v>7.659313565623492E-2</v>
      </c>
    </row>
    <row r="22" spans="2:21" s="8" customFormat="1" x14ac:dyDescent="0.35">
      <c r="B22" s="8" t="s">
        <v>29</v>
      </c>
      <c r="D22" s="8" t="e">
        <f>D15/D$18</f>
        <v>#DIV/0!</v>
      </c>
      <c r="E22" s="8" t="e">
        <f t="shared" ref="E22:T22" si="7">E15/E$18</f>
        <v>#DIV/0!</v>
      </c>
      <c r="F22" s="8" t="e">
        <f t="shared" si="7"/>
        <v>#DIV/0!</v>
      </c>
      <c r="G22" s="8">
        <f t="shared" si="7"/>
        <v>0</v>
      </c>
      <c r="H22" s="8">
        <f t="shared" si="7"/>
        <v>7.6013798390187806E-2</v>
      </c>
      <c r="I22" s="8">
        <f t="shared" si="7"/>
        <v>0.18806640246099271</v>
      </c>
      <c r="J22" s="8">
        <f t="shared" si="7"/>
        <v>0.20717151838883635</v>
      </c>
      <c r="K22" s="8">
        <f t="shared" si="7"/>
        <v>0.12569773565034228</v>
      </c>
      <c r="L22" s="8">
        <f t="shared" si="7"/>
        <v>0.13172679777893267</v>
      </c>
      <c r="M22" s="8">
        <f t="shared" si="7"/>
        <v>0.10898316325439103</v>
      </c>
      <c r="N22" s="8">
        <f t="shared" si="7"/>
        <v>0.10587602428132202</v>
      </c>
      <c r="O22" s="8">
        <f t="shared" si="7"/>
        <v>8.2020991650453248E-2</v>
      </c>
      <c r="P22" s="8">
        <f t="shared" si="7"/>
        <v>6.9203109998305687E-2</v>
      </c>
      <c r="Q22" s="8">
        <f t="shared" si="7"/>
        <v>8.1791416513564003E-2</v>
      </c>
      <c r="R22" s="8">
        <f t="shared" si="7"/>
        <v>8.6421507021474234E-2</v>
      </c>
      <c r="S22" s="8">
        <f t="shared" si="7"/>
        <v>8.7098193905696022E-2</v>
      </c>
      <c r="T22" s="8">
        <f t="shared" si="7"/>
        <v>7.4283337728997187E-2</v>
      </c>
      <c r="U22" s="8">
        <f>U15/U$18</f>
        <v>7.3835396636967268E-2</v>
      </c>
    </row>
    <row r="23" spans="2:21" s="8" customFormat="1" x14ac:dyDescent="0.35">
      <c r="B23" s="8" t="s">
        <v>103</v>
      </c>
      <c r="D23" s="8" t="e">
        <f>D16/D$18</f>
        <v>#DIV/0!</v>
      </c>
      <c r="E23" s="8" t="e">
        <f t="shared" ref="E23:T23" si="8">E16/E$18</f>
        <v>#DIV/0!</v>
      </c>
      <c r="F23" s="8" t="e">
        <f t="shared" si="8"/>
        <v>#DIV/0!</v>
      </c>
      <c r="G23" s="8">
        <f t="shared" si="8"/>
        <v>0.22295769723808415</v>
      </c>
      <c r="H23" s="8">
        <f t="shared" si="8"/>
        <v>0.15466462246071291</v>
      </c>
      <c r="I23" s="8">
        <f t="shared" si="8"/>
        <v>9.0374968821882881E-2</v>
      </c>
      <c r="J23" s="8">
        <f t="shared" si="8"/>
        <v>5.3626651672757944E-2</v>
      </c>
      <c r="K23" s="8">
        <f t="shared" si="8"/>
        <v>9.3914925984436251E-2</v>
      </c>
      <c r="L23" s="8">
        <f t="shared" si="8"/>
        <v>9.8815613118520745E-2</v>
      </c>
      <c r="M23" s="8">
        <f t="shared" si="8"/>
        <v>8.518494747876687E-2</v>
      </c>
      <c r="N23" s="8">
        <f t="shared" si="8"/>
        <v>0.11291092984107698</v>
      </c>
      <c r="O23" s="8">
        <f t="shared" si="8"/>
        <v>5.5951560414249195E-2</v>
      </c>
      <c r="P23" s="8">
        <f t="shared" si="8"/>
        <v>6.5441744008735106E-2</v>
      </c>
      <c r="Q23" s="8">
        <f t="shared" si="8"/>
        <v>9.4098564806629412E-2</v>
      </c>
      <c r="R23" s="8">
        <f t="shared" si="8"/>
        <v>0.11154217438027066</v>
      </c>
      <c r="S23" s="8">
        <f t="shared" si="8"/>
        <v>0.10488030900696249</v>
      </c>
      <c r="T23" s="8">
        <f t="shared" si="8"/>
        <v>0.10458552271205697</v>
      </c>
      <c r="U23" s="8">
        <f>U16/U$18</f>
        <v>0.1039565858303873</v>
      </c>
    </row>
    <row r="24" spans="2:21" s="9" customFormat="1" x14ac:dyDescent="0.35">
      <c r="B24" s="9" t="s">
        <v>31</v>
      </c>
      <c r="D24" s="9" t="e">
        <f>D17/D$18</f>
        <v>#DIV/0!</v>
      </c>
      <c r="E24" s="9" t="e">
        <f t="shared" ref="E24:T24" si="9">E17/E$18</f>
        <v>#DIV/0!</v>
      </c>
      <c r="F24" s="9" t="e">
        <f t="shared" si="9"/>
        <v>#DIV/0!</v>
      </c>
      <c r="G24" s="9">
        <f t="shared" si="9"/>
        <v>0.15026220720195782</v>
      </c>
      <c r="H24" s="9">
        <f t="shared" si="9"/>
        <v>0.11530854733614411</v>
      </c>
      <c r="I24" s="9">
        <f t="shared" si="9"/>
        <v>8.5617419098559799E-2</v>
      </c>
      <c r="J24" s="9">
        <f t="shared" si="9"/>
        <v>7.662867073887597E-2</v>
      </c>
      <c r="K24" s="9">
        <f t="shared" si="9"/>
        <v>5.9194897899479258E-2</v>
      </c>
      <c r="L24" s="9">
        <f t="shared" si="9"/>
        <v>4.5838234087365627E-2</v>
      </c>
      <c r="M24" s="9">
        <f t="shared" si="9"/>
        <v>4.3073829236463211E-2</v>
      </c>
      <c r="N24" s="9">
        <f t="shared" si="9"/>
        <v>5.1623314892018608E-2</v>
      </c>
      <c r="O24" s="9">
        <f t="shared" si="9"/>
        <v>0.1426489962222009</v>
      </c>
      <c r="P24" s="9">
        <f t="shared" si="9"/>
        <v>0.14965643178523691</v>
      </c>
      <c r="Q24" s="9">
        <f t="shared" si="9"/>
        <v>0.17792323598822327</v>
      </c>
      <c r="R24" s="9">
        <f t="shared" si="9"/>
        <v>0.19586543540425841</v>
      </c>
      <c r="S24" s="9">
        <f t="shared" si="9"/>
        <v>0.18704707545029345</v>
      </c>
      <c r="T24" s="9">
        <f t="shared" si="9"/>
        <v>0.19813201192915542</v>
      </c>
      <c r="U24" s="9">
        <f>U17/U$18</f>
        <v>0.222288897295746</v>
      </c>
    </row>
    <row r="25" spans="2:21" s="8" customFormat="1" x14ac:dyDescent="0.35">
      <c r="B25" s="8" t="s">
        <v>104</v>
      </c>
      <c r="D25" s="8" t="e">
        <f>SUM(D20:D24)</f>
        <v>#DIV/0!</v>
      </c>
      <c r="E25" s="8" t="e">
        <f t="shared" ref="E25:T25" si="10">SUM(E20:E24)</f>
        <v>#DIV/0!</v>
      </c>
      <c r="F25" s="8" t="e">
        <f t="shared" si="10"/>
        <v>#DIV/0!</v>
      </c>
      <c r="G25" s="8">
        <f t="shared" si="10"/>
        <v>1</v>
      </c>
      <c r="H25" s="8">
        <f t="shared" si="10"/>
        <v>1</v>
      </c>
      <c r="I25" s="8">
        <f t="shared" si="10"/>
        <v>1</v>
      </c>
      <c r="J25" s="8">
        <f t="shared" si="10"/>
        <v>1</v>
      </c>
      <c r="K25" s="8">
        <f t="shared" si="10"/>
        <v>1</v>
      </c>
      <c r="L25" s="8">
        <f t="shared" si="10"/>
        <v>1</v>
      </c>
      <c r="M25" s="8">
        <f t="shared" si="10"/>
        <v>1</v>
      </c>
      <c r="N25" s="8">
        <f t="shared" si="10"/>
        <v>1</v>
      </c>
      <c r="O25" s="8">
        <f t="shared" si="10"/>
        <v>1</v>
      </c>
      <c r="P25" s="8">
        <f t="shared" si="10"/>
        <v>1</v>
      </c>
      <c r="Q25" s="8">
        <f t="shared" si="10"/>
        <v>0.99999999999999989</v>
      </c>
      <c r="R25" s="8">
        <f t="shared" si="10"/>
        <v>1</v>
      </c>
      <c r="S25" s="8">
        <f t="shared" si="10"/>
        <v>1.0000000000000002</v>
      </c>
      <c r="T25" s="8">
        <f t="shared" si="10"/>
        <v>1</v>
      </c>
      <c r="U25" s="8">
        <f>SUM(U20:U24)</f>
        <v>1</v>
      </c>
    </row>
    <row r="26" spans="2:21" s="14" customFormat="1" x14ac:dyDescent="0.35">
      <c r="B26" s="14" t="s">
        <v>98</v>
      </c>
    </row>
    <row r="27" spans="2:21" s="4" customFormat="1" x14ac:dyDescent="0.35">
      <c r="B27" s="4" t="s">
        <v>99</v>
      </c>
      <c r="G27" s="4">
        <v>18981</v>
      </c>
      <c r="H27" s="4">
        <v>24498</v>
      </c>
      <c r="I27" s="4">
        <v>38315</v>
      </c>
      <c r="J27" s="4">
        <v>57512</v>
      </c>
      <c r="K27" s="4">
        <v>77093</v>
      </c>
      <c r="L27" s="4">
        <v>80095</v>
      </c>
      <c r="M27" s="4">
        <v>93864</v>
      </c>
      <c r="N27" s="4">
        <v>86613</v>
      </c>
      <c r="O27" s="4">
        <v>96600</v>
      </c>
      <c r="P27" s="4">
        <v>112093</v>
      </c>
      <c r="Q27" s="4">
        <v>116914</v>
      </c>
      <c r="R27" s="4">
        <v>124556</v>
      </c>
      <c r="S27" s="4">
        <v>153306</v>
      </c>
      <c r="T27" s="4">
        <v>169658</v>
      </c>
      <c r="U27" s="4">
        <v>162560</v>
      </c>
    </row>
    <row r="28" spans="2:21" s="4" customFormat="1" x14ac:dyDescent="0.35">
      <c r="B28" s="4" t="s">
        <v>21</v>
      </c>
      <c r="G28" s="4">
        <v>11810</v>
      </c>
      <c r="H28" s="4">
        <v>18692</v>
      </c>
      <c r="I28" s="4">
        <v>27778</v>
      </c>
      <c r="J28" s="4">
        <v>36323</v>
      </c>
      <c r="K28" s="4">
        <v>40980</v>
      </c>
      <c r="L28" s="4">
        <v>44285</v>
      </c>
      <c r="M28" s="4">
        <v>50337</v>
      </c>
      <c r="N28" s="4">
        <v>49952</v>
      </c>
      <c r="O28" s="4">
        <v>54938</v>
      </c>
      <c r="P28" s="4">
        <v>62420</v>
      </c>
      <c r="Q28" s="4">
        <v>60288</v>
      </c>
      <c r="R28" s="4">
        <v>68640</v>
      </c>
      <c r="S28" s="4">
        <v>89307</v>
      </c>
      <c r="T28" s="4">
        <v>95118</v>
      </c>
      <c r="U28" s="4">
        <v>94294</v>
      </c>
    </row>
    <row r="29" spans="2:21" s="4" customFormat="1" x14ac:dyDescent="0.35">
      <c r="B29" s="4" t="s">
        <v>22</v>
      </c>
      <c r="G29" s="4">
        <v>3179</v>
      </c>
      <c r="H29" s="4">
        <v>8256</v>
      </c>
      <c r="I29" s="4">
        <v>22592</v>
      </c>
      <c r="J29" s="4">
        <v>33274</v>
      </c>
      <c r="K29" s="4">
        <v>27016</v>
      </c>
      <c r="L29" s="4">
        <v>31853</v>
      </c>
      <c r="M29" s="4">
        <v>58715</v>
      </c>
      <c r="N29" s="4">
        <v>48492</v>
      </c>
      <c r="O29" s="4">
        <v>44764</v>
      </c>
      <c r="P29" s="4">
        <v>51942</v>
      </c>
      <c r="Q29" s="4">
        <v>43678</v>
      </c>
      <c r="R29" s="4">
        <v>40308</v>
      </c>
      <c r="S29" s="4">
        <v>68366</v>
      </c>
      <c r="T29" s="4">
        <v>74200</v>
      </c>
      <c r="U29" s="4">
        <v>72559</v>
      </c>
    </row>
    <row r="30" spans="2:21" s="4" customFormat="1" x14ac:dyDescent="0.35">
      <c r="B30" s="4" t="s">
        <v>23</v>
      </c>
      <c r="G30" s="4">
        <v>2279</v>
      </c>
      <c r="H30" s="4">
        <v>3981</v>
      </c>
      <c r="I30" s="4">
        <v>5437</v>
      </c>
      <c r="J30" s="4">
        <v>10571</v>
      </c>
      <c r="K30" s="4">
        <v>13782</v>
      </c>
      <c r="L30" s="4">
        <v>15314</v>
      </c>
      <c r="M30" s="4">
        <v>15706</v>
      </c>
      <c r="N30" s="4">
        <v>16928</v>
      </c>
      <c r="O30" s="4">
        <v>17733</v>
      </c>
      <c r="P30" s="4">
        <v>21733</v>
      </c>
      <c r="Q30" s="4">
        <v>21506</v>
      </c>
      <c r="R30" s="4">
        <v>21418</v>
      </c>
      <c r="S30" s="4">
        <v>28482</v>
      </c>
      <c r="T30" s="4">
        <v>25977</v>
      </c>
      <c r="U30" s="4">
        <v>24257</v>
      </c>
    </row>
    <row r="31" spans="2:21" s="5" customFormat="1" x14ac:dyDescent="0.35">
      <c r="B31" s="5" t="s">
        <v>100</v>
      </c>
      <c r="G31" s="5">
        <v>6656</v>
      </c>
      <c r="H31" s="5">
        <v>9798</v>
      </c>
      <c r="I31" s="5">
        <v>14127</v>
      </c>
      <c r="J31" s="5">
        <v>18828</v>
      </c>
      <c r="K31" s="5">
        <v>12039</v>
      </c>
      <c r="L31" s="5">
        <v>11248</v>
      </c>
      <c r="M31" s="5">
        <v>15093</v>
      </c>
      <c r="N31" s="5">
        <v>13654</v>
      </c>
      <c r="O31" s="5">
        <v>15199</v>
      </c>
      <c r="P31" s="5">
        <v>17407</v>
      </c>
      <c r="Q31" s="5">
        <v>17788</v>
      </c>
      <c r="R31" s="5">
        <v>19593</v>
      </c>
      <c r="S31" s="5">
        <v>26356</v>
      </c>
      <c r="T31" s="5">
        <v>29375</v>
      </c>
      <c r="U31" s="5">
        <v>29615</v>
      </c>
    </row>
    <row r="32" spans="2:21" s="12" customFormat="1" x14ac:dyDescent="0.35">
      <c r="B32" s="12" t="s">
        <v>35</v>
      </c>
      <c r="D32" s="12">
        <f>SUM(D27:D31)</f>
        <v>0</v>
      </c>
      <c r="E32" s="12">
        <f t="shared" ref="E32:T32" si="11">SUM(E27:E31)</f>
        <v>0</v>
      </c>
      <c r="F32" s="12">
        <f t="shared" si="11"/>
        <v>0</v>
      </c>
      <c r="G32" s="12">
        <f t="shared" si="11"/>
        <v>42905</v>
      </c>
      <c r="H32" s="12">
        <f t="shared" si="11"/>
        <v>65225</v>
      </c>
      <c r="I32" s="12">
        <f t="shared" si="11"/>
        <v>108249</v>
      </c>
      <c r="J32" s="12">
        <f t="shared" si="11"/>
        <v>156508</v>
      </c>
      <c r="K32" s="12">
        <f t="shared" si="11"/>
        <v>170910</v>
      </c>
      <c r="L32" s="12">
        <f t="shared" si="11"/>
        <v>182795</v>
      </c>
      <c r="M32" s="12">
        <f t="shared" si="11"/>
        <v>233715</v>
      </c>
      <c r="N32" s="12">
        <f t="shared" si="11"/>
        <v>215639</v>
      </c>
      <c r="O32" s="12">
        <f t="shared" si="11"/>
        <v>229234</v>
      </c>
      <c r="P32" s="12">
        <f t="shared" si="11"/>
        <v>265595</v>
      </c>
      <c r="Q32" s="12">
        <f t="shared" si="11"/>
        <v>260174</v>
      </c>
      <c r="R32" s="12">
        <f t="shared" si="11"/>
        <v>274515</v>
      </c>
      <c r="S32" s="12">
        <f t="shared" si="11"/>
        <v>365817</v>
      </c>
      <c r="T32" s="12">
        <f t="shared" si="11"/>
        <v>394328</v>
      </c>
      <c r="U32" s="12">
        <f>SUM(U27:U31)</f>
        <v>383285</v>
      </c>
    </row>
    <row r="33" spans="2:21" x14ac:dyDescent="0.35">
      <c r="B33" s="16" t="s">
        <v>101</v>
      </c>
    </row>
    <row r="34" spans="2:21" s="8" customFormat="1" x14ac:dyDescent="0.35">
      <c r="B34" s="8" t="s">
        <v>99</v>
      </c>
      <c r="D34" s="8" t="e">
        <f>D27/D$32</f>
        <v>#DIV/0!</v>
      </c>
      <c r="E34" s="8" t="e">
        <f t="shared" ref="E34:U34" si="12">E27/E$32</f>
        <v>#DIV/0!</v>
      </c>
      <c r="F34" s="8" t="e">
        <f t="shared" si="12"/>
        <v>#DIV/0!</v>
      </c>
      <c r="G34" s="8">
        <f t="shared" si="12"/>
        <v>0.44239599114322342</v>
      </c>
      <c r="H34" s="8">
        <f t="shared" si="12"/>
        <v>0.3755921809122269</v>
      </c>
      <c r="I34" s="8">
        <f t="shared" si="12"/>
        <v>0.35395246145460929</v>
      </c>
      <c r="J34" s="8">
        <f t="shared" si="12"/>
        <v>0.36747003348071666</v>
      </c>
      <c r="K34" s="8">
        <f t="shared" si="12"/>
        <v>0.45107366450178454</v>
      </c>
      <c r="L34" s="8">
        <f t="shared" si="12"/>
        <v>0.43816844005580019</v>
      </c>
      <c r="M34" s="8">
        <f t="shared" si="12"/>
        <v>0.40161735447018804</v>
      </c>
      <c r="N34" s="8">
        <f t="shared" si="12"/>
        <v>0.4016573996355019</v>
      </c>
      <c r="O34" s="8">
        <f t="shared" si="12"/>
        <v>0.4214034567298045</v>
      </c>
      <c r="P34" s="8">
        <f t="shared" si="12"/>
        <v>0.42204484271164744</v>
      </c>
      <c r="Q34" s="8">
        <f t="shared" si="12"/>
        <v>0.44936849954261376</v>
      </c>
      <c r="R34" s="8">
        <f t="shared" si="12"/>
        <v>0.45373112580369013</v>
      </c>
      <c r="S34" s="8">
        <f t="shared" si="12"/>
        <v>0.41907839165484384</v>
      </c>
      <c r="T34" s="8">
        <f t="shared" si="12"/>
        <v>0.43024588667302349</v>
      </c>
      <c r="U34" s="8">
        <f t="shared" si="12"/>
        <v>0.42412304160089748</v>
      </c>
    </row>
    <row r="35" spans="2:21" s="8" customFormat="1" x14ac:dyDescent="0.35">
      <c r="B35" s="8" t="s">
        <v>21</v>
      </c>
      <c r="D35" s="8" t="e">
        <f>D28/D$32</f>
        <v>#DIV/0!</v>
      </c>
      <c r="E35" s="8" t="e">
        <f t="shared" ref="E35:U35" si="13">E28/E$32</f>
        <v>#DIV/0!</v>
      </c>
      <c r="F35" s="8" t="e">
        <f t="shared" si="13"/>
        <v>#DIV/0!</v>
      </c>
      <c r="G35" s="8">
        <f t="shared" si="13"/>
        <v>0.27525929378860275</v>
      </c>
      <c r="H35" s="8">
        <f t="shared" si="13"/>
        <v>0.28657723265619012</v>
      </c>
      <c r="I35" s="8">
        <f t="shared" si="13"/>
        <v>0.25661207031935629</v>
      </c>
      <c r="J35" s="8">
        <f t="shared" si="13"/>
        <v>0.2320839829273903</v>
      </c>
      <c r="K35" s="8">
        <f t="shared" si="13"/>
        <v>0.23977532034404073</v>
      </c>
      <c r="L35" s="8">
        <f t="shared" si="13"/>
        <v>0.24226592631089472</v>
      </c>
      <c r="M35" s="8">
        <f t="shared" si="13"/>
        <v>0.21537770361337527</v>
      </c>
      <c r="N35" s="8">
        <f t="shared" si="13"/>
        <v>0.23164640904474609</v>
      </c>
      <c r="O35" s="8">
        <f t="shared" si="13"/>
        <v>0.23965903836254657</v>
      </c>
      <c r="P35" s="8">
        <f t="shared" si="13"/>
        <v>0.23501948455354957</v>
      </c>
      <c r="Q35" s="8">
        <f t="shared" si="13"/>
        <v>0.23172184768654824</v>
      </c>
      <c r="R35" s="8">
        <f t="shared" si="13"/>
        <v>0.25004098136713843</v>
      </c>
      <c r="S35" s="8">
        <f t="shared" si="13"/>
        <v>0.2441302618522376</v>
      </c>
      <c r="T35" s="8">
        <f t="shared" si="13"/>
        <v>0.24121543486640562</v>
      </c>
      <c r="U35" s="8">
        <f t="shared" si="13"/>
        <v>0.24601536715498912</v>
      </c>
    </row>
    <row r="36" spans="2:21" s="8" customFormat="1" x14ac:dyDescent="0.35">
      <c r="B36" s="8" t="s">
        <v>22</v>
      </c>
      <c r="D36" s="8" t="e">
        <f>D29/D$32</f>
        <v>#DIV/0!</v>
      </c>
      <c r="E36" s="8" t="e">
        <f t="shared" ref="E36:U36" si="14">E29/E$32</f>
        <v>#DIV/0!</v>
      </c>
      <c r="F36" s="8" t="e">
        <f t="shared" si="14"/>
        <v>#DIV/0!</v>
      </c>
      <c r="G36" s="8">
        <f t="shared" si="14"/>
        <v>7.4093928446567994E-2</v>
      </c>
      <c r="H36" s="8">
        <f t="shared" si="14"/>
        <v>0.12657723265619011</v>
      </c>
      <c r="I36" s="8">
        <f t="shared" si="14"/>
        <v>0.20870400650352428</v>
      </c>
      <c r="J36" s="8">
        <f t="shared" si="14"/>
        <v>0.21260255066833644</v>
      </c>
      <c r="K36" s="8">
        <f t="shared" si="14"/>
        <v>0.15807149961968286</v>
      </c>
      <c r="L36" s="8">
        <f t="shared" si="14"/>
        <v>0.17425531332913921</v>
      </c>
      <c r="M36" s="8">
        <f t="shared" si="14"/>
        <v>0.25122478232034745</v>
      </c>
      <c r="N36" s="8">
        <f t="shared" si="14"/>
        <v>0.22487583414873932</v>
      </c>
      <c r="O36" s="8">
        <f t="shared" si="14"/>
        <v>0.19527644241255659</v>
      </c>
      <c r="P36" s="8">
        <f t="shared" si="14"/>
        <v>0.19556844067094636</v>
      </c>
      <c r="Q36" s="8">
        <f t="shared" si="14"/>
        <v>0.16787995725937258</v>
      </c>
      <c r="R36" s="8">
        <f t="shared" si="14"/>
        <v>0.14683350636577236</v>
      </c>
      <c r="S36" s="8">
        <f t="shared" si="14"/>
        <v>0.18688579262308749</v>
      </c>
      <c r="T36" s="8">
        <f t="shared" si="14"/>
        <v>0.18816822543669229</v>
      </c>
      <c r="U36" s="8">
        <f t="shared" si="14"/>
        <v>0.18930821712302856</v>
      </c>
    </row>
    <row r="37" spans="2:21" s="8" customFormat="1" x14ac:dyDescent="0.35">
      <c r="B37" s="8" t="s">
        <v>23</v>
      </c>
      <c r="D37" s="8" t="e">
        <f>D30/D$32</f>
        <v>#DIV/0!</v>
      </c>
      <c r="E37" s="8" t="e">
        <f t="shared" ref="E37:U37" si="15">E30/E$32</f>
        <v>#DIV/0!</v>
      </c>
      <c r="F37" s="8" t="e">
        <f t="shared" si="15"/>
        <v>#DIV/0!</v>
      </c>
      <c r="G37" s="8">
        <f t="shared" si="15"/>
        <v>5.3117352289942896E-2</v>
      </c>
      <c r="H37" s="8">
        <f t="shared" si="15"/>
        <v>6.1034879264085858E-2</v>
      </c>
      <c r="I37" s="8">
        <f t="shared" si="15"/>
        <v>5.0226791933412777E-2</v>
      </c>
      <c r="J37" s="8">
        <f t="shared" si="15"/>
        <v>6.7542873207759355E-2</v>
      </c>
      <c r="K37" s="8">
        <f t="shared" si="15"/>
        <v>8.0638932771634197E-2</v>
      </c>
      <c r="L37" s="8">
        <f t="shared" si="15"/>
        <v>8.3776908558768015E-2</v>
      </c>
      <c r="M37" s="8">
        <f t="shared" si="15"/>
        <v>6.7201506107866418E-2</v>
      </c>
      <c r="N37" s="8">
        <f t="shared" si="15"/>
        <v>7.8501569753152256E-2</v>
      </c>
      <c r="O37" s="8">
        <f t="shared" si="15"/>
        <v>7.7357634556828397E-2</v>
      </c>
      <c r="P37" s="8">
        <f t="shared" si="15"/>
        <v>8.1827594645983548E-2</v>
      </c>
      <c r="Q37" s="8">
        <f t="shared" si="15"/>
        <v>8.2660065955860312E-2</v>
      </c>
      <c r="R37" s="8">
        <f t="shared" si="15"/>
        <v>7.8021237455148176E-2</v>
      </c>
      <c r="S37" s="8">
        <f t="shared" si="15"/>
        <v>7.7858601431863475E-2</v>
      </c>
      <c r="T37" s="8">
        <f t="shared" si="15"/>
        <v>6.5876630622223126E-2</v>
      </c>
      <c r="U37" s="8">
        <f t="shared" si="15"/>
        <v>6.3287110113883924E-2</v>
      </c>
    </row>
    <row r="38" spans="2:21" s="9" customFormat="1" x14ac:dyDescent="0.35">
      <c r="B38" s="9" t="s">
        <v>100</v>
      </c>
      <c r="D38" s="9" t="e">
        <f>D31/D$32</f>
        <v>#DIV/0!</v>
      </c>
      <c r="E38" s="9" t="e">
        <f t="shared" ref="E38:U38" si="16">E31/E$32</f>
        <v>#DIV/0!</v>
      </c>
      <c r="F38" s="9" t="e">
        <f t="shared" si="16"/>
        <v>#DIV/0!</v>
      </c>
      <c r="G38" s="9">
        <f t="shared" si="16"/>
        <v>0.15513343433166299</v>
      </c>
      <c r="H38" s="9">
        <f t="shared" si="16"/>
        <v>0.15021847451130702</v>
      </c>
      <c r="I38" s="9">
        <f t="shared" si="16"/>
        <v>0.13050466978909736</v>
      </c>
      <c r="J38" s="9">
        <f t="shared" si="16"/>
        <v>0.12030055971579727</v>
      </c>
      <c r="K38" s="9">
        <f t="shared" si="16"/>
        <v>7.044058276285764E-2</v>
      </c>
      <c r="L38" s="9">
        <f t="shared" si="16"/>
        <v>6.1533411745397851E-2</v>
      </c>
      <c r="M38" s="9">
        <f t="shared" si="16"/>
        <v>6.4578653488222837E-2</v>
      </c>
      <c r="N38" s="9">
        <f t="shared" si="16"/>
        <v>6.33187874178604E-2</v>
      </c>
      <c r="O38" s="9">
        <f t="shared" si="16"/>
        <v>6.6303427938263951E-2</v>
      </c>
      <c r="P38" s="9">
        <f t="shared" si="16"/>
        <v>6.5539637417873081E-2</v>
      </c>
      <c r="Q38" s="9">
        <f t="shared" si="16"/>
        <v>6.8369629555605091E-2</v>
      </c>
      <c r="R38" s="9">
        <f t="shared" si="16"/>
        <v>7.1373149008250911E-2</v>
      </c>
      <c r="S38" s="9">
        <f t="shared" si="16"/>
        <v>7.2046952437967618E-2</v>
      </c>
      <c r="T38" s="9">
        <f t="shared" si="16"/>
        <v>7.4493822401655474E-2</v>
      </c>
      <c r="U38" s="9">
        <f t="shared" si="16"/>
        <v>7.7266264007200908E-2</v>
      </c>
    </row>
    <row r="39" spans="2:21" s="8" customFormat="1" x14ac:dyDescent="0.35">
      <c r="B39" s="8" t="s">
        <v>35</v>
      </c>
      <c r="D39" s="8" t="e">
        <f>SUM(D34:D38)</f>
        <v>#DIV/0!</v>
      </c>
      <c r="E39" s="8" t="e">
        <f t="shared" ref="E39:U39" si="17">SUM(E34:E38)</f>
        <v>#DIV/0!</v>
      </c>
      <c r="F39" s="8" t="e">
        <f t="shared" si="17"/>
        <v>#DIV/0!</v>
      </c>
      <c r="G39" s="8">
        <f t="shared" si="17"/>
        <v>1</v>
      </c>
      <c r="H39" s="8">
        <f t="shared" si="17"/>
        <v>1.0000000000000002</v>
      </c>
      <c r="I39" s="8">
        <f t="shared" si="17"/>
        <v>1</v>
      </c>
      <c r="J39" s="8">
        <f t="shared" si="17"/>
        <v>1</v>
      </c>
      <c r="K39" s="8">
        <f t="shared" si="17"/>
        <v>0.99999999999999978</v>
      </c>
      <c r="L39" s="8">
        <f t="shared" si="17"/>
        <v>1</v>
      </c>
      <c r="M39" s="8">
        <f t="shared" si="17"/>
        <v>1</v>
      </c>
      <c r="N39" s="8">
        <f t="shared" si="17"/>
        <v>1</v>
      </c>
      <c r="O39" s="8">
        <f t="shared" si="17"/>
        <v>1</v>
      </c>
      <c r="P39" s="8">
        <f t="shared" si="17"/>
        <v>1</v>
      </c>
      <c r="Q39" s="8">
        <f t="shared" si="17"/>
        <v>1</v>
      </c>
      <c r="R39" s="8">
        <f t="shared" si="17"/>
        <v>1</v>
      </c>
      <c r="S39" s="8">
        <f t="shared" si="17"/>
        <v>1</v>
      </c>
      <c r="T39" s="8">
        <f t="shared" si="17"/>
        <v>1</v>
      </c>
      <c r="U39" s="8">
        <f t="shared" si="17"/>
        <v>1</v>
      </c>
    </row>
    <row r="40" spans="2:21" s="8" customFormat="1" x14ac:dyDescent="0.35"/>
    <row r="41" spans="2:21" s="17" customFormat="1" x14ac:dyDescent="0.35">
      <c r="B41" s="17" t="s">
        <v>34</v>
      </c>
    </row>
    <row r="42" spans="2:21" s="4" customFormat="1" x14ac:dyDescent="0.35">
      <c r="B42" s="4" t="s">
        <v>33</v>
      </c>
      <c r="G42" s="4">
        <v>42905</v>
      </c>
      <c r="H42" s="4">
        <v>65225</v>
      </c>
      <c r="I42" s="4">
        <v>108249</v>
      </c>
      <c r="J42" s="4">
        <v>156508</v>
      </c>
      <c r="K42" s="4">
        <v>170910</v>
      </c>
      <c r="L42" s="4">
        <v>182795</v>
      </c>
      <c r="M42" s="4">
        <v>233715</v>
      </c>
      <c r="N42" s="4">
        <v>215639</v>
      </c>
      <c r="O42" s="4">
        <v>196534</v>
      </c>
      <c r="P42" s="4">
        <v>225847</v>
      </c>
      <c r="Q42" s="4">
        <v>213883</v>
      </c>
      <c r="R42" s="4">
        <v>220747</v>
      </c>
      <c r="S42" s="4">
        <v>297392</v>
      </c>
      <c r="T42" s="4">
        <v>316199</v>
      </c>
      <c r="U42" s="4">
        <v>298085</v>
      </c>
    </row>
    <row r="43" spans="2:21" s="5" customFormat="1" x14ac:dyDescent="0.35">
      <c r="B43" s="5" t="s">
        <v>36</v>
      </c>
      <c r="G43" s="5">
        <v>25683</v>
      </c>
      <c r="H43" s="5">
        <v>39541</v>
      </c>
      <c r="I43" s="5">
        <v>64431</v>
      </c>
      <c r="J43" s="5">
        <v>87846</v>
      </c>
      <c r="K43" s="5">
        <v>106606</v>
      </c>
      <c r="L43" s="5">
        <v>112258</v>
      </c>
      <c r="M43" s="5">
        <v>140089</v>
      </c>
      <c r="N43" s="5">
        <v>131376</v>
      </c>
      <c r="O43" s="5">
        <v>126337</v>
      </c>
      <c r="P43" s="5">
        <v>148164</v>
      </c>
      <c r="Q43" s="5">
        <v>144996</v>
      </c>
      <c r="R43" s="5">
        <v>151286</v>
      </c>
      <c r="S43" s="5">
        <v>192266</v>
      </c>
      <c r="T43" s="5">
        <v>201471</v>
      </c>
      <c r="U43" s="5">
        <v>189282</v>
      </c>
    </row>
    <row r="44" spans="2:21" s="4" customFormat="1" x14ac:dyDescent="0.35">
      <c r="B44" s="4" t="s">
        <v>38</v>
      </c>
      <c r="D44" s="4">
        <f>D42-D43</f>
        <v>0</v>
      </c>
      <c r="E44" s="4">
        <f t="shared" ref="E44:T44" si="18">E42-E43</f>
        <v>0</v>
      </c>
      <c r="F44" s="4">
        <f t="shared" si="18"/>
        <v>0</v>
      </c>
      <c r="G44" s="4">
        <f t="shared" si="18"/>
        <v>17222</v>
      </c>
      <c r="H44" s="4">
        <f t="shared" si="18"/>
        <v>25684</v>
      </c>
      <c r="I44" s="4">
        <f t="shared" si="18"/>
        <v>43818</v>
      </c>
      <c r="J44" s="4">
        <f t="shared" si="18"/>
        <v>68662</v>
      </c>
      <c r="K44" s="4">
        <f t="shared" si="18"/>
        <v>64304</v>
      </c>
      <c r="L44" s="4">
        <f t="shared" si="18"/>
        <v>70537</v>
      </c>
      <c r="M44" s="4">
        <f t="shared" si="18"/>
        <v>93626</v>
      </c>
      <c r="N44" s="4">
        <f t="shared" si="18"/>
        <v>84263</v>
      </c>
      <c r="O44" s="4">
        <f t="shared" si="18"/>
        <v>70197</v>
      </c>
      <c r="P44" s="4">
        <f t="shared" si="18"/>
        <v>77683</v>
      </c>
      <c r="Q44" s="4">
        <f t="shared" si="18"/>
        <v>68887</v>
      </c>
      <c r="R44" s="4">
        <f t="shared" si="18"/>
        <v>69461</v>
      </c>
      <c r="S44" s="4">
        <f t="shared" si="18"/>
        <v>105126</v>
      </c>
      <c r="T44" s="4">
        <f t="shared" si="18"/>
        <v>114728</v>
      </c>
      <c r="U44" s="4">
        <f>U42-U43</f>
        <v>108803</v>
      </c>
    </row>
    <row r="45" spans="2:21" s="8" customFormat="1" x14ac:dyDescent="0.35">
      <c r="B45" s="8" t="s">
        <v>105</v>
      </c>
      <c r="D45" s="8" t="e">
        <f>D44/D42</f>
        <v>#DIV/0!</v>
      </c>
      <c r="E45" s="8" t="e">
        <f t="shared" ref="E45:T45" si="19">E44/E42</f>
        <v>#DIV/0!</v>
      </c>
      <c r="F45" s="8" t="e">
        <f t="shared" si="19"/>
        <v>#DIV/0!</v>
      </c>
      <c r="G45" s="8">
        <f t="shared" si="19"/>
        <v>0.40139843841044165</v>
      </c>
      <c r="H45" s="8">
        <f t="shared" si="19"/>
        <v>0.39377539287083174</v>
      </c>
      <c r="I45" s="8">
        <f t="shared" si="19"/>
        <v>0.40478895878945764</v>
      </c>
      <c r="J45" s="8">
        <f t="shared" si="19"/>
        <v>0.43871239808827661</v>
      </c>
      <c r="K45" s="8">
        <f t="shared" si="19"/>
        <v>0.37624480720847231</v>
      </c>
      <c r="L45" s="8">
        <f t="shared" si="19"/>
        <v>0.38588035777783858</v>
      </c>
      <c r="M45" s="8">
        <f t="shared" si="19"/>
        <v>0.40059902017414373</v>
      </c>
      <c r="N45" s="8">
        <f t="shared" si="19"/>
        <v>0.39075955648097049</v>
      </c>
      <c r="O45" s="8">
        <f t="shared" si="19"/>
        <v>0.35717483997679789</v>
      </c>
      <c r="P45" s="8">
        <f t="shared" si="19"/>
        <v>0.34396294836770025</v>
      </c>
      <c r="Q45" s="8">
        <f t="shared" si="19"/>
        <v>0.32207795851002652</v>
      </c>
      <c r="R45" s="8">
        <f t="shared" si="19"/>
        <v>0.31466339293399231</v>
      </c>
      <c r="S45" s="8">
        <f t="shared" si="19"/>
        <v>0.35349303276483562</v>
      </c>
      <c r="T45" s="8">
        <f t="shared" si="19"/>
        <v>0.36283479707399452</v>
      </c>
      <c r="U45" s="8">
        <f>U44/U42</f>
        <v>0.36500662562691849</v>
      </c>
    </row>
    <row r="46" spans="2:21" s="8" customFormat="1" x14ac:dyDescent="0.35">
      <c r="B46" s="8" t="s">
        <v>106</v>
      </c>
      <c r="D46" s="8" t="e">
        <f>D44/C44-1</f>
        <v>#DIV/0!</v>
      </c>
      <c r="E46" s="8" t="e">
        <f t="shared" ref="E46:T46" si="20">E44/D44-1</f>
        <v>#DIV/0!</v>
      </c>
      <c r="F46" s="8" t="e">
        <f t="shared" si="20"/>
        <v>#DIV/0!</v>
      </c>
      <c r="G46" s="8" t="e">
        <f t="shared" si="20"/>
        <v>#DIV/0!</v>
      </c>
      <c r="H46" s="8">
        <f t="shared" si="20"/>
        <v>0.49134827546161897</v>
      </c>
      <c r="I46" s="8">
        <f t="shared" si="20"/>
        <v>0.7060426724809219</v>
      </c>
      <c r="J46" s="8">
        <f t="shared" si="20"/>
        <v>0.56698160573280387</v>
      </c>
      <c r="K46" s="8">
        <f t="shared" si="20"/>
        <v>-6.3470332935248064E-2</v>
      </c>
      <c r="L46" s="8">
        <f t="shared" si="20"/>
        <v>9.6930206519034501E-2</v>
      </c>
      <c r="M46" s="8">
        <f t="shared" si="20"/>
        <v>0.32733175496547906</v>
      </c>
      <c r="N46" s="8">
        <f t="shared" si="20"/>
        <v>-0.10000427231751863</v>
      </c>
      <c r="O46" s="8">
        <f t="shared" si="20"/>
        <v>-0.16692973191080307</v>
      </c>
      <c r="P46" s="8">
        <f t="shared" si="20"/>
        <v>0.10664273401997226</v>
      </c>
      <c r="Q46" s="8">
        <f t="shared" si="20"/>
        <v>-0.11322940669129666</v>
      </c>
      <c r="R46" s="8">
        <f t="shared" si="20"/>
        <v>8.3324865359211131E-3</v>
      </c>
      <c r="S46" s="8">
        <f t="shared" si="20"/>
        <v>0.5134535926635091</v>
      </c>
      <c r="T46" s="8">
        <f t="shared" si="20"/>
        <v>9.1338013431501164E-2</v>
      </c>
      <c r="U46" s="8">
        <f>U44/T44-1</f>
        <v>-5.1643888152848483E-2</v>
      </c>
    </row>
    <row r="47" spans="2:21" s="17" customFormat="1" x14ac:dyDescent="0.35">
      <c r="B47" s="17" t="s">
        <v>31</v>
      </c>
    </row>
    <row r="48" spans="2:21" s="4" customFormat="1" x14ac:dyDescent="0.35">
      <c r="B48" s="4" t="s">
        <v>33</v>
      </c>
      <c r="G48" s="4">
        <v>0</v>
      </c>
      <c r="H48" s="4">
        <v>0</v>
      </c>
      <c r="I48" s="4">
        <v>0</v>
      </c>
      <c r="J48" s="4">
        <v>0</v>
      </c>
      <c r="K48" s="4">
        <v>0</v>
      </c>
      <c r="L48" s="4">
        <v>0</v>
      </c>
      <c r="M48" s="4">
        <v>0</v>
      </c>
      <c r="N48" s="4">
        <v>0</v>
      </c>
      <c r="O48" s="4">
        <v>32700</v>
      </c>
      <c r="P48" s="4">
        <v>39748</v>
      </c>
      <c r="Q48" s="4">
        <v>46291</v>
      </c>
      <c r="R48" s="4">
        <v>53768</v>
      </c>
      <c r="S48" s="4">
        <v>68425</v>
      </c>
      <c r="T48" s="4">
        <v>78129</v>
      </c>
      <c r="U48" s="4">
        <v>85200</v>
      </c>
    </row>
    <row r="49" spans="2:88" s="5" customFormat="1" x14ac:dyDescent="0.35">
      <c r="B49" s="5" t="s">
        <v>36</v>
      </c>
      <c r="G49" s="5">
        <v>0</v>
      </c>
      <c r="H49" s="5">
        <v>0</v>
      </c>
      <c r="I49" s="5">
        <v>0</v>
      </c>
      <c r="J49" s="5">
        <v>0</v>
      </c>
      <c r="K49" s="5">
        <v>0</v>
      </c>
      <c r="L49" s="5">
        <v>0</v>
      </c>
      <c r="M49" s="5">
        <v>0</v>
      </c>
      <c r="N49" s="5">
        <v>0</v>
      </c>
      <c r="O49" s="5">
        <v>14711</v>
      </c>
      <c r="P49" s="5">
        <v>15592</v>
      </c>
      <c r="Q49" s="5">
        <v>16786</v>
      </c>
      <c r="R49" s="5">
        <v>18273</v>
      </c>
      <c r="S49" s="5">
        <v>20715</v>
      </c>
      <c r="T49" s="5">
        <v>22075</v>
      </c>
      <c r="U49" s="5">
        <v>24855</v>
      </c>
    </row>
    <row r="50" spans="2:88" s="4" customFormat="1" x14ac:dyDescent="0.35">
      <c r="B50" s="4" t="s">
        <v>38</v>
      </c>
      <c r="D50" s="4">
        <f>D48-D49</f>
        <v>0</v>
      </c>
      <c r="E50" s="4">
        <f t="shared" ref="E50:T50" si="21">E48-E49</f>
        <v>0</v>
      </c>
      <c r="F50" s="4">
        <f t="shared" si="21"/>
        <v>0</v>
      </c>
      <c r="G50" s="4">
        <f t="shared" si="21"/>
        <v>0</v>
      </c>
      <c r="H50" s="4">
        <f t="shared" si="21"/>
        <v>0</v>
      </c>
      <c r="I50" s="4">
        <f t="shared" si="21"/>
        <v>0</v>
      </c>
      <c r="J50" s="4">
        <f t="shared" si="21"/>
        <v>0</v>
      </c>
      <c r="K50" s="4">
        <f t="shared" si="21"/>
        <v>0</v>
      </c>
      <c r="L50" s="4">
        <f t="shared" si="21"/>
        <v>0</v>
      </c>
      <c r="M50" s="4">
        <f t="shared" si="21"/>
        <v>0</v>
      </c>
      <c r="N50" s="4">
        <f t="shared" si="21"/>
        <v>0</v>
      </c>
      <c r="O50" s="4">
        <f t="shared" si="21"/>
        <v>17989</v>
      </c>
      <c r="P50" s="4">
        <f t="shared" si="21"/>
        <v>24156</v>
      </c>
      <c r="Q50" s="4">
        <f t="shared" si="21"/>
        <v>29505</v>
      </c>
      <c r="R50" s="4">
        <f t="shared" si="21"/>
        <v>35495</v>
      </c>
      <c r="S50" s="4">
        <f t="shared" si="21"/>
        <v>47710</v>
      </c>
      <c r="T50" s="4">
        <f t="shared" si="21"/>
        <v>56054</v>
      </c>
      <c r="U50" s="4">
        <f>U48-U49</f>
        <v>60345</v>
      </c>
    </row>
    <row r="51" spans="2:88" s="8" customFormat="1" x14ac:dyDescent="0.35">
      <c r="B51" s="8" t="s">
        <v>105</v>
      </c>
      <c r="D51" s="8" t="e">
        <f>D50/D48</f>
        <v>#DIV/0!</v>
      </c>
      <c r="E51" s="8" t="e">
        <f t="shared" ref="E51:T51" si="22">E50/E48</f>
        <v>#DIV/0!</v>
      </c>
      <c r="F51" s="8" t="e">
        <f t="shared" si="22"/>
        <v>#DIV/0!</v>
      </c>
      <c r="G51" s="8" t="e">
        <f t="shared" si="22"/>
        <v>#DIV/0!</v>
      </c>
      <c r="H51" s="8" t="e">
        <f t="shared" si="22"/>
        <v>#DIV/0!</v>
      </c>
      <c r="I51" s="8" t="e">
        <f t="shared" si="22"/>
        <v>#DIV/0!</v>
      </c>
      <c r="J51" s="8" t="e">
        <f t="shared" si="22"/>
        <v>#DIV/0!</v>
      </c>
      <c r="K51" s="8" t="e">
        <f t="shared" si="22"/>
        <v>#DIV/0!</v>
      </c>
      <c r="L51" s="8" t="e">
        <f t="shared" si="22"/>
        <v>#DIV/0!</v>
      </c>
      <c r="M51" s="8" t="e">
        <f t="shared" si="22"/>
        <v>#DIV/0!</v>
      </c>
      <c r="N51" s="8" t="e">
        <f t="shared" si="22"/>
        <v>#DIV/0!</v>
      </c>
      <c r="O51" s="8">
        <f t="shared" si="22"/>
        <v>0.5501223241590214</v>
      </c>
      <c r="P51" s="8">
        <f t="shared" si="22"/>
        <v>0.60772869075173597</v>
      </c>
      <c r="Q51" s="8">
        <f t="shared" si="22"/>
        <v>0.63738091637683347</v>
      </c>
      <c r="R51" s="8">
        <f t="shared" si="22"/>
        <v>0.66015101919357233</v>
      </c>
      <c r="S51" s="8">
        <f t="shared" si="22"/>
        <v>0.69725977347460721</v>
      </c>
      <c r="T51" s="8">
        <f t="shared" si="22"/>
        <v>0.71745446633132381</v>
      </c>
      <c r="U51" s="8">
        <f>U50/U48</f>
        <v>0.70827464788732397</v>
      </c>
    </row>
    <row r="52" spans="2:88" s="8" customFormat="1" x14ac:dyDescent="0.35">
      <c r="B52" s="8" t="s">
        <v>106</v>
      </c>
      <c r="D52" s="8" t="e">
        <f>D50/C50-1</f>
        <v>#DIV/0!</v>
      </c>
      <c r="E52" s="8" t="e">
        <f t="shared" ref="E52:T52" si="23">E50/D50-1</f>
        <v>#DIV/0!</v>
      </c>
      <c r="F52" s="8" t="e">
        <f t="shared" si="23"/>
        <v>#DIV/0!</v>
      </c>
      <c r="G52" s="8" t="e">
        <f t="shared" si="23"/>
        <v>#DIV/0!</v>
      </c>
      <c r="H52" s="8" t="e">
        <f t="shared" si="23"/>
        <v>#DIV/0!</v>
      </c>
      <c r="I52" s="8" t="e">
        <f t="shared" si="23"/>
        <v>#DIV/0!</v>
      </c>
      <c r="J52" s="8" t="e">
        <f t="shared" si="23"/>
        <v>#DIV/0!</v>
      </c>
      <c r="K52" s="8" t="e">
        <f t="shared" si="23"/>
        <v>#DIV/0!</v>
      </c>
      <c r="L52" s="8" t="e">
        <f t="shared" si="23"/>
        <v>#DIV/0!</v>
      </c>
      <c r="M52" s="8" t="e">
        <f t="shared" si="23"/>
        <v>#DIV/0!</v>
      </c>
      <c r="N52" s="8" t="e">
        <f t="shared" si="23"/>
        <v>#DIV/0!</v>
      </c>
      <c r="O52" s="8" t="e">
        <f t="shared" si="23"/>
        <v>#DIV/0!</v>
      </c>
      <c r="P52" s="8">
        <f t="shared" si="23"/>
        <v>0.34282061259658669</v>
      </c>
      <c r="Q52" s="8">
        <f t="shared" si="23"/>
        <v>0.22143566815697957</v>
      </c>
      <c r="R52" s="8">
        <f t="shared" si="23"/>
        <v>0.20301643789188284</v>
      </c>
      <c r="S52" s="8">
        <f t="shared" si="23"/>
        <v>0.34413297647555985</v>
      </c>
      <c r="T52" s="8">
        <f t="shared" si="23"/>
        <v>0.17488996017606362</v>
      </c>
      <c r="U52" s="8">
        <f>U50/T50-1</f>
        <v>7.6551182788025862E-2</v>
      </c>
    </row>
    <row r="53" spans="2:88" s="1" customFormat="1" x14ac:dyDescent="0.35">
      <c r="B53" s="1" t="s">
        <v>97</v>
      </c>
    </row>
    <row r="54" spans="2:88" s="12" customFormat="1" x14ac:dyDescent="0.35">
      <c r="B54" s="12" t="s">
        <v>107</v>
      </c>
      <c r="D54" s="12">
        <f>D42+D48</f>
        <v>0</v>
      </c>
      <c r="E54" s="12">
        <f t="shared" ref="E54:T54" si="24">E42+E48</f>
        <v>0</v>
      </c>
      <c r="F54" s="12">
        <f t="shared" si="24"/>
        <v>0</v>
      </c>
      <c r="G54" s="12">
        <f t="shared" si="24"/>
        <v>42905</v>
      </c>
      <c r="H54" s="12">
        <f t="shared" si="24"/>
        <v>65225</v>
      </c>
      <c r="I54" s="12">
        <f t="shared" si="24"/>
        <v>108249</v>
      </c>
      <c r="J54" s="12">
        <f t="shared" si="24"/>
        <v>156508</v>
      </c>
      <c r="K54" s="12">
        <f t="shared" si="24"/>
        <v>170910</v>
      </c>
      <c r="L54" s="12">
        <f t="shared" si="24"/>
        <v>182795</v>
      </c>
      <c r="M54" s="12">
        <f t="shared" si="24"/>
        <v>233715</v>
      </c>
      <c r="N54" s="12">
        <f t="shared" si="24"/>
        <v>215639</v>
      </c>
      <c r="O54" s="12">
        <f t="shared" si="24"/>
        <v>229234</v>
      </c>
      <c r="P54" s="12">
        <f t="shared" si="24"/>
        <v>265595</v>
      </c>
      <c r="Q54" s="12">
        <f t="shared" si="24"/>
        <v>260174</v>
      </c>
      <c r="R54" s="12">
        <f t="shared" si="24"/>
        <v>274515</v>
      </c>
      <c r="S54" s="12">
        <f t="shared" si="24"/>
        <v>365817</v>
      </c>
      <c r="T54" s="12">
        <f t="shared" si="24"/>
        <v>394328</v>
      </c>
      <c r="U54" s="12">
        <f>U42+U48</f>
        <v>383285</v>
      </c>
      <c r="V54" s="12">
        <f>U54*(1+V80)</f>
        <v>536599</v>
      </c>
      <c r="W54" s="12">
        <f t="shared" ref="W54:AB54" si="25">V54*(1+W80)</f>
        <v>751238.6</v>
      </c>
      <c r="X54" s="12">
        <f t="shared" si="25"/>
        <v>1051734.0399999998</v>
      </c>
      <c r="Y54" s="12">
        <f t="shared" si="25"/>
        <v>1472427.6559999997</v>
      </c>
      <c r="Z54" s="12">
        <f t="shared" si="25"/>
        <v>2061398.7183999994</v>
      </c>
      <c r="AA54" s="12">
        <f t="shared" si="25"/>
        <v>2885958.2057599989</v>
      </c>
      <c r="AB54" s="12">
        <f t="shared" si="25"/>
        <v>4040341.4880639981</v>
      </c>
    </row>
    <row r="55" spans="2:88" s="5" customFormat="1" x14ac:dyDescent="0.35">
      <c r="B55" s="5" t="s">
        <v>36</v>
      </c>
      <c r="D55" s="5">
        <f>D43+D49</f>
        <v>0</v>
      </c>
      <c r="E55" s="5">
        <f t="shared" ref="E55:T55" si="26">E43+E49</f>
        <v>0</v>
      </c>
      <c r="F55" s="5">
        <f t="shared" si="26"/>
        <v>0</v>
      </c>
      <c r="G55" s="5">
        <f t="shared" si="26"/>
        <v>25683</v>
      </c>
      <c r="H55" s="5">
        <f t="shared" si="26"/>
        <v>39541</v>
      </c>
      <c r="I55" s="5">
        <f t="shared" si="26"/>
        <v>64431</v>
      </c>
      <c r="J55" s="5">
        <f t="shared" si="26"/>
        <v>87846</v>
      </c>
      <c r="K55" s="5">
        <f t="shared" si="26"/>
        <v>106606</v>
      </c>
      <c r="L55" s="5">
        <f t="shared" si="26"/>
        <v>112258</v>
      </c>
      <c r="M55" s="5">
        <f t="shared" si="26"/>
        <v>140089</v>
      </c>
      <c r="N55" s="5">
        <f t="shared" si="26"/>
        <v>131376</v>
      </c>
      <c r="O55" s="5">
        <f t="shared" si="26"/>
        <v>141048</v>
      </c>
      <c r="P55" s="5">
        <f t="shared" si="26"/>
        <v>163756</v>
      </c>
      <c r="Q55" s="5">
        <f t="shared" si="26"/>
        <v>161782</v>
      </c>
      <c r="R55" s="5">
        <f t="shared" si="26"/>
        <v>169559</v>
      </c>
      <c r="S55" s="5">
        <f t="shared" si="26"/>
        <v>212981</v>
      </c>
      <c r="T55" s="5">
        <f t="shared" si="26"/>
        <v>223546</v>
      </c>
      <c r="U55" s="5">
        <f>U43+U49</f>
        <v>214137</v>
      </c>
    </row>
    <row r="56" spans="2:88" s="12" customFormat="1" x14ac:dyDescent="0.35">
      <c r="B56" s="12" t="s">
        <v>38</v>
      </c>
      <c r="D56" s="12">
        <f>D54-D55</f>
        <v>0</v>
      </c>
      <c r="E56" s="12">
        <f t="shared" ref="E56:T56" si="27">E54-E55</f>
        <v>0</v>
      </c>
      <c r="F56" s="12">
        <f t="shared" si="27"/>
        <v>0</v>
      </c>
      <c r="G56" s="12">
        <f t="shared" si="27"/>
        <v>17222</v>
      </c>
      <c r="H56" s="12">
        <f t="shared" si="27"/>
        <v>25684</v>
      </c>
      <c r="I56" s="12">
        <f t="shared" si="27"/>
        <v>43818</v>
      </c>
      <c r="J56" s="12">
        <f t="shared" si="27"/>
        <v>68662</v>
      </c>
      <c r="K56" s="12">
        <f t="shared" si="27"/>
        <v>64304</v>
      </c>
      <c r="L56" s="12">
        <f t="shared" si="27"/>
        <v>70537</v>
      </c>
      <c r="M56" s="12">
        <f t="shared" si="27"/>
        <v>93626</v>
      </c>
      <c r="N56" s="12">
        <f t="shared" si="27"/>
        <v>84263</v>
      </c>
      <c r="O56" s="12">
        <f t="shared" si="27"/>
        <v>88186</v>
      </c>
      <c r="P56" s="12">
        <f t="shared" si="27"/>
        <v>101839</v>
      </c>
      <c r="Q56" s="12">
        <f t="shared" si="27"/>
        <v>98392</v>
      </c>
      <c r="R56" s="12">
        <f t="shared" si="27"/>
        <v>104956</v>
      </c>
      <c r="S56" s="12">
        <f t="shared" si="27"/>
        <v>152836</v>
      </c>
      <c r="T56" s="12">
        <f t="shared" si="27"/>
        <v>170782</v>
      </c>
      <c r="U56" s="12">
        <f>U54-U55</f>
        <v>169148</v>
      </c>
      <c r="V56" s="12">
        <f>V54*V80</f>
        <v>214639.6</v>
      </c>
      <c r="W56" s="12">
        <f t="shared" ref="W56:AB56" si="28">W54*W80</f>
        <v>300495.44</v>
      </c>
      <c r="X56" s="12">
        <f t="shared" si="28"/>
        <v>420693.61599999992</v>
      </c>
      <c r="Y56" s="12">
        <f t="shared" si="28"/>
        <v>588971.06239999994</v>
      </c>
      <c r="Z56" s="12">
        <f t="shared" si="28"/>
        <v>824559.4873599998</v>
      </c>
      <c r="AA56" s="12">
        <f t="shared" si="28"/>
        <v>1154383.2823039996</v>
      </c>
      <c r="AB56" s="12">
        <f t="shared" si="28"/>
        <v>1616136.5952255994</v>
      </c>
    </row>
    <row r="57" spans="2:88" s="4" customFormat="1" x14ac:dyDescent="0.35">
      <c r="B57" s="4" t="s">
        <v>41</v>
      </c>
      <c r="G57" s="4">
        <v>1333</v>
      </c>
      <c r="H57" s="4">
        <v>1782</v>
      </c>
      <c r="I57" s="4">
        <v>2429</v>
      </c>
      <c r="J57" s="4">
        <v>3381</v>
      </c>
      <c r="K57" s="4">
        <v>4475</v>
      </c>
      <c r="L57" s="4">
        <v>6041</v>
      </c>
      <c r="M57" s="4">
        <v>8067</v>
      </c>
      <c r="N57" s="4">
        <v>10045</v>
      </c>
      <c r="O57" s="4">
        <v>11581</v>
      </c>
      <c r="P57" s="4">
        <v>14236</v>
      </c>
      <c r="Q57" s="4">
        <v>16217</v>
      </c>
      <c r="R57" s="4">
        <v>18752</v>
      </c>
      <c r="S57" s="4">
        <v>21914</v>
      </c>
      <c r="T57" s="4">
        <v>26251</v>
      </c>
      <c r="U57" s="4">
        <v>29915</v>
      </c>
      <c r="V57" s="4">
        <f>V54*V85</f>
        <v>53659.9</v>
      </c>
      <c r="W57" s="4">
        <f t="shared" ref="W57:AB57" si="29">W54*W85</f>
        <v>75123.86</v>
      </c>
      <c r="X57" s="4">
        <f t="shared" si="29"/>
        <v>105173.40399999998</v>
      </c>
      <c r="Y57" s="4">
        <f t="shared" si="29"/>
        <v>147242.76559999998</v>
      </c>
      <c r="Z57" s="4">
        <f t="shared" si="29"/>
        <v>206139.87183999995</v>
      </c>
      <c r="AA57" s="4">
        <f t="shared" si="29"/>
        <v>288595.82057599991</v>
      </c>
      <c r="AB57" s="4">
        <f t="shared" si="29"/>
        <v>404034.14880639984</v>
      </c>
    </row>
    <row r="58" spans="2:88" s="5" customFormat="1" x14ac:dyDescent="0.35">
      <c r="B58" s="5" t="s">
        <v>42</v>
      </c>
      <c r="G58" s="5">
        <v>4149</v>
      </c>
      <c r="H58" s="5">
        <v>5517</v>
      </c>
      <c r="I58" s="5">
        <v>7599</v>
      </c>
      <c r="J58" s="5">
        <v>10040</v>
      </c>
      <c r="K58" s="5">
        <v>10830</v>
      </c>
      <c r="L58" s="5">
        <v>11993</v>
      </c>
      <c r="M58" s="5">
        <v>14329</v>
      </c>
      <c r="N58" s="5">
        <v>14194</v>
      </c>
      <c r="O58" s="5">
        <v>15261</v>
      </c>
      <c r="P58" s="5">
        <v>16705</v>
      </c>
      <c r="Q58" s="5">
        <v>18245</v>
      </c>
      <c r="R58" s="5">
        <v>19916</v>
      </c>
      <c r="S58" s="5">
        <v>21973</v>
      </c>
      <c r="T58" s="5">
        <v>25094</v>
      </c>
      <c r="U58" s="5">
        <v>24932</v>
      </c>
      <c r="V58" s="5">
        <f>V54*V86</f>
        <v>37561.93</v>
      </c>
      <c r="W58" s="5">
        <f t="shared" ref="W58:AB58" si="30">W54*W86</f>
        <v>52586.702000000005</v>
      </c>
      <c r="X58" s="5">
        <f t="shared" si="30"/>
        <v>73621.382799999992</v>
      </c>
      <c r="Y58" s="5">
        <f t="shared" si="30"/>
        <v>103069.93591999999</v>
      </c>
      <c r="Z58" s="5">
        <f t="shared" si="30"/>
        <v>144297.91028799998</v>
      </c>
      <c r="AA58" s="5">
        <f t="shared" si="30"/>
        <v>202017.07440319995</v>
      </c>
      <c r="AB58" s="5">
        <f t="shared" si="30"/>
        <v>282823.90416447987</v>
      </c>
    </row>
    <row r="59" spans="2:88" s="10" customFormat="1" x14ac:dyDescent="0.35">
      <c r="B59" s="10" t="s">
        <v>43</v>
      </c>
      <c r="D59" s="10">
        <f>SUM(D57:D58)</f>
        <v>0</v>
      </c>
      <c r="E59" s="10">
        <f t="shared" ref="E59:T59" si="31">SUM(E57:E58)</f>
        <v>0</v>
      </c>
      <c r="F59" s="10">
        <f t="shared" si="31"/>
        <v>0</v>
      </c>
      <c r="G59" s="10">
        <f t="shared" si="31"/>
        <v>5482</v>
      </c>
      <c r="H59" s="10">
        <f t="shared" si="31"/>
        <v>7299</v>
      </c>
      <c r="I59" s="10">
        <f t="shared" si="31"/>
        <v>10028</v>
      </c>
      <c r="J59" s="10">
        <f t="shared" si="31"/>
        <v>13421</v>
      </c>
      <c r="K59" s="10">
        <f t="shared" si="31"/>
        <v>15305</v>
      </c>
      <c r="L59" s="10">
        <f t="shared" si="31"/>
        <v>18034</v>
      </c>
      <c r="M59" s="10">
        <f t="shared" si="31"/>
        <v>22396</v>
      </c>
      <c r="N59" s="10">
        <f t="shared" si="31"/>
        <v>24239</v>
      </c>
      <c r="O59" s="10">
        <f t="shared" si="31"/>
        <v>26842</v>
      </c>
      <c r="P59" s="10">
        <f t="shared" si="31"/>
        <v>30941</v>
      </c>
      <c r="Q59" s="10">
        <f t="shared" si="31"/>
        <v>34462</v>
      </c>
      <c r="R59" s="10">
        <f t="shared" si="31"/>
        <v>38668</v>
      </c>
      <c r="S59" s="10">
        <f t="shared" si="31"/>
        <v>43887</v>
      </c>
      <c r="T59" s="10">
        <f t="shared" si="31"/>
        <v>51345</v>
      </c>
      <c r="U59" s="10">
        <f>SUM(U57:U58)</f>
        <v>54847</v>
      </c>
      <c r="V59" s="10">
        <f t="shared" ref="V59:AB59" si="32">SUM(V57:V58)</f>
        <v>91221.83</v>
      </c>
      <c r="W59" s="10">
        <f t="shared" si="32"/>
        <v>127710.56200000001</v>
      </c>
      <c r="X59" s="10">
        <f t="shared" si="32"/>
        <v>178794.78679999997</v>
      </c>
      <c r="Y59" s="10">
        <f t="shared" si="32"/>
        <v>250312.70151999997</v>
      </c>
      <c r="Z59" s="10">
        <f t="shared" si="32"/>
        <v>350437.78212799993</v>
      </c>
      <c r="AA59" s="10">
        <f t="shared" si="32"/>
        <v>490612.89497919986</v>
      </c>
      <c r="AB59" s="10">
        <f t="shared" si="32"/>
        <v>686858.05297087971</v>
      </c>
    </row>
    <row r="60" spans="2:88" s="4" customFormat="1" x14ac:dyDescent="0.35">
      <c r="B60" s="4" t="s">
        <v>44</v>
      </c>
      <c r="D60" s="4">
        <f>D56-D59</f>
        <v>0</v>
      </c>
      <c r="E60" s="4">
        <f t="shared" ref="E60:T60" si="33">E56-E59</f>
        <v>0</v>
      </c>
      <c r="F60" s="4">
        <f t="shared" si="33"/>
        <v>0</v>
      </c>
      <c r="G60" s="4">
        <f t="shared" si="33"/>
        <v>11740</v>
      </c>
      <c r="H60" s="4">
        <f t="shared" si="33"/>
        <v>18385</v>
      </c>
      <c r="I60" s="4">
        <f t="shared" si="33"/>
        <v>33790</v>
      </c>
      <c r="J60" s="4">
        <f t="shared" si="33"/>
        <v>55241</v>
      </c>
      <c r="K60" s="4">
        <f t="shared" si="33"/>
        <v>48999</v>
      </c>
      <c r="L60" s="4">
        <f t="shared" si="33"/>
        <v>52503</v>
      </c>
      <c r="M60" s="4">
        <f t="shared" si="33"/>
        <v>71230</v>
      </c>
      <c r="N60" s="4">
        <f t="shared" si="33"/>
        <v>60024</v>
      </c>
      <c r="O60" s="4">
        <f t="shared" si="33"/>
        <v>61344</v>
      </c>
      <c r="P60" s="4">
        <f t="shared" si="33"/>
        <v>70898</v>
      </c>
      <c r="Q60" s="4">
        <f t="shared" si="33"/>
        <v>63930</v>
      </c>
      <c r="R60" s="4">
        <f t="shared" si="33"/>
        <v>66288</v>
      </c>
      <c r="S60" s="4">
        <f t="shared" si="33"/>
        <v>108949</v>
      </c>
      <c r="T60" s="4">
        <f t="shared" si="33"/>
        <v>119437</v>
      </c>
      <c r="U60" s="4">
        <f>U56-U59</f>
        <v>114301</v>
      </c>
      <c r="V60" s="4">
        <f t="shared" ref="V60:AB60" si="34">V56-V59</f>
        <v>123417.77</v>
      </c>
      <c r="W60" s="4">
        <f t="shared" si="34"/>
        <v>172784.878</v>
      </c>
      <c r="X60" s="4">
        <f t="shared" si="34"/>
        <v>241898.82919999995</v>
      </c>
      <c r="Y60" s="4">
        <f t="shared" si="34"/>
        <v>338658.36087999993</v>
      </c>
      <c r="Z60" s="4">
        <f t="shared" si="34"/>
        <v>474121.70523199986</v>
      </c>
      <c r="AA60" s="4">
        <f t="shared" si="34"/>
        <v>663770.38732479978</v>
      </c>
      <c r="AB60" s="4">
        <f t="shared" si="34"/>
        <v>929278.54225471965</v>
      </c>
    </row>
    <row r="61" spans="2:88" s="5" customFormat="1" x14ac:dyDescent="0.35">
      <c r="B61" s="5" t="s">
        <v>108</v>
      </c>
      <c r="G61" s="5">
        <v>326</v>
      </c>
      <c r="H61" s="5">
        <v>155</v>
      </c>
      <c r="I61" s="5">
        <v>415</v>
      </c>
      <c r="J61" s="5">
        <v>522</v>
      </c>
      <c r="K61" s="5">
        <v>1156</v>
      </c>
      <c r="L61" s="5">
        <v>980</v>
      </c>
      <c r="M61" s="5">
        <v>1285</v>
      </c>
      <c r="N61" s="5">
        <v>1348</v>
      </c>
      <c r="O61" s="5">
        <v>2745</v>
      </c>
      <c r="P61" s="5">
        <v>2005</v>
      </c>
      <c r="Q61" s="5">
        <v>1807</v>
      </c>
      <c r="R61" s="5">
        <v>803</v>
      </c>
      <c r="S61" s="5">
        <v>258</v>
      </c>
      <c r="T61" s="5">
        <v>-334</v>
      </c>
      <c r="U61" s="5">
        <v>-565</v>
      </c>
      <c r="V61" s="5">
        <v>0</v>
      </c>
      <c r="W61" s="5">
        <v>0</v>
      </c>
      <c r="X61" s="5">
        <v>0</v>
      </c>
      <c r="Y61" s="5">
        <v>0</v>
      </c>
      <c r="Z61" s="5">
        <v>0</v>
      </c>
      <c r="AA61" s="5">
        <v>0</v>
      </c>
      <c r="AB61" s="5">
        <v>0</v>
      </c>
    </row>
    <row r="62" spans="2:88" s="4" customFormat="1" x14ac:dyDescent="0.35">
      <c r="B62" s="4" t="s">
        <v>109</v>
      </c>
      <c r="D62" s="4">
        <f>SUM(D60:D61)</f>
        <v>0</v>
      </c>
      <c r="E62" s="4">
        <f t="shared" ref="E62:T62" si="35">SUM(E60:E61)</f>
        <v>0</v>
      </c>
      <c r="F62" s="4">
        <f t="shared" si="35"/>
        <v>0</v>
      </c>
      <c r="G62" s="4">
        <f t="shared" si="35"/>
        <v>12066</v>
      </c>
      <c r="H62" s="4">
        <f t="shared" si="35"/>
        <v>18540</v>
      </c>
      <c r="I62" s="4">
        <f t="shared" si="35"/>
        <v>34205</v>
      </c>
      <c r="J62" s="4">
        <f t="shared" si="35"/>
        <v>55763</v>
      </c>
      <c r="K62" s="4">
        <f t="shared" si="35"/>
        <v>50155</v>
      </c>
      <c r="L62" s="4">
        <f t="shared" si="35"/>
        <v>53483</v>
      </c>
      <c r="M62" s="4">
        <f t="shared" si="35"/>
        <v>72515</v>
      </c>
      <c r="N62" s="4">
        <f t="shared" si="35"/>
        <v>61372</v>
      </c>
      <c r="O62" s="4">
        <f t="shared" si="35"/>
        <v>64089</v>
      </c>
      <c r="P62" s="4">
        <f t="shared" si="35"/>
        <v>72903</v>
      </c>
      <c r="Q62" s="4">
        <f t="shared" si="35"/>
        <v>65737</v>
      </c>
      <c r="R62" s="4">
        <f t="shared" si="35"/>
        <v>67091</v>
      </c>
      <c r="S62" s="4">
        <f t="shared" si="35"/>
        <v>109207</v>
      </c>
      <c r="T62" s="4">
        <f t="shared" si="35"/>
        <v>119103</v>
      </c>
      <c r="U62" s="4">
        <f>SUM(U60:U61)</f>
        <v>113736</v>
      </c>
      <c r="V62" s="4">
        <f t="shared" ref="V62:AB62" si="36">SUM(V60:V61)</f>
        <v>123417.77</v>
      </c>
      <c r="W62" s="4">
        <f t="shared" si="36"/>
        <v>172784.878</v>
      </c>
      <c r="X62" s="4">
        <f t="shared" si="36"/>
        <v>241898.82919999995</v>
      </c>
      <c r="Y62" s="4">
        <f t="shared" si="36"/>
        <v>338658.36087999993</v>
      </c>
      <c r="Z62" s="4">
        <f t="shared" si="36"/>
        <v>474121.70523199986</v>
      </c>
      <c r="AA62" s="4">
        <f t="shared" si="36"/>
        <v>663770.38732479978</v>
      </c>
      <c r="AB62" s="4">
        <f t="shared" si="36"/>
        <v>929278.54225471965</v>
      </c>
    </row>
    <row r="63" spans="2:88" s="5" customFormat="1" x14ac:dyDescent="0.35">
      <c r="B63" s="5" t="s">
        <v>48</v>
      </c>
      <c r="G63" s="5">
        <v>3831</v>
      </c>
      <c r="H63" s="5">
        <v>4527</v>
      </c>
      <c r="I63" s="5">
        <v>8283</v>
      </c>
      <c r="J63" s="5">
        <v>14030</v>
      </c>
      <c r="K63" s="5">
        <v>13118</v>
      </c>
      <c r="L63" s="5">
        <v>13973</v>
      </c>
      <c r="M63" s="5">
        <v>19121</v>
      </c>
      <c r="N63" s="5">
        <v>15685</v>
      </c>
      <c r="O63" s="5">
        <v>15738</v>
      </c>
      <c r="P63" s="5">
        <v>13372</v>
      </c>
      <c r="Q63" s="5">
        <v>10481</v>
      </c>
      <c r="R63" s="5">
        <v>9680</v>
      </c>
      <c r="S63" s="5">
        <v>14527</v>
      </c>
      <c r="T63" s="5">
        <v>19300</v>
      </c>
      <c r="U63" s="5">
        <v>16741</v>
      </c>
      <c r="V63" s="5">
        <f>V62*V83</f>
        <v>27151.9094</v>
      </c>
      <c r="W63" s="5">
        <f t="shared" ref="W63:AB63" si="37">W62*W83</f>
        <v>38012.673159999998</v>
      </c>
      <c r="X63" s="5">
        <f t="shared" si="37"/>
        <v>53217.742423999989</v>
      </c>
      <c r="Y63" s="5">
        <f t="shared" si="37"/>
        <v>74504.839393599992</v>
      </c>
      <c r="Z63" s="5">
        <f t="shared" si="37"/>
        <v>104306.77515103997</v>
      </c>
      <c r="AA63" s="5">
        <f t="shared" si="37"/>
        <v>146029.48521145596</v>
      </c>
      <c r="AB63" s="5">
        <f t="shared" si="37"/>
        <v>204441.27929603832</v>
      </c>
    </row>
    <row r="64" spans="2:88" s="4" customFormat="1" x14ac:dyDescent="0.35">
      <c r="B64" s="4" t="s">
        <v>49</v>
      </c>
      <c r="D64" s="4">
        <f>D62-D63</f>
        <v>0</v>
      </c>
      <c r="E64" s="4">
        <f t="shared" ref="E64:T64" si="38">E62-E63</f>
        <v>0</v>
      </c>
      <c r="F64" s="4">
        <f t="shared" si="38"/>
        <v>0</v>
      </c>
      <c r="G64" s="4">
        <f t="shared" si="38"/>
        <v>8235</v>
      </c>
      <c r="H64" s="4">
        <f t="shared" si="38"/>
        <v>14013</v>
      </c>
      <c r="I64" s="4">
        <f t="shared" si="38"/>
        <v>25922</v>
      </c>
      <c r="J64" s="4">
        <f t="shared" si="38"/>
        <v>41733</v>
      </c>
      <c r="K64" s="4">
        <f t="shared" si="38"/>
        <v>37037</v>
      </c>
      <c r="L64" s="4">
        <f t="shared" si="38"/>
        <v>39510</v>
      </c>
      <c r="M64" s="4">
        <f t="shared" si="38"/>
        <v>53394</v>
      </c>
      <c r="N64" s="4">
        <f t="shared" si="38"/>
        <v>45687</v>
      </c>
      <c r="O64" s="4">
        <f t="shared" si="38"/>
        <v>48351</v>
      </c>
      <c r="P64" s="4">
        <f t="shared" si="38"/>
        <v>59531</v>
      </c>
      <c r="Q64" s="4">
        <f t="shared" si="38"/>
        <v>55256</v>
      </c>
      <c r="R64" s="4">
        <f t="shared" si="38"/>
        <v>57411</v>
      </c>
      <c r="S64" s="4">
        <f t="shared" si="38"/>
        <v>94680</v>
      </c>
      <c r="T64" s="4">
        <f t="shared" si="38"/>
        <v>99803</v>
      </c>
      <c r="U64" s="4">
        <f>U62-U63</f>
        <v>96995</v>
      </c>
      <c r="V64" s="4">
        <f t="shared" ref="V64:AB64" si="39">V62-V63</f>
        <v>96265.8606</v>
      </c>
      <c r="W64" s="4">
        <f t="shared" si="39"/>
        <v>134772.20483999999</v>
      </c>
      <c r="X64" s="4">
        <f t="shared" si="39"/>
        <v>188681.08677599995</v>
      </c>
      <c r="Y64" s="4">
        <f t="shared" si="39"/>
        <v>264153.52148639993</v>
      </c>
      <c r="Z64" s="4">
        <f t="shared" si="39"/>
        <v>369814.93008095992</v>
      </c>
      <c r="AA64" s="4">
        <f t="shared" si="39"/>
        <v>517740.90211334382</v>
      </c>
      <c r="AB64" s="4">
        <f t="shared" si="39"/>
        <v>724837.26295868133</v>
      </c>
      <c r="AC64" s="4">
        <f>AB64*(1+$AD$133)</f>
        <v>732085.63558826817</v>
      </c>
      <c r="AD64" s="4">
        <f t="shared" ref="AD64:CJ64" si="40">AC64*(1+$AD$133)</f>
        <v>739406.49194415088</v>
      </c>
      <c r="AE64" s="4">
        <f t="shared" si="40"/>
        <v>746800.55686359236</v>
      </c>
      <c r="AF64" s="4">
        <f t="shared" si="40"/>
        <v>754268.56243222824</v>
      </c>
      <c r="AG64" s="4">
        <f t="shared" si="40"/>
        <v>761811.24805655051</v>
      </c>
      <c r="AH64" s="4">
        <f t="shared" si="40"/>
        <v>769429.36053711607</v>
      </c>
      <c r="AI64" s="4">
        <f t="shared" si="40"/>
        <v>777123.65414248721</v>
      </c>
      <c r="AJ64" s="4">
        <f t="shared" si="40"/>
        <v>784894.89068391209</v>
      </c>
      <c r="AK64" s="4">
        <f t="shared" si="40"/>
        <v>792743.83959075122</v>
      </c>
      <c r="AL64" s="4">
        <f t="shared" si="40"/>
        <v>800671.27798665874</v>
      </c>
      <c r="AM64" s="4">
        <f t="shared" si="40"/>
        <v>808677.99076652538</v>
      </c>
      <c r="AN64" s="4">
        <f t="shared" si="40"/>
        <v>816764.7706741906</v>
      </c>
      <c r="AO64" s="4">
        <f t="shared" si="40"/>
        <v>824932.41838093253</v>
      </c>
      <c r="AP64" s="4">
        <f t="shared" si="40"/>
        <v>833181.74256474187</v>
      </c>
      <c r="AQ64" s="4">
        <f t="shared" si="40"/>
        <v>841513.55999038927</v>
      </c>
      <c r="AR64" s="4">
        <f t="shared" si="40"/>
        <v>849928.69559029315</v>
      </c>
      <c r="AS64" s="4">
        <f t="shared" si="40"/>
        <v>858427.98254619609</v>
      </c>
      <c r="AT64" s="4">
        <f t="shared" si="40"/>
        <v>867012.262371658</v>
      </c>
      <c r="AU64" s="4">
        <f t="shared" si="40"/>
        <v>875682.3849953746</v>
      </c>
      <c r="AV64" s="4">
        <f t="shared" si="40"/>
        <v>884439.20884532831</v>
      </c>
      <c r="AW64" s="4">
        <f t="shared" si="40"/>
        <v>893283.60093378159</v>
      </c>
      <c r="AX64" s="4">
        <f t="shared" si="40"/>
        <v>902216.43694311939</v>
      </c>
      <c r="AY64" s="4">
        <f t="shared" si="40"/>
        <v>911238.6013125506</v>
      </c>
      <c r="AZ64" s="4">
        <f t="shared" si="40"/>
        <v>920350.98732567613</v>
      </c>
      <c r="BA64" s="4">
        <f t="shared" si="40"/>
        <v>929554.49719893292</v>
      </c>
      <c r="BB64" s="4">
        <f t="shared" si="40"/>
        <v>938850.04217092227</v>
      </c>
      <c r="BC64" s="4">
        <f t="shared" si="40"/>
        <v>948238.54259263154</v>
      </c>
      <c r="BD64" s="4">
        <f t="shared" si="40"/>
        <v>957720.92801855784</v>
      </c>
      <c r="BE64" s="4">
        <f t="shared" si="40"/>
        <v>967298.13729874347</v>
      </c>
      <c r="BF64" s="4">
        <f t="shared" si="40"/>
        <v>976971.11867173086</v>
      </c>
      <c r="BG64" s="4">
        <f t="shared" si="40"/>
        <v>986740.82985844812</v>
      </c>
      <c r="BH64" s="4">
        <f t="shared" si="40"/>
        <v>996608.23815703264</v>
      </c>
      <c r="BI64" s="4">
        <f t="shared" si="40"/>
        <v>1006574.320538603</v>
      </c>
      <c r="BJ64" s="4">
        <f t="shared" si="40"/>
        <v>1016640.063743989</v>
      </c>
      <c r="BK64" s="4">
        <f t="shared" si="40"/>
        <v>1026806.4643814289</v>
      </c>
      <c r="BL64" s="4">
        <f t="shared" si="40"/>
        <v>1037074.5290252432</v>
      </c>
      <c r="BM64" s="4">
        <f t="shared" si="40"/>
        <v>1047445.2743154957</v>
      </c>
      <c r="BN64" s="4">
        <f t="shared" si="40"/>
        <v>1057919.7270586507</v>
      </c>
      <c r="BO64" s="4">
        <f t="shared" si="40"/>
        <v>1068498.9243292373</v>
      </c>
      <c r="BP64" s="4">
        <f t="shared" si="40"/>
        <v>1079183.9135725298</v>
      </c>
      <c r="BQ64" s="4">
        <f t="shared" si="40"/>
        <v>1089975.7527082551</v>
      </c>
      <c r="BR64" s="4">
        <f t="shared" si="40"/>
        <v>1100875.5102353375</v>
      </c>
      <c r="BS64" s="4">
        <f t="shared" si="40"/>
        <v>1111884.2653376909</v>
      </c>
      <c r="BT64" s="4">
        <f t="shared" si="40"/>
        <v>1123003.1079910679</v>
      </c>
      <c r="BU64" s="4">
        <f t="shared" si="40"/>
        <v>1134233.1390709786</v>
      </c>
      <c r="BV64" s="4">
        <f t="shared" si="40"/>
        <v>1145575.4704616885</v>
      </c>
      <c r="BW64" s="4">
        <f t="shared" si="40"/>
        <v>1157031.2251663054</v>
      </c>
      <c r="BX64" s="4">
        <f t="shared" si="40"/>
        <v>1168601.5374179685</v>
      </c>
      <c r="BY64" s="4">
        <f t="shared" si="40"/>
        <v>1180287.5527921482</v>
      </c>
      <c r="BZ64" s="4">
        <f t="shared" si="40"/>
        <v>1192090.4283200698</v>
      </c>
      <c r="CA64" s="4">
        <f t="shared" si="40"/>
        <v>1204011.3326032704</v>
      </c>
      <c r="CB64" s="4">
        <f t="shared" si="40"/>
        <v>1216051.4459293031</v>
      </c>
      <c r="CC64" s="4">
        <f t="shared" si="40"/>
        <v>1228211.9603885962</v>
      </c>
      <c r="CD64" s="4">
        <f t="shared" si="40"/>
        <v>1240494.0799924822</v>
      </c>
      <c r="CE64" s="4">
        <f t="shared" si="40"/>
        <v>1252899.020792407</v>
      </c>
      <c r="CF64" s="4">
        <f t="shared" si="40"/>
        <v>1265428.011000331</v>
      </c>
      <c r="CG64" s="4">
        <f t="shared" si="40"/>
        <v>1278082.2911103345</v>
      </c>
      <c r="CH64" s="4">
        <f t="shared" si="40"/>
        <v>1290863.1140214377</v>
      </c>
      <c r="CI64" s="4">
        <f t="shared" si="40"/>
        <v>1303771.7451616521</v>
      </c>
      <c r="CJ64" s="4">
        <f t="shared" si="40"/>
        <v>1316809.4626132685</v>
      </c>
    </row>
    <row r="66" spans="2:32" s="11" customFormat="1" x14ac:dyDescent="0.35">
      <c r="B66" s="11" t="s">
        <v>110</v>
      </c>
      <c r="D66" s="11" t="e">
        <f>D64/D68</f>
        <v>#DIV/0!</v>
      </c>
      <c r="E66" s="11" t="e">
        <f t="shared" ref="E66:T66" si="41">E64/E68</f>
        <v>#DIV/0!</v>
      </c>
      <c r="F66" s="11" t="e">
        <f t="shared" si="41"/>
        <v>#DIV/0!</v>
      </c>
      <c r="G66" s="11">
        <f t="shared" si="41"/>
        <v>0.32934140357747549</v>
      </c>
      <c r="H66" s="11">
        <f t="shared" si="41"/>
        <v>0.55028669257316776</v>
      </c>
      <c r="I66" s="11">
        <f t="shared" si="41"/>
        <v>1.0016529089125701</v>
      </c>
      <c r="J66" s="11">
        <f t="shared" si="41"/>
        <v>1.594389801773485</v>
      </c>
      <c r="K66" s="11">
        <f t="shared" si="41"/>
        <v>1.4294878128608746</v>
      </c>
      <c r="L66" s="11">
        <f t="shared" si="41"/>
        <v>1.6231013288479703</v>
      </c>
      <c r="M66" s="11">
        <f t="shared" si="41"/>
        <v>2.3200979034908098</v>
      </c>
      <c r="N66" s="11">
        <f t="shared" si="41"/>
        <v>2.0877583250774108</v>
      </c>
      <c r="O66" s="11">
        <f t="shared" si="41"/>
        <v>2.3168850515272243</v>
      </c>
      <c r="P66" s="11">
        <f t="shared" si="41"/>
        <v>3.00335373070505</v>
      </c>
      <c r="Q66" s="11">
        <f t="shared" si="41"/>
        <v>2.9914457730615696</v>
      </c>
      <c r="R66" s="11">
        <f t="shared" si="41"/>
        <v>3.3086099585062239</v>
      </c>
      <c r="S66" s="11">
        <f t="shared" si="41"/>
        <v>5.6690292811230183</v>
      </c>
      <c r="T66" s="11">
        <f t="shared" si="41"/>
        <v>6.1546144376377772</v>
      </c>
      <c r="U66" s="11">
        <f>U64/U68</f>
        <v>6.1606692635543778</v>
      </c>
    </row>
    <row r="67" spans="2:32" s="11" customFormat="1" x14ac:dyDescent="0.35">
      <c r="B67" s="11" t="s">
        <v>51</v>
      </c>
      <c r="D67" s="11" t="e">
        <f>D64/D69</f>
        <v>#DIV/0!</v>
      </c>
      <c r="E67" s="11" t="e">
        <f t="shared" ref="E67:T67" si="42">E64/E69</f>
        <v>#DIV/0!</v>
      </c>
      <c r="F67" s="11" t="e">
        <f t="shared" si="42"/>
        <v>#DIV/0!</v>
      </c>
      <c r="G67" s="11">
        <f t="shared" si="42"/>
        <v>0.32426187601737905</v>
      </c>
      <c r="H67" s="11">
        <f t="shared" si="42"/>
        <v>0.54121097781177885</v>
      </c>
      <c r="I67" s="11">
        <f t="shared" si="42"/>
        <v>0.98840618834853589</v>
      </c>
      <c r="J67" s="11">
        <f t="shared" si="42"/>
        <v>1.5766186096379515</v>
      </c>
      <c r="K67" s="11">
        <f t="shared" si="42"/>
        <v>1.4197745534324679</v>
      </c>
      <c r="L67" s="11">
        <f t="shared" si="42"/>
        <v>1.6132686055071137</v>
      </c>
      <c r="M67" s="11">
        <f t="shared" si="42"/>
        <v>2.3042190590169045</v>
      </c>
      <c r="N67" s="11">
        <f t="shared" si="42"/>
        <v>2.0765757240402807</v>
      </c>
      <c r="O67" s="11">
        <f t="shared" si="42"/>
        <v>2.3016867706636259</v>
      </c>
      <c r="P67" s="11">
        <f t="shared" si="42"/>
        <v>2.9764851126245446</v>
      </c>
      <c r="Q67" s="11">
        <f t="shared" si="42"/>
        <v>2.9714474637107351</v>
      </c>
      <c r="R67" s="11">
        <f t="shared" si="42"/>
        <v>3.2753479618630856</v>
      </c>
      <c r="S67" s="11">
        <f t="shared" si="42"/>
        <v>5.6140204408927188</v>
      </c>
      <c r="T67" s="11">
        <f t="shared" si="42"/>
        <v>6.1132002014722815</v>
      </c>
      <c r="U67" s="11">
        <f>U64/U69</f>
        <v>6.1340529138031972</v>
      </c>
    </row>
    <row r="68" spans="2:32" s="4" customFormat="1" x14ac:dyDescent="0.35">
      <c r="B68" s="4" t="s">
        <v>52</v>
      </c>
      <c r="D68" s="4">
        <f>D70*4</f>
        <v>0</v>
      </c>
      <c r="E68" s="4">
        <f t="shared" ref="E68:O68" si="43">E70*4</f>
        <v>0</v>
      </c>
      <c r="F68" s="4">
        <f t="shared" si="43"/>
        <v>0</v>
      </c>
      <c r="G68" s="4">
        <f t="shared" si="43"/>
        <v>25004.448</v>
      </c>
      <c r="H68" s="4">
        <f t="shared" si="43"/>
        <v>25464.907999999999</v>
      </c>
      <c r="I68" s="4">
        <f t="shared" si="43"/>
        <v>25879.224000000002</v>
      </c>
      <c r="J68" s="4">
        <f t="shared" si="43"/>
        <v>26174.903999999999</v>
      </c>
      <c r="K68" s="4">
        <f t="shared" si="43"/>
        <v>25909.279999999999</v>
      </c>
      <c r="L68" s="4">
        <f t="shared" si="43"/>
        <v>24342.288</v>
      </c>
      <c r="M68" s="4">
        <f t="shared" si="43"/>
        <v>23013.684000000001</v>
      </c>
      <c r="N68" s="4">
        <f t="shared" si="43"/>
        <v>21883.279999999999</v>
      </c>
      <c r="O68" s="4">
        <f t="shared" si="43"/>
        <v>20868.968000000001</v>
      </c>
      <c r="P68" s="4">
        <f>P70*4</f>
        <v>19821.508000000002</v>
      </c>
      <c r="Q68" s="4">
        <v>18471.335999999999</v>
      </c>
      <c r="R68" s="4">
        <v>17352</v>
      </c>
      <c r="S68" s="4">
        <v>16701.272000000001</v>
      </c>
      <c r="T68" s="4">
        <v>16215.963</v>
      </c>
      <c r="U68" s="4">
        <v>15744.231</v>
      </c>
    </row>
    <row r="69" spans="2:32" s="4" customFormat="1" x14ac:dyDescent="0.35">
      <c r="B69" s="4" t="s">
        <v>53</v>
      </c>
      <c r="D69" s="4">
        <f>D71*4</f>
        <v>0</v>
      </c>
      <c r="E69" s="4">
        <f t="shared" ref="E69:O69" si="44">E71*4</f>
        <v>0</v>
      </c>
      <c r="F69" s="4">
        <f t="shared" si="44"/>
        <v>0</v>
      </c>
      <c r="G69" s="4">
        <f t="shared" si="44"/>
        <v>25396.14</v>
      </c>
      <c r="H69" s="4">
        <f t="shared" si="44"/>
        <v>25891.936000000002</v>
      </c>
      <c r="I69" s="4">
        <f t="shared" si="44"/>
        <v>26226.059999999998</v>
      </c>
      <c r="J69" s="4">
        <f t="shared" si="44"/>
        <v>26469.940000000002</v>
      </c>
      <c r="K69" s="4">
        <f t="shared" si="44"/>
        <v>26086.536</v>
      </c>
      <c r="L69" s="4">
        <f t="shared" si="44"/>
        <v>24490.651999999998</v>
      </c>
      <c r="M69" s="4">
        <f t="shared" si="44"/>
        <v>23172.276000000002</v>
      </c>
      <c r="N69" s="4">
        <f t="shared" si="44"/>
        <v>22001.124</v>
      </c>
      <c r="O69" s="4">
        <f t="shared" si="44"/>
        <v>21006.768</v>
      </c>
      <c r="P69" s="4">
        <f>P71*4</f>
        <v>20000.436000000002</v>
      </c>
      <c r="Q69" s="4">
        <v>18595.651000000002</v>
      </c>
      <c r="R69" s="4">
        <v>17528.214</v>
      </c>
      <c r="S69" s="4">
        <v>16864.919000000002</v>
      </c>
      <c r="T69" s="4">
        <v>16325.819</v>
      </c>
      <c r="U69" s="4">
        <v>15812.547</v>
      </c>
    </row>
    <row r="70" spans="2:32" s="4" customFormat="1" x14ac:dyDescent="0.35">
      <c r="G70" s="4">
        <f>G72*7</f>
        <v>6251.1120000000001</v>
      </c>
      <c r="H70" s="4">
        <f t="shared" ref="H70:I70" si="45">H72*7</f>
        <v>6366.2269999999999</v>
      </c>
      <c r="I70" s="4">
        <f t="shared" si="45"/>
        <v>6469.8060000000005</v>
      </c>
      <c r="J70" s="4">
        <f>J72*7</f>
        <v>6543.7259999999997</v>
      </c>
      <c r="K70" s="4">
        <v>6477.32</v>
      </c>
      <c r="L70" s="4">
        <v>6085.5720000000001</v>
      </c>
      <c r="M70" s="4">
        <v>5753.4210000000003</v>
      </c>
      <c r="N70" s="4">
        <v>5470.82</v>
      </c>
      <c r="O70" s="4">
        <v>5217.2420000000002</v>
      </c>
      <c r="P70" s="4">
        <v>4955.3770000000004</v>
      </c>
    </row>
    <row r="71" spans="2:32" s="4" customFormat="1" x14ac:dyDescent="0.35">
      <c r="G71" s="4">
        <f>G73*7</f>
        <v>6349.0349999999999</v>
      </c>
      <c r="H71" s="4">
        <f t="shared" ref="H71:I71" si="46">H73*7</f>
        <v>6472.9840000000004</v>
      </c>
      <c r="I71" s="4">
        <f t="shared" si="46"/>
        <v>6556.5149999999994</v>
      </c>
      <c r="J71" s="4">
        <f>J73*7</f>
        <v>6617.4850000000006</v>
      </c>
      <c r="K71" s="4">
        <v>6521.634</v>
      </c>
      <c r="L71" s="4">
        <v>6122.6629999999996</v>
      </c>
      <c r="M71" s="4">
        <v>5793.0690000000004</v>
      </c>
      <c r="N71" s="4">
        <v>5500.2809999999999</v>
      </c>
      <c r="O71" s="4">
        <v>5251.692</v>
      </c>
      <c r="P71" s="4">
        <v>5000.1090000000004</v>
      </c>
    </row>
    <row r="72" spans="2:32" s="4" customFormat="1" x14ac:dyDescent="0.35">
      <c r="G72" s="4">
        <v>893.01599999999996</v>
      </c>
      <c r="H72" s="4">
        <v>909.46100000000001</v>
      </c>
      <c r="I72" s="4">
        <v>924.25800000000004</v>
      </c>
      <c r="J72" s="4">
        <v>934.81799999999998</v>
      </c>
    </row>
    <row r="73" spans="2:32" s="4" customFormat="1" x14ac:dyDescent="0.35">
      <c r="G73" s="4">
        <v>907.005</v>
      </c>
      <c r="H73" s="4">
        <v>924.71199999999999</v>
      </c>
      <c r="I73" s="4">
        <v>936.64499999999998</v>
      </c>
      <c r="J73" s="4">
        <v>945.35500000000002</v>
      </c>
    </row>
    <row r="74" spans="2:32" s="6" customFormat="1" x14ac:dyDescent="0.35">
      <c r="B74" s="6" t="s">
        <v>122</v>
      </c>
    </row>
    <row r="75" spans="2:32" s="8" customFormat="1" x14ac:dyDescent="0.35">
      <c r="B75" s="8" t="s">
        <v>107</v>
      </c>
      <c r="D75" s="8" t="e">
        <f>D54/C54-1</f>
        <v>#DIV/0!</v>
      </c>
      <c r="E75" s="8" t="e">
        <f t="shared" ref="E75:T75" si="47">E54/D54-1</f>
        <v>#DIV/0!</v>
      </c>
      <c r="F75" s="8" t="e">
        <f t="shared" si="47"/>
        <v>#DIV/0!</v>
      </c>
      <c r="G75" s="8" t="e">
        <f t="shared" si="47"/>
        <v>#DIV/0!</v>
      </c>
      <c r="H75" s="8">
        <f t="shared" si="47"/>
        <v>0.52021908868430256</v>
      </c>
      <c r="I75" s="8">
        <f t="shared" si="47"/>
        <v>0.65962437715599842</v>
      </c>
      <c r="J75" s="8">
        <f t="shared" si="47"/>
        <v>0.44581474193756976</v>
      </c>
      <c r="K75" s="8">
        <f t="shared" si="47"/>
        <v>9.2020855163953197E-2</v>
      </c>
      <c r="L75" s="8">
        <f t="shared" si="47"/>
        <v>6.9539523725937524E-2</v>
      </c>
      <c r="M75" s="8">
        <f t="shared" si="47"/>
        <v>0.27856341803659834</v>
      </c>
      <c r="N75" s="8">
        <f t="shared" si="47"/>
        <v>-7.7342061913013738E-2</v>
      </c>
      <c r="O75" s="8">
        <f t="shared" si="47"/>
        <v>6.304518199398057E-2</v>
      </c>
      <c r="P75" s="8">
        <f t="shared" si="47"/>
        <v>0.15861957650261305</v>
      </c>
      <c r="Q75" s="8">
        <f t="shared" si="47"/>
        <v>-2.04107758052674E-2</v>
      </c>
      <c r="R75" s="8">
        <f t="shared" si="47"/>
        <v>5.5120803769784787E-2</v>
      </c>
      <c r="S75" s="8">
        <f t="shared" si="47"/>
        <v>0.33259384733074704</v>
      </c>
      <c r="T75" s="8">
        <f t="shared" si="47"/>
        <v>7.7937876041846099E-2</v>
      </c>
      <c r="U75" s="8">
        <f>U54/T54-1</f>
        <v>-2.800460530319937E-2</v>
      </c>
    </row>
    <row r="76" spans="2:32" s="8" customFormat="1" x14ac:dyDescent="0.35">
      <c r="B76" s="8" t="s">
        <v>126</v>
      </c>
      <c r="D76" s="8" t="e">
        <f>D64/C64-1</f>
        <v>#DIV/0!</v>
      </c>
      <c r="E76" s="8" t="e">
        <f t="shared" ref="E76:T76" si="48">E64/D64-1</f>
        <v>#DIV/0!</v>
      </c>
      <c r="F76" s="8" t="e">
        <f t="shared" si="48"/>
        <v>#DIV/0!</v>
      </c>
      <c r="G76" s="8" t="e">
        <f t="shared" si="48"/>
        <v>#DIV/0!</v>
      </c>
      <c r="H76" s="8">
        <f t="shared" si="48"/>
        <v>0.70163934426229502</v>
      </c>
      <c r="I76" s="8">
        <f t="shared" si="48"/>
        <v>0.84985370727181908</v>
      </c>
      <c r="J76" s="8">
        <f t="shared" si="48"/>
        <v>0.60994522027621323</v>
      </c>
      <c r="K76" s="8">
        <f t="shared" si="48"/>
        <v>-0.11252486042220788</v>
      </c>
      <c r="L76" s="8">
        <f t="shared" si="48"/>
        <v>6.6771066771066812E-2</v>
      </c>
      <c r="M76" s="8">
        <f t="shared" si="48"/>
        <v>0.3514047076689446</v>
      </c>
      <c r="N76" s="8">
        <f t="shared" si="48"/>
        <v>-0.14434206090571977</v>
      </c>
      <c r="O76" s="8">
        <f t="shared" si="48"/>
        <v>5.830980366406191E-2</v>
      </c>
      <c r="P76" s="8">
        <f t="shared" si="48"/>
        <v>0.23122582780087275</v>
      </c>
      <c r="Q76" s="8">
        <f t="shared" si="48"/>
        <v>-7.1811325191916797E-2</v>
      </c>
      <c r="R76" s="8">
        <f t="shared" si="48"/>
        <v>3.9000289561314627E-2</v>
      </c>
      <c r="S76" s="8">
        <f t="shared" si="48"/>
        <v>0.64916131055024295</v>
      </c>
      <c r="T76" s="8">
        <f t="shared" si="48"/>
        <v>5.410857625686516E-2</v>
      </c>
      <c r="U76" s="8">
        <f>U64/T64-1</f>
        <v>-2.8135426790777851E-2</v>
      </c>
    </row>
    <row r="77" spans="2:32" s="8" customFormat="1" x14ac:dyDescent="0.35"/>
    <row r="78" spans="2:32" s="8" customFormat="1" x14ac:dyDescent="0.35"/>
    <row r="79" spans="2:32" s="17" customFormat="1" x14ac:dyDescent="0.35">
      <c r="B79" s="17" t="s">
        <v>105</v>
      </c>
    </row>
    <row r="80" spans="2:32" s="8" customFormat="1" x14ac:dyDescent="0.35">
      <c r="B80" s="8" t="s">
        <v>124</v>
      </c>
      <c r="D80" s="8" t="e">
        <f>D56/D54</f>
        <v>#DIV/0!</v>
      </c>
      <c r="E80" s="8" t="e">
        <f t="shared" ref="E80:T80" si="49">E56/E54</f>
        <v>#DIV/0!</v>
      </c>
      <c r="F80" s="8" t="e">
        <f t="shared" si="49"/>
        <v>#DIV/0!</v>
      </c>
      <c r="G80" s="8">
        <f t="shared" si="49"/>
        <v>0.40139843841044165</v>
      </c>
      <c r="H80" s="8">
        <f t="shared" si="49"/>
        <v>0.39377539287083174</v>
      </c>
      <c r="I80" s="8">
        <f t="shared" si="49"/>
        <v>0.40478895878945764</v>
      </c>
      <c r="J80" s="8">
        <f t="shared" si="49"/>
        <v>0.43871239808827661</v>
      </c>
      <c r="K80" s="8">
        <f t="shared" si="49"/>
        <v>0.37624480720847231</v>
      </c>
      <c r="L80" s="8">
        <f t="shared" si="49"/>
        <v>0.38588035777783858</v>
      </c>
      <c r="M80" s="8">
        <f t="shared" si="49"/>
        <v>0.40059902017414373</v>
      </c>
      <c r="N80" s="8">
        <f t="shared" si="49"/>
        <v>0.39075955648097049</v>
      </c>
      <c r="O80" s="8">
        <f t="shared" si="49"/>
        <v>0.38469860491899105</v>
      </c>
      <c r="P80" s="8">
        <f t="shared" si="49"/>
        <v>0.38343718820007905</v>
      </c>
      <c r="Q80" s="8">
        <f t="shared" si="49"/>
        <v>0.37817768109034722</v>
      </c>
      <c r="R80" s="8">
        <f t="shared" si="49"/>
        <v>0.38233247727810865</v>
      </c>
      <c r="S80" s="8">
        <f t="shared" si="49"/>
        <v>0.41779359625167778</v>
      </c>
      <c r="T80" s="8">
        <f t="shared" si="49"/>
        <v>0.43309630561360085</v>
      </c>
      <c r="U80" s="8">
        <f>U56/U54</f>
        <v>0.44131129577207562</v>
      </c>
      <c r="V80" s="8">
        <v>0.4</v>
      </c>
      <c r="W80" s="8">
        <v>0.4</v>
      </c>
      <c r="X80" s="8">
        <v>0.4</v>
      </c>
      <c r="Y80" s="8">
        <v>0.4</v>
      </c>
      <c r="Z80" s="8">
        <v>0.4</v>
      </c>
      <c r="AA80" s="8">
        <v>0.4</v>
      </c>
      <c r="AB80" s="8">
        <v>0.4</v>
      </c>
      <c r="AC80" s="8">
        <v>0.4</v>
      </c>
      <c r="AD80" s="8">
        <v>0.4</v>
      </c>
      <c r="AE80" s="8">
        <v>0.4</v>
      </c>
      <c r="AF80" s="8">
        <v>0.4</v>
      </c>
    </row>
    <row r="81" spans="2:32" s="8" customFormat="1" x14ac:dyDescent="0.35">
      <c r="B81" s="8" t="s">
        <v>45</v>
      </c>
      <c r="D81" s="8" t="e">
        <f>D60/D54</f>
        <v>#DIV/0!</v>
      </c>
      <c r="E81" s="8" t="e">
        <f t="shared" ref="E81:T81" si="50">E60/E54</f>
        <v>#DIV/0!</v>
      </c>
      <c r="F81" s="8" t="e">
        <f t="shared" si="50"/>
        <v>#DIV/0!</v>
      </c>
      <c r="G81" s="8">
        <f t="shared" si="50"/>
        <v>0.2736277823097541</v>
      </c>
      <c r="H81" s="8">
        <f t="shared" si="50"/>
        <v>0.28187044844768111</v>
      </c>
      <c r="I81" s="8">
        <f t="shared" si="50"/>
        <v>0.31215068961376086</v>
      </c>
      <c r="J81" s="8">
        <f t="shared" si="50"/>
        <v>0.35295959311984054</v>
      </c>
      <c r="K81" s="8">
        <f t="shared" si="50"/>
        <v>0.28669475162366159</v>
      </c>
      <c r="L81" s="8">
        <f t="shared" si="50"/>
        <v>0.28722339232473537</v>
      </c>
      <c r="M81" s="8">
        <f t="shared" si="50"/>
        <v>0.30477290717326661</v>
      </c>
      <c r="N81" s="8">
        <f t="shared" si="50"/>
        <v>0.27835410106706115</v>
      </c>
      <c r="O81" s="8">
        <f t="shared" si="50"/>
        <v>0.26760428208729942</v>
      </c>
      <c r="P81" s="8">
        <f t="shared" si="50"/>
        <v>0.26694026619477024</v>
      </c>
      <c r="Q81" s="8">
        <f t="shared" si="50"/>
        <v>0.24572017188496928</v>
      </c>
      <c r="R81" s="8">
        <f t="shared" si="50"/>
        <v>0.24147314354406862</v>
      </c>
      <c r="S81" s="8">
        <f t="shared" si="50"/>
        <v>0.29782377527561593</v>
      </c>
      <c r="T81" s="8">
        <f t="shared" si="50"/>
        <v>0.30288744395528594</v>
      </c>
      <c r="U81" s="8">
        <f>U60/U54</f>
        <v>0.29821412265024722</v>
      </c>
    </row>
    <row r="82" spans="2:32" s="8" customFormat="1" x14ac:dyDescent="0.35">
      <c r="B82" s="8" t="s">
        <v>125</v>
      </c>
      <c r="D82" s="8" t="e">
        <f>D64/D54</f>
        <v>#DIV/0!</v>
      </c>
      <c r="E82" s="8" t="e">
        <f t="shared" ref="E82:T82" si="51">E64/E54</f>
        <v>#DIV/0!</v>
      </c>
      <c r="F82" s="8" t="e">
        <f t="shared" si="51"/>
        <v>#DIV/0!</v>
      </c>
      <c r="G82" s="8">
        <f t="shared" si="51"/>
        <v>0.19193567183311969</v>
      </c>
      <c r="H82" s="8">
        <f t="shared" si="51"/>
        <v>0.21484093522422384</v>
      </c>
      <c r="I82" s="8">
        <f t="shared" si="51"/>
        <v>0.2394664153941376</v>
      </c>
      <c r="J82" s="8">
        <f t="shared" si="51"/>
        <v>0.26665090602397323</v>
      </c>
      <c r="K82" s="8">
        <f t="shared" si="51"/>
        <v>0.21670469837926393</v>
      </c>
      <c r="L82" s="8">
        <f t="shared" si="51"/>
        <v>0.21614376760852322</v>
      </c>
      <c r="M82" s="8">
        <f t="shared" si="51"/>
        <v>0.22845773698735639</v>
      </c>
      <c r="N82" s="8">
        <f t="shared" si="51"/>
        <v>0.211867983064288</v>
      </c>
      <c r="O82" s="8">
        <f t="shared" si="51"/>
        <v>0.21092420845075338</v>
      </c>
      <c r="P82" s="8">
        <f t="shared" si="51"/>
        <v>0.22414202074587247</v>
      </c>
      <c r="Q82" s="8">
        <f t="shared" si="51"/>
        <v>0.21238094505984456</v>
      </c>
      <c r="R82" s="8">
        <f t="shared" si="51"/>
        <v>0.20913611278072236</v>
      </c>
      <c r="S82" s="8">
        <f t="shared" si="51"/>
        <v>0.25881793355694238</v>
      </c>
      <c r="T82" s="8">
        <f t="shared" si="51"/>
        <v>0.25309640705199732</v>
      </c>
      <c r="U82" s="8">
        <f>U64/U54</f>
        <v>0.25306234264320282</v>
      </c>
    </row>
    <row r="83" spans="2:32" s="8" customFormat="1" x14ac:dyDescent="0.35">
      <c r="B83" s="8" t="s">
        <v>127</v>
      </c>
      <c r="D83" s="8" t="e">
        <f>D63/D62</f>
        <v>#DIV/0!</v>
      </c>
      <c r="E83" s="8" t="e">
        <f t="shared" ref="E83:U83" si="52">E63/E62</f>
        <v>#DIV/0!</v>
      </c>
      <c r="F83" s="8" t="e">
        <f t="shared" si="52"/>
        <v>#DIV/0!</v>
      </c>
      <c r="G83" s="8">
        <f t="shared" si="52"/>
        <v>0.31750372948781702</v>
      </c>
      <c r="H83" s="8">
        <f t="shared" si="52"/>
        <v>0.24417475728155341</v>
      </c>
      <c r="I83" s="8">
        <f t="shared" si="52"/>
        <v>0.24215757930127174</v>
      </c>
      <c r="J83" s="8">
        <f t="shared" si="52"/>
        <v>0.25160052364471064</v>
      </c>
      <c r="K83" s="8">
        <f t="shared" si="52"/>
        <v>0.26154919748778788</v>
      </c>
      <c r="L83" s="8">
        <f t="shared" si="52"/>
        <v>0.26126058747639436</v>
      </c>
      <c r="M83" s="8">
        <f t="shared" si="52"/>
        <v>0.26368337585327173</v>
      </c>
      <c r="N83" s="8">
        <f t="shared" si="52"/>
        <v>0.25557257381216192</v>
      </c>
      <c r="O83" s="8">
        <f t="shared" si="52"/>
        <v>0.24556476150353415</v>
      </c>
      <c r="P83" s="8">
        <f t="shared" si="52"/>
        <v>0.18342180705869443</v>
      </c>
      <c r="Q83" s="8">
        <f t="shared" si="52"/>
        <v>0.15943836804235059</v>
      </c>
      <c r="R83" s="8">
        <f t="shared" si="52"/>
        <v>0.14428164731484103</v>
      </c>
      <c r="S83" s="8">
        <f t="shared" si="52"/>
        <v>0.13302260844085087</v>
      </c>
      <c r="T83" s="8">
        <f t="shared" si="52"/>
        <v>0.16204461684424407</v>
      </c>
      <c r="U83" s="8">
        <f t="shared" si="52"/>
        <v>0.14719174228036858</v>
      </c>
      <c r="V83" s="8">
        <v>0.22</v>
      </c>
      <c r="W83" s="8">
        <v>0.22</v>
      </c>
      <c r="X83" s="8">
        <v>0.22</v>
      </c>
      <c r="Y83" s="8">
        <v>0.22</v>
      </c>
      <c r="Z83" s="8">
        <v>0.22</v>
      </c>
      <c r="AA83" s="8">
        <v>0.22</v>
      </c>
      <c r="AB83" s="8">
        <v>0.22</v>
      </c>
      <c r="AC83" s="8">
        <v>0.22</v>
      </c>
      <c r="AD83" s="8">
        <v>0.22</v>
      </c>
      <c r="AE83" s="8">
        <v>0.22</v>
      </c>
      <c r="AF83" s="8">
        <v>0.22</v>
      </c>
    </row>
    <row r="84" spans="2:32" s="17" customFormat="1" x14ac:dyDescent="0.35">
      <c r="B84" s="17" t="s">
        <v>123</v>
      </c>
    </row>
    <row r="85" spans="2:32" s="8" customFormat="1" x14ac:dyDescent="0.35">
      <c r="B85" s="8" t="s">
        <v>41</v>
      </c>
      <c r="D85" s="8" t="e">
        <f>D57/D54</f>
        <v>#DIV/0!</v>
      </c>
      <c r="E85" s="8" t="e">
        <f t="shared" ref="E85:T85" si="53">E57/E54</f>
        <v>#DIV/0!</v>
      </c>
      <c r="F85" s="8" t="e">
        <f t="shared" si="53"/>
        <v>#DIV/0!</v>
      </c>
      <c r="G85" s="8">
        <f t="shared" si="53"/>
        <v>3.1068640018645847E-2</v>
      </c>
      <c r="H85" s="8">
        <f t="shared" si="53"/>
        <v>2.7320812571866616E-2</v>
      </c>
      <c r="I85" s="8">
        <f t="shared" si="53"/>
        <v>2.2439006364954873E-2</v>
      </c>
      <c r="J85" s="8">
        <f t="shared" si="53"/>
        <v>2.1602729572929181E-2</v>
      </c>
      <c r="K85" s="8">
        <f t="shared" si="53"/>
        <v>2.6183371365045931E-2</v>
      </c>
      <c r="L85" s="8">
        <f t="shared" si="53"/>
        <v>3.3047949889220163E-2</v>
      </c>
      <c r="M85" s="8">
        <f t="shared" si="53"/>
        <v>3.4516398177267184E-2</v>
      </c>
      <c r="N85" s="8">
        <f t="shared" si="53"/>
        <v>4.6582482760539605E-2</v>
      </c>
      <c r="O85" s="8">
        <f t="shared" si="53"/>
        <v>5.0520428906706681E-2</v>
      </c>
      <c r="P85" s="8">
        <f t="shared" si="53"/>
        <v>5.3600406634161032E-2</v>
      </c>
      <c r="Q85" s="8">
        <f t="shared" si="53"/>
        <v>6.233136285716482E-2</v>
      </c>
      <c r="R85" s="8">
        <f t="shared" si="53"/>
        <v>6.8309564140393061E-2</v>
      </c>
      <c r="S85" s="8">
        <f t="shared" si="53"/>
        <v>5.9904269074427925E-2</v>
      </c>
      <c r="T85" s="8">
        <f t="shared" si="53"/>
        <v>6.657148363798665E-2</v>
      </c>
      <c r="U85" s="8">
        <f>U57/U54</f>
        <v>7.8048971392045086E-2</v>
      </c>
      <c r="V85" s="8">
        <v>0.1</v>
      </c>
      <c r="W85" s="8">
        <v>0.1</v>
      </c>
      <c r="X85" s="8">
        <v>0.1</v>
      </c>
      <c r="Y85" s="8">
        <v>0.1</v>
      </c>
      <c r="Z85" s="8">
        <v>0.1</v>
      </c>
      <c r="AA85" s="8">
        <v>0.1</v>
      </c>
      <c r="AB85" s="8">
        <v>0.1</v>
      </c>
      <c r="AC85" s="8">
        <v>0.1</v>
      </c>
      <c r="AD85" s="8">
        <v>0.1</v>
      </c>
      <c r="AE85" s="8">
        <v>0.1</v>
      </c>
      <c r="AF85" s="8">
        <v>0.1</v>
      </c>
    </row>
    <row r="86" spans="2:32" s="8" customFormat="1" x14ac:dyDescent="0.35">
      <c r="B86" s="8" t="s">
        <v>42</v>
      </c>
      <c r="D86" s="8" t="e">
        <f>D58/D54</f>
        <v>#DIV/0!</v>
      </c>
      <c r="E86" s="8" t="e">
        <f t="shared" ref="E86:T86" si="54">E58/E54</f>
        <v>#DIV/0!</v>
      </c>
      <c r="F86" s="8" t="e">
        <f t="shared" si="54"/>
        <v>#DIV/0!</v>
      </c>
      <c r="G86" s="8">
        <f t="shared" si="54"/>
        <v>9.6702016082041722E-2</v>
      </c>
      <c r="H86" s="8">
        <f t="shared" si="54"/>
        <v>8.4584131851284022E-2</v>
      </c>
      <c r="I86" s="8">
        <f t="shared" si="54"/>
        <v>7.0199262810741903E-2</v>
      </c>
      <c r="J86" s="8">
        <f t="shared" si="54"/>
        <v>6.4150075395506934E-2</v>
      </c>
      <c r="K86" s="8">
        <f t="shared" si="54"/>
        <v>6.3366684219764782E-2</v>
      </c>
      <c r="L86" s="8">
        <f t="shared" si="54"/>
        <v>6.5609015563883044E-2</v>
      </c>
      <c r="M86" s="8">
        <f t="shared" si="54"/>
        <v>6.1309714823609952E-2</v>
      </c>
      <c r="N86" s="8">
        <f t="shared" si="54"/>
        <v>6.5822972653369755E-2</v>
      </c>
      <c r="O86" s="8">
        <f t="shared" si="54"/>
        <v>6.6573893924984945E-2</v>
      </c>
      <c r="P86" s="8">
        <f t="shared" si="54"/>
        <v>6.2896515371147807E-2</v>
      </c>
      <c r="Q86" s="8">
        <f t="shared" si="54"/>
        <v>7.0126146348213125E-2</v>
      </c>
      <c r="R86" s="8">
        <f t="shared" si="54"/>
        <v>7.2549769593646979E-2</v>
      </c>
      <c r="S86" s="8">
        <f t="shared" si="54"/>
        <v>6.006555190163388E-2</v>
      </c>
      <c r="T86" s="8">
        <f t="shared" si="54"/>
        <v>6.3637378020328261E-2</v>
      </c>
      <c r="U86" s="8">
        <f>U58/U54</f>
        <v>6.5048201729783317E-2</v>
      </c>
      <c r="V86" s="8">
        <v>7.0000000000000007E-2</v>
      </c>
      <c r="W86" s="8">
        <v>7.0000000000000007E-2</v>
      </c>
      <c r="X86" s="8">
        <v>7.0000000000000007E-2</v>
      </c>
      <c r="Y86" s="8">
        <v>7.0000000000000007E-2</v>
      </c>
      <c r="Z86" s="8">
        <v>7.0000000000000007E-2</v>
      </c>
      <c r="AA86" s="8">
        <v>7.0000000000000007E-2</v>
      </c>
      <c r="AB86" s="8">
        <v>7.0000000000000007E-2</v>
      </c>
      <c r="AC86" s="8">
        <v>7.0000000000000007E-2</v>
      </c>
      <c r="AD86" s="8">
        <v>7.0000000000000007E-2</v>
      </c>
      <c r="AE86" s="8">
        <v>7.0000000000000007E-2</v>
      </c>
      <c r="AF86" s="8">
        <v>7.0000000000000007E-2</v>
      </c>
    </row>
    <row r="87" spans="2:32" s="4" customFormat="1" x14ac:dyDescent="0.35"/>
    <row r="88" spans="2:32" s="1" customFormat="1" x14ac:dyDescent="0.35">
      <c r="B88" s="1" t="s">
        <v>111</v>
      </c>
    </row>
    <row r="89" spans="2:32" s="4" customFormat="1" x14ac:dyDescent="0.35">
      <c r="B89" s="4" t="s">
        <v>4</v>
      </c>
      <c r="H89" s="4">
        <f>11261+14359</f>
        <v>25620</v>
      </c>
      <c r="I89" s="4">
        <f>9815+16137</f>
        <v>25952</v>
      </c>
      <c r="J89" s="4">
        <f>10746+18383</f>
        <v>29129</v>
      </c>
      <c r="K89" s="4">
        <f>14259+26287</f>
        <v>40546</v>
      </c>
      <c r="L89" s="4">
        <f>13844+11233</f>
        <v>25077</v>
      </c>
      <c r="M89" s="4">
        <f>21120+20481</f>
        <v>41601</v>
      </c>
      <c r="N89" s="4">
        <f>20484+46671</f>
        <v>67155</v>
      </c>
      <c r="O89" s="4">
        <f>20289+53892</f>
        <v>74181</v>
      </c>
      <c r="P89" s="4">
        <f>25913+40388</f>
        <v>66301</v>
      </c>
      <c r="Q89" s="4">
        <f>48844+51713</f>
        <v>100557</v>
      </c>
      <c r="R89" s="4">
        <f>38016+52927</f>
        <v>90943</v>
      </c>
      <c r="S89" s="4">
        <f>34940+27699</f>
        <v>62639</v>
      </c>
      <c r="T89" s="4">
        <f>23646+24658</f>
        <v>48304</v>
      </c>
      <c r="U89" s="4">
        <f>29965+31590</f>
        <v>61555</v>
      </c>
    </row>
    <row r="90" spans="2:32" s="4" customFormat="1" x14ac:dyDescent="0.35">
      <c r="B90" s="4" t="s">
        <v>112</v>
      </c>
      <c r="H90" s="4">
        <v>0</v>
      </c>
      <c r="I90" s="4">
        <v>0</v>
      </c>
      <c r="J90" s="4">
        <v>0</v>
      </c>
      <c r="K90" s="4">
        <v>0</v>
      </c>
      <c r="L90" s="4">
        <v>6308</v>
      </c>
      <c r="M90" s="4">
        <f>8499+2500</f>
        <v>10999</v>
      </c>
      <c r="N90" s="4">
        <f>8105+3500</f>
        <v>11605</v>
      </c>
      <c r="O90" s="4">
        <f>11977+6496</f>
        <v>18473</v>
      </c>
      <c r="P90" s="4">
        <f>11964+8784</f>
        <v>20748</v>
      </c>
      <c r="Q90" s="4">
        <f>5980+10260</f>
        <v>16240</v>
      </c>
      <c r="R90" s="4">
        <f>4996+8773</f>
        <v>13769</v>
      </c>
      <c r="S90" s="4">
        <f>6000+9613</f>
        <v>15613</v>
      </c>
      <c r="T90" s="4">
        <f>11128+9982</f>
        <v>21110</v>
      </c>
      <c r="U90" s="4">
        <f>9822+5985</f>
        <v>15807</v>
      </c>
    </row>
    <row r="91" spans="2:32" s="5" customFormat="1" x14ac:dyDescent="0.35">
      <c r="B91" s="5" t="s">
        <v>113</v>
      </c>
      <c r="H91" s="5">
        <v>0</v>
      </c>
      <c r="I91" s="5">
        <v>0</v>
      </c>
      <c r="J91" s="5">
        <v>0</v>
      </c>
      <c r="K91" s="5">
        <v>16960</v>
      </c>
      <c r="L91" s="5">
        <v>28987</v>
      </c>
      <c r="M91" s="5">
        <v>53463</v>
      </c>
      <c r="N91" s="5">
        <v>75427</v>
      </c>
      <c r="O91" s="5">
        <v>97207</v>
      </c>
      <c r="P91" s="5">
        <v>93735</v>
      </c>
      <c r="Q91" s="5">
        <v>91807</v>
      </c>
      <c r="R91" s="5">
        <v>98667</v>
      </c>
      <c r="S91" s="5">
        <v>109106</v>
      </c>
      <c r="T91" s="5">
        <v>98959</v>
      </c>
      <c r="U91" s="5">
        <v>95281</v>
      </c>
    </row>
    <row r="92" spans="2:32" x14ac:dyDescent="0.35">
      <c r="B92" t="s">
        <v>114</v>
      </c>
      <c r="D92" s="4">
        <f>D89-SUM(D90:D91)</f>
        <v>0</v>
      </c>
      <c r="E92" s="4">
        <f t="shared" ref="E92:T92" si="55">E89-SUM(E90:E91)</f>
        <v>0</v>
      </c>
      <c r="F92" s="4">
        <f t="shared" si="55"/>
        <v>0</v>
      </c>
      <c r="G92" s="4">
        <f t="shared" si="55"/>
        <v>0</v>
      </c>
      <c r="H92" s="4">
        <f t="shared" si="55"/>
        <v>25620</v>
      </c>
      <c r="I92" s="4">
        <f t="shared" si="55"/>
        <v>25952</v>
      </c>
      <c r="J92" s="4">
        <f t="shared" si="55"/>
        <v>29129</v>
      </c>
      <c r="K92" s="4">
        <f t="shared" si="55"/>
        <v>23586</v>
      </c>
      <c r="L92" s="4">
        <f t="shared" si="55"/>
        <v>-10218</v>
      </c>
      <c r="M92" s="4">
        <f t="shared" si="55"/>
        <v>-22861</v>
      </c>
      <c r="N92" s="4">
        <f t="shared" si="55"/>
        <v>-19877</v>
      </c>
      <c r="O92" s="4">
        <f t="shared" si="55"/>
        <v>-41499</v>
      </c>
      <c r="P92" s="4">
        <f t="shared" si="55"/>
        <v>-48182</v>
      </c>
      <c r="Q92" s="4">
        <f t="shared" si="55"/>
        <v>-7490</v>
      </c>
      <c r="R92" s="4">
        <f t="shared" si="55"/>
        <v>-21493</v>
      </c>
      <c r="S92" s="4">
        <f t="shared" si="55"/>
        <v>-62080</v>
      </c>
      <c r="T92" s="4">
        <f t="shared" si="55"/>
        <v>-71765</v>
      </c>
      <c r="U92" s="4">
        <f>U89-SUM(U90:U91)</f>
        <v>-49533</v>
      </c>
    </row>
    <row r="94" spans="2:32" s="4" customFormat="1" x14ac:dyDescent="0.35">
      <c r="B94" s="4" t="s">
        <v>67</v>
      </c>
      <c r="H94" s="4">
        <v>41678</v>
      </c>
      <c r="I94" s="4">
        <v>44988</v>
      </c>
      <c r="J94" s="4">
        <v>57653</v>
      </c>
      <c r="K94" s="4">
        <v>73286</v>
      </c>
      <c r="L94" s="4">
        <v>68531</v>
      </c>
      <c r="M94" s="4">
        <v>89378</v>
      </c>
      <c r="N94" s="4">
        <v>106869</v>
      </c>
      <c r="O94" s="4">
        <v>128645</v>
      </c>
      <c r="P94" s="4">
        <v>131339</v>
      </c>
      <c r="Q94" s="4">
        <v>162819</v>
      </c>
      <c r="R94" s="4">
        <v>143713</v>
      </c>
      <c r="S94" s="4">
        <v>134836</v>
      </c>
      <c r="T94" s="4">
        <v>135405</v>
      </c>
      <c r="U94" s="4">
        <v>143566</v>
      </c>
    </row>
    <row r="95" spans="2:32" s="5" customFormat="1" x14ac:dyDescent="0.35">
      <c r="B95" s="5" t="s">
        <v>118</v>
      </c>
      <c r="H95" s="5">
        <f t="shared" ref="H95:O95" si="56">H96-H94</f>
        <v>33505</v>
      </c>
      <c r="I95" s="5">
        <f t="shared" si="56"/>
        <v>71383</v>
      </c>
      <c r="J95" s="5">
        <f t="shared" si="56"/>
        <v>118411</v>
      </c>
      <c r="K95" s="5">
        <f t="shared" si="56"/>
        <v>133714</v>
      </c>
      <c r="L95" s="5">
        <f t="shared" si="56"/>
        <v>163308</v>
      </c>
      <c r="M95" s="5">
        <f t="shared" si="56"/>
        <v>201101</v>
      </c>
      <c r="N95" s="5">
        <f t="shared" si="56"/>
        <v>214817</v>
      </c>
      <c r="O95" s="5">
        <f t="shared" si="56"/>
        <v>246674</v>
      </c>
      <c r="P95" s="5">
        <v>234386</v>
      </c>
      <c r="Q95" s="5">
        <v>175697</v>
      </c>
      <c r="R95" s="5">
        <v>180175</v>
      </c>
      <c r="S95" s="5">
        <v>216166</v>
      </c>
      <c r="T95" s="5">
        <v>217350</v>
      </c>
      <c r="U95" s="5">
        <v>209017</v>
      </c>
    </row>
    <row r="96" spans="2:32" s="12" customFormat="1" x14ac:dyDescent="0.35">
      <c r="B96" s="12" t="s">
        <v>71</v>
      </c>
      <c r="D96" s="12">
        <f>SUM(D94:D95)</f>
        <v>0</v>
      </c>
      <c r="E96" s="12">
        <f t="shared" ref="E96:T96" si="57">SUM(E94:E95)</f>
        <v>0</v>
      </c>
      <c r="F96" s="12">
        <f t="shared" si="57"/>
        <v>0</v>
      </c>
      <c r="G96" s="12">
        <f t="shared" si="57"/>
        <v>0</v>
      </c>
      <c r="H96" s="12">
        <v>75183</v>
      </c>
      <c r="I96" s="12">
        <v>116371</v>
      </c>
      <c r="J96" s="12">
        <v>176064</v>
      </c>
      <c r="K96" s="12">
        <v>207000</v>
      </c>
      <c r="L96" s="12">
        <v>231839</v>
      </c>
      <c r="M96" s="12">
        <v>290479</v>
      </c>
      <c r="N96" s="12">
        <v>321686</v>
      </c>
      <c r="O96" s="12">
        <v>375319</v>
      </c>
      <c r="P96" s="12">
        <f t="shared" si="57"/>
        <v>365725</v>
      </c>
      <c r="Q96" s="12">
        <f t="shared" si="57"/>
        <v>338516</v>
      </c>
      <c r="R96" s="12">
        <f t="shared" si="57"/>
        <v>323888</v>
      </c>
      <c r="S96" s="12">
        <f t="shared" si="57"/>
        <v>351002</v>
      </c>
      <c r="T96" s="12">
        <f t="shared" si="57"/>
        <v>352755</v>
      </c>
      <c r="U96" s="12">
        <f>SUM(U94:U95)</f>
        <v>352583</v>
      </c>
    </row>
    <row r="97" spans="2:88" s="4" customFormat="1" x14ac:dyDescent="0.35">
      <c r="B97" s="4" t="s">
        <v>77</v>
      </c>
      <c r="H97" s="4">
        <v>20722</v>
      </c>
      <c r="I97" s="4">
        <v>27970</v>
      </c>
      <c r="J97" s="4">
        <v>38542</v>
      </c>
      <c r="K97" s="4">
        <v>43658</v>
      </c>
      <c r="L97" s="4">
        <v>63448</v>
      </c>
      <c r="M97" s="4">
        <v>80610</v>
      </c>
      <c r="N97" s="4">
        <v>79006</v>
      </c>
      <c r="O97" s="4">
        <v>100814</v>
      </c>
      <c r="P97" s="4">
        <v>115929</v>
      </c>
      <c r="Q97" s="4">
        <v>105718</v>
      </c>
      <c r="R97" s="4">
        <v>105392</v>
      </c>
      <c r="S97" s="4">
        <v>125481</v>
      </c>
      <c r="T97" s="4">
        <v>153982</v>
      </c>
      <c r="U97" s="4">
        <v>145308</v>
      </c>
    </row>
    <row r="98" spans="2:88" s="5" customFormat="1" x14ac:dyDescent="0.35">
      <c r="B98" s="5" t="s">
        <v>119</v>
      </c>
      <c r="H98" s="5">
        <f t="shared" ref="H98:O98" si="58">H99-H97</f>
        <v>6670</v>
      </c>
      <c r="I98" s="5">
        <f t="shared" si="58"/>
        <v>11786</v>
      </c>
      <c r="J98" s="5">
        <f t="shared" si="58"/>
        <v>19312</v>
      </c>
      <c r="K98" s="5">
        <f t="shared" si="58"/>
        <v>39793</v>
      </c>
      <c r="L98" s="5">
        <f t="shared" si="58"/>
        <v>56844</v>
      </c>
      <c r="M98" s="5">
        <f t="shared" si="58"/>
        <v>90514</v>
      </c>
      <c r="N98" s="5">
        <f t="shared" si="58"/>
        <v>114431</v>
      </c>
      <c r="O98" s="5">
        <f t="shared" si="58"/>
        <v>140458</v>
      </c>
      <c r="P98" s="5">
        <v>142649</v>
      </c>
      <c r="Q98" s="5">
        <v>142310</v>
      </c>
      <c r="R98" s="5">
        <v>153157</v>
      </c>
      <c r="S98" s="5">
        <v>162431</v>
      </c>
      <c r="T98" s="5">
        <v>148101</v>
      </c>
      <c r="U98" s="5">
        <v>145129</v>
      </c>
    </row>
    <row r="99" spans="2:88" s="19" customFormat="1" x14ac:dyDescent="0.35">
      <c r="B99" s="19" t="s">
        <v>80</v>
      </c>
      <c r="D99" s="19">
        <f>SUM(D97:D98)</f>
        <v>0</v>
      </c>
      <c r="E99" s="19">
        <f t="shared" ref="E99:S99" si="59">SUM(E97:E98)</f>
        <v>0</v>
      </c>
      <c r="F99" s="19">
        <f t="shared" si="59"/>
        <v>0</v>
      </c>
      <c r="G99" s="19">
        <f t="shared" si="59"/>
        <v>0</v>
      </c>
      <c r="H99" s="19">
        <v>27392</v>
      </c>
      <c r="I99" s="19">
        <v>39756</v>
      </c>
      <c r="J99" s="19">
        <v>57854</v>
      </c>
      <c r="K99" s="19">
        <v>83451</v>
      </c>
      <c r="L99" s="19">
        <v>120292</v>
      </c>
      <c r="M99" s="19">
        <v>171124</v>
      </c>
      <c r="N99" s="19">
        <v>193437</v>
      </c>
      <c r="O99" s="19">
        <v>241272</v>
      </c>
      <c r="P99" s="19">
        <f t="shared" si="59"/>
        <v>258578</v>
      </c>
      <c r="Q99" s="19">
        <f t="shared" si="59"/>
        <v>248028</v>
      </c>
      <c r="R99" s="19">
        <f t="shared" si="59"/>
        <v>258549</v>
      </c>
      <c r="S99" s="19">
        <f t="shared" si="59"/>
        <v>287912</v>
      </c>
      <c r="T99" s="19">
        <f>SUM(T97:T98)</f>
        <v>302083</v>
      </c>
      <c r="U99" s="19">
        <f>SUM(U97:U98)</f>
        <v>290437</v>
      </c>
    </row>
    <row r="100" spans="2:88" s="12" customFormat="1" x14ac:dyDescent="0.35">
      <c r="B100" s="12" t="s">
        <v>57</v>
      </c>
      <c r="D100" s="12">
        <f>D96-D99</f>
        <v>0</v>
      </c>
      <c r="E100" s="12">
        <f t="shared" ref="E100:U100" si="60">E96-E99</f>
        <v>0</v>
      </c>
      <c r="F100" s="12">
        <f t="shared" si="60"/>
        <v>0</v>
      </c>
      <c r="G100" s="12">
        <f t="shared" si="60"/>
        <v>0</v>
      </c>
      <c r="H100" s="12">
        <f t="shared" si="60"/>
        <v>47791</v>
      </c>
      <c r="I100" s="12">
        <f t="shared" si="60"/>
        <v>76615</v>
      </c>
      <c r="J100" s="12">
        <f t="shared" si="60"/>
        <v>118210</v>
      </c>
      <c r="K100" s="12">
        <f t="shared" si="60"/>
        <v>123549</v>
      </c>
      <c r="L100" s="12">
        <f t="shared" si="60"/>
        <v>111547</v>
      </c>
      <c r="M100" s="12">
        <f t="shared" si="60"/>
        <v>119355</v>
      </c>
      <c r="N100" s="12">
        <f t="shared" si="60"/>
        <v>128249</v>
      </c>
      <c r="O100" s="12">
        <f t="shared" si="60"/>
        <v>134047</v>
      </c>
      <c r="P100" s="12">
        <f t="shared" si="60"/>
        <v>107147</v>
      </c>
      <c r="Q100" s="12">
        <f t="shared" si="60"/>
        <v>90488</v>
      </c>
      <c r="R100" s="12">
        <f t="shared" si="60"/>
        <v>65339</v>
      </c>
      <c r="S100" s="12">
        <f t="shared" si="60"/>
        <v>63090</v>
      </c>
      <c r="T100" s="12">
        <f t="shared" si="60"/>
        <v>50672</v>
      </c>
      <c r="U100" s="12">
        <f t="shared" si="60"/>
        <v>62146</v>
      </c>
    </row>
    <row r="101" spans="2:88" s="15" customFormat="1" x14ac:dyDescent="0.35">
      <c r="B101" s="12" t="s">
        <v>85</v>
      </c>
      <c r="D101" s="12">
        <f>D99+D100</f>
        <v>0</v>
      </c>
      <c r="E101" s="12">
        <f t="shared" ref="E101:T101" si="61">E99+E100</f>
        <v>0</v>
      </c>
      <c r="F101" s="12">
        <f t="shared" si="61"/>
        <v>0</v>
      </c>
      <c r="G101" s="12">
        <f t="shared" si="61"/>
        <v>0</v>
      </c>
      <c r="H101" s="12">
        <f t="shared" si="61"/>
        <v>75183</v>
      </c>
      <c r="I101" s="12">
        <f t="shared" si="61"/>
        <v>116371</v>
      </c>
      <c r="J101" s="12">
        <f t="shared" si="61"/>
        <v>176064</v>
      </c>
      <c r="K101" s="12">
        <f t="shared" si="61"/>
        <v>207000</v>
      </c>
      <c r="L101" s="12">
        <f t="shared" si="61"/>
        <v>231839</v>
      </c>
      <c r="M101" s="12">
        <f t="shared" si="61"/>
        <v>290479</v>
      </c>
      <c r="N101" s="12">
        <f t="shared" si="61"/>
        <v>321686</v>
      </c>
      <c r="O101" s="12">
        <f t="shared" si="61"/>
        <v>375319</v>
      </c>
      <c r="P101" s="12">
        <f t="shared" si="61"/>
        <v>365725</v>
      </c>
      <c r="Q101" s="12">
        <f t="shared" si="61"/>
        <v>338516</v>
      </c>
      <c r="R101" s="12">
        <f t="shared" si="61"/>
        <v>323888</v>
      </c>
      <c r="S101" s="12">
        <f t="shared" si="61"/>
        <v>351002</v>
      </c>
      <c r="T101" s="12">
        <f t="shared" si="61"/>
        <v>352755</v>
      </c>
      <c r="U101" s="12">
        <f>U99+U100</f>
        <v>352583</v>
      </c>
    </row>
    <row r="102" spans="2:88" s="15" customFormat="1" x14ac:dyDescent="0.35">
      <c r="B102" s="12"/>
      <c r="D102" s="12"/>
      <c r="E102" s="12"/>
      <c r="F102" s="12"/>
      <c r="G102" s="12"/>
      <c r="H102" s="12"/>
      <c r="I102" s="12"/>
      <c r="J102" s="12"/>
      <c r="K102" s="12"/>
      <c r="L102" s="12"/>
      <c r="M102" s="12"/>
      <c r="N102" s="12"/>
      <c r="O102" s="12"/>
      <c r="P102" s="12"/>
      <c r="Q102" s="12"/>
      <c r="R102" s="12"/>
      <c r="S102" s="12"/>
      <c r="T102" s="12"/>
      <c r="U102" s="12"/>
    </row>
    <row r="103" spans="2:88" s="15" customFormat="1" x14ac:dyDescent="0.35">
      <c r="B103" s="12"/>
      <c r="D103" s="12"/>
      <c r="E103" s="12"/>
      <c r="F103" s="12"/>
      <c r="G103" s="12"/>
      <c r="H103" s="12"/>
      <c r="I103" s="12"/>
      <c r="J103" s="12"/>
      <c r="K103" s="12"/>
      <c r="L103" s="12"/>
      <c r="M103" s="12"/>
      <c r="N103" s="12"/>
      <c r="O103" s="12"/>
      <c r="P103" s="12"/>
      <c r="Q103" s="12"/>
      <c r="R103" s="12"/>
      <c r="S103" s="12"/>
      <c r="T103" s="12"/>
      <c r="U103" s="12"/>
    </row>
    <row r="104" spans="2:88" s="15" customFormat="1" x14ac:dyDescent="0.35">
      <c r="B104" s="12"/>
      <c r="D104" s="12"/>
      <c r="E104" s="12"/>
      <c r="F104" s="12"/>
      <c r="G104" s="12"/>
      <c r="H104" s="12"/>
      <c r="I104" s="12"/>
      <c r="J104" s="12"/>
      <c r="K104" s="12"/>
      <c r="L104" s="12"/>
      <c r="M104" s="12"/>
      <c r="N104" s="12"/>
      <c r="O104" s="12"/>
      <c r="P104" s="12"/>
      <c r="Q104" s="12"/>
      <c r="R104" s="12"/>
      <c r="S104" s="12"/>
      <c r="T104" s="12"/>
      <c r="U104" s="12"/>
    </row>
    <row r="105" spans="2:88" s="15" customFormat="1" x14ac:dyDescent="0.35">
      <c r="B105" s="12"/>
      <c r="D105" s="12"/>
      <c r="E105" s="12"/>
      <c r="F105" s="12"/>
      <c r="G105" s="12"/>
      <c r="H105" s="12"/>
      <c r="I105" s="12"/>
      <c r="J105" s="12"/>
      <c r="K105" s="12"/>
      <c r="L105" s="12"/>
      <c r="M105" s="12"/>
      <c r="N105" s="12"/>
      <c r="O105" s="12"/>
      <c r="P105" s="12"/>
      <c r="Q105" s="12"/>
      <c r="R105" s="12"/>
      <c r="S105" s="12"/>
      <c r="T105" s="12"/>
      <c r="U105" s="12"/>
    </row>
    <row r="106" spans="2:88" s="15" customFormat="1" x14ac:dyDescent="0.35">
      <c r="B106" s="12"/>
      <c r="D106" s="12"/>
      <c r="E106" s="12"/>
      <c r="F106" s="12"/>
      <c r="G106" s="12"/>
      <c r="H106" s="12"/>
      <c r="I106" s="12"/>
      <c r="J106" s="12"/>
      <c r="K106" s="12"/>
      <c r="L106" s="12"/>
      <c r="M106" s="12"/>
      <c r="N106" s="12"/>
      <c r="O106" s="12"/>
      <c r="P106" s="12"/>
      <c r="Q106" s="12"/>
      <c r="R106" s="12"/>
      <c r="S106" s="12"/>
      <c r="T106" s="12"/>
      <c r="U106" s="12"/>
    </row>
    <row r="107" spans="2:88" s="1" customFormat="1" x14ac:dyDescent="0.35">
      <c r="B107" s="1" t="s">
        <v>115</v>
      </c>
    </row>
    <row r="108" spans="2:88" s="4" customFormat="1" x14ac:dyDescent="0.35">
      <c r="B108" s="4" t="s">
        <v>116</v>
      </c>
      <c r="G108" s="4">
        <v>10159</v>
      </c>
      <c r="H108" s="4">
        <v>18595</v>
      </c>
      <c r="I108" s="4">
        <v>37529</v>
      </c>
      <c r="J108" s="4">
        <v>50856</v>
      </c>
      <c r="K108" s="4">
        <v>53666</v>
      </c>
      <c r="L108" s="4">
        <v>59713</v>
      </c>
      <c r="M108" s="4">
        <v>81266</v>
      </c>
      <c r="N108" s="4">
        <v>65824</v>
      </c>
      <c r="O108" s="4">
        <v>64225</v>
      </c>
      <c r="P108" s="4">
        <v>77434</v>
      </c>
      <c r="Q108" s="4">
        <v>69391</v>
      </c>
      <c r="R108" s="4">
        <v>80674</v>
      </c>
      <c r="S108" s="4">
        <v>104038</v>
      </c>
      <c r="T108" s="4">
        <v>122151</v>
      </c>
      <c r="U108" s="4">
        <v>110543</v>
      </c>
      <c r="V108" s="4">
        <f>U108*(1+V120)</f>
        <v>135967.88999999998</v>
      </c>
      <c r="W108" s="4">
        <f t="shared" ref="W108:AB108" si="62">V108*(1+W120)</f>
        <v>167240.50469999999</v>
      </c>
      <c r="X108" s="4">
        <f t="shared" si="62"/>
        <v>205705.82078099999</v>
      </c>
      <c r="Y108" s="4">
        <f t="shared" si="62"/>
        <v>253018.15956062998</v>
      </c>
      <c r="Z108" s="4">
        <f t="shared" si="62"/>
        <v>311212.33625957486</v>
      </c>
      <c r="AA108" s="4">
        <f t="shared" si="62"/>
        <v>382791.1735992771</v>
      </c>
      <c r="AB108" s="4">
        <f t="shared" si="62"/>
        <v>470833.14352711081</v>
      </c>
    </row>
    <row r="109" spans="2:88" s="5" customFormat="1" x14ac:dyDescent="0.35">
      <c r="B109" s="5" t="s">
        <v>89</v>
      </c>
      <c r="G109" s="5">
        <v>-1144</v>
      </c>
      <c r="H109" s="5">
        <v>-2005</v>
      </c>
      <c r="I109" s="5">
        <v>-4260</v>
      </c>
      <c r="J109" s="5">
        <v>-8295</v>
      </c>
      <c r="K109" s="5">
        <v>-8165</v>
      </c>
      <c r="L109" s="5">
        <v>-9571</v>
      </c>
      <c r="M109" s="5">
        <v>-11247</v>
      </c>
      <c r="N109" s="5">
        <v>-12734</v>
      </c>
      <c r="O109" s="5">
        <v>-12451</v>
      </c>
      <c r="P109" s="5">
        <v>-13313</v>
      </c>
      <c r="Q109" s="5">
        <v>-10495</v>
      </c>
      <c r="R109" s="5">
        <v>-7309</v>
      </c>
      <c r="S109" s="5">
        <v>-11085</v>
      </c>
      <c r="T109" s="5">
        <v>-10708</v>
      </c>
      <c r="U109" s="5">
        <v>-10959</v>
      </c>
    </row>
    <row r="110" spans="2:88" s="4" customFormat="1" x14ac:dyDescent="0.35">
      <c r="B110" s="4" t="s">
        <v>90</v>
      </c>
      <c r="D110" s="4">
        <f>SUM(D108:D109)</f>
        <v>0</v>
      </c>
      <c r="E110" s="4">
        <f t="shared" ref="E110:R110" si="63">SUM(E108:E109)</f>
        <v>0</v>
      </c>
      <c r="F110" s="4">
        <f t="shared" si="63"/>
        <v>0</v>
      </c>
      <c r="G110" s="4">
        <f t="shared" si="63"/>
        <v>9015</v>
      </c>
      <c r="H110" s="4">
        <f t="shared" si="63"/>
        <v>16590</v>
      </c>
      <c r="I110" s="4">
        <f t="shared" si="63"/>
        <v>33269</v>
      </c>
      <c r="J110" s="4">
        <f t="shared" si="63"/>
        <v>42561</v>
      </c>
      <c r="K110" s="4">
        <f t="shared" si="63"/>
        <v>45501</v>
      </c>
      <c r="L110" s="4">
        <f t="shared" si="63"/>
        <v>50142</v>
      </c>
      <c r="M110" s="4">
        <f t="shared" si="63"/>
        <v>70019</v>
      </c>
      <c r="N110" s="4">
        <f t="shared" si="63"/>
        <v>53090</v>
      </c>
      <c r="O110" s="4">
        <f t="shared" si="63"/>
        <v>51774</v>
      </c>
      <c r="P110" s="4">
        <f t="shared" si="63"/>
        <v>64121</v>
      </c>
      <c r="Q110" s="4">
        <f t="shared" si="63"/>
        <v>58896</v>
      </c>
      <c r="R110" s="4">
        <f t="shared" si="63"/>
        <v>73365</v>
      </c>
      <c r="S110" s="4">
        <f>SUM(S108:S109)</f>
        <v>92953</v>
      </c>
      <c r="T110" s="4">
        <f t="shared" ref="T110:U110" si="64">SUM(T108:T109)</f>
        <v>111443</v>
      </c>
      <c r="U110" s="4">
        <f t="shared" si="64"/>
        <v>99584</v>
      </c>
      <c r="V110" s="4">
        <f>V108*V126</f>
        <v>115572.70649999999</v>
      </c>
      <c r="W110" s="4">
        <f t="shared" ref="W110:AB110" si="65">W108*W126</f>
        <v>142154.42899499999</v>
      </c>
      <c r="X110" s="4">
        <f t="shared" si="65"/>
        <v>174849.94766384998</v>
      </c>
      <c r="Y110" s="4">
        <f t="shared" si="65"/>
        <v>215065.43562653547</v>
      </c>
      <c r="Z110" s="4">
        <f t="shared" si="65"/>
        <v>264530.4858206386</v>
      </c>
      <c r="AA110" s="4">
        <f t="shared" si="65"/>
        <v>325372.49755938555</v>
      </c>
      <c r="AB110" s="4">
        <f t="shared" si="65"/>
        <v>400208.17199804418</v>
      </c>
      <c r="AC110" s="4">
        <f>AB110*(1+$AD$146)</f>
        <v>404210.25371802464</v>
      </c>
      <c r="AD110" s="4">
        <f t="shared" ref="AD110:CJ110" si="66">AC110*(1+$AD$146)</f>
        <v>408252.35625520488</v>
      </c>
      <c r="AE110" s="4">
        <f t="shared" si="66"/>
        <v>412334.87981775694</v>
      </c>
      <c r="AF110" s="4">
        <f t="shared" si="66"/>
        <v>416458.22861593449</v>
      </c>
      <c r="AG110" s="4">
        <f t="shared" si="66"/>
        <v>420622.81090209383</v>
      </c>
      <c r="AH110" s="4">
        <f t="shared" si="66"/>
        <v>424829.03901111474</v>
      </c>
      <c r="AI110" s="4">
        <f t="shared" si="66"/>
        <v>429077.3294012259</v>
      </c>
      <c r="AJ110" s="4">
        <f t="shared" si="66"/>
        <v>433368.10269523814</v>
      </c>
      <c r="AK110" s="4">
        <f t="shared" si="66"/>
        <v>437701.78372219054</v>
      </c>
      <c r="AL110" s="4">
        <f t="shared" si="66"/>
        <v>442078.80155941244</v>
      </c>
      <c r="AM110" s="4">
        <f t="shared" si="66"/>
        <v>446499.58957500657</v>
      </c>
      <c r="AN110" s="4">
        <f t="shared" si="66"/>
        <v>450964.58547075663</v>
      </c>
      <c r="AO110" s="4">
        <f t="shared" si="66"/>
        <v>455474.23132546421</v>
      </c>
      <c r="AP110" s="4">
        <f t="shared" si="66"/>
        <v>460028.97363871883</v>
      </c>
      <c r="AQ110" s="4">
        <f t="shared" si="66"/>
        <v>464629.26337510603</v>
      </c>
      <c r="AR110" s="4">
        <f t="shared" si="66"/>
        <v>469275.55600885709</v>
      </c>
      <c r="AS110" s="4">
        <f t="shared" si="66"/>
        <v>473968.31156894565</v>
      </c>
      <c r="AT110" s="4">
        <f t="shared" si="66"/>
        <v>478707.99468463508</v>
      </c>
      <c r="AU110" s="4">
        <f t="shared" si="66"/>
        <v>483495.07463148143</v>
      </c>
      <c r="AV110" s="4">
        <f t="shared" si="66"/>
        <v>488330.02537779626</v>
      </c>
      <c r="AW110" s="4">
        <f t="shared" si="66"/>
        <v>493213.3256315742</v>
      </c>
      <c r="AX110" s="4">
        <f t="shared" si="66"/>
        <v>498145.45888788992</v>
      </c>
      <c r="AY110" s="4">
        <f t="shared" si="66"/>
        <v>503126.91347676882</v>
      </c>
      <c r="AZ110" s="4">
        <f t="shared" si="66"/>
        <v>508158.18261153653</v>
      </c>
      <c r="BA110" s="4">
        <f t="shared" si="66"/>
        <v>513239.7644376519</v>
      </c>
      <c r="BB110" s="4">
        <f t="shared" si="66"/>
        <v>518372.1620820284</v>
      </c>
      <c r="BC110" s="4">
        <f t="shared" si="66"/>
        <v>523555.88370284869</v>
      </c>
      <c r="BD110" s="4">
        <f t="shared" si="66"/>
        <v>528791.44253987714</v>
      </c>
      <c r="BE110" s="4">
        <f t="shared" si="66"/>
        <v>534079.35696527595</v>
      </c>
      <c r="BF110" s="4">
        <f t="shared" si="66"/>
        <v>539420.15053492866</v>
      </c>
      <c r="BG110" s="4">
        <f t="shared" si="66"/>
        <v>544814.35204027791</v>
      </c>
      <c r="BH110" s="4">
        <f t="shared" si="66"/>
        <v>550262.49556068075</v>
      </c>
      <c r="BI110" s="4">
        <f t="shared" si="66"/>
        <v>555765.12051628751</v>
      </c>
      <c r="BJ110" s="4">
        <f t="shared" si="66"/>
        <v>561322.77172145038</v>
      </c>
      <c r="BK110" s="4">
        <f t="shared" si="66"/>
        <v>566935.99943866488</v>
      </c>
      <c r="BL110" s="4">
        <f t="shared" si="66"/>
        <v>572605.35943305155</v>
      </c>
      <c r="BM110" s="4">
        <f t="shared" si="66"/>
        <v>578331.41302738211</v>
      </c>
      <c r="BN110" s="4">
        <f t="shared" si="66"/>
        <v>584114.72715765599</v>
      </c>
      <c r="BO110" s="4">
        <f t="shared" si="66"/>
        <v>589955.87442923256</v>
      </c>
      <c r="BP110" s="4">
        <f t="shared" si="66"/>
        <v>595855.43317352491</v>
      </c>
      <c r="BQ110" s="4">
        <f t="shared" si="66"/>
        <v>601813.98750526016</v>
      </c>
      <c r="BR110" s="4">
        <f t="shared" si="66"/>
        <v>607832.12738031277</v>
      </c>
      <c r="BS110" s="4">
        <f t="shared" si="66"/>
        <v>613910.4486541159</v>
      </c>
      <c r="BT110" s="4">
        <f t="shared" si="66"/>
        <v>620049.55314065702</v>
      </c>
      <c r="BU110" s="4">
        <f t="shared" si="66"/>
        <v>626250.04867206363</v>
      </c>
      <c r="BV110" s="4">
        <f t="shared" si="66"/>
        <v>632512.54915878421</v>
      </c>
      <c r="BW110" s="4">
        <f t="shared" si="66"/>
        <v>638837.67465037201</v>
      </c>
      <c r="BX110" s="4">
        <f t="shared" si="66"/>
        <v>645226.05139687576</v>
      </c>
      <c r="BY110" s="4">
        <f t="shared" si="66"/>
        <v>651678.31191084452</v>
      </c>
      <c r="BZ110" s="4">
        <f t="shared" si="66"/>
        <v>658195.09502995294</v>
      </c>
      <c r="CA110" s="4">
        <f t="shared" si="66"/>
        <v>664777.04598025244</v>
      </c>
      <c r="CB110" s="4">
        <f t="shared" si="66"/>
        <v>671424.81644005503</v>
      </c>
      <c r="CC110" s="4">
        <f t="shared" si="66"/>
        <v>678139.06460445561</v>
      </c>
      <c r="CD110" s="4">
        <f t="shared" si="66"/>
        <v>684920.45525050012</v>
      </c>
      <c r="CE110" s="4">
        <f t="shared" si="66"/>
        <v>691769.65980300517</v>
      </c>
      <c r="CF110" s="4">
        <f t="shared" si="66"/>
        <v>698687.35640103521</v>
      </c>
      <c r="CG110" s="4">
        <f t="shared" si="66"/>
        <v>705674.22996504558</v>
      </c>
      <c r="CH110" s="4">
        <f t="shared" si="66"/>
        <v>712730.97226469603</v>
      </c>
      <c r="CI110" s="4">
        <f t="shared" si="66"/>
        <v>719858.28198734298</v>
      </c>
      <c r="CJ110" s="4">
        <f t="shared" si="66"/>
        <v>727056.86480721645</v>
      </c>
    </row>
    <row r="111" spans="2:88" s="4" customFormat="1" x14ac:dyDescent="0.35"/>
    <row r="112" spans="2:88" s="4" customFormat="1" x14ac:dyDescent="0.35">
      <c r="B112" s="4" t="s">
        <v>92</v>
      </c>
      <c r="G112" s="4">
        <v>710</v>
      </c>
      <c r="H112" s="4">
        <v>879</v>
      </c>
      <c r="I112" s="4">
        <v>1168</v>
      </c>
      <c r="J112" s="4">
        <v>1740</v>
      </c>
      <c r="K112" s="4">
        <v>2253</v>
      </c>
      <c r="L112" s="4">
        <v>2863</v>
      </c>
      <c r="M112" s="4">
        <v>3586</v>
      </c>
      <c r="N112" s="4">
        <v>4210</v>
      </c>
      <c r="O112" s="4">
        <v>4840</v>
      </c>
      <c r="P112" s="4">
        <v>5340</v>
      </c>
      <c r="Q112" s="4">
        <v>6068</v>
      </c>
      <c r="R112" s="4">
        <v>6829</v>
      </c>
      <c r="S112" s="4">
        <v>7906</v>
      </c>
      <c r="T112" s="4">
        <v>9038</v>
      </c>
      <c r="U112" s="4">
        <v>10833</v>
      </c>
    </row>
    <row r="113" spans="2:32" s="4" customFormat="1" x14ac:dyDescent="0.35">
      <c r="B113" s="4" t="s">
        <v>91</v>
      </c>
      <c r="G113" s="4">
        <v>475</v>
      </c>
      <c r="H113" s="4">
        <v>912</v>
      </c>
      <c r="I113" s="4">
        <v>831</v>
      </c>
      <c r="J113" s="4">
        <v>665</v>
      </c>
      <c r="K113" s="4">
        <v>530</v>
      </c>
      <c r="L113" s="4">
        <v>730</v>
      </c>
      <c r="M113" s="4">
        <v>543</v>
      </c>
      <c r="N113" s="4">
        <v>495</v>
      </c>
      <c r="O113" s="4">
        <v>255</v>
      </c>
      <c r="P113" s="4">
        <v>669</v>
      </c>
      <c r="Q113" s="4">
        <v>781</v>
      </c>
      <c r="R113" s="4">
        <v>0</v>
      </c>
      <c r="S113" s="4">
        <v>0</v>
      </c>
      <c r="T113" s="4">
        <v>0</v>
      </c>
      <c r="U113" s="4">
        <v>0</v>
      </c>
    </row>
    <row r="114" spans="2:32" s="4" customFormat="1" x14ac:dyDescent="0.35">
      <c r="B114" s="4" t="s">
        <v>93</v>
      </c>
      <c r="G114" s="4">
        <v>0</v>
      </c>
      <c r="H114" s="4">
        <v>0</v>
      </c>
      <c r="I114" s="4">
        <v>0</v>
      </c>
      <c r="J114" s="4">
        <v>0</v>
      </c>
      <c r="K114" s="4">
        <v>-22860</v>
      </c>
      <c r="L114" s="4">
        <v>-45000</v>
      </c>
      <c r="M114" s="4">
        <v>-35253</v>
      </c>
      <c r="N114" s="4">
        <v>-29722</v>
      </c>
      <c r="O114" s="4">
        <v>-32900</v>
      </c>
      <c r="P114" s="4">
        <v>-72738</v>
      </c>
      <c r="Q114" s="4">
        <v>-66897</v>
      </c>
      <c r="R114" s="4">
        <v>-72358</v>
      </c>
      <c r="S114" s="4">
        <v>-85971</v>
      </c>
      <c r="T114" s="4">
        <v>-89402</v>
      </c>
      <c r="U114" s="4">
        <v>-77550</v>
      </c>
    </row>
    <row r="115" spans="2:32" s="4" customFormat="1" x14ac:dyDescent="0.35">
      <c r="B115" s="4" t="s">
        <v>94</v>
      </c>
      <c r="G115" s="4">
        <v>0</v>
      </c>
      <c r="H115" s="4">
        <v>0</v>
      </c>
      <c r="I115" s="4">
        <v>0</v>
      </c>
      <c r="J115" s="4">
        <v>-2488</v>
      </c>
      <c r="K115" s="4">
        <v>-10564</v>
      </c>
      <c r="L115" s="4">
        <v>-11126</v>
      </c>
      <c r="M115" s="4">
        <v>-11561</v>
      </c>
      <c r="N115" s="4">
        <v>-12150</v>
      </c>
      <c r="O115" s="4">
        <v>-12769</v>
      </c>
      <c r="P115" s="4">
        <v>-13712</v>
      </c>
      <c r="Q115" s="4">
        <v>-14119</v>
      </c>
      <c r="R115" s="4">
        <v>-14081</v>
      </c>
      <c r="S115" s="4">
        <v>-14467</v>
      </c>
      <c r="T115" s="4">
        <v>-14841</v>
      </c>
      <c r="U115" s="4">
        <v>-15025</v>
      </c>
    </row>
    <row r="116" spans="2:32" s="18" customFormat="1" x14ac:dyDescent="0.35">
      <c r="B116" s="18" t="s">
        <v>117</v>
      </c>
      <c r="D116" s="18" t="e">
        <f t="shared" ref="D116:U116" si="67">ABS(D115)/D68</f>
        <v>#DIV/0!</v>
      </c>
      <c r="E116" s="18" t="e">
        <f t="shared" si="67"/>
        <v>#DIV/0!</v>
      </c>
      <c r="F116" s="18" t="e">
        <f t="shared" si="67"/>
        <v>#DIV/0!</v>
      </c>
      <c r="G116" s="18">
        <f t="shared" si="67"/>
        <v>0</v>
      </c>
      <c r="H116" s="18">
        <f t="shared" si="67"/>
        <v>0</v>
      </c>
      <c r="I116" s="18">
        <f t="shared" si="67"/>
        <v>0</v>
      </c>
      <c r="J116" s="18">
        <f t="shared" si="67"/>
        <v>9.5052879659081088E-2</v>
      </c>
      <c r="K116" s="18">
        <f t="shared" si="67"/>
        <v>0.40773035761703919</v>
      </c>
      <c r="L116" s="18">
        <f t="shared" si="67"/>
        <v>0.45706467691122543</v>
      </c>
      <c r="M116" s="18">
        <f t="shared" si="67"/>
        <v>0.50235329554364261</v>
      </c>
      <c r="N116" s="18">
        <f t="shared" si="67"/>
        <v>0.55521841332743538</v>
      </c>
      <c r="O116" s="18">
        <f t="shared" si="67"/>
        <v>0.61186542621561346</v>
      </c>
      <c r="P116" s="18">
        <f t="shared" si="67"/>
        <v>0.69177380449560144</v>
      </c>
      <c r="Q116" s="18">
        <f t="shared" si="67"/>
        <v>0.76437351364297634</v>
      </c>
      <c r="R116" s="18">
        <f t="shared" si="67"/>
        <v>0.81149147072383587</v>
      </c>
      <c r="S116" s="18">
        <f t="shared" si="67"/>
        <v>0.86622144708498849</v>
      </c>
      <c r="T116" s="18">
        <f t="shared" si="67"/>
        <v>0.91520929099307891</v>
      </c>
      <c r="U116" s="18">
        <f t="shared" si="67"/>
        <v>0.95431780694782742</v>
      </c>
    </row>
    <row r="117" spans="2:32" s="18" customFormat="1" x14ac:dyDescent="0.35"/>
    <row r="118" spans="2:32" s="18" customFormat="1" x14ac:dyDescent="0.35"/>
    <row r="119" spans="2:32" s="22" customFormat="1" x14ac:dyDescent="0.35">
      <c r="B119" s="22" t="s">
        <v>122</v>
      </c>
    </row>
    <row r="120" spans="2:32" s="8" customFormat="1" x14ac:dyDescent="0.35">
      <c r="B120" s="8" t="s">
        <v>88</v>
      </c>
      <c r="D120" s="8" t="e">
        <f>D108/C108-1</f>
        <v>#DIV/0!</v>
      </c>
      <c r="E120" s="8" t="e">
        <f t="shared" ref="E120:T120" si="68">E108/D108-1</f>
        <v>#DIV/0!</v>
      </c>
      <c r="F120" s="8" t="e">
        <f t="shared" si="68"/>
        <v>#DIV/0!</v>
      </c>
      <c r="G120" s="8" t="e">
        <f t="shared" si="68"/>
        <v>#DIV/0!</v>
      </c>
      <c r="H120" s="8">
        <f t="shared" si="68"/>
        <v>0.8303966925878532</v>
      </c>
      <c r="I120" s="8">
        <f t="shared" si="68"/>
        <v>1.0182307071793493</v>
      </c>
      <c r="J120" s="8">
        <f t="shared" si="68"/>
        <v>0.35511204668389773</v>
      </c>
      <c r="K120" s="8">
        <f t="shared" si="68"/>
        <v>5.5254050652823627E-2</v>
      </c>
      <c r="L120" s="8">
        <f t="shared" si="68"/>
        <v>0.11267841836544545</v>
      </c>
      <c r="M120" s="8">
        <f t="shared" si="68"/>
        <v>0.36094317820240152</v>
      </c>
      <c r="N120" s="8">
        <f t="shared" si="68"/>
        <v>-0.19001796569290974</v>
      </c>
      <c r="O120" s="8">
        <f t="shared" si="68"/>
        <v>-2.4292051531356385E-2</v>
      </c>
      <c r="P120" s="8">
        <f t="shared" si="68"/>
        <v>0.20566757493188015</v>
      </c>
      <c r="Q120" s="8">
        <f t="shared" si="68"/>
        <v>-0.10386910142831318</v>
      </c>
      <c r="R120" s="8">
        <f t="shared" si="68"/>
        <v>0.16260033721952416</v>
      </c>
      <c r="S120" s="8">
        <f t="shared" si="68"/>
        <v>0.28961003545132269</v>
      </c>
      <c r="T120" s="8">
        <f t="shared" si="68"/>
        <v>0.17409984813241319</v>
      </c>
      <c r="U120" s="8">
        <f>U108/T108-1</f>
        <v>-9.5029921981809373E-2</v>
      </c>
      <c r="V120" s="8">
        <v>0.23</v>
      </c>
      <c r="W120" s="8">
        <v>0.23</v>
      </c>
      <c r="X120" s="8">
        <v>0.23</v>
      </c>
      <c r="Y120" s="8">
        <v>0.23</v>
      </c>
      <c r="Z120" s="8">
        <v>0.23</v>
      </c>
      <c r="AA120" s="8">
        <v>0.23</v>
      </c>
      <c r="AB120" s="8">
        <v>0.23</v>
      </c>
      <c r="AC120" s="8">
        <v>0.23</v>
      </c>
      <c r="AD120" s="8">
        <v>0.23</v>
      </c>
      <c r="AE120" s="8">
        <v>0.23</v>
      </c>
      <c r="AF120" s="8">
        <v>0.23</v>
      </c>
    </row>
    <row r="121" spans="2:32" s="8" customFormat="1" x14ac:dyDescent="0.35">
      <c r="B121" s="8" t="s">
        <v>90</v>
      </c>
      <c r="D121" s="8" t="e">
        <f>D110/C110-1</f>
        <v>#DIV/0!</v>
      </c>
      <c r="E121" s="8" t="e">
        <f t="shared" ref="E121:T121" si="69">E110/D110-1</f>
        <v>#DIV/0!</v>
      </c>
      <c r="F121" s="8" t="e">
        <f t="shared" si="69"/>
        <v>#DIV/0!</v>
      </c>
      <c r="G121" s="8" t="e">
        <f t="shared" si="69"/>
        <v>#DIV/0!</v>
      </c>
      <c r="H121" s="8">
        <f t="shared" si="69"/>
        <v>0.84026622296173037</v>
      </c>
      <c r="I121" s="8">
        <f t="shared" si="69"/>
        <v>1.0053646775165763</v>
      </c>
      <c r="J121" s="8">
        <f t="shared" si="69"/>
        <v>0.27929904716102083</v>
      </c>
      <c r="K121" s="8">
        <f t="shared" si="69"/>
        <v>6.9077324310989008E-2</v>
      </c>
      <c r="L121" s="8">
        <f t="shared" si="69"/>
        <v>0.10199775829102653</v>
      </c>
      <c r="M121" s="8">
        <f t="shared" si="69"/>
        <v>0.39641418371824022</v>
      </c>
      <c r="N121" s="8">
        <f t="shared" si="69"/>
        <v>-0.2417772318942002</v>
      </c>
      <c r="O121" s="8">
        <f t="shared" si="69"/>
        <v>-2.4788095686569922E-2</v>
      </c>
      <c r="P121" s="8">
        <f t="shared" si="69"/>
        <v>0.23847877312937005</v>
      </c>
      <c r="Q121" s="8">
        <f t="shared" si="69"/>
        <v>-8.1486564464060107E-2</v>
      </c>
      <c r="R121" s="8">
        <f t="shared" si="69"/>
        <v>0.24567033414832928</v>
      </c>
      <c r="S121" s="8">
        <f t="shared" si="69"/>
        <v>0.26699379813262447</v>
      </c>
      <c r="T121" s="8">
        <f t="shared" si="69"/>
        <v>0.19891773261755952</v>
      </c>
      <c r="U121" s="8">
        <f>U110/T110-1</f>
        <v>-0.1064131439390541</v>
      </c>
    </row>
    <row r="122" spans="2:32" s="8" customFormat="1" x14ac:dyDescent="0.35"/>
    <row r="123" spans="2:32" s="8" customFormat="1" x14ac:dyDescent="0.35"/>
    <row r="124" spans="2:32" s="8" customFormat="1" x14ac:dyDescent="0.35"/>
    <row r="125" spans="2:32" s="17" customFormat="1" x14ac:dyDescent="0.35">
      <c r="B125" s="17" t="s">
        <v>105</v>
      </c>
    </row>
    <row r="126" spans="2:32" s="8" customFormat="1" x14ac:dyDescent="0.35">
      <c r="B126" s="8" t="s">
        <v>90</v>
      </c>
      <c r="D126" s="8" t="e">
        <f>D110/D108</f>
        <v>#DIV/0!</v>
      </c>
      <c r="E126" s="8" t="e">
        <f t="shared" ref="E126:T126" si="70">E110/E108</f>
        <v>#DIV/0!</v>
      </c>
      <c r="F126" s="8" t="e">
        <f t="shared" si="70"/>
        <v>#DIV/0!</v>
      </c>
      <c r="G126" s="8">
        <f t="shared" si="70"/>
        <v>0.88739049119007773</v>
      </c>
      <c r="H126" s="8">
        <f t="shared" si="70"/>
        <v>0.89217531594514654</v>
      </c>
      <c r="I126" s="8">
        <f t="shared" si="70"/>
        <v>0.88648778278131579</v>
      </c>
      <c r="J126" s="8">
        <f t="shared" si="70"/>
        <v>0.8368924020764511</v>
      </c>
      <c r="K126" s="8">
        <f t="shared" si="70"/>
        <v>0.84785525286028396</v>
      </c>
      <c r="L126" s="8">
        <f t="shared" si="70"/>
        <v>0.83971664461675011</v>
      </c>
      <c r="M126" s="8">
        <f t="shared" si="70"/>
        <v>0.86160263824969852</v>
      </c>
      <c r="N126" s="8">
        <f t="shared" si="70"/>
        <v>0.8065447253281478</v>
      </c>
      <c r="O126" s="8">
        <f t="shared" si="70"/>
        <v>0.80613468275593614</v>
      </c>
      <c r="P126" s="8">
        <f t="shared" si="70"/>
        <v>0.82807293953560457</v>
      </c>
      <c r="Q126" s="8">
        <f t="shared" si="70"/>
        <v>0.84875560231153901</v>
      </c>
      <c r="R126" s="8">
        <f t="shared" si="70"/>
        <v>0.90940079827453701</v>
      </c>
      <c r="S126" s="8">
        <f t="shared" si="70"/>
        <v>0.89345239239508645</v>
      </c>
      <c r="T126" s="8">
        <f t="shared" si="70"/>
        <v>0.91233800787549835</v>
      </c>
      <c r="U126" s="8">
        <f>U110/U108</f>
        <v>0.90086210795798916</v>
      </c>
      <c r="V126" s="8">
        <v>0.85</v>
      </c>
      <c r="W126" s="8">
        <v>0.85</v>
      </c>
      <c r="X126" s="8">
        <v>0.85</v>
      </c>
      <c r="Y126" s="8">
        <v>0.85</v>
      </c>
      <c r="Z126" s="8">
        <v>0.85</v>
      </c>
      <c r="AA126" s="8">
        <v>0.85</v>
      </c>
      <c r="AB126" s="8">
        <v>0.85</v>
      </c>
      <c r="AC126" s="8">
        <v>0.85</v>
      </c>
      <c r="AD126" s="8">
        <v>0.85</v>
      </c>
      <c r="AE126" s="8">
        <v>0.85</v>
      </c>
      <c r="AF126" s="8">
        <v>0.85</v>
      </c>
    </row>
    <row r="127" spans="2:32" s="18" customFormat="1" x14ac:dyDescent="0.35"/>
    <row r="131" spans="29:36" x14ac:dyDescent="0.35">
      <c r="AC131" t="s">
        <v>134</v>
      </c>
    </row>
    <row r="132" spans="29:36" x14ac:dyDescent="0.35">
      <c r="AC132" s="13" t="e" vm="1">
        <v>#VALUE!</v>
      </c>
      <c r="AD132" s="13"/>
      <c r="AE132" s="13"/>
      <c r="AF132" s="13"/>
      <c r="AG132" s="13"/>
      <c r="AH132" s="13"/>
      <c r="AI132" s="13"/>
      <c r="AJ132" s="13"/>
    </row>
    <row r="133" spans="29:36" x14ac:dyDescent="0.35">
      <c r="AC133" s="13" t="s">
        <v>128</v>
      </c>
      <c r="AD133" s="8">
        <v>0.01</v>
      </c>
    </row>
    <row r="134" spans="29:36" x14ac:dyDescent="0.35">
      <c r="AC134" s="13" t="s">
        <v>129</v>
      </c>
      <c r="AD134" s="8">
        <v>0.1</v>
      </c>
    </row>
    <row r="135" spans="29:36" x14ac:dyDescent="0.35">
      <c r="AC135" s="13" t="s">
        <v>130</v>
      </c>
      <c r="AD135" s="23">
        <f>NPV(AD134,AC64:CJ64)</f>
        <v>8085751.4424666706</v>
      </c>
    </row>
    <row r="136" spans="29:36" x14ac:dyDescent="0.35">
      <c r="AC136" s="13" t="s">
        <v>131</v>
      </c>
      <c r="AD136" s="23">
        <f>AD135/U68</f>
        <v>513.56915701164894</v>
      </c>
    </row>
    <row r="137" spans="29:36" x14ac:dyDescent="0.35">
      <c r="AC137" s="13" t="s">
        <v>132</v>
      </c>
      <c r="AD137" s="21" cm="1">
        <f t="array" ref="AD137">_FV(AC132,"Price")</f>
        <v>222.08</v>
      </c>
    </row>
    <row r="138" spans="29:36" x14ac:dyDescent="0.35">
      <c r="AC138" s="13"/>
    </row>
    <row r="139" spans="29:36" x14ac:dyDescent="0.35">
      <c r="AC139" s="13"/>
    </row>
    <row r="140" spans="29:36" x14ac:dyDescent="0.35">
      <c r="AC140" s="13"/>
    </row>
    <row r="144" spans="29:36" x14ac:dyDescent="0.35">
      <c r="AC144" t="s">
        <v>133</v>
      </c>
    </row>
    <row r="145" spans="15:36" x14ac:dyDescent="0.35">
      <c r="AC145" s="13" t="e" vm="1">
        <v>#VALUE!</v>
      </c>
      <c r="AD145" s="13"/>
      <c r="AE145" s="13"/>
      <c r="AF145" s="13"/>
      <c r="AG145" s="13"/>
      <c r="AH145" s="13"/>
      <c r="AI145" s="13"/>
      <c r="AJ145" s="13"/>
    </row>
    <row r="146" spans="15:36" x14ac:dyDescent="0.35">
      <c r="AC146" s="13" t="s">
        <v>128</v>
      </c>
      <c r="AD146" s="8">
        <v>0.01</v>
      </c>
    </row>
    <row r="147" spans="15:36" x14ac:dyDescent="0.35">
      <c r="AC147" s="13" t="s">
        <v>129</v>
      </c>
      <c r="AD147" s="8">
        <v>0.1</v>
      </c>
    </row>
    <row r="148" spans="15:36" x14ac:dyDescent="0.35">
      <c r="O148" s="20"/>
      <c r="P148" s="20"/>
      <c r="AC148" s="13" t="s">
        <v>130</v>
      </c>
      <c r="AD148" s="23">
        <f>NPV(AD147,AC110:CJ110)</f>
        <v>4464428.0439050784</v>
      </c>
    </row>
    <row r="149" spans="15:36" x14ac:dyDescent="0.35">
      <c r="AC149" s="13" t="s">
        <v>131</v>
      </c>
      <c r="AD149" s="23">
        <f>AD148/$U$68</f>
        <v>283.55961265463384</v>
      </c>
    </row>
    <row r="150" spans="15:36" x14ac:dyDescent="0.35">
      <c r="AC150" s="13" t="s">
        <v>132</v>
      </c>
      <c r="AD150" s="21" cm="1">
        <f t="array" ref="AD150">_FV(AC145,"Price")</f>
        <v>222.08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Info</vt:lpstr>
      <vt:lpstr>Model</vt:lpstr>
      <vt:lpstr>New Model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William Kruta</cp:lastModifiedBy>
  <dcterms:created xsi:type="dcterms:W3CDTF">2023-03-16T10:55:35Z</dcterms:created>
  <dcterms:modified xsi:type="dcterms:W3CDTF">2024-07-31T21:14:42Z</dcterms:modified>
</cp:coreProperties>
</file>