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534a1defcf7f9d1a/Company Models CloudSave/IRDM/"/>
    </mc:Choice>
  </mc:AlternateContent>
  <xr:revisionPtr revIDLastSave="451" documentId="8_{4D1DCFE5-89B6-48DC-B702-81CA13C4994A}" xr6:coauthVersionLast="47" xr6:coauthVersionMax="47" xr10:uidLastSave="{BCE16542-CCA1-456D-9B7C-7ACDA69E4B32}"/>
  <bookViews>
    <workbookView xWindow="0" yWindow="0" windowWidth="19200" windowHeight="21600" activeTab="2" xr2:uid="{B938F436-7412-4197-88E3-B59E4C4DD5E7}"/>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 i="1" l="1"/>
  <c r="AP1" i="1"/>
  <c r="AQ1" i="1" s="1"/>
  <c r="AR1" i="1" s="1"/>
  <c r="AS1" i="1" s="1"/>
  <c r="AT1" i="1" s="1"/>
  <c r="AU1" i="1" s="1"/>
  <c r="AV1" i="1" s="1"/>
  <c r="AW1" i="1" s="1"/>
  <c r="AX1" i="1" s="1"/>
  <c r="AY1" i="1" s="1"/>
  <c r="AZ1" i="1" s="1"/>
  <c r="BA1" i="1" s="1"/>
  <c r="BB1" i="1" s="1"/>
  <c r="BC1" i="1" s="1"/>
  <c r="BD1" i="1" s="1"/>
  <c r="BE1" i="1" s="1"/>
  <c r="BF1" i="1" s="1"/>
  <c r="BG1" i="1" s="1"/>
  <c r="BH1" i="1" s="1"/>
  <c r="BI1" i="1" s="1"/>
  <c r="BJ1" i="1" s="1"/>
  <c r="BK1" i="1" s="1"/>
  <c r="AE69" i="1" a="1"/>
  <c r="AE69" i="1" s="1"/>
  <c r="V35" i="1"/>
  <c r="W35" i="1" s="1"/>
  <c r="V36" i="1"/>
  <c r="W36" i="1"/>
  <c r="X36" i="1" s="1"/>
  <c r="Y36" i="1" s="1"/>
  <c r="Z36" i="1" s="1"/>
  <c r="AA36" i="1" s="1"/>
  <c r="V37" i="1"/>
  <c r="W37" i="1"/>
  <c r="X37" i="1" s="1"/>
  <c r="Y37" i="1" s="1"/>
  <c r="Z37" i="1" s="1"/>
  <c r="AA37" i="1" s="1"/>
  <c r="U37" i="1"/>
  <c r="U36" i="1"/>
  <c r="U35" i="1"/>
  <c r="V1" i="1"/>
  <c r="W1" i="1" s="1"/>
  <c r="X1" i="1" s="1"/>
  <c r="Y1" i="1" s="1"/>
  <c r="Z1" i="1" s="1"/>
  <c r="AA1" i="1" s="1"/>
  <c r="AB1" i="1" s="1"/>
  <c r="AC1" i="1" s="1"/>
  <c r="AD1" i="1" s="1"/>
  <c r="AE1" i="1" s="1"/>
  <c r="AF1" i="1" s="1"/>
  <c r="AG1" i="1" s="1"/>
  <c r="AH1" i="1" s="1"/>
  <c r="AI1" i="1" s="1"/>
  <c r="AJ1" i="1" s="1"/>
  <c r="AK1" i="1" s="1"/>
  <c r="AL1" i="1" s="1"/>
  <c r="AM1" i="1" s="1"/>
  <c r="AN1" i="1" s="1"/>
  <c r="U1" i="1"/>
  <c r="U32" i="1"/>
  <c r="U34" i="1" s="1"/>
  <c r="I53" i="1"/>
  <c r="J53" i="1"/>
  <c r="K53" i="1"/>
  <c r="L53" i="1"/>
  <c r="M53" i="1"/>
  <c r="N53" i="1"/>
  <c r="O53" i="1"/>
  <c r="P53" i="1"/>
  <c r="Q53" i="1"/>
  <c r="R53" i="1"/>
  <c r="S53" i="1"/>
  <c r="T53" i="1"/>
  <c r="I54" i="1"/>
  <c r="J54" i="1"/>
  <c r="K54" i="1"/>
  <c r="L54" i="1"/>
  <c r="M54" i="1"/>
  <c r="N54" i="1"/>
  <c r="O54" i="1"/>
  <c r="P54" i="1"/>
  <c r="Q54" i="1"/>
  <c r="R54" i="1"/>
  <c r="S54" i="1"/>
  <c r="T54" i="1"/>
  <c r="I55" i="1"/>
  <c r="J55" i="1"/>
  <c r="K55" i="1"/>
  <c r="L55" i="1"/>
  <c r="M55" i="1"/>
  <c r="N55" i="1"/>
  <c r="O55" i="1"/>
  <c r="P55" i="1"/>
  <c r="Q55" i="1"/>
  <c r="R55" i="1"/>
  <c r="S55" i="1"/>
  <c r="T55" i="1"/>
  <c r="I56" i="1"/>
  <c r="J56" i="1"/>
  <c r="K56" i="1"/>
  <c r="L56" i="1"/>
  <c r="M56" i="1"/>
  <c r="N56" i="1"/>
  <c r="O56" i="1"/>
  <c r="P56" i="1"/>
  <c r="Q56" i="1"/>
  <c r="R56" i="1"/>
  <c r="S56" i="1"/>
  <c r="T56" i="1"/>
  <c r="I57" i="1"/>
  <c r="J57" i="1"/>
  <c r="K57" i="1"/>
  <c r="L57" i="1"/>
  <c r="M57" i="1"/>
  <c r="N57" i="1"/>
  <c r="O57" i="1"/>
  <c r="P57" i="1"/>
  <c r="Q57" i="1"/>
  <c r="R57" i="1"/>
  <c r="S57" i="1"/>
  <c r="T57" i="1"/>
  <c r="I60" i="1"/>
  <c r="J60" i="1"/>
  <c r="K60" i="1"/>
  <c r="L60" i="1"/>
  <c r="M60" i="1"/>
  <c r="N60" i="1"/>
  <c r="O60" i="1"/>
  <c r="P60" i="1"/>
  <c r="Q60" i="1"/>
  <c r="R60" i="1"/>
  <c r="S60" i="1"/>
  <c r="T60" i="1"/>
  <c r="I61" i="1"/>
  <c r="J61" i="1"/>
  <c r="K61" i="1"/>
  <c r="L61" i="1"/>
  <c r="M61" i="1"/>
  <c r="N61" i="1"/>
  <c r="O61" i="1"/>
  <c r="P61" i="1"/>
  <c r="Q61" i="1"/>
  <c r="R61" i="1"/>
  <c r="S61" i="1"/>
  <c r="T61" i="1"/>
  <c r="I62" i="1"/>
  <c r="J62" i="1"/>
  <c r="K62" i="1"/>
  <c r="L62" i="1"/>
  <c r="M62" i="1"/>
  <c r="N62" i="1"/>
  <c r="O62" i="1"/>
  <c r="P62" i="1"/>
  <c r="Q62" i="1"/>
  <c r="R62" i="1"/>
  <c r="S62" i="1"/>
  <c r="T62" i="1"/>
  <c r="I63" i="1"/>
  <c r="J63" i="1"/>
  <c r="K63" i="1"/>
  <c r="L63" i="1"/>
  <c r="M63" i="1"/>
  <c r="N63" i="1"/>
  <c r="O63" i="1"/>
  <c r="P63" i="1"/>
  <c r="Q63" i="1"/>
  <c r="R63" i="1"/>
  <c r="S63" i="1"/>
  <c r="T63" i="1"/>
  <c r="H63" i="1"/>
  <c r="H62" i="1"/>
  <c r="H61" i="1"/>
  <c r="H60" i="1"/>
  <c r="H57" i="1"/>
  <c r="H56" i="1"/>
  <c r="H55" i="1"/>
  <c r="H54" i="1"/>
  <c r="H53" i="1"/>
  <c r="L45" i="1"/>
  <c r="L37" i="1"/>
  <c r="L33" i="1"/>
  <c r="M45" i="1"/>
  <c r="M33" i="1"/>
  <c r="M34" i="1" s="1"/>
  <c r="N45" i="1"/>
  <c r="N37" i="1"/>
  <c r="N38" i="1" s="1"/>
  <c r="N33" i="1"/>
  <c r="N34" i="1" s="1"/>
  <c r="O45" i="1"/>
  <c r="O33" i="1"/>
  <c r="P33" i="1"/>
  <c r="P34" i="1" s="1"/>
  <c r="Q33" i="1"/>
  <c r="R21" i="1"/>
  <c r="S21" i="1"/>
  <c r="T22" i="1"/>
  <c r="X24" i="1"/>
  <c r="I18" i="1"/>
  <c r="J18" i="1"/>
  <c r="K18" i="1"/>
  <c r="L18" i="1"/>
  <c r="M18" i="1"/>
  <c r="N18" i="1"/>
  <c r="O18" i="1"/>
  <c r="P18" i="1"/>
  <c r="Q18" i="1"/>
  <c r="R18" i="1"/>
  <c r="S18" i="1"/>
  <c r="T18" i="1"/>
  <c r="U18" i="1"/>
  <c r="V18" i="1"/>
  <c r="W18" i="1"/>
  <c r="X18" i="1"/>
  <c r="Y18" i="1"/>
  <c r="Z18" i="1"/>
  <c r="AA18" i="1"/>
  <c r="H18" i="1"/>
  <c r="I12" i="1"/>
  <c r="I14" i="1" s="1"/>
  <c r="J12" i="1"/>
  <c r="J14" i="1" s="1"/>
  <c r="K12" i="1"/>
  <c r="K14" i="1" s="1"/>
  <c r="L12" i="1"/>
  <c r="L14" i="1" s="1"/>
  <c r="M12" i="1"/>
  <c r="M14" i="1" s="1"/>
  <c r="N12" i="1"/>
  <c r="N14" i="1" s="1"/>
  <c r="O12" i="1"/>
  <c r="O14" i="1" s="1"/>
  <c r="P12" i="1"/>
  <c r="P14" i="1" s="1"/>
  <c r="Q12" i="1"/>
  <c r="Q14" i="1" s="1"/>
  <c r="R12" i="1"/>
  <c r="R14" i="1" s="1"/>
  <c r="S12" i="1"/>
  <c r="S14" i="1" s="1"/>
  <c r="T12" i="1"/>
  <c r="T14" i="1" s="1"/>
  <c r="U12" i="1"/>
  <c r="U14" i="1" s="1"/>
  <c r="V12" i="1"/>
  <c r="V14" i="1" s="1"/>
  <c r="W12" i="1"/>
  <c r="W14" i="1" s="1"/>
  <c r="X12" i="1"/>
  <c r="X14" i="1" s="1"/>
  <c r="Y12" i="1"/>
  <c r="Y14" i="1" s="1"/>
  <c r="Z12" i="1"/>
  <c r="Z14" i="1" s="1"/>
  <c r="AA12" i="1"/>
  <c r="AA14" i="1" s="1"/>
  <c r="H12" i="1"/>
  <c r="H14" i="1" s="1"/>
  <c r="I38" i="1"/>
  <c r="J38" i="1"/>
  <c r="K38" i="1"/>
  <c r="L38" i="1"/>
  <c r="M38" i="1"/>
  <c r="O38" i="1"/>
  <c r="P38" i="1"/>
  <c r="Q38" i="1"/>
  <c r="R38" i="1"/>
  <c r="S38" i="1"/>
  <c r="T38" i="1"/>
  <c r="U38" i="1"/>
  <c r="H38" i="1"/>
  <c r="I34" i="1"/>
  <c r="J34" i="1"/>
  <c r="K34" i="1"/>
  <c r="L34" i="1"/>
  <c r="O34" i="1"/>
  <c r="Q34" i="1"/>
  <c r="H34" i="1"/>
  <c r="R33" i="1"/>
  <c r="R34" i="1" s="1"/>
  <c r="S33" i="1"/>
  <c r="S34" i="1" s="1"/>
  <c r="T33" i="1"/>
  <c r="T34" i="1" s="1"/>
  <c r="S1" i="1"/>
  <c r="R1" i="1" s="1"/>
  <c r="Q1" i="1" s="1"/>
  <c r="P1" i="1" s="1"/>
  <c r="O1" i="1" s="1"/>
  <c r="N1" i="1" s="1"/>
  <c r="M1" i="1" s="1"/>
  <c r="L1" i="1" s="1"/>
  <c r="S3" i="1"/>
  <c r="R3" i="1" s="1"/>
  <c r="Q3" i="1" s="1"/>
  <c r="P3" i="1" s="1"/>
  <c r="O3" i="1" s="1"/>
  <c r="N3" i="1" s="1"/>
  <c r="M3" i="1" s="1"/>
  <c r="L3" i="1" s="1"/>
  <c r="V32" i="1" l="1"/>
  <c r="X35" i="1"/>
  <c r="W38" i="1"/>
  <c r="V38" i="1"/>
  <c r="M21" i="1"/>
  <c r="W24" i="1"/>
  <c r="V24" i="1"/>
  <c r="J24" i="1"/>
  <c r="W23" i="1"/>
  <c r="V23" i="1"/>
  <c r="T23" i="1"/>
  <c r="K21" i="1"/>
  <c r="K25" i="1" s="1"/>
  <c r="X23" i="1"/>
  <c r="U23" i="1"/>
  <c r="AA22" i="1"/>
  <c r="U22" i="1"/>
  <c r="H24" i="1"/>
  <c r="S22" i="1"/>
  <c r="R22" i="1"/>
  <c r="Z24" i="1"/>
  <c r="Y21" i="1"/>
  <c r="Y25" i="1" s="1"/>
  <c r="Y24" i="1"/>
  <c r="T21" i="1"/>
  <c r="U24" i="1"/>
  <c r="S23" i="1"/>
  <c r="M22" i="1"/>
  <c r="J21" i="1"/>
  <c r="J25" i="1" s="1"/>
  <c r="T24" i="1"/>
  <c r="R23" i="1"/>
  <c r="K22" i="1"/>
  <c r="I21" i="1"/>
  <c r="I25" i="1" s="1"/>
  <c r="S24" i="1"/>
  <c r="M23" i="1"/>
  <c r="J22" i="1"/>
  <c r="R24" i="1"/>
  <c r="K23" i="1"/>
  <c r="I22" i="1"/>
  <c r="M24" i="1"/>
  <c r="J23" i="1"/>
  <c r="AA21" i="1"/>
  <c r="AA25" i="1" s="1"/>
  <c r="K24" i="1"/>
  <c r="I23" i="1"/>
  <c r="Z21" i="1"/>
  <c r="Z25" i="1" s="1"/>
  <c r="I24" i="1"/>
  <c r="Z22" i="1"/>
  <c r="X21" i="1"/>
  <c r="X25" i="1" s="1"/>
  <c r="H21" i="1"/>
  <c r="H25" i="1" s="1"/>
  <c r="AA23" i="1"/>
  <c r="Y22" i="1"/>
  <c r="W21" i="1"/>
  <c r="W25" i="1" s="1"/>
  <c r="H22" i="1"/>
  <c r="Z23" i="1"/>
  <c r="X22" i="1"/>
  <c r="V21" i="1"/>
  <c r="V25" i="1" s="1"/>
  <c r="H23" i="1"/>
  <c r="AA24" i="1"/>
  <c r="Y23" i="1"/>
  <c r="W22" i="1"/>
  <c r="U21" i="1"/>
  <c r="U25" i="1" s="1"/>
  <c r="V22" i="1"/>
  <c r="N21" i="1"/>
  <c r="N22" i="1"/>
  <c r="N23" i="1"/>
  <c r="N24" i="1"/>
  <c r="L24" i="1"/>
  <c r="L23" i="1"/>
  <c r="L22" i="1"/>
  <c r="L21" i="1"/>
  <c r="O24" i="1"/>
  <c r="O23" i="1"/>
  <c r="O22" i="1"/>
  <c r="O21" i="1"/>
  <c r="P21" i="1"/>
  <c r="P22" i="1"/>
  <c r="P24" i="1"/>
  <c r="P23" i="1"/>
  <c r="Q21" i="1"/>
  <c r="Q24" i="1"/>
  <c r="Q23" i="1"/>
  <c r="Q22" i="1"/>
  <c r="Q39" i="1"/>
  <c r="Q43" i="1" s="1"/>
  <c r="Q46" i="1" s="1"/>
  <c r="Q48" i="1" s="1"/>
  <c r="I39" i="1"/>
  <c r="I43" i="1" s="1"/>
  <c r="I46" i="1" s="1"/>
  <c r="I48" i="1" s="1"/>
  <c r="P39" i="1"/>
  <c r="P43" i="1" s="1"/>
  <c r="P46" i="1" s="1"/>
  <c r="P48" i="1" s="1"/>
  <c r="N39" i="1"/>
  <c r="N43" i="1" s="1"/>
  <c r="N46" i="1" s="1"/>
  <c r="N48" i="1" s="1"/>
  <c r="K39" i="1"/>
  <c r="K43" i="1" s="1"/>
  <c r="K46" i="1" s="1"/>
  <c r="K48" i="1" s="1"/>
  <c r="M39" i="1"/>
  <c r="M43" i="1" s="1"/>
  <c r="M46" i="1" s="1"/>
  <c r="M48" i="1" s="1"/>
  <c r="T39" i="1"/>
  <c r="T43" i="1" s="1"/>
  <c r="T46" i="1" s="1"/>
  <c r="T48" i="1" s="1"/>
  <c r="J39" i="1"/>
  <c r="J43" i="1" s="1"/>
  <c r="J46" i="1" s="1"/>
  <c r="J48" i="1" s="1"/>
  <c r="O39" i="1"/>
  <c r="O43" i="1" s="1"/>
  <c r="O46" i="1" s="1"/>
  <c r="O48" i="1" s="1"/>
  <c r="U39" i="1"/>
  <c r="U43" i="1" s="1"/>
  <c r="L39" i="1"/>
  <c r="L43" i="1" s="1"/>
  <c r="L46" i="1" s="1"/>
  <c r="L48" i="1" s="1"/>
  <c r="H39" i="1"/>
  <c r="H43" i="1" s="1"/>
  <c r="H46" i="1" s="1"/>
  <c r="H48" i="1" s="1"/>
  <c r="S39" i="1"/>
  <c r="S43" i="1" s="1"/>
  <c r="S46" i="1" s="1"/>
  <c r="S48" i="1" s="1"/>
  <c r="R39" i="1"/>
  <c r="R43" i="1" s="1"/>
  <c r="R46" i="1" s="1"/>
  <c r="R48" i="1" s="1"/>
  <c r="U44" i="1" l="1"/>
  <c r="U46" i="1" s="1"/>
  <c r="U48" i="1" s="1"/>
  <c r="W32" i="1"/>
  <c r="V34" i="1"/>
  <c r="V39" i="1" s="1"/>
  <c r="V43" i="1" s="1"/>
  <c r="Y35" i="1"/>
  <c r="X38" i="1"/>
  <c r="R25" i="1"/>
  <c r="M25" i="1"/>
  <c r="S25" i="1"/>
  <c r="T25" i="1"/>
  <c r="N25" i="1"/>
  <c r="L25" i="1"/>
  <c r="O25" i="1"/>
  <c r="P25" i="1"/>
  <c r="Q25" i="1"/>
  <c r="V44" i="1" l="1"/>
  <c r="V46" i="1" s="1"/>
  <c r="V48" i="1" s="1"/>
  <c r="X32" i="1"/>
  <c r="W34" i="1"/>
  <c r="W39" i="1" s="1"/>
  <c r="W43" i="1" s="1"/>
  <c r="Z35" i="1"/>
  <c r="Y38" i="1"/>
  <c r="X34" i="1" l="1"/>
  <c r="X39" i="1" s="1"/>
  <c r="X43" i="1" s="1"/>
  <c r="X44" i="1" s="1"/>
  <c r="X46" i="1" s="1"/>
  <c r="X48" i="1" s="1"/>
  <c r="Y32" i="1"/>
  <c r="W46" i="1"/>
  <c r="W48" i="1" s="1"/>
  <c r="W44" i="1"/>
  <c r="AA35" i="1"/>
  <c r="AA38" i="1" s="1"/>
  <c r="Z38" i="1"/>
  <c r="Y34" i="1" l="1"/>
  <c r="Y39" i="1" s="1"/>
  <c r="Y43" i="1" s="1"/>
  <c r="Y44" i="1" s="1"/>
  <c r="Y46" i="1" s="1"/>
  <c r="Y48" i="1" s="1"/>
  <c r="Z32" i="1"/>
  <c r="Z34" i="1" l="1"/>
  <c r="Z39" i="1" s="1"/>
  <c r="Z43" i="1" s="1"/>
  <c r="Z44" i="1" s="1"/>
  <c r="Z46" i="1" s="1"/>
  <c r="Z48" i="1" s="1"/>
  <c r="AA32" i="1"/>
  <c r="AA34" i="1" s="1"/>
  <c r="AA39" i="1" s="1"/>
  <c r="AA43" i="1" s="1"/>
  <c r="AA44" i="1" s="1"/>
  <c r="AA46" i="1" s="1"/>
  <c r="AA48" i="1" s="1"/>
  <c r="AB46" i="1" l="1"/>
  <c r="AC46" i="1" s="1"/>
  <c r="AD46" i="1" s="1"/>
  <c r="AE46" i="1" s="1"/>
  <c r="AF46" i="1" s="1"/>
  <c r="AG46" i="1" s="1"/>
  <c r="AH46" i="1" s="1"/>
  <c r="AI46" i="1" s="1"/>
  <c r="AJ46" i="1" s="1"/>
  <c r="AK46" i="1" s="1"/>
  <c r="AL46" i="1" s="1"/>
  <c r="AM46" i="1" s="1"/>
  <c r="AN46" i="1" s="1"/>
  <c r="AO46" i="1" s="1"/>
  <c r="AP46" i="1" s="1"/>
  <c r="AQ46" i="1" s="1"/>
  <c r="AR46" i="1" s="1"/>
  <c r="AS46" i="1" s="1"/>
  <c r="AT46" i="1" s="1"/>
  <c r="AU46" i="1" s="1"/>
  <c r="AV46" i="1" s="1"/>
  <c r="AW46" i="1" s="1"/>
  <c r="AX46" i="1" s="1"/>
  <c r="AY46" i="1" s="1"/>
  <c r="AZ46" i="1" s="1"/>
  <c r="BA46" i="1" s="1"/>
  <c r="BB46" i="1" s="1"/>
  <c r="BC46" i="1" s="1"/>
  <c r="BD46" i="1" s="1"/>
  <c r="BE46" i="1" s="1"/>
  <c r="BF46" i="1" s="1"/>
  <c r="BG46" i="1" s="1"/>
  <c r="BH46" i="1" s="1"/>
  <c r="BI46" i="1" s="1"/>
  <c r="BJ46" i="1" s="1"/>
  <c r="BK46" i="1" s="1"/>
  <c r="AE67" i="1" l="1"/>
  <c r="AE68" i="1" s="1"/>
  <c r="AE7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<sst xmlns="http://schemas.openxmlformats.org/spreadsheetml/2006/main" count="76" uniqueCount="66">
  <si>
    <t>Price</t>
  </si>
  <si>
    <t>Shares</t>
  </si>
  <si>
    <t>Marketcap</t>
  </si>
  <si>
    <t>Cash</t>
  </si>
  <si>
    <t>Debt</t>
  </si>
  <si>
    <t>EV</t>
  </si>
  <si>
    <t>EV/Share</t>
  </si>
  <si>
    <t>Company Name</t>
  </si>
  <si>
    <t>Ticker</t>
  </si>
  <si>
    <t>Country</t>
  </si>
  <si>
    <t>Sector</t>
  </si>
  <si>
    <t>Industry</t>
  </si>
  <si>
    <t>Communication Services</t>
  </si>
  <si>
    <t>Telecom Services</t>
  </si>
  <si>
    <t>USA</t>
  </si>
  <si>
    <t>IRDM</t>
  </si>
  <si>
    <t>Iridium Communications Inc.</t>
  </si>
  <si>
    <t>Iridium Communications Inc. provides mobile voice and data communications services and products to businesses, the United States and international governments, non-governmental organizations, and consumers worldwide. The company offers postpaid mobile voice and data satellite communications; prepaid mobile voice satellite communications; push-to-talk; broadband data; and Internet of Things (IoT) services. It also provides hosted payload and other data services, such as satellite time and location services; and inbound connections from the public switched telephone network, short message, subscriber identity module, activation, customer reactivation, and other peripheral services. In addition, the company offers voice and data solutions comprising personnel tracking devices; asset tracking devices for equipment, vehicles, and aircrafts; beyond-line-of-sight aircraft communications applications; maritime communications applications; specialized communications solutions for high-value individuals; mobile communications and data devices for the military and other government agencies, such as secure satellite handsets, as well as netted voice, messaging, and paging services; and maintenance services for the United States government's dedicated gateway. Further, it provides satellite handsets, voice and data modems, broadband data devices, and IoT data devices; various accessories for its devices that include batteries, holsters, earbud headphones, portable auxiliary antennas, antenna adaptors, USB data cables, charging units, and others; and engineering and support services. Iridium Communications Inc. sells its products and services to commercial end users through a wholesale distribution network that include service providers, and value-added resellers and manufacturers. The company was formerly known as Iridium Holdings LLC and changed its name to Iridium Communications Inc. in September 2009. Iridium Communications Inc. is headquartered in McLean, Virginia.</t>
  </si>
  <si>
    <t>Fiscal Period</t>
  </si>
  <si>
    <t>Filing Date</t>
  </si>
  <si>
    <t>Period Of Report</t>
  </si>
  <si>
    <t>Income Statement *in thousands, USD</t>
  </si>
  <si>
    <t>Revenue</t>
  </si>
  <si>
    <t>COGs</t>
  </si>
  <si>
    <t>Gross Profit</t>
  </si>
  <si>
    <t>R&amp;D</t>
  </si>
  <si>
    <t>SG&amp;A</t>
  </si>
  <si>
    <t>D&amp;A</t>
  </si>
  <si>
    <t>Total Operating Expenses</t>
  </si>
  <si>
    <t>Operating Income</t>
  </si>
  <si>
    <t>Interest expense</t>
  </si>
  <si>
    <t>Loss on extinguishment of debt</t>
  </si>
  <si>
    <t>Other income (expense)</t>
  </si>
  <si>
    <t>Income before tax</t>
  </si>
  <si>
    <t>Loss on equity method investments</t>
  </si>
  <si>
    <t>Net Income</t>
  </si>
  <si>
    <t>EPS</t>
  </si>
  <si>
    <t>Tax (expense)</t>
  </si>
  <si>
    <t>Voice and data</t>
  </si>
  <si>
    <t>IoT data</t>
  </si>
  <si>
    <t>Broadband</t>
  </si>
  <si>
    <t>Hosted payload and other data</t>
  </si>
  <si>
    <t>Total Commercial Services</t>
  </si>
  <si>
    <t>Government Services</t>
  </si>
  <si>
    <t>Total Services</t>
  </si>
  <si>
    <t>Services</t>
  </si>
  <si>
    <t>Engineering</t>
  </si>
  <si>
    <t xml:space="preserve">Commercial </t>
  </si>
  <si>
    <t>Government</t>
  </si>
  <si>
    <t>Total Engineering</t>
  </si>
  <si>
    <t>Services Mix %</t>
  </si>
  <si>
    <t>Diluted</t>
  </si>
  <si>
    <t>Growth</t>
  </si>
  <si>
    <t>Margin</t>
  </si>
  <si>
    <t>Gross Margin</t>
  </si>
  <si>
    <t>Operating Margin</t>
  </si>
  <si>
    <t>Profit Margin</t>
  </si>
  <si>
    <t>Tax Margin</t>
  </si>
  <si>
    <t>Earnings</t>
  </si>
  <si>
    <t>**Average corp tax rate</t>
  </si>
  <si>
    <t>Maturity</t>
  </si>
  <si>
    <t>Discount</t>
  </si>
  <si>
    <t>NPV</t>
  </si>
  <si>
    <t>Current Price</t>
  </si>
  <si>
    <t>Forecast Price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</si>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</sst>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70" formatCode="_([$$-409]* #,##0.00_);_([$$-409]* \(#,##0.00\);_([$$-409]* &quot;-&quot;??_);_(@_)"/>
  </numFmts>
  <fonts count="6" x14ac:knownFonts="1">
    <font>
      <sz val="11"/>
      <color theme="1"/>
      <name val="Aptos Narrow"/>
      <family val="2"/>
      <scheme val="minor"/>
    </font>
    <font>
      <b/>
      <sz val="11"/>
      <color theme="0"/>
      <name val="Aptos Narrow"/>
      <family val="2"/>
      <scheme val="minor"/>
    </font>
    <font>
      <b/>
      <sz val="11"/>
      <color theme="1"/>
      <name val="Aptos Narrow"/>
      <family val="2"/>
      <scheme val="minor"/>
    </font>
    <font>
      <sz val="7"/>
      <color rgb="FF232A31"/>
      <name val="Arial"/>
      <family val="2"/>
    </font>
    <font>
      <i/>
      <u/>
      <sz val="11"/>
      <name val="Aptos Narrow"/>
      <family val="2"/>
      <scheme val="minor"/>
    </font>
    <font>
      <i/>
      <u/>
      <sz val="11"/>
      <color theme="1"/>
      <name val="Aptos Narrow"/>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3" fillId="0" borderId="0" xfId="0" applyFont="1"/>
    <xf numFmtId="14" fontId="0" fillId="0" borderId="0" xfId="0" applyNumberFormat="1"/>
    <xf numFmtId="0" fontId="1" fillId="2" borderId="0" xfId="0" applyFont="1" applyFill="1"/>
    <xf numFmtId="3" fontId="0" fillId="0" borderId="0" xfId="0" applyNumberFormat="1"/>
    <xf numFmtId="3" fontId="0" fillId="0" borderId="1" xfId="0" applyNumberFormat="1" applyBorder="1"/>
    <xf numFmtId="3" fontId="0" fillId="0" borderId="2" xfId="0" applyNumberFormat="1" applyBorder="1"/>
    <xf numFmtId="0" fontId="4" fillId="3" borderId="0" xfId="0" applyFont="1" applyFill="1"/>
    <xf numFmtId="3" fontId="2" fillId="0" borderId="0" xfId="0" applyNumberFormat="1" applyFont="1"/>
    <xf numFmtId="3" fontId="4" fillId="3" borderId="0" xfId="0" applyNumberFormat="1" applyFont="1" applyFill="1"/>
    <xf numFmtId="0" fontId="0" fillId="3" borderId="0" xfId="0" applyFill="1"/>
    <xf numFmtId="0" fontId="5" fillId="3" borderId="0" xfId="0" applyFont="1" applyFill="1"/>
    <xf numFmtId="9" fontId="0" fillId="0" borderId="0" xfId="0" applyNumberFormat="1"/>
    <xf numFmtId="9" fontId="0" fillId="0" borderId="1" xfId="0" applyNumberFormat="1" applyBorder="1"/>
    <xf numFmtId="2" fontId="0" fillId="0" borderId="0" xfId="0" applyNumberFormat="1"/>
    <xf numFmtId="6" fontId="0" fillId="0" borderId="0" xfId="0" applyNumberFormat="1"/>
    <xf numFmtId="8" fontId="2" fillId="4" borderId="0" xfId="0" applyNumberFormat="1" applyFont="1" applyFill="1"/>
    <xf numFmtId="170" fontId="2" fillId="5"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19</xdr:col>
      <xdr:colOff>734786</xdr:colOff>
      <xdr:row>0</xdr:row>
      <xdr:rowOff>27214</xdr:rowOff>
    </xdr:from>
    <xdr:to>
      <xdr:col>20</xdr:col>
      <xdr:colOff>27214</xdr:colOff>
      <xdr:row>96</xdr:row>
      <xdr:rowOff>81643</xdr:rowOff>
    </xdr:to>
    <xdr:cxnSp macro="">
      <xdr:nvCxnSpPr>
        <xdr:cNvPr id="3" name="Straight Connector 2">
          <a:extLst>
            <a:ext uri="{FF2B5EF4-FFF2-40B4-BE49-F238E27FC236}">
              <a16:creationId xmlns:a16="http://schemas.microsoft.com/office/drawing/2014/main" id="{4EFD9DF1-D4E5-E696-3119-F70E5A3C4F49}"/>
            </a:ext>
          </a:extLst>
        </xdr:cNvPr>
        <xdr:cNvCxnSpPr/>
      </xdr:nvCxnSpPr>
      <xdr:spPr>
        <a:xfrm>
          <a:off x="15421429" y="27214"/>
          <a:ext cx="36285" cy="1747157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https://www.bing.com/financeapi/forcetrigger?t=a1vqw7&amp;q=XNAS%3aIRDM&amp;form=skydnc</v>
    <v>Learn more on Bing</v>
  </rv>
  <rv s="1">
    <v>en-US</v>
    <v>a1vqw7</v>
    <v>268435456</v>
    <v>1</v>
    <v>Powered by Refinitiv</v>
    <v>0</v>
    <v>IRIDIUM COMMUNICATIONS INC. (XNAS:IRDM)</v>
    <v>2</v>
    <v>3</v>
    <v>Finance</v>
    <v>4</v>
    <v>54.03</v>
    <v>24.14</v>
    <v>0.64349999999999996</v>
    <v>1.27</v>
    <v>4.5683000000000001E-2</v>
    <v>USD</v>
    <v>Iridium Communications Inc. is a commercial provider of communications services. The Company is engaged in providing mobile voice and data communications services using a constellation of orbiting satellites. It provides voice and data communications services to businesses, the United States and foreign governments, non-governmental organizations, and consumers via its satellite network, which has an architecture of 66 operational satellites with in-orbit spares and related ground infrastructure. It utilizes an interlinked mesh architecture to route traffic across its satellite constellation using radio frequency crosslinks between satellites. It serves market, such as emergency services, maritime, aviation, government, utilities, oil and gas, mining, recreation, forestry, heavy equipment, construction, railways and other transportation. Its products include Satellite Handsets and Iridium GO!, Broadband Data Devices, Voice and Data Modems and Internet of Things Data Devices.</v>
    <v>760</v>
    <v>Nasdaq Stock Market</v>
    <v>XNAS</v>
    <v>XNAS</v>
    <v>SUITE 1400, 1750 TYSONS BOULEVARD, MCLEAN, VA, 22102 US</v>
    <v>29.17</v>
    <v>Telecommunications Services</v>
    <v>Stock</v>
    <v>45499.977862291409</v>
    <v>0</v>
    <v>27.72</v>
    <v>3441384000</v>
    <v>IRIDIUM COMMUNICATIONS INC.</v>
    <v>IRIDIUM COMMUNICATIONS INC.</v>
    <v>28.31</v>
    <v>41.332500000000003</v>
    <v>27.8</v>
    <v>29.07</v>
    <v>29.07</v>
    <v>118382700</v>
    <v>IRDM</v>
    <v>IRIDIUM COMMUNICATIONS INC. (XNAS:IRDM)</v>
    <v>3</v>
    <v>1183064</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AABB-CD9D-4E16-BB01-06DB6220F7C9}">
  <dimension ref="A2:A8"/>
  <sheetViews>
    <sheetView workbookViewId="0">
      <selection activeCell="A9" sqref="A9"/>
    </sheetView>
  </sheetViews>
  <sheetFormatPr defaultRowHeight="14.5" x14ac:dyDescent="0.35"/>
  <sheetData>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E56FF-73C7-42EC-A5D0-C3EBBA2D3344}">
  <dimension ref="A1:B10"/>
  <sheetViews>
    <sheetView workbookViewId="0">
      <selection activeCell="C13" sqref="C13"/>
    </sheetView>
  </sheetViews>
  <sheetFormatPr defaultRowHeight="14.5" x14ac:dyDescent="0.35"/>
  <sheetData>
    <row r="1" spans="1:2" x14ac:dyDescent="0.35">
      <c r="A1" t="s">
        <v>7</v>
      </c>
      <c r="B1" t="s">
        <v>16</v>
      </c>
    </row>
    <row r="2" spans="1:2" x14ac:dyDescent="0.35">
      <c r="A2" t="s">
        <v>8</v>
      </c>
      <c r="B2" t="s">
        <v>15</v>
      </c>
    </row>
    <row r="3" spans="1:2" x14ac:dyDescent="0.35">
      <c r="A3" t="s">
        <v>9</v>
      </c>
      <c r="B3" t="s">
        <v>14</v>
      </c>
    </row>
    <row r="4" spans="1:2" x14ac:dyDescent="0.35">
      <c r="A4" t="s">
        <v>10</v>
      </c>
      <c r="B4" t="s">
        <v>12</v>
      </c>
    </row>
    <row r="5" spans="1:2" x14ac:dyDescent="0.35">
      <c r="A5" t="s">
        <v>11</v>
      </c>
      <c r="B5" t="s">
        <v>13</v>
      </c>
    </row>
    <row r="10" spans="1:2" x14ac:dyDescent="0.35">
      <c r="A10"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025EF-E640-415A-8042-10920F7EE83E}">
  <dimension ref="B1:BK70"/>
  <sheetViews>
    <sheetView tabSelected="1" zoomScale="85" zoomScaleNormal="85" workbookViewId="0">
      <pane xSplit="2" ySplit="5" topLeftCell="G6" activePane="bottomRight" state="frozen"/>
      <selection pane="topRight" activeCell="C1" sqref="C1"/>
      <selection pane="bottomLeft" activeCell="A6" sqref="A6"/>
      <selection pane="bottomRight" activeCell="T3" sqref="L3:T3"/>
    </sheetView>
  </sheetViews>
  <sheetFormatPr defaultColWidth="10.6328125" defaultRowHeight="14.5" x14ac:dyDescent="0.35"/>
  <cols>
    <col min="1" max="1" width="6.453125" customWidth="1"/>
    <col min="2" max="2" width="22.7265625" customWidth="1"/>
    <col min="30" max="30" width="12.26953125" customWidth="1"/>
    <col min="31" max="31" width="13.1796875" bestFit="1" customWidth="1"/>
  </cols>
  <sheetData>
    <row r="1" spans="2:63" x14ac:dyDescent="0.35">
      <c r="B1" t="s">
        <v>18</v>
      </c>
      <c r="L1">
        <f>M1-1</f>
        <v>2015</v>
      </c>
      <c r="M1">
        <f t="shared" ref="M1:R1" si="0">N1-1</f>
        <v>2016</v>
      </c>
      <c r="N1">
        <f t="shared" si="0"/>
        <v>2017</v>
      </c>
      <c r="O1">
        <f t="shared" si="0"/>
        <v>2018</v>
      </c>
      <c r="P1">
        <f t="shared" si="0"/>
        <v>2019</v>
      </c>
      <c r="Q1">
        <f t="shared" si="0"/>
        <v>2020</v>
      </c>
      <c r="R1">
        <f t="shared" si="0"/>
        <v>2021</v>
      </c>
      <c r="S1">
        <f>T1-1</f>
        <v>2022</v>
      </c>
      <c r="T1">
        <v>2023</v>
      </c>
      <c r="U1">
        <f>T1+1</f>
        <v>2024</v>
      </c>
      <c r="V1">
        <f t="shared" ref="V1:BK1" si="1">U1+1</f>
        <v>2025</v>
      </c>
      <c r="W1">
        <f t="shared" si="1"/>
        <v>2026</v>
      </c>
      <c r="X1">
        <f t="shared" si="1"/>
        <v>2027</v>
      </c>
      <c r="Y1">
        <f t="shared" si="1"/>
        <v>2028</v>
      </c>
      <c r="Z1">
        <f t="shared" si="1"/>
        <v>2029</v>
      </c>
      <c r="AA1">
        <f t="shared" si="1"/>
        <v>2030</v>
      </c>
      <c r="AB1">
        <f t="shared" si="1"/>
        <v>2031</v>
      </c>
      <c r="AC1">
        <f t="shared" si="1"/>
        <v>2032</v>
      </c>
      <c r="AD1">
        <f t="shared" si="1"/>
        <v>2033</v>
      </c>
      <c r="AE1">
        <f t="shared" si="1"/>
        <v>2034</v>
      </c>
      <c r="AF1">
        <f t="shared" si="1"/>
        <v>2035</v>
      </c>
      <c r="AG1">
        <f t="shared" si="1"/>
        <v>2036</v>
      </c>
      <c r="AH1">
        <f t="shared" si="1"/>
        <v>2037</v>
      </c>
      <c r="AI1">
        <f t="shared" si="1"/>
        <v>2038</v>
      </c>
      <c r="AJ1">
        <f t="shared" si="1"/>
        <v>2039</v>
      </c>
      <c r="AK1">
        <f t="shared" si="1"/>
        <v>2040</v>
      </c>
      <c r="AL1">
        <f t="shared" si="1"/>
        <v>2041</v>
      </c>
      <c r="AM1">
        <f t="shared" si="1"/>
        <v>2042</v>
      </c>
      <c r="AN1">
        <f t="shared" si="1"/>
        <v>2043</v>
      </c>
      <c r="AO1">
        <f t="shared" si="1"/>
        <v>2044</v>
      </c>
      <c r="AP1">
        <f t="shared" si="1"/>
        <v>2045</v>
      </c>
      <c r="AQ1">
        <f t="shared" si="1"/>
        <v>2046</v>
      </c>
      <c r="AR1">
        <f t="shared" si="1"/>
        <v>2047</v>
      </c>
      <c r="AS1">
        <f t="shared" si="1"/>
        <v>2048</v>
      </c>
      <c r="AT1">
        <f t="shared" si="1"/>
        <v>2049</v>
      </c>
      <c r="AU1">
        <f t="shared" si="1"/>
        <v>2050</v>
      </c>
      <c r="AV1">
        <f t="shared" si="1"/>
        <v>2051</v>
      </c>
      <c r="AW1">
        <f t="shared" si="1"/>
        <v>2052</v>
      </c>
      <c r="AX1">
        <f t="shared" si="1"/>
        <v>2053</v>
      </c>
      <c r="AY1">
        <f t="shared" si="1"/>
        <v>2054</v>
      </c>
      <c r="AZ1">
        <f t="shared" si="1"/>
        <v>2055</v>
      </c>
      <c r="BA1">
        <f t="shared" si="1"/>
        <v>2056</v>
      </c>
      <c r="BB1">
        <f t="shared" si="1"/>
        <v>2057</v>
      </c>
      <c r="BC1">
        <f t="shared" si="1"/>
        <v>2058</v>
      </c>
      <c r="BD1">
        <f t="shared" si="1"/>
        <v>2059</v>
      </c>
      <c r="BE1">
        <f t="shared" si="1"/>
        <v>2060</v>
      </c>
      <c r="BF1">
        <f t="shared" si="1"/>
        <v>2061</v>
      </c>
      <c r="BG1">
        <f t="shared" si="1"/>
        <v>2062</v>
      </c>
      <c r="BH1">
        <f t="shared" si="1"/>
        <v>2063</v>
      </c>
      <c r="BI1">
        <f t="shared" si="1"/>
        <v>2064</v>
      </c>
      <c r="BJ1">
        <f t="shared" si="1"/>
        <v>2065</v>
      </c>
      <c r="BK1">
        <f t="shared" si="1"/>
        <v>2066</v>
      </c>
    </row>
    <row r="2" spans="2:63" x14ac:dyDescent="0.35">
      <c r="B2" t="s">
        <v>19</v>
      </c>
      <c r="L2" s="2">
        <v>42425</v>
      </c>
      <c r="M2" s="2">
        <v>42789</v>
      </c>
      <c r="N2" s="2">
        <v>43153</v>
      </c>
      <c r="O2" s="2">
        <v>43524</v>
      </c>
      <c r="P2" s="2">
        <v>43886</v>
      </c>
      <c r="Q2" s="2">
        <v>44238</v>
      </c>
      <c r="R2" s="2">
        <v>44609</v>
      </c>
      <c r="S2" s="2">
        <v>44973</v>
      </c>
      <c r="T2" s="2">
        <v>45337</v>
      </c>
    </row>
    <row r="3" spans="2:63" x14ac:dyDescent="0.35">
      <c r="B3" t="s">
        <v>20</v>
      </c>
      <c r="L3" s="2">
        <f>DATE(YEAR(M3)-1, MONTH(M3), DAY(M3))</f>
        <v>42369</v>
      </c>
      <c r="M3" s="2">
        <f>DATE(YEAR(N3)-1, MONTH(N3), DAY(N3))</f>
        <v>42735</v>
      </c>
      <c r="N3" s="2">
        <f>DATE(YEAR(O3)-1, MONTH(O3), DAY(O3))</f>
        <v>43100</v>
      </c>
      <c r="O3" s="2">
        <f>DATE(YEAR(P3)-1, MONTH(P3), DAY(P3))</f>
        <v>43465</v>
      </c>
      <c r="P3" s="2">
        <f>DATE(YEAR(Q3)-1, MONTH(Q3), DAY(Q3))</f>
        <v>43830</v>
      </c>
      <c r="Q3" s="2">
        <f>DATE(YEAR(R3)-1, MONTH(R3), DAY(R3))</f>
        <v>44196</v>
      </c>
      <c r="R3" s="2">
        <f>DATE(YEAR(S3)-1, MONTH(S3), DAY(S3))</f>
        <v>44561</v>
      </c>
      <c r="S3" s="2">
        <f>DATE(YEAR(T3)-1, MONTH(T3), DAY(T3))</f>
        <v>44926</v>
      </c>
      <c r="T3" s="2">
        <v>45291</v>
      </c>
    </row>
    <row r="7" spans="2:63" s="7" customFormat="1" x14ac:dyDescent="0.35">
      <c r="B7" s="7" t="s">
        <v>45</v>
      </c>
    </row>
    <row r="8" spans="2:63" s="4" customFormat="1" x14ac:dyDescent="0.35">
      <c r="B8" s="4" t="s">
        <v>38</v>
      </c>
      <c r="L8" s="4">
        <v>178400</v>
      </c>
      <c r="M8" s="4">
        <v>177700</v>
      </c>
      <c r="N8" s="4">
        <v>177700</v>
      </c>
      <c r="O8" s="4">
        <v>168107</v>
      </c>
      <c r="P8" s="4">
        <v>173167</v>
      </c>
      <c r="Q8" s="4">
        <v>168668</v>
      </c>
      <c r="R8" s="4">
        <v>175584</v>
      </c>
      <c r="S8" s="4">
        <v>193112</v>
      </c>
      <c r="T8" s="4">
        <v>219242</v>
      </c>
    </row>
    <row r="9" spans="2:63" s="4" customFormat="1" x14ac:dyDescent="0.35">
      <c r="B9" s="4" t="s">
        <v>39</v>
      </c>
      <c r="L9" s="4">
        <v>61300</v>
      </c>
      <c r="M9" s="4">
        <v>65500</v>
      </c>
      <c r="N9" s="4">
        <v>74100</v>
      </c>
      <c r="O9" s="4">
        <v>85054</v>
      </c>
      <c r="P9" s="4">
        <v>96435</v>
      </c>
      <c r="Q9" s="4">
        <v>96981</v>
      </c>
      <c r="R9" s="4">
        <v>110919</v>
      </c>
      <c r="S9" s="4">
        <v>125015</v>
      </c>
      <c r="T9" s="4">
        <v>141036</v>
      </c>
    </row>
    <row r="10" spans="2:63" s="4" customFormat="1" x14ac:dyDescent="0.35">
      <c r="B10" s="4" t="s">
        <v>40</v>
      </c>
      <c r="L10" s="4">
        <v>0</v>
      </c>
      <c r="M10" s="4">
        <v>0</v>
      </c>
      <c r="N10" s="4">
        <v>0</v>
      </c>
      <c r="O10" s="4">
        <v>25069</v>
      </c>
      <c r="P10" s="4">
        <v>30455</v>
      </c>
      <c r="Q10" s="4">
        <v>35959</v>
      </c>
      <c r="R10" s="4">
        <v>42990</v>
      </c>
      <c r="S10" s="4">
        <v>51143</v>
      </c>
      <c r="T10" s="4">
        <v>57878</v>
      </c>
    </row>
    <row r="11" spans="2:63" s="5" customFormat="1" x14ac:dyDescent="0.35">
      <c r="B11" s="5" t="s">
        <v>41</v>
      </c>
      <c r="L11" s="5">
        <v>2200</v>
      </c>
      <c r="M11" s="5">
        <v>3600</v>
      </c>
      <c r="N11" s="5">
        <v>9900</v>
      </c>
      <c r="O11" s="5">
        <v>40527</v>
      </c>
      <c r="P11" s="5">
        <v>49969</v>
      </c>
      <c r="Q11" s="5">
        <v>60600</v>
      </c>
      <c r="R11" s="5">
        <v>58611</v>
      </c>
      <c r="S11" s="5">
        <v>59451</v>
      </c>
      <c r="T11" s="5">
        <v>60298</v>
      </c>
    </row>
    <row r="12" spans="2:63" s="8" customFormat="1" x14ac:dyDescent="0.35">
      <c r="B12" s="8" t="s">
        <v>42</v>
      </c>
      <c r="H12" s="8">
        <f>SUM(H8:H11)</f>
        <v>0</v>
      </c>
      <c r="I12" s="8">
        <f t="shared" ref="I12:AA12" si="2">SUM(I8:I11)</f>
        <v>0</v>
      </c>
      <c r="J12" s="8">
        <f t="shared" si="2"/>
        <v>0</v>
      </c>
      <c r="K12" s="8">
        <f t="shared" si="2"/>
        <v>0</v>
      </c>
      <c r="L12" s="8">
        <f t="shared" si="2"/>
        <v>241900</v>
      </c>
      <c r="M12" s="8">
        <f t="shared" si="2"/>
        <v>246800</v>
      </c>
      <c r="N12" s="8">
        <f t="shared" si="2"/>
        <v>261700</v>
      </c>
      <c r="O12" s="8">
        <f t="shared" si="2"/>
        <v>318757</v>
      </c>
      <c r="P12" s="8">
        <f t="shared" si="2"/>
        <v>350026</v>
      </c>
      <c r="Q12" s="8">
        <f t="shared" si="2"/>
        <v>362208</v>
      </c>
      <c r="R12" s="8">
        <f t="shared" si="2"/>
        <v>388104</v>
      </c>
      <c r="S12" s="8">
        <f t="shared" si="2"/>
        <v>428721</v>
      </c>
      <c r="T12" s="8">
        <f t="shared" si="2"/>
        <v>478454</v>
      </c>
      <c r="U12" s="8">
        <f t="shared" si="2"/>
        <v>0</v>
      </c>
      <c r="V12" s="8">
        <f t="shared" si="2"/>
        <v>0</v>
      </c>
      <c r="W12" s="8">
        <f t="shared" si="2"/>
        <v>0</v>
      </c>
      <c r="X12" s="8">
        <f t="shared" si="2"/>
        <v>0</v>
      </c>
      <c r="Y12" s="8">
        <f t="shared" si="2"/>
        <v>0</v>
      </c>
      <c r="Z12" s="8">
        <f t="shared" si="2"/>
        <v>0</v>
      </c>
      <c r="AA12" s="8">
        <f t="shared" si="2"/>
        <v>0</v>
      </c>
    </row>
    <row r="13" spans="2:63" s="5" customFormat="1" x14ac:dyDescent="0.35">
      <c r="B13" s="5" t="s">
        <v>43</v>
      </c>
      <c r="L13" s="5">
        <v>75100</v>
      </c>
      <c r="M13" s="5">
        <v>88000</v>
      </c>
      <c r="N13" s="5">
        <v>88000</v>
      </c>
      <c r="O13" s="5">
        <v>88000</v>
      </c>
      <c r="P13" s="5">
        <v>97132</v>
      </c>
      <c r="Q13" s="5">
        <v>100887</v>
      </c>
      <c r="R13" s="5">
        <v>103887</v>
      </c>
      <c r="S13" s="5">
        <v>106000</v>
      </c>
      <c r="T13" s="5">
        <v>106000</v>
      </c>
    </row>
    <row r="14" spans="2:63" s="8" customFormat="1" x14ac:dyDescent="0.35">
      <c r="B14" s="8" t="s">
        <v>44</v>
      </c>
      <c r="H14" s="8">
        <f>SUM(H12:H13)</f>
        <v>0</v>
      </c>
      <c r="I14" s="8">
        <f t="shared" ref="I14:AA14" si="3">SUM(I12:I13)</f>
        <v>0</v>
      </c>
      <c r="J14" s="8">
        <f t="shared" si="3"/>
        <v>0</v>
      </c>
      <c r="K14" s="8">
        <f t="shared" si="3"/>
        <v>0</v>
      </c>
      <c r="L14" s="8">
        <f t="shared" si="3"/>
        <v>317000</v>
      </c>
      <c r="M14" s="8">
        <f t="shared" si="3"/>
        <v>334800</v>
      </c>
      <c r="N14" s="8">
        <f t="shared" si="3"/>
        <v>349700</v>
      </c>
      <c r="O14" s="8">
        <f t="shared" si="3"/>
        <v>406757</v>
      </c>
      <c r="P14" s="8">
        <f t="shared" si="3"/>
        <v>447158</v>
      </c>
      <c r="Q14" s="8">
        <f t="shared" si="3"/>
        <v>463095</v>
      </c>
      <c r="R14" s="8">
        <f t="shared" si="3"/>
        <v>491991</v>
      </c>
      <c r="S14" s="8">
        <f t="shared" si="3"/>
        <v>534721</v>
      </c>
      <c r="T14" s="8">
        <f t="shared" si="3"/>
        <v>584454</v>
      </c>
      <c r="U14" s="8">
        <f t="shared" si="3"/>
        <v>0</v>
      </c>
      <c r="V14" s="8">
        <f t="shared" si="3"/>
        <v>0</v>
      </c>
      <c r="W14" s="8">
        <f t="shared" si="3"/>
        <v>0</v>
      </c>
      <c r="X14" s="8">
        <f t="shared" si="3"/>
        <v>0</v>
      </c>
      <c r="Y14" s="8">
        <f t="shared" si="3"/>
        <v>0</v>
      </c>
      <c r="Z14" s="8">
        <f t="shared" si="3"/>
        <v>0</v>
      </c>
      <c r="AA14" s="8">
        <f t="shared" si="3"/>
        <v>0</v>
      </c>
    </row>
    <row r="15" spans="2:63" s="9" customFormat="1" x14ac:dyDescent="0.35">
      <c r="B15" s="9" t="s">
        <v>46</v>
      </c>
    </row>
    <row r="16" spans="2:63" s="4" customFormat="1" x14ac:dyDescent="0.35">
      <c r="B16" s="4" t="s">
        <v>47</v>
      </c>
      <c r="L16" s="4">
        <v>2000</v>
      </c>
      <c r="M16" s="4">
        <v>2200</v>
      </c>
      <c r="N16" s="4">
        <v>3100</v>
      </c>
      <c r="O16" s="4">
        <v>716</v>
      </c>
      <c r="P16" s="4">
        <v>2852</v>
      </c>
      <c r="Q16" s="4">
        <v>4529</v>
      </c>
      <c r="R16" s="4">
        <v>4613</v>
      </c>
      <c r="S16" s="4">
        <v>7833</v>
      </c>
      <c r="T16" s="4">
        <v>11050</v>
      </c>
    </row>
    <row r="17" spans="2:27" s="5" customFormat="1" x14ac:dyDescent="0.35">
      <c r="B17" s="5" t="s">
        <v>48</v>
      </c>
      <c r="L17" s="5">
        <v>18700</v>
      </c>
      <c r="M17" s="5">
        <v>22400</v>
      </c>
      <c r="N17" s="5">
        <v>18100</v>
      </c>
      <c r="O17" s="5">
        <v>17687</v>
      </c>
      <c r="P17" s="5">
        <v>27578</v>
      </c>
      <c r="Q17" s="5">
        <v>29696</v>
      </c>
      <c r="R17" s="5">
        <v>25825</v>
      </c>
      <c r="S17" s="5">
        <v>43766</v>
      </c>
      <c r="T17" s="5">
        <v>90083</v>
      </c>
    </row>
    <row r="18" spans="2:27" s="4" customFormat="1" x14ac:dyDescent="0.35">
      <c r="B18" s="4" t="s">
        <v>49</v>
      </c>
      <c r="H18" s="4">
        <f>SUM(H16:H17)</f>
        <v>0</v>
      </c>
      <c r="I18" s="4">
        <f t="shared" ref="I18:AA18" si="4">SUM(I16:I17)</f>
        <v>0</v>
      </c>
      <c r="J18" s="4">
        <f t="shared" si="4"/>
        <v>0</v>
      </c>
      <c r="K18" s="4">
        <f t="shared" si="4"/>
        <v>0</v>
      </c>
      <c r="L18" s="4">
        <f t="shared" si="4"/>
        <v>20700</v>
      </c>
      <c r="M18" s="4">
        <f t="shared" si="4"/>
        <v>24600</v>
      </c>
      <c r="N18" s="4">
        <f t="shared" si="4"/>
        <v>21200</v>
      </c>
      <c r="O18" s="4">
        <f t="shared" si="4"/>
        <v>18403</v>
      </c>
      <c r="P18" s="4">
        <f t="shared" si="4"/>
        <v>30430</v>
      </c>
      <c r="Q18" s="4">
        <f t="shared" si="4"/>
        <v>34225</v>
      </c>
      <c r="R18" s="4">
        <f t="shared" si="4"/>
        <v>30438</v>
      </c>
      <c r="S18" s="4">
        <f t="shared" si="4"/>
        <v>51599</v>
      </c>
      <c r="T18" s="4">
        <f t="shared" si="4"/>
        <v>101133</v>
      </c>
      <c r="U18" s="4">
        <f t="shared" si="4"/>
        <v>0</v>
      </c>
      <c r="V18" s="4">
        <f t="shared" si="4"/>
        <v>0</v>
      </c>
      <c r="W18" s="4">
        <f t="shared" si="4"/>
        <v>0</v>
      </c>
      <c r="X18" s="4">
        <f t="shared" si="4"/>
        <v>0</v>
      </c>
      <c r="Y18" s="4">
        <f t="shared" si="4"/>
        <v>0</v>
      </c>
      <c r="Z18" s="4">
        <f t="shared" si="4"/>
        <v>0</v>
      </c>
      <c r="AA18" s="4">
        <f t="shared" si="4"/>
        <v>0</v>
      </c>
    </row>
    <row r="20" spans="2:27" s="11" customFormat="1" x14ac:dyDescent="0.35">
      <c r="B20" s="11" t="s">
        <v>50</v>
      </c>
    </row>
    <row r="21" spans="2:27" s="12" customFormat="1" x14ac:dyDescent="0.35">
      <c r="B21" s="12" t="s">
        <v>38</v>
      </c>
      <c r="H21" s="12" t="e">
        <f>H8/H$12</f>
        <v>#DIV/0!</v>
      </c>
      <c r="I21" s="12" t="e">
        <f t="shared" ref="I21:AA21" si="5">I8/I$12</f>
        <v>#DIV/0!</v>
      </c>
      <c r="J21" s="12" t="e">
        <f t="shared" si="5"/>
        <v>#DIV/0!</v>
      </c>
      <c r="K21" s="12" t="e">
        <f t="shared" si="5"/>
        <v>#DIV/0!</v>
      </c>
      <c r="L21" s="12">
        <f t="shared" si="5"/>
        <v>0.73749483257544435</v>
      </c>
      <c r="M21" s="12">
        <f t="shared" si="5"/>
        <v>0.72001620745542949</v>
      </c>
      <c r="N21" s="12">
        <f t="shared" si="5"/>
        <v>0.6790217806648835</v>
      </c>
      <c r="O21" s="12">
        <f t="shared" si="5"/>
        <v>0.52738292806118769</v>
      </c>
      <c r="P21" s="12">
        <f t="shared" si="5"/>
        <v>0.49472610606069262</v>
      </c>
      <c r="Q21" s="12">
        <f t="shared" si="5"/>
        <v>0.46566613658450395</v>
      </c>
      <c r="R21" s="12">
        <f t="shared" si="5"/>
        <v>0.45241481664708427</v>
      </c>
      <c r="S21" s="12">
        <f t="shared" si="5"/>
        <v>0.45043746399173357</v>
      </c>
      <c r="T21" s="12">
        <f t="shared" si="5"/>
        <v>0.45823004928373468</v>
      </c>
      <c r="U21" s="12" t="e">
        <f t="shared" si="5"/>
        <v>#DIV/0!</v>
      </c>
      <c r="V21" s="12" t="e">
        <f t="shared" si="5"/>
        <v>#DIV/0!</v>
      </c>
      <c r="W21" s="12" t="e">
        <f t="shared" si="5"/>
        <v>#DIV/0!</v>
      </c>
      <c r="X21" s="12" t="e">
        <f t="shared" si="5"/>
        <v>#DIV/0!</v>
      </c>
      <c r="Y21" s="12" t="e">
        <f t="shared" si="5"/>
        <v>#DIV/0!</v>
      </c>
      <c r="Z21" s="12" t="e">
        <f t="shared" si="5"/>
        <v>#DIV/0!</v>
      </c>
      <c r="AA21" s="12" t="e">
        <f t="shared" si="5"/>
        <v>#DIV/0!</v>
      </c>
    </row>
    <row r="22" spans="2:27" s="12" customFormat="1" x14ac:dyDescent="0.35">
      <c r="B22" s="12" t="s">
        <v>39</v>
      </c>
      <c r="H22" s="12" t="e">
        <f>H9/H$12</f>
        <v>#DIV/0!</v>
      </c>
      <c r="I22" s="12" t="e">
        <f t="shared" ref="I22:AA22" si="6">I9/I$12</f>
        <v>#DIV/0!</v>
      </c>
      <c r="J22" s="12" t="e">
        <f t="shared" si="6"/>
        <v>#DIV/0!</v>
      </c>
      <c r="K22" s="12" t="e">
        <f t="shared" si="6"/>
        <v>#DIV/0!</v>
      </c>
      <c r="L22" s="12">
        <f t="shared" si="6"/>
        <v>0.25341050020669698</v>
      </c>
      <c r="M22" s="12">
        <f t="shared" si="6"/>
        <v>0.2653970826580227</v>
      </c>
      <c r="N22" s="12">
        <f t="shared" si="6"/>
        <v>0.28314864348490637</v>
      </c>
      <c r="O22" s="12">
        <f t="shared" si="6"/>
        <v>0.26683021863049283</v>
      </c>
      <c r="P22" s="12">
        <f t="shared" si="6"/>
        <v>0.27550810511219165</v>
      </c>
      <c r="Q22" s="12">
        <f t="shared" si="6"/>
        <v>0.26774946991783727</v>
      </c>
      <c r="R22" s="12">
        <f t="shared" si="6"/>
        <v>0.28579710593036917</v>
      </c>
      <c r="S22" s="12">
        <f t="shared" si="6"/>
        <v>0.29159989830215921</v>
      </c>
      <c r="T22" s="12">
        <f t="shared" si="6"/>
        <v>0.29477441927541626</v>
      </c>
      <c r="U22" s="12" t="e">
        <f t="shared" si="6"/>
        <v>#DIV/0!</v>
      </c>
      <c r="V22" s="12" t="e">
        <f t="shared" si="6"/>
        <v>#DIV/0!</v>
      </c>
      <c r="W22" s="12" t="e">
        <f t="shared" si="6"/>
        <v>#DIV/0!</v>
      </c>
      <c r="X22" s="12" t="e">
        <f t="shared" si="6"/>
        <v>#DIV/0!</v>
      </c>
      <c r="Y22" s="12" t="e">
        <f t="shared" si="6"/>
        <v>#DIV/0!</v>
      </c>
      <c r="Z22" s="12" t="e">
        <f t="shared" si="6"/>
        <v>#DIV/0!</v>
      </c>
      <c r="AA22" s="12" t="e">
        <f t="shared" si="6"/>
        <v>#DIV/0!</v>
      </c>
    </row>
    <row r="23" spans="2:27" s="12" customFormat="1" x14ac:dyDescent="0.35">
      <c r="B23" s="12" t="s">
        <v>40</v>
      </c>
      <c r="H23" s="12" t="e">
        <f>H10/H$12</f>
        <v>#DIV/0!</v>
      </c>
      <c r="I23" s="12" t="e">
        <f t="shared" ref="I23:AA23" si="7">I10/I$12</f>
        <v>#DIV/0!</v>
      </c>
      <c r="J23" s="12" t="e">
        <f t="shared" si="7"/>
        <v>#DIV/0!</v>
      </c>
      <c r="K23" s="12" t="e">
        <f t="shared" si="7"/>
        <v>#DIV/0!</v>
      </c>
      <c r="L23" s="12">
        <f t="shared" si="7"/>
        <v>0</v>
      </c>
      <c r="M23" s="12">
        <f t="shared" si="7"/>
        <v>0</v>
      </c>
      <c r="N23" s="12">
        <f t="shared" si="7"/>
        <v>0</v>
      </c>
      <c r="O23" s="12">
        <f t="shared" si="7"/>
        <v>7.8646116006864164E-2</v>
      </c>
      <c r="P23" s="12">
        <f t="shared" si="7"/>
        <v>8.7007822276059493E-2</v>
      </c>
      <c r="Q23" s="12">
        <f t="shared" si="7"/>
        <v>9.9277210884353748E-2</v>
      </c>
      <c r="R23" s="12">
        <f t="shared" si="7"/>
        <v>0.11076927833776513</v>
      </c>
      <c r="S23" s="12">
        <f t="shared" si="7"/>
        <v>0.119292033746889</v>
      </c>
      <c r="T23" s="12">
        <f t="shared" si="7"/>
        <v>0.12096878696802618</v>
      </c>
      <c r="U23" s="12" t="e">
        <f t="shared" si="7"/>
        <v>#DIV/0!</v>
      </c>
      <c r="V23" s="12" t="e">
        <f t="shared" si="7"/>
        <v>#DIV/0!</v>
      </c>
      <c r="W23" s="12" t="e">
        <f t="shared" si="7"/>
        <v>#DIV/0!</v>
      </c>
      <c r="X23" s="12" t="e">
        <f t="shared" si="7"/>
        <v>#DIV/0!</v>
      </c>
      <c r="Y23" s="12" t="e">
        <f t="shared" si="7"/>
        <v>#DIV/0!</v>
      </c>
      <c r="Z23" s="12" t="e">
        <f t="shared" si="7"/>
        <v>#DIV/0!</v>
      </c>
      <c r="AA23" s="12" t="e">
        <f t="shared" si="7"/>
        <v>#DIV/0!</v>
      </c>
    </row>
    <row r="24" spans="2:27" s="13" customFormat="1" x14ac:dyDescent="0.35">
      <c r="B24" s="13" t="s">
        <v>41</v>
      </c>
      <c r="H24" s="13" t="e">
        <f>H11/H$12</f>
        <v>#DIV/0!</v>
      </c>
      <c r="I24" s="13" t="e">
        <f t="shared" ref="I24:AA24" si="8">I11/I$12</f>
        <v>#DIV/0!</v>
      </c>
      <c r="J24" s="13" t="e">
        <f t="shared" si="8"/>
        <v>#DIV/0!</v>
      </c>
      <c r="K24" s="13" t="e">
        <f t="shared" si="8"/>
        <v>#DIV/0!</v>
      </c>
      <c r="L24" s="13">
        <f t="shared" si="8"/>
        <v>9.094667217858619E-3</v>
      </c>
      <c r="M24" s="13">
        <f t="shared" si="8"/>
        <v>1.4586709886547812E-2</v>
      </c>
      <c r="N24" s="13">
        <f t="shared" si="8"/>
        <v>3.7829575850210163E-2</v>
      </c>
      <c r="O24" s="13">
        <f t="shared" si="8"/>
        <v>0.12714073730145534</v>
      </c>
      <c r="P24" s="13">
        <f t="shared" si="8"/>
        <v>0.14275796655105621</v>
      </c>
      <c r="Q24" s="13">
        <f t="shared" si="8"/>
        <v>0.16730718261330507</v>
      </c>
      <c r="R24" s="13">
        <f t="shared" si="8"/>
        <v>0.15101879908478139</v>
      </c>
      <c r="S24" s="13">
        <f t="shared" si="8"/>
        <v>0.13867060395921824</v>
      </c>
      <c r="T24" s="13">
        <f t="shared" si="8"/>
        <v>0.12602674447282289</v>
      </c>
      <c r="U24" s="13" t="e">
        <f t="shared" si="8"/>
        <v>#DIV/0!</v>
      </c>
      <c r="V24" s="13" t="e">
        <f t="shared" si="8"/>
        <v>#DIV/0!</v>
      </c>
      <c r="W24" s="13" t="e">
        <f t="shared" si="8"/>
        <v>#DIV/0!</v>
      </c>
      <c r="X24" s="13" t="e">
        <f t="shared" si="8"/>
        <v>#DIV/0!</v>
      </c>
      <c r="Y24" s="13" t="e">
        <f t="shared" si="8"/>
        <v>#DIV/0!</v>
      </c>
      <c r="Z24" s="13" t="e">
        <f t="shared" si="8"/>
        <v>#DIV/0!</v>
      </c>
      <c r="AA24" s="13" t="e">
        <f t="shared" si="8"/>
        <v>#DIV/0!</v>
      </c>
    </row>
    <row r="25" spans="2:27" x14ac:dyDescent="0.35">
      <c r="B25" s="8" t="s">
        <v>42</v>
      </c>
      <c r="H25" s="12" t="e">
        <f>SUM(H21:H24)</f>
        <v>#DIV/0!</v>
      </c>
      <c r="I25" s="12" t="e">
        <f t="shared" ref="I25:AA25" si="9">SUM(I21:I24)</f>
        <v>#DIV/0!</v>
      </c>
      <c r="J25" s="12" t="e">
        <f t="shared" si="9"/>
        <v>#DIV/0!</v>
      </c>
      <c r="K25" s="12" t="e">
        <f t="shared" si="9"/>
        <v>#DIV/0!</v>
      </c>
      <c r="L25" s="12">
        <f t="shared" si="9"/>
        <v>0.99999999999999989</v>
      </c>
      <c r="M25" s="12">
        <f t="shared" si="9"/>
        <v>1</v>
      </c>
      <c r="N25" s="12">
        <f t="shared" si="9"/>
        <v>1</v>
      </c>
      <c r="O25" s="12">
        <f t="shared" si="9"/>
        <v>1</v>
      </c>
      <c r="P25" s="12">
        <f t="shared" si="9"/>
        <v>1</v>
      </c>
      <c r="Q25" s="12">
        <f t="shared" si="9"/>
        <v>1</v>
      </c>
      <c r="R25" s="12">
        <f t="shared" si="9"/>
        <v>1</v>
      </c>
      <c r="S25" s="12">
        <f t="shared" si="9"/>
        <v>1</v>
      </c>
      <c r="T25" s="12">
        <f t="shared" si="9"/>
        <v>1</v>
      </c>
      <c r="U25" s="12" t="e">
        <f t="shared" si="9"/>
        <v>#DIV/0!</v>
      </c>
      <c r="V25" s="12" t="e">
        <f t="shared" si="9"/>
        <v>#DIV/0!</v>
      </c>
      <c r="W25" s="12" t="e">
        <f t="shared" si="9"/>
        <v>#DIV/0!</v>
      </c>
      <c r="X25" s="12" t="e">
        <f t="shared" si="9"/>
        <v>#DIV/0!</v>
      </c>
      <c r="Y25" s="12" t="e">
        <f t="shared" si="9"/>
        <v>#DIV/0!</v>
      </c>
      <c r="Z25" s="12" t="e">
        <f t="shared" si="9"/>
        <v>#DIV/0!</v>
      </c>
      <c r="AA25" s="12" t="e">
        <f t="shared" si="9"/>
        <v>#DIV/0!</v>
      </c>
    </row>
    <row r="31" spans="2:27" s="3" customFormat="1" x14ac:dyDescent="0.35">
      <c r="B31" s="3" t="s">
        <v>21</v>
      </c>
    </row>
    <row r="32" spans="2:27" s="4" customFormat="1" x14ac:dyDescent="0.35">
      <c r="B32" s="4" t="s">
        <v>22</v>
      </c>
      <c r="L32" s="4">
        <v>411378</v>
      </c>
      <c r="M32" s="4">
        <v>433640</v>
      </c>
      <c r="N32" s="4">
        <v>448046</v>
      </c>
      <c r="O32" s="4">
        <v>523008</v>
      </c>
      <c r="P32" s="4">
        <v>560444</v>
      </c>
      <c r="Q32" s="4">
        <v>583439</v>
      </c>
      <c r="R32" s="4">
        <v>614500</v>
      </c>
      <c r="S32" s="4">
        <v>721034</v>
      </c>
      <c r="T32" s="4">
        <v>790723</v>
      </c>
      <c r="U32" s="4">
        <f>T32*(1+U53)</f>
        <v>909331.45</v>
      </c>
      <c r="V32" s="4">
        <f t="shared" ref="V32:AA32" si="10">U32*(1+V53)</f>
        <v>1045731.1674999999</v>
      </c>
      <c r="W32" s="4">
        <f t="shared" si="10"/>
        <v>1202590.8426249998</v>
      </c>
      <c r="X32" s="4">
        <f t="shared" si="10"/>
        <v>1382979.4690187497</v>
      </c>
      <c r="Y32" s="4">
        <f t="shared" si="10"/>
        <v>1590426.3893715621</v>
      </c>
      <c r="Z32" s="4">
        <f t="shared" si="10"/>
        <v>1828990.3477772963</v>
      </c>
      <c r="AA32" s="4">
        <f t="shared" si="10"/>
        <v>2103338.8999438905</v>
      </c>
    </row>
    <row r="33" spans="2:63" s="5" customFormat="1" x14ac:dyDescent="0.35">
      <c r="B33" s="5" t="s">
        <v>23</v>
      </c>
      <c r="L33" s="5">
        <f>60306+40807</f>
        <v>101113</v>
      </c>
      <c r="M33" s="5">
        <f>64958+44286</f>
        <v>109244</v>
      </c>
      <c r="N33" s="5">
        <f>80396+44445</f>
        <v>124841</v>
      </c>
      <c r="O33" s="5">
        <f>86016+56857</f>
        <v>142873</v>
      </c>
      <c r="P33" s="5">
        <f>94958+50186</f>
        <v>145144</v>
      </c>
      <c r="Q33" s="5">
        <f>91097+51596</f>
        <v>142693</v>
      </c>
      <c r="R33" s="5">
        <f>97020+53376</f>
        <v>150396</v>
      </c>
      <c r="S33" s="5">
        <f>115137+86012</f>
        <v>201149</v>
      </c>
      <c r="T33" s="5">
        <f>158710+66410</f>
        <v>225120</v>
      </c>
    </row>
    <row r="34" spans="2:63" s="4" customFormat="1" x14ac:dyDescent="0.35">
      <c r="B34" s="4" t="s">
        <v>24</v>
      </c>
      <c r="H34" s="4">
        <f>H32-H33</f>
        <v>0</v>
      </c>
      <c r="I34" s="4">
        <f t="shared" ref="I34:AA34" si="11">I32-I33</f>
        <v>0</v>
      </c>
      <c r="J34" s="4">
        <f t="shared" si="11"/>
        <v>0</v>
      </c>
      <c r="K34" s="4">
        <f t="shared" si="11"/>
        <v>0</v>
      </c>
      <c r="L34" s="4">
        <f t="shared" si="11"/>
        <v>310265</v>
      </c>
      <c r="M34" s="4">
        <f t="shared" si="11"/>
        <v>324396</v>
      </c>
      <c r="N34" s="4">
        <f t="shared" si="11"/>
        <v>323205</v>
      </c>
      <c r="O34" s="4">
        <f t="shared" si="11"/>
        <v>380135</v>
      </c>
      <c r="P34" s="4">
        <f t="shared" si="11"/>
        <v>415300</v>
      </c>
      <c r="Q34" s="4">
        <f t="shared" si="11"/>
        <v>440746</v>
      </c>
      <c r="R34" s="4">
        <f t="shared" si="11"/>
        <v>464104</v>
      </c>
      <c r="S34" s="4">
        <f t="shared" si="11"/>
        <v>519885</v>
      </c>
      <c r="T34" s="4">
        <f t="shared" si="11"/>
        <v>565603</v>
      </c>
      <c r="U34" s="4">
        <f>U32*U60</f>
        <v>672905.27299999993</v>
      </c>
      <c r="V34" s="4">
        <f t="shared" ref="V34:AA34" si="12">V32*V60</f>
        <v>773841.06394999987</v>
      </c>
      <c r="W34" s="4">
        <f t="shared" si="12"/>
        <v>889917.22354249982</v>
      </c>
      <c r="X34" s="4">
        <f t="shared" si="12"/>
        <v>1023404.8070738747</v>
      </c>
      <c r="Y34" s="4">
        <f t="shared" si="12"/>
        <v>1176915.5281349558</v>
      </c>
      <c r="Z34" s="4">
        <f t="shared" si="12"/>
        <v>1353452.8573551993</v>
      </c>
      <c r="AA34" s="4">
        <f t="shared" si="12"/>
        <v>1556470.7859584789</v>
      </c>
    </row>
    <row r="35" spans="2:63" s="4" customFormat="1" x14ac:dyDescent="0.35">
      <c r="B35" s="4" t="s">
        <v>25</v>
      </c>
      <c r="L35" s="4">
        <v>16144</v>
      </c>
      <c r="M35" s="4">
        <v>16079</v>
      </c>
      <c r="N35" s="4">
        <v>15247</v>
      </c>
      <c r="O35" s="4">
        <v>22429</v>
      </c>
      <c r="P35" s="4">
        <v>14310</v>
      </c>
      <c r="Q35" s="4">
        <v>12037</v>
      </c>
      <c r="R35" s="4">
        <v>11885</v>
      </c>
      <c r="S35" s="4">
        <v>16218</v>
      </c>
      <c r="T35" s="4">
        <v>20269</v>
      </c>
      <c r="U35" s="4">
        <f>T35*(1+U55)</f>
        <v>21687.83</v>
      </c>
      <c r="V35" s="4">
        <f t="shared" ref="V35:AA35" si="13">U35*(1+V55)</f>
        <v>23205.978100000004</v>
      </c>
      <c r="W35" s="4">
        <f t="shared" si="13"/>
        <v>24830.396567000007</v>
      </c>
      <c r="X35" s="4">
        <f t="shared" si="13"/>
        <v>26568.524326690011</v>
      </c>
      <c r="Y35" s="4">
        <f t="shared" si="13"/>
        <v>28428.321029558312</v>
      </c>
      <c r="Z35" s="4">
        <f t="shared" si="13"/>
        <v>30418.303501627397</v>
      </c>
      <c r="AA35" s="4">
        <f t="shared" si="13"/>
        <v>32547.584746741315</v>
      </c>
    </row>
    <row r="36" spans="2:63" s="4" customFormat="1" x14ac:dyDescent="0.35">
      <c r="B36" s="4" t="s">
        <v>26</v>
      </c>
      <c r="L36" s="4">
        <v>81445</v>
      </c>
      <c r="M36" s="4">
        <v>82552</v>
      </c>
      <c r="N36" s="4">
        <v>84405</v>
      </c>
      <c r="O36" s="4">
        <v>97846</v>
      </c>
      <c r="P36" s="4">
        <v>93165</v>
      </c>
      <c r="Q36" s="4">
        <v>90052</v>
      </c>
      <c r="R36" s="4">
        <v>100474</v>
      </c>
      <c r="S36" s="4">
        <v>123504</v>
      </c>
      <c r="T36" s="4">
        <v>143706</v>
      </c>
      <c r="U36" s="4">
        <f>T36*(1+U56)</f>
        <v>155202.48000000001</v>
      </c>
      <c r="V36" s="4">
        <f t="shared" ref="V36:AA36" si="14">U36*(1+V56)</f>
        <v>167618.67840000003</v>
      </c>
      <c r="W36" s="4">
        <f t="shared" si="14"/>
        <v>181028.17267200004</v>
      </c>
      <c r="X36" s="4">
        <f t="shared" si="14"/>
        <v>195510.42648576005</v>
      </c>
      <c r="Y36" s="4">
        <f t="shared" si="14"/>
        <v>211151.26060462088</v>
      </c>
      <c r="Z36" s="4">
        <f t="shared" si="14"/>
        <v>228043.36145299056</v>
      </c>
      <c r="AA36" s="4">
        <f t="shared" si="14"/>
        <v>246286.83036922984</v>
      </c>
    </row>
    <row r="37" spans="2:63" s="5" customFormat="1" x14ac:dyDescent="0.35">
      <c r="B37" s="5" t="s">
        <v>27</v>
      </c>
      <c r="L37" s="5">
        <f>51834+87039</f>
        <v>138873</v>
      </c>
      <c r="M37" s="5">
        <v>49394</v>
      </c>
      <c r="N37" s="5">
        <f>122266-14189</f>
        <v>108077</v>
      </c>
      <c r="O37" s="5">
        <v>218207</v>
      </c>
      <c r="P37" s="5">
        <v>297705</v>
      </c>
      <c r="Q37" s="5">
        <v>303174</v>
      </c>
      <c r="R37" s="5">
        <v>305431</v>
      </c>
      <c r="S37" s="5">
        <v>303484</v>
      </c>
      <c r="T37" s="5">
        <v>320000</v>
      </c>
      <c r="U37" s="4">
        <f>T37*(1+U57)</f>
        <v>352000</v>
      </c>
      <c r="V37" s="4">
        <f t="shared" ref="V37:AA37" si="15">U37*(1+V57)</f>
        <v>387200.00000000006</v>
      </c>
      <c r="W37" s="4">
        <f t="shared" si="15"/>
        <v>425920.00000000012</v>
      </c>
      <c r="X37" s="4">
        <f t="shared" si="15"/>
        <v>468512.00000000017</v>
      </c>
      <c r="Y37" s="4">
        <f t="shared" si="15"/>
        <v>515363.20000000024</v>
      </c>
      <c r="Z37" s="4">
        <f t="shared" si="15"/>
        <v>566899.52000000037</v>
      </c>
      <c r="AA37" s="4">
        <f t="shared" si="15"/>
        <v>623589.47200000042</v>
      </c>
    </row>
    <row r="38" spans="2:63" s="6" customFormat="1" x14ac:dyDescent="0.35">
      <c r="B38" s="6" t="s">
        <v>28</v>
      </c>
      <c r="H38" s="6">
        <f>SUM(H35:H37)</f>
        <v>0</v>
      </c>
      <c r="I38" s="6">
        <f t="shared" ref="I38:AA38" si="16">SUM(I35:I37)</f>
        <v>0</v>
      </c>
      <c r="J38" s="6">
        <f t="shared" si="16"/>
        <v>0</v>
      </c>
      <c r="K38" s="6">
        <f t="shared" si="16"/>
        <v>0</v>
      </c>
      <c r="L38" s="6">
        <f t="shared" si="16"/>
        <v>236462</v>
      </c>
      <c r="M38" s="6">
        <f t="shared" si="16"/>
        <v>148025</v>
      </c>
      <c r="N38" s="6">
        <f t="shared" si="16"/>
        <v>207729</v>
      </c>
      <c r="O38" s="6">
        <f t="shared" si="16"/>
        <v>338482</v>
      </c>
      <c r="P38" s="6">
        <f t="shared" si="16"/>
        <v>405180</v>
      </c>
      <c r="Q38" s="6">
        <f t="shared" si="16"/>
        <v>405263</v>
      </c>
      <c r="R38" s="6">
        <f t="shared" si="16"/>
        <v>417790</v>
      </c>
      <c r="S38" s="6">
        <f t="shared" si="16"/>
        <v>443206</v>
      </c>
      <c r="T38" s="6">
        <f t="shared" si="16"/>
        <v>483975</v>
      </c>
      <c r="U38" s="6">
        <f t="shared" si="16"/>
        <v>528890.31000000006</v>
      </c>
      <c r="V38" s="6">
        <f t="shared" si="16"/>
        <v>578024.65650000004</v>
      </c>
      <c r="W38" s="6">
        <f t="shared" si="16"/>
        <v>631778.56923900021</v>
      </c>
      <c r="X38" s="6">
        <f t="shared" si="16"/>
        <v>690590.95081245026</v>
      </c>
      <c r="Y38" s="6">
        <f t="shared" si="16"/>
        <v>754942.78163417941</v>
      </c>
      <c r="Z38" s="6">
        <f t="shared" si="16"/>
        <v>825361.18495461834</v>
      </c>
      <c r="AA38" s="6">
        <f t="shared" si="16"/>
        <v>902423.88711597165</v>
      </c>
    </row>
    <row r="39" spans="2:63" s="4" customFormat="1" x14ac:dyDescent="0.35">
      <c r="B39" s="4" t="s">
        <v>29</v>
      </c>
      <c r="H39" s="4">
        <f>H34-H38</f>
        <v>0</v>
      </c>
      <c r="I39" s="4">
        <f t="shared" ref="I39:AA39" si="17">I34-I38</f>
        <v>0</v>
      </c>
      <c r="J39" s="4">
        <f t="shared" si="17"/>
        <v>0</v>
      </c>
      <c r="K39" s="4">
        <f t="shared" si="17"/>
        <v>0</v>
      </c>
      <c r="L39" s="4">
        <f t="shared" si="17"/>
        <v>73803</v>
      </c>
      <c r="M39" s="4">
        <f t="shared" si="17"/>
        <v>176371</v>
      </c>
      <c r="N39" s="4">
        <f t="shared" si="17"/>
        <v>115476</v>
      </c>
      <c r="O39" s="4">
        <f t="shared" si="17"/>
        <v>41653</v>
      </c>
      <c r="P39" s="4">
        <f t="shared" si="17"/>
        <v>10120</v>
      </c>
      <c r="Q39" s="4">
        <f t="shared" si="17"/>
        <v>35483</v>
      </c>
      <c r="R39" s="4">
        <f t="shared" si="17"/>
        <v>46314</v>
      </c>
      <c r="S39" s="4">
        <f t="shared" si="17"/>
        <v>76679</v>
      </c>
      <c r="T39" s="4">
        <f t="shared" si="17"/>
        <v>81628</v>
      </c>
      <c r="U39" s="4">
        <f t="shared" si="17"/>
        <v>144014.96299999987</v>
      </c>
      <c r="V39" s="4">
        <f t="shared" si="17"/>
        <v>195816.40744999982</v>
      </c>
      <c r="W39" s="4">
        <f t="shared" si="17"/>
        <v>258138.65430349961</v>
      </c>
      <c r="X39" s="4">
        <f t="shared" si="17"/>
        <v>332813.85626142449</v>
      </c>
      <c r="Y39" s="4">
        <f t="shared" si="17"/>
        <v>421972.74650077638</v>
      </c>
      <c r="Z39" s="4">
        <f t="shared" si="17"/>
        <v>528091.67240058095</v>
      </c>
      <c r="AA39" s="4">
        <f t="shared" si="17"/>
        <v>654046.89884250727</v>
      </c>
    </row>
    <row r="40" spans="2:63" s="4" customFormat="1" x14ac:dyDescent="0.35">
      <c r="B40" s="4" t="s">
        <v>30</v>
      </c>
      <c r="L40" s="4">
        <v>3069</v>
      </c>
      <c r="M40" s="4">
        <v>2934</v>
      </c>
      <c r="N40" s="4">
        <v>4328</v>
      </c>
      <c r="O40" s="4">
        <v>-55149</v>
      </c>
      <c r="P40" s="4">
        <v>-115396</v>
      </c>
      <c r="Q40" s="4">
        <v>-94271</v>
      </c>
      <c r="R40" s="4">
        <v>-73906</v>
      </c>
      <c r="S40" s="4">
        <v>-65089</v>
      </c>
      <c r="T40" s="4">
        <v>-90387</v>
      </c>
      <c r="U40" s="4">
        <v>0</v>
      </c>
      <c r="V40" s="4">
        <v>0</v>
      </c>
      <c r="W40" s="4">
        <v>0</v>
      </c>
      <c r="X40" s="4">
        <v>0</v>
      </c>
      <c r="Y40" s="4">
        <v>0</v>
      </c>
      <c r="Z40" s="4">
        <v>0</v>
      </c>
      <c r="AA40" s="4">
        <v>0</v>
      </c>
    </row>
    <row r="41" spans="2:63" s="4" customFormat="1" x14ac:dyDescent="0.35">
      <c r="B41" s="4" t="s">
        <v>31</v>
      </c>
      <c r="L41" s="4">
        <v>-3289</v>
      </c>
      <c r="M41" s="4">
        <v>-1346</v>
      </c>
      <c r="N41" s="4">
        <v>-25</v>
      </c>
      <c r="O41" s="4">
        <v>-7292</v>
      </c>
      <c r="P41" s="4">
        <v>-111710</v>
      </c>
      <c r="Q41" s="4">
        <v>-30209</v>
      </c>
      <c r="R41" s="4">
        <v>-879</v>
      </c>
      <c r="S41" s="4">
        <v>-1187</v>
      </c>
      <c r="T41" s="4">
        <v>0</v>
      </c>
      <c r="U41" s="4">
        <v>0</v>
      </c>
      <c r="V41" s="4">
        <v>0</v>
      </c>
      <c r="W41" s="4">
        <v>0</v>
      </c>
      <c r="X41" s="4">
        <v>0</v>
      </c>
      <c r="Y41" s="4">
        <v>0</v>
      </c>
      <c r="Z41" s="4">
        <v>0</v>
      </c>
      <c r="AA41" s="4">
        <v>0</v>
      </c>
    </row>
    <row r="42" spans="2:63" s="5" customFormat="1" x14ac:dyDescent="0.35">
      <c r="B42" s="5" t="s">
        <v>32</v>
      </c>
      <c r="L42" s="5">
        <v>-468</v>
      </c>
      <c r="M42" s="5">
        <v>206</v>
      </c>
      <c r="N42" s="5">
        <v>-207</v>
      </c>
      <c r="O42" s="5">
        <v>139</v>
      </c>
      <c r="P42" s="5">
        <v>-1133</v>
      </c>
      <c r="Q42" s="5">
        <v>33</v>
      </c>
      <c r="R42" s="5">
        <v>-417</v>
      </c>
      <c r="S42" s="5">
        <v>107</v>
      </c>
      <c r="T42" s="5">
        <v>4012</v>
      </c>
      <c r="U42" s="5">
        <v>0</v>
      </c>
      <c r="V42" s="5">
        <v>0</v>
      </c>
      <c r="W42" s="5">
        <v>0</v>
      </c>
      <c r="X42" s="5">
        <v>0</v>
      </c>
      <c r="Y42" s="5">
        <v>0</v>
      </c>
      <c r="Z42" s="5">
        <v>0</v>
      </c>
      <c r="AA42" s="5">
        <v>0</v>
      </c>
    </row>
    <row r="43" spans="2:63" s="4" customFormat="1" x14ac:dyDescent="0.35">
      <c r="B43" s="4" t="s">
        <v>33</v>
      </c>
      <c r="H43" s="4">
        <f>H39+SUM(H40:H42)</f>
        <v>0</v>
      </c>
      <c r="I43" s="4">
        <f t="shared" ref="I43:AA43" si="18">I39+SUM(I40:I42)</f>
        <v>0</v>
      </c>
      <c r="J43" s="4">
        <f t="shared" si="18"/>
        <v>0</v>
      </c>
      <c r="K43" s="4">
        <f t="shared" si="18"/>
        <v>0</v>
      </c>
      <c r="L43" s="4">
        <f t="shared" si="18"/>
        <v>73115</v>
      </c>
      <c r="M43" s="4">
        <f t="shared" si="18"/>
        <v>178165</v>
      </c>
      <c r="N43" s="4">
        <f t="shared" si="18"/>
        <v>119572</v>
      </c>
      <c r="O43" s="4">
        <f t="shared" si="18"/>
        <v>-20649</v>
      </c>
      <c r="P43" s="4">
        <f t="shared" si="18"/>
        <v>-218119</v>
      </c>
      <c r="Q43" s="4">
        <f t="shared" si="18"/>
        <v>-88964</v>
      </c>
      <c r="R43" s="4">
        <f t="shared" si="18"/>
        <v>-28888</v>
      </c>
      <c r="S43" s="4">
        <f t="shared" si="18"/>
        <v>10510</v>
      </c>
      <c r="T43" s="4">
        <f t="shared" si="18"/>
        <v>-4747</v>
      </c>
      <c r="U43" s="4">
        <f t="shared" si="18"/>
        <v>144014.96299999987</v>
      </c>
      <c r="V43" s="4">
        <f t="shared" si="18"/>
        <v>195816.40744999982</v>
      </c>
      <c r="W43" s="4">
        <f t="shared" si="18"/>
        <v>258138.65430349961</v>
      </c>
      <c r="X43" s="4">
        <f t="shared" si="18"/>
        <v>332813.85626142449</v>
      </c>
      <c r="Y43" s="4">
        <f t="shared" si="18"/>
        <v>421972.74650077638</v>
      </c>
      <c r="Z43" s="4">
        <f t="shared" si="18"/>
        <v>528091.67240058095</v>
      </c>
      <c r="AA43" s="4">
        <f t="shared" si="18"/>
        <v>654046.89884250727</v>
      </c>
    </row>
    <row r="44" spans="2:63" s="4" customFormat="1" x14ac:dyDescent="0.35">
      <c r="B44" s="4" t="s">
        <v>37</v>
      </c>
      <c r="L44" s="4">
        <v>-65992</v>
      </c>
      <c r="M44" s="4">
        <v>-67133</v>
      </c>
      <c r="N44" s="4">
        <v>114284</v>
      </c>
      <c r="O44" s="4">
        <v>7265</v>
      </c>
      <c r="P44" s="4">
        <v>56120</v>
      </c>
      <c r="Q44" s="4">
        <v>32910</v>
      </c>
      <c r="R44" s="4">
        <v>19569</v>
      </c>
      <c r="S44" s="4">
        <v>-292</v>
      </c>
      <c r="T44" s="4">
        <v>26251</v>
      </c>
      <c r="U44" s="4">
        <f>U43*U63</f>
        <v>36003.740749999968</v>
      </c>
      <c r="V44" s="4">
        <f t="shared" ref="V44:AA44" si="19">V43*V63</f>
        <v>48954.101862499956</v>
      </c>
      <c r="W44" s="4">
        <f t="shared" si="19"/>
        <v>64534.663575874903</v>
      </c>
      <c r="X44" s="4">
        <f t="shared" si="19"/>
        <v>83203.464065356122</v>
      </c>
      <c r="Y44" s="4">
        <f t="shared" si="19"/>
        <v>105493.1866251941</v>
      </c>
      <c r="Z44" s="4">
        <f t="shared" si="19"/>
        <v>132022.91810014524</v>
      </c>
      <c r="AA44" s="4">
        <f t="shared" si="19"/>
        <v>163511.72471062682</v>
      </c>
    </row>
    <row r="45" spans="2:63" s="5" customFormat="1" x14ac:dyDescent="0.35">
      <c r="B45" s="5" t="s">
        <v>34</v>
      </c>
      <c r="L45" s="5">
        <f>-7000-8436</f>
        <v>-15436</v>
      </c>
      <c r="M45" s="5">
        <f>-7000-8436</f>
        <v>-15436</v>
      </c>
      <c r="N45" s="5">
        <f>-1750-2109-5250-6327</f>
        <v>-15436</v>
      </c>
      <c r="O45" s="5">
        <f>-1750-2109-6290</f>
        <v>-10149</v>
      </c>
      <c r="P45" s="5">
        <v>-4194</v>
      </c>
      <c r="Q45" s="5">
        <v>0</v>
      </c>
      <c r="R45" s="5">
        <v>0</v>
      </c>
      <c r="S45" s="5">
        <v>-1496</v>
      </c>
      <c r="T45" s="5">
        <v>-6089</v>
      </c>
      <c r="U45" s="5">
        <v>0</v>
      </c>
      <c r="V45" s="5">
        <v>0</v>
      </c>
      <c r="W45" s="5">
        <v>0</v>
      </c>
      <c r="X45" s="5">
        <v>0</v>
      </c>
      <c r="Y45" s="5">
        <v>0</v>
      </c>
      <c r="Z45" s="5">
        <v>0</v>
      </c>
      <c r="AA45" s="5">
        <v>0</v>
      </c>
    </row>
    <row r="46" spans="2:63" s="4" customFormat="1" x14ac:dyDescent="0.35">
      <c r="B46" s="4" t="s">
        <v>35</v>
      </c>
      <c r="H46" s="4">
        <f>SUM(H43:H45)</f>
        <v>0</v>
      </c>
      <c r="I46" s="4">
        <f t="shared" ref="I46:AA46" si="20">SUM(I43:I45)</f>
        <v>0</v>
      </c>
      <c r="J46" s="4">
        <f t="shared" si="20"/>
        <v>0</v>
      </c>
      <c r="K46" s="4">
        <f t="shared" si="20"/>
        <v>0</v>
      </c>
      <c r="L46" s="4">
        <f t="shared" si="20"/>
        <v>-8313</v>
      </c>
      <c r="M46" s="4">
        <f t="shared" si="20"/>
        <v>95596</v>
      </c>
      <c r="N46" s="4">
        <f t="shared" si="20"/>
        <v>218420</v>
      </c>
      <c r="O46" s="4">
        <f t="shared" si="20"/>
        <v>-23533</v>
      </c>
      <c r="P46" s="4">
        <f t="shared" si="20"/>
        <v>-166193</v>
      </c>
      <c r="Q46" s="4">
        <f t="shared" si="20"/>
        <v>-56054</v>
      </c>
      <c r="R46" s="4">
        <f t="shared" si="20"/>
        <v>-9319</v>
      </c>
      <c r="S46" s="4">
        <f t="shared" si="20"/>
        <v>8722</v>
      </c>
      <c r="T46" s="4">
        <f t="shared" si="20"/>
        <v>15415</v>
      </c>
      <c r="U46" s="4">
        <f t="shared" si="20"/>
        <v>180018.70374999984</v>
      </c>
      <c r="V46" s="4">
        <f t="shared" si="20"/>
        <v>244770.50931249978</v>
      </c>
      <c r="W46" s="4">
        <f t="shared" si="20"/>
        <v>322673.31787937449</v>
      </c>
      <c r="X46" s="4">
        <f t="shared" si="20"/>
        <v>416017.32032678061</v>
      </c>
      <c r="Y46" s="4">
        <f t="shared" si="20"/>
        <v>527465.93312597042</v>
      </c>
      <c r="Z46" s="4">
        <f t="shared" si="20"/>
        <v>660114.59050072613</v>
      </c>
      <c r="AA46" s="4">
        <f t="shared" si="20"/>
        <v>817558.62355313404</v>
      </c>
      <c r="AB46" s="4">
        <f>AA46*(1+$AE$65)</f>
        <v>825734.20978866541</v>
      </c>
      <c r="AC46" s="4">
        <f t="shared" ref="AC46:BK46" si="21">AB46*(1+$AE$65)</f>
        <v>833991.55188655201</v>
      </c>
      <c r="AD46" s="4">
        <f t="shared" si="21"/>
        <v>842331.46740541758</v>
      </c>
      <c r="AE46" s="4">
        <f t="shared" si="21"/>
        <v>850754.78207947174</v>
      </c>
      <c r="AF46" s="4">
        <f t="shared" si="21"/>
        <v>859262.32990026649</v>
      </c>
      <c r="AG46" s="4">
        <f t="shared" si="21"/>
        <v>867854.95319926913</v>
      </c>
      <c r="AH46" s="4">
        <f t="shared" si="21"/>
        <v>876533.50273126177</v>
      </c>
      <c r="AI46" s="4">
        <f t="shared" si="21"/>
        <v>885298.8377585744</v>
      </c>
      <c r="AJ46" s="4">
        <f t="shared" si="21"/>
        <v>894151.82613616018</v>
      </c>
      <c r="AK46" s="4">
        <f t="shared" si="21"/>
        <v>903093.34439752181</v>
      </c>
      <c r="AL46" s="4">
        <f t="shared" si="21"/>
        <v>912124.27784149698</v>
      </c>
      <c r="AM46" s="4">
        <f t="shared" si="21"/>
        <v>921245.52061991196</v>
      </c>
      <c r="AN46" s="4">
        <f t="shared" si="21"/>
        <v>930457.97582611104</v>
      </c>
      <c r="AO46" s="4">
        <f t="shared" si="21"/>
        <v>939762.55558437214</v>
      </c>
      <c r="AP46" s="4">
        <f t="shared" si="21"/>
        <v>949160.18114021583</v>
      </c>
      <c r="AQ46" s="4">
        <f t="shared" si="21"/>
        <v>958651.78295161796</v>
      </c>
      <c r="AR46" s="4">
        <f t="shared" si="21"/>
        <v>968238.30078113417</v>
      </c>
      <c r="AS46" s="4">
        <f t="shared" si="21"/>
        <v>977920.68378894555</v>
      </c>
      <c r="AT46" s="4">
        <f t="shared" si="21"/>
        <v>987699.89062683505</v>
      </c>
      <c r="AU46" s="4">
        <f t="shared" si="21"/>
        <v>997576.88953310344</v>
      </c>
      <c r="AV46" s="4">
        <f t="shared" si="21"/>
        <v>1007552.6584284345</v>
      </c>
      <c r="AW46" s="4">
        <f t="shared" si="21"/>
        <v>1017628.1850127189</v>
      </c>
      <c r="AX46" s="4">
        <f t="shared" si="21"/>
        <v>1027804.466862846</v>
      </c>
      <c r="AY46" s="4">
        <f t="shared" si="21"/>
        <v>1038082.5115314745</v>
      </c>
      <c r="AZ46" s="4">
        <f t="shared" si="21"/>
        <v>1048463.3366467893</v>
      </c>
      <c r="BA46" s="4">
        <f t="shared" si="21"/>
        <v>1058947.9700132573</v>
      </c>
      <c r="BB46" s="4">
        <f t="shared" si="21"/>
        <v>1069537.4497133899</v>
      </c>
      <c r="BC46" s="4">
        <f t="shared" si="21"/>
        <v>1080232.8242105239</v>
      </c>
      <c r="BD46" s="4">
        <f t="shared" si="21"/>
        <v>1091035.1524526291</v>
      </c>
      <c r="BE46" s="4">
        <f t="shared" si="21"/>
        <v>1101945.5039771553</v>
      </c>
      <c r="BF46" s="4">
        <f t="shared" si="21"/>
        <v>1112964.9590169268</v>
      </c>
      <c r="BG46" s="4">
        <f t="shared" si="21"/>
        <v>1124094.6086070961</v>
      </c>
      <c r="BH46" s="4">
        <f t="shared" si="21"/>
        <v>1135335.5546931671</v>
      </c>
      <c r="BI46" s="4">
        <f t="shared" si="21"/>
        <v>1146688.9102400988</v>
      </c>
      <c r="BJ46" s="4">
        <f t="shared" si="21"/>
        <v>1158155.7993424998</v>
      </c>
      <c r="BK46" s="4">
        <f t="shared" si="21"/>
        <v>1169737.3573359249</v>
      </c>
    </row>
    <row r="48" spans="2:63" s="14" customFormat="1" x14ac:dyDescent="0.35">
      <c r="B48" s="14" t="s">
        <v>36</v>
      </c>
      <c r="H48" s="14" t="e">
        <f>H46/H49</f>
        <v>#DIV/0!</v>
      </c>
      <c r="I48" s="14" t="e">
        <f t="shared" ref="I48:AA48" si="22">I46/I49</f>
        <v>#DIV/0!</v>
      </c>
      <c r="J48" s="14" t="e">
        <f t="shared" si="22"/>
        <v>#DIV/0!</v>
      </c>
      <c r="K48" s="14" t="e">
        <f t="shared" si="22"/>
        <v>#DIV/0!</v>
      </c>
      <c r="L48" s="14">
        <f t="shared" si="22"/>
        <v>-8.7416006814095087E-2</v>
      </c>
      <c r="M48" s="14">
        <f t="shared" si="22"/>
        <v>0.99613408775933399</v>
      </c>
      <c r="N48" s="14">
        <f t="shared" si="22"/>
        <v>2.2239773245137355</v>
      </c>
      <c r="O48" s="14">
        <f t="shared" si="22"/>
        <v>-0.20966787452219215</v>
      </c>
      <c r="P48" s="14">
        <f t="shared" si="22"/>
        <v>-1.2616076876288729</v>
      </c>
      <c r="Q48" s="14">
        <f t="shared" si="22"/>
        <v>-0.41744230861876125</v>
      </c>
      <c r="R48" s="14">
        <f t="shared" si="22"/>
        <v>-7.2592890935113286E-2</v>
      </c>
      <c r="S48" s="14">
        <f t="shared" si="22"/>
        <v>6.9240508860423405E-2</v>
      </c>
      <c r="T48" s="14">
        <f t="shared" si="22"/>
        <v>0.12589183318158528</v>
      </c>
      <c r="U48" s="14">
        <f t="shared" si="22"/>
        <v>1.4701885218790312</v>
      </c>
      <c r="V48" s="14">
        <f t="shared" si="22"/>
        <v>1.9990078019085946</v>
      </c>
      <c r="W48" s="14">
        <f t="shared" si="22"/>
        <v>2.6352295532673544</v>
      </c>
      <c r="X48" s="14">
        <f t="shared" si="22"/>
        <v>3.3975574565668181</v>
      </c>
      <c r="Y48" s="14">
        <f t="shared" si="22"/>
        <v>4.3077432756151319</v>
      </c>
      <c r="Z48" s="14">
        <f t="shared" si="22"/>
        <v>5.3910670050530527</v>
      </c>
      <c r="AA48" s="14">
        <f t="shared" si="22"/>
        <v>6.6768912300371923</v>
      </c>
    </row>
    <row r="49" spans="2:34" s="4" customFormat="1" x14ac:dyDescent="0.35">
      <c r="B49" s="4" t="s">
        <v>1</v>
      </c>
      <c r="L49" s="4">
        <v>95097</v>
      </c>
      <c r="M49" s="4">
        <v>95967</v>
      </c>
      <c r="N49" s="4">
        <v>98211.433000000005</v>
      </c>
      <c r="O49" s="4">
        <v>112239.417</v>
      </c>
      <c r="P49" s="4">
        <v>131731.125</v>
      </c>
      <c r="Q49" s="4">
        <v>134279.633</v>
      </c>
      <c r="R49" s="4">
        <v>128373.452</v>
      </c>
      <c r="S49" s="4">
        <v>125966.723</v>
      </c>
      <c r="T49" s="4">
        <v>122446.386</v>
      </c>
      <c r="U49" s="4">
        <v>122446</v>
      </c>
      <c r="V49" s="4">
        <v>122446</v>
      </c>
      <c r="W49" s="4">
        <v>122446</v>
      </c>
      <c r="X49" s="4">
        <v>122446</v>
      </c>
      <c r="Y49" s="4">
        <v>122446</v>
      </c>
      <c r="Z49" s="4">
        <v>122446</v>
      </c>
      <c r="AA49" s="4">
        <v>122446</v>
      </c>
    </row>
    <row r="50" spans="2:34" x14ac:dyDescent="0.35">
      <c r="B50" s="4" t="s">
        <v>51</v>
      </c>
      <c r="L50">
        <v>95097</v>
      </c>
      <c r="M50">
        <v>124875</v>
      </c>
      <c r="N50">
        <v>128130</v>
      </c>
    </row>
    <row r="52" spans="2:34" s="11" customFormat="1" x14ac:dyDescent="0.35">
      <c r="B52" s="11" t="s">
        <v>52</v>
      </c>
    </row>
    <row r="53" spans="2:34" s="12" customFormat="1" x14ac:dyDescent="0.35">
      <c r="B53" s="12" t="s">
        <v>22</v>
      </c>
      <c r="H53" s="12" t="e">
        <f>H32/G32-1</f>
        <v>#DIV/0!</v>
      </c>
      <c r="I53" s="12" t="e">
        <f t="shared" ref="I53:T53" si="23">I32/H32-1</f>
        <v>#DIV/0!</v>
      </c>
      <c r="J53" s="12" t="e">
        <f t="shared" si="23"/>
        <v>#DIV/0!</v>
      </c>
      <c r="K53" s="12" t="e">
        <f t="shared" si="23"/>
        <v>#DIV/0!</v>
      </c>
      <c r="L53" s="12" t="e">
        <f t="shared" si="23"/>
        <v>#DIV/0!</v>
      </c>
      <c r="M53" s="12">
        <f t="shared" si="23"/>
        <v>5.4115679496715918E-2</v>
      </c>
      <c r="N53" s="12">
        <f t="shared" si="23"/>
        <v>3.3221105064108469E-2</v>
      </c>
      <c r="O53" s="12">
        <f t="shared" si="23"/>
        <v>0.16730871383741852</v>
      </c>
      <c r="P53" s="12">
        <f t="shared" si="23"/>
        <v>7.1578255017131776E-2</v>
      </c>
      <c r="Q53" s="12">
        <f t="shared" si="23"/>
        <v>4.102996909593104E-2</v>
      </c>
      <c r="R53" s="12">
        <f t="shared" si="23"/>
        <v>5.3237784926958964E-2</v>
      </c>
      <c r="S53" s="12">
        <f t="shared" si="23"/>
        <v>0.17336696501220494</v>
      </c>
      <c r="T53" s="12">
        <f t="shared" si="23"/>
        <v>9.6651475519878405E-2</v>
      </c>
      <c r="U53" s="12">
        <v>0.15</v>
      </c>
      <c r="V53" s="12">
        <v>0.15</v>
      </c>
      <c r="W53" s="12">
        <v>0.15</v>
      </c>
      <c r="X53" s="12">
        <v>0.15</v>
      </c>
      <c r="Y53" s="12">
        <v>0.15</v>
      </c>
      <c r="Z53" s="12">
        <v>0.15</v>
      </c>
      <c r="AA53" s="12">
        <v>0.15</v>
      </c>
    </row>
    <row r="54" spans="2:34" s="12" customFormat="1" x14ac:dyDescent="0.35">
      <c r="B54" s="12" t="s">
        <v>58</v>
      </c>
      <c r="H54" s="12" t="e">
        <f>(H46-G46)/ABS(G46)</f>
        <v>#DIV/0!</v>
      </c>
      <c r="I54" s="12" t="e">
        <f t="shared" ref="I54:T54" si="24">(I46-H46)/ABS(H46)</f>
        <v>#DIV/0!</v>
      </c>
      <c r="J54" s="12" t="e">
        <f t="shared" si="24"/>
        <v>#DIV/0!</v>
      </c>
      <c r="K54" s="12" t="e">
        <f t="shared" si="24"/>
        <v>#DIV/0!</v>
      </c>
      <c r="L54" s="12" t="e">
        <f t="shared" si="24"/>
        <v>#DIV/0!</v>
      </c>
      <c r="M54" s="12">
        <f t="shared" si="24"/>
        <v>12.499578972693373</v>
      </c>
      <c r="N54" s="12">
        <f t="shared" si="24"/>
        <v>1.2848236327879827</v>
      </c>
      <c r="O54" s="12">
        <f t="shared" si="24"/>
        <v>-1.1077419650215181</v>
      </c>
      <c r="P54" s="12">
        <f t="shared" si="24"/>
        <v>-6.062125525857307</v>
      </c>
      <c r="Q54" s="12">
        <f t="shared" si="24"/>
        <v>0.66271744297292912</v>
      </c>
      <c r="R54" s="12">
        <f t="shared" si="24"/>
        <v>0.83374959860134867</v>
      </c>
      <c r="S54" s="12">
        <f t="shared" si="24"/>
        <v>1.9359373323317952</v>
      </c>
      <c r="T54" s="12">
        <f t="shared" si="24"/>
        <v>0.76736986929603301</v>
      </c>
    </row>
    <row r="55" spans="2:34" s="12" customFormat="1" x14ac:dyDescent="0.35">
      <c r="B55" s="12" t="s">
        <v>25</v>
      </c>
      <c r="H55" s="12" t="e">
        <f>H35/G35-1</f>
        <v>#DIV/0!</v>
      </c>
      <c r="I55" s="12" t="e">
        <f t="shared" ref="I55:T55" si="25">I35/H35-1</f>
        <v>#DIV/0!</v>
      </c>
      <c r="J55" s="12" t="e">
        <f t="shared" si="25"/>
        <v>#DIV/0!</v>
      </c>
      <c r="K55" s="12" t="e">
        <f t="shared" si="25"/>
        <v>#DIV/0!</v>
      </c>
      <c r="L55" s="12" t="e">
        <f t="shared" si="25"/>
        <v>#DIV/0!</v>
      </c>
      <c r="M55" s="12">
        <f t="shared" si="25"/>
        <v>-4.0262636273538099E-3</v>
      </c>
      <c r="N55" s="12">
        <f t="shared" si="25"/>
        <v>-5.1744511474594246E-2</v>
      </c>
      <c r="O55" s="12">
        <f t="shared" si="25"/>
        <v>0.47104348396405848</v>
      </c>
      <c r="P55" s="12">
        <f t="shared" si="25"/>
        <v>-0.36198671362967583</v>
      </c>
      <c r="Q55" s="12">
        <f t="shared" si="25"/>
        <v>-0.15883997204751921</v>
      </c>
      <c r="R55" s="12">
        <f t="shared" si="25"/>
        <v>-1.2627731162249689E-2</v>
      </c>
      <c r="S55" s="12">
        <f t="shared" si="25"/>
        <v>0.3645771981489272</v>
      </c>
      <c r="T55" s="12">
        <f t="shared" si="25"/>
        <v>0.24978419040572208</v>
      </c>
      <c r="U55" s="12">
        <v>7.0000000000000007E-2</v>
      </c>
      <c r="V55" s="12">
        <v>7.0000000000000007E-2</v>
      </c>
      <c r="W55" s="12">
        <v>7.0000000000000007E-2</v>
      </c>
      <c r="X55" s="12">
        <v>7.0000000000000007E-2</v>
      </c>
      <c r="Y55" s="12">
        <v>7.0000000000000007E-2</v>
      </c>
      <c r="Z55" s="12">
        <v>7.0000000000000007E-2</v>
      </c>
      <c r="AA55" s="12">
        <v>7.0000000000000007E-2</v>
      </c>
    </row>
    <row r="56" spans="2:34" s="12" customFormat="1" x14ac:dyDescent="0.35">
      <c r="B56" s="12" t="s">
        <v>26</v>
      </c>
      <c r="H56" s="12" t="e">
        <f>H36/G36-1</f>
        <v>#DIV/0!</v>
      </c>
      <c r="I56" s="12" t="e">
        <f t="shared" ref="I56:T56" si="26">I36/H36-1</f>
        <v>#DIV/0!</v>
      </c>
      <c r="J56" s="12" t="e">
        <f t="shared" si="26"/>
        <v>#DIV/0!</v>
      </c>
      <c r="K56" s="12" t="e">
        <f t="shared" si="26"/>
        <v>#DIV/0!</v>
      </c>
      <c r="L56" s="12" t="e">
        <f t="shared" si="26"/>
        <v>#DIV/0!</v>
      </c>
      <c r="M56" s="12">
        <f t="shared" si="26"/>
        <v>1.3591994597581092E-2</v>
      </c>
      <c r="N56" s="12">
        <f t="shared" si="26"/>
        <v>2.2446457990115354E-2</v>
      </c>
      <c r="O56" s="12">
        <f t="shared" si="26"/>
        <v>0.15924412060896875</v>
      </c>
      <c r="P56" s="12">
        <f t="shared" si="26"/>
        <v>-4.7840484025918228E-2</v>
      </c>
      <c r="Q56" s="12">
        <f t="shared" si="26"/>
        <v>-3.3413835667901015E-2</v>
      </c>
      <c r="R56" s="12">
        <f t="shared" si="26"/>
        <v>0.11573313196819623</v>
      </c>
      <c r="S56" s="12">
        <f t="shared" si="26"/>
        <v>0.22921352787785887</v>
      </c>
      <c r="T56" s="12">
        <f t="shared" si="26"/>
        <v>0.16357364943645547</v>
      </c>
      <c r="U56" s="12">
        <v>0.08</v>
      </c>
      <c r="V56" s="12">
        <v>0.08</v>
      </c>
      <c r="W56" s="12">
        <v>0.08</v>
      </c>
      <c r="X56" s="12">
        <v>0.08</v>
      </c>
      <c r="Y56" s="12">
        <v>0.08</v>
      </c>
      <c r="Z56" s="12">
        <v>0.08</v>
      </c>
      <c r="AA56" s="12">
        <v>0.08</v>
      </c>
    </row>
    <row r="57" spans="2:34" s="12" customFormat="1" x14ac:dyDescent="0.35">
      <c r="B57" s="12" t="s">
        <v>27</v>
      </c>
      <c r="H57" s="12" t="e">
        <f>H37/G37-1</f>
        <v>#DIV/0!</v>
      </c>
      <c r="I57" s="12" t="e">
        <f t="shared" ref="I57:T57" si="27">I37/H37-1</f>
        <v>#DIV/0!</v>
      </c>
      <c r="J57" s="12" t="e">
        <f t="shared" si="27"/>
        <v>#DIV/0!</v>
      </c>
      <c r="K57" s="12" t="e">
        <f t="shared" si="27"/>
        <v>#DIV/0!</v>
      </c>
      <c r="L57" s="12" t="e">
        <f t="shared" si="27"/>
        <v>#DIV/0!</v>
      </c>
      <c r="M57" s="12">
        <f t="shared" si="27"/>
        <v>-0.64432251049520062</v>
      </c>
      <c r="N57" s="12">
        <f t="shared" si="27"/>
        <v>1.1880592784548729</v>
      </c>
      <c r="O57" s="12">
        <f t="shared" si="27"/>
        <v>1.018995716017284</v>
      </c>
      <c r="P57" s="12">
        <f t="shared" si="27"/>
        <v>0.36432378429656254</v>
      </c>
      <c r="Q57" s="12">
        <f t="shared" si="27"/>
        <v>1.8370534589610577E-2</v>
      </c>
      <c r="R57" s="12">
        <f t="shared" si="27"/>
        <v>7.4445697850078485E-3</v>
      </c>
      <c r="S57" s="12">
        <f t="shared" si="27"/>
        <v>-6.3745985181595799E-3</v>
      </c>
      <c r="T57" s="12">
        <f t="shared" si="27"/>
        <v>5.4421320399098416E-2</v>
      </c>
      <c r="U57" s="12">
        <v>0.1</v>
      </c>
      <c r="V57" s="12">
        <v>0.1</v>
      </c>
      <c r="W57" s="12">
        <v>0.1</v>
      </c>
      <c r="X57" s="12">
        <v>0.1</v>
      </c>
      <c r="Y57" s="12">
        <v>0.1</v>
      </c>
      <c r="Z57" s="12">
        <v>0.1</v>
      </c>
      <c r="AA57" s="12">
        <v>0.1</v>
      </c>
    </row>
    <row r="59" spans="2:34" s="11" customFormat="1" x14ac:dyDescent="0.35">
      <c r="B59" s="11" t="s">
        <v>53</v>
      </c>
    </row>
    <row r="60" spans="2:34" s="12" customFormat="1" x14ac:dyDescent="0.35">
      <c r="B60" s="12" t="s">
        <v>54</v>
      </c>
      <c r="H60" s="12" t="e">
        <f>H34/H32</f>
        <v>#DIV/0!</v>
      </c>
      <c r="I60" s="12" t="e">
        <f t="shared" ref="I60:T60" si="28">I34/I32</f>
        <v>#DIV/0!</v>
      </c>
      <c r="J60" s="12" t="e">
        <f t="shared" si="28"/>
        <v>#DIV/0!</v>
      </c>
      <c r="K60" s="12" t="e">
        <f t="shared" si="28"/>
        <v>#DIV/0!</v>
      </c>
      <c r="L60" s="12">
        <f t="shared" si="28"/>
        <v>0.75420902430368175</v>
      </c>
      <c r="M60" s="12">
        <f t="shared" si="28"/>
        <v>0.74807674568766724</v>
      </c>
      <c r="N60" s="12">
        <f t="shared" si="28"/>
        <v>0.72136566334706709</v>
      </c>
      <c r="O60" s="12">
        <f t="shared" si="28"/>
        <v>0.72682444627998044</v>
      </c>
      <c r="P60" s="12">
        <f t="shared" si="28"/>
        <v>0.74101962015830303</v>
      </c>
      <c r="Q60" s="12">
        <f t="shared" si="28"/>
        <v>0.7554277310909967</v>
      </c>
      <c r="R60" s="12">
        <f t="shared" si="28"/>
        <v>0.75525467860048823</v>
      </c>
      <c r="S60" s="12">
        <f t="shared" si="28"/>
        <v>0.72102702507787431</v>
      </c>
      <c r="T60" s="12">
        <f t="shared" si="28"/>
        <v>0.7152985305852998</v>
      </c>
      <c r="U60" s="12">
        <v>0.74</v>
      </c>
      <c r="V60" s="12">
        <v>0.74</v>
      </c>
      <c r="W60" s="12">
        <v>0.74</v>
      </c>
      <c r="X60" s="12">
        <v>0.74</v>
      </c>
      <c r="Y60" s="12">
        <v>0.74</v>
      </c>
      <c r="Z60" s="12">
        <v>0.74</v>
      </c>
      <c r="AA60" s="12">
        <v>0.74</v>
      </c>
    </row>
    <row r="61" spans="2:34" s="12" customFormat="1" x14ac:dyDescent="0.35">
      <c r="B61" s="12" t="s">
        <v>55</v>
      </c>
      <c r="H61" s="12" t="e">
        <f>H39/H32</f>
        <v>#DIV/0!</v>
      </c>
      <c r="I61" s="12" t="e">
        <f t="shared" ref="I61:T61" si="29">I39/I32</f>
        <v>#DIV/0!</v>
      </c>
      <c r="J61" s="12" t="e">
        <f t="shared" si="29"/>
        <v>#DIV/0!</v>
      </c>
      <c r="K61" s="12" t="e">
        <f t="shared" si="29"/>
        <v>#DIV/0!</v>
      </c>
      <c r="L61" s="12">
        <f t="shared" si="29"/>
        <v>0.17940434345054912</v>
      </c>
      <c r="M61" s="12">
        <f t="shared" si="29"/>
        <v>0.40672216585185866</v>
      </c>
      <c r="N61" s="12">
        <f t="shared" si="29"/>
        <v>0.25773246497011465</v>
      </c>
      <c r="O61" s="12">
        <f t="shared" si="29"/>
        <v>7.9641229197258939E-2</v>
      </c>
      <c r="P61" s="12">
        <f t="shared" si="29"/>
        <v>1.8057111861309962E-2</v>
      </c>
      <c r="Q61" s="12">
        <f t="shared" si="29"/>
        <v>6.0816983437857255E-2</v>
      </c>
      <c r="R61" s="12">
        <f t="shared" si="29"/>
        <v>7.5368592351505295E-2</v>
      </c>
      <c r="S61" s="12">
        <f t="shared" si="29"/>
        <v>0.10634588660174139</v>
      </c>
      <c r="T61" s="12">
        <f t="shared" si="29"/>
        <v>0.10323210530109786</v>
      </c>
    </row>
    <row r="62" spans="2:34" s="12" customFormat="1" x14ac:dyDescent="0.35">
      <c r="B62" s="12" t="s">
        <v>56</v>
      </c>
      <c r="H62" s="12" t="e">
        <f>H46/H32</f>
        <v>#DIV/0!</v>
      </c>
      <c r="I62" s="12" t="e">
        <f t="shared" ref="I62:T62" si="30">I46/I32</f>
        <v>#DIV/0!</v>
      </c>
      <c r="J62" s="12" t="e">
        <f t="shared" si="30"/>
        <v>#DIV/0!</v>
      </c>
      <c r="K62" s="12" t="e">
        <f t="shared" si="30"/>
        <v>#DIV/0!</v>
      </c>
      <c r="L62" s="12">
        <f t="shared" si="30"/>
        <v>-2.0207692195499029E-2</v>
      </c>
      <c r="M62" s="12">
        <f t="shared" si="30"/>
        <v>0.22045014297574025</v>
      </c>
      <c r="N62" s="12">
        <f t="shared" si="30"/>
        <v>0.48749458760930797</v>
      </c>
      <c r="O62" s="12">
        <f t="shared" si="30"/>
        <v>-4.4995487640724426E-2</v>
      </c>
      <c r="P62" s="12">
        <f t="shared" si="30"/>
        <v>-0.29653810193346702</v>
      </c>
      <c r="Q62" s="12">
        <f t="shared" si="30"/>
        <v>-9.6075168098121652E-2</v>
      </c>
      <c r="R62" s="12">
        <f t="shared" si="30"/>
        <v>-1.5165174938974776E-2</v>
      </c>
      <c r="S62" s="12">
        <f t="shared" si="30"/>
        <v>1.2096516946496282E-2</v>
      </c>
      <c r="T62" s="12">
        <f t="shared" si="30"/>
        <v>1.9494816768957018E-2</v>
      </c>
    </row>
    <row r="63" spans="2:34" s="12" customFormat="1" x14ac:dyDescent="0.35">
      <c r="B63" s="12" t="s">
        <v>57</v>
      </c>
      <c r="H63" s="12" t="e">
        <f>H44/ABS(H43)</f>
        <v>#DIV/0!</v>
      </c>
      <c r="I63" s="12" t="e">
        <f t="shared" ref="I63:T63" si="31">I44/ABS(I43)</f>
        <v>#DIV/0!</v>
      </c>
      <c r="J63" s="12" t="e">
        <f t="shared" si="31"/>
        <v>#DIV/0!</v>
      </c>
      <c r="K63" s="12" t="e">
        <f t="shared" si="31"/>
        <v>#DIV/0!</v>
      </c>
      <c r="L63" s="12">
        <f t="shared" si="31"/>
        <v>-0.90257813034261092</v>
      </c>
      <c r="M63" s="12">
        <f t="shared" si="31"/>
        <v>-0.37680240226756095</v>
      </c>
      <c r="N63" s="12">
        <f t="shared" si="31"/>
        <v>0.95577559963871139</v>
      </c>
      <c r="O63" s="12">
        <f t="shared" si="31"/>
        <v>0.35183301854811372</v>
      </c>
      <c r="P63" s="12">
        <f t="shared" si="31"/>
        <v>0.25729074496031984</v>
      </c>
      <c r="Q63" s="12">
        <f t="shared" si="31"/>
        <v>0.36992491344813633</v>
      </c>
      <c r="R63" s="12">
        <f t="shared" si="31"/>
        <v>0.67740930490168927</v>
      </c>
      <c r="S63" s="12">
        <f t="shared" si="31"/>
        <v>-2.7783063748810656E-2</v>
      </c>
      <c r="T63" s="12">
        <f t="shared" si="31"/>
        <v>5.5300189593427431</v>
      </c>
      <c r="U63" s="12">
        <v>0.25</v>
      </c>
      <c r="V63" s="12">
        <v>0.25</v>
      </c>
      <c r="W63" s="12">
        <v>0.25</v>
      </c>
      <c r="X63" s="12">
        <v>0.25</v>
      </c>
      <c r="Y63" s="12">
        <v>0.25</v>
      </c>
      <c r="Z63" s="12">
        <v>0.25</v>
      </c>
      <c r="AA63" s="12">
        <v>0.25</v>
      </c>
    </row>
    <row r="64" spans="2:34" x14ac:dyDescent="0.35">
      <c r="AD64" s="10" t="e" vm="1">
        <v>#VALUE!</v>
      </c>
      <c r="AE64" s="10"/>
      <c r="AF64" s="10"/>
      <c r="AG64" s="10"/>
      <c r="AH64" s="10"/>
    </row>
    <row r="65" spans="21:31" x14ac:dyDescent="0.35">
      <c r="U65" t="s">
        <v>59</v>
      </c>
      <c r="AD65" s="11" t="s">
        <v>60</v>
      </c>
      <c r="AE65" s="12">
        <v>0.01</v>
      </c>
    </row>
    <row r="66" spans="21:31" x14ac:dyDescent="0.35">
      <c r="AD66" s="11" t="s">
        <v>61</v>
      </c>
      <c r="AE66" s="12">
        <v>0.1</v>
      </c>
    </row>
    <row r="67" spans="21:31" x14ac:dyDescent="0.35">
      <c r="AD67" s="11" t="s">
        <v>62</v>
      </c>
      <c r="AE67" s="15">
        <f>NPV(AE66,AB46:BK46)</f>
        <v>8750175.1103452519</v>
      </c>
    </row>
    <row r="68" spans="21:31" x14ac:dyDescent="0.35">
      <c r="AD68" s="11" t="s">
        <v>64</v>
      </c>
      <c r="AE68" s="16">
        <f>AE67/U49</f>
        <v>71.461502297708805</v>
      </c>
    </row>
    <row r="69" spans="21:31" x14ac:dyDescent="0.35">
      <c r="AD69" s="11" t="s">
        <v>63</v>
      </c>
      <c r="AE69" s="17" cm="1">
        <f t="array" ref="AE69">_FV(AD64,"Price")</f>
        <v>29.07</v>
      </c>
    </row>
    <row r="70" spans="21:31" x14ac:dyDescent="0.35">
      <c r="AD70" s="11" t="s">
        <v>65</v>
      </c>
      <c r="AE70" s="12">
        <f>AE69/AE68-1</f>
        <v>-0.59320754440769652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2024-07-29T05:47:14Z</dcterms:created>
  <dcterms:modified xsi:type="dcterms:W3CDTF">2024-07-29T10:33:34Z</dcterms:modified>
</cp:coreProperties>
</file>