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534a1defcf7f9d1a/Company Models CloudSave/TSLA/"/>
    </mc:Choice>
  </mc:AlternateContent>
  <xr:revisionPtr revIDLastSave="3025" documentId="11_1D8ED30D87B20E52BEB23E434571F0778683B241" xr6:coauthVersionLast="47" xr6:coauthVersionMax="47" xr10:uidLastSave="{DBA4F0CF-85EA-4CD0-9885-C547B4432016}"/>
  <bookViews>
    <workbookView xWindow="0" yWindow="0" windowWidth="19200" windowHeight="21600" activeTab="3" xr2:uid="{00000000-000D-0000-FFFF-FFFF00000000}"/>
  </bookViews>
  <sheets>
    <sheet name="Main" sheetId="1" r:id="rId1"/>
    <sheet name="Info" sheetId="2" r:id="rId2"/>
    <sheet name="Model" sheetId="3" r:id="rId3"/>
    <sheet name="New Model" sheetId="8" r:id="rId4"/>
    <sheet name="Summary" sheetId="4" r:id="rId5"/>
    <sheet name="Income Statement" sheetId="5" r:id="rId6"/>
    <sheet name="Balance Sheet" sheetId="6" r:id="rId7"/>
    <sheet name="Cash Flow"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68" i="8" l="1" a="1"/>
  <c r="AE68" i="8" s="1"/>
  <c r="T32" i="8"/>
  <c r="T30" i="8"/>
  <c r="H58" i="8"/>
  <c r="I58" i="8"/>
  <c r="J58" i="8"/>
  <c r="K58" i="8"/>
  <c r="L58" i="8"/>
  <c r="M58" i="8"/>
  <c r="N58" i="8"/>
  <c r="O58" i="8"/>
  <c r="P58" i="8"/>
  <c r="Q58" i="8"/>
  <c r="R58" i="8"/>
  <c r="G58" i="8"/>
  <c r="S58" i="8"/>
  <c r="U27" i="8"/>
  <c r="V27" i="8" s="1"/>
  <c r="W27" i="8" s="1"/>
  <c r="X27" i="8" s="1"/>
  <c r="Y27" i="8" s="1"/>
  <c r="Z27" i="8" s="1"/>
  <c r="Z30" i="8" s="1"/>
  <c r="T27" i="8"/>
  <c r="T31" i="8" s="1"/>
  <c r="T33" i="8" s="1"/>
  <c r="U1" i="8"/>
  <c r="V1" i="8" s="1"/>
  <c r="W1" i="8" s="1"/>
  <c r="X1" i="8" s="1"/>
  <c r="Y1" i="8" s="1"/>
  <c r="Z1" i="8" s="1"/>
  <c r="AA1" i="8" s="1"/>
  <c r="AB1" i="8" s="1"/>
  <c r="AC1" i="8" s="1"/>
  <c r="AD1" i="8" s="1"/>
  <c r="AE1" i="8" s="1"/>
  <c r="AF1" i="8" s="1"/>
  <c r="AG1" i="8" s="1"/>
  <c r="AH1" i="8" s="1"/>
  <c r="AI1" i="8" s="1"/>
  <c r="AJ1" i="8" s="1"/>
  <c r="AK1" i="8" s="1"/>
  <c r="AL1" i="8" s="1"/>
  <c r="AM1" i="8" s="1"/>
  <c r="AN1" i="8" s="1"/>
  <c r="AO1" i="8" s="1"/>
  <c r="AP1" i="8" s="1"/>
  <c r="AQ1" i="8" s="1"/>
  <c r="AR1" i="8" s="1"/>
  <c r="AS1" i="8" s="1"/>
  <c r="AT1" i="8" s="1"/>
  <c r="AU1" i="8" s="1"/>
  <c r="AV1" i="8" s="1"/>
  <c r="AW1" i="8" s="1"/>
  <c r="AX1" i="8" s="1"/>
  <c r="AY1" i="8" s="1"/>
  <c r="AZ1" i="8" s="1"/>
  <c r="BA1" i="8" s="1"/>
  <c r="BB1" i="8" s="1"/>
  <c r="BC1" i="8" s="1"/>
  <c r="BD1" i="8" s="1"/>
  <c r="BE1" i="8" s="1"/>
  <c r="BF1" i="8" s="1"/>
  <c r="BG1" i="8" s="1"/>
  <c r="BH1" i="8" s="1"/>
  <c r="BI1" i="8" s="1"/>
  <c r="BJ1" i="8" s="1"/>
  <c r="BK1" i="8" s="1"/>
  <c r="BL1" i="8" s="1"/>
  <c r="BM1" i="8" s="1"/>
  <c r="BN1" i="8" s="1"/>
  <c r="BO1" i="8" s="1"/>
  <c r="BP1" i="8" s="1"/>
  <c r="BQ1" i="8" s="1"/>
  <c r="BR1" i="8" s="1"/>
  <c r="BS1" i="8" s="1"/>
  <c r="BT1" i="8" s="1"/>
  <c r="BU1" i="8" s="1"/>
  <c r="BV1" i="8" s="1"/>
  <c r="BW1" i="8" s="1"/>
  <c r="BX1" i="8" s="1"/>
  <c r="BY1" i="8" s="1"/>
  <c r="BZ1" i="8" s="1"/>
  <c r="CA1" i="8" s="1"/>
  <c r="CB1" i="8" s="1"/>
  <c r="CC1" i="8" s="1"/>
  <c r="CD1" i="8" s="1"/>
  <c r="CE1" i="8" s="1"/>
  <c r="CF1" i="8" s="1"/>
  <c r="CG1" i="8" s="1"/>
  <c r="CH1" i="8" s="1"/>
  <c r="CI1" i="8" s="1"/>
  <c r="CJ1" i="8" s="1"/>
  <c r="CK1" i="8" s="1"/>
  <c r="CL1" i="8" s="1"/>
  <c r="CM1" i="8" s="1"/>
  <c r="CN1" i="8" s="1"/>
  <c r="CO1" i="8" s="1"/>
  <c r="CP1" i="8" s="1"/>
  <c r="CQ1" i="8" s="1"/>
  <c r="CR1" i="8" s="1"/>
  <c r="CS1" i="8" s="1"/>
  <c r="CT1" i="8" s="1"/>
  <c r="CU1" i="8" s="1"/>
  <c r="CV1" i="8" s="1"/>
  <c r="CW1" i="8" s="1"/>
  <c r="CX1" i="8" s="1"/>
  <c r="T1" i="8"/>
  <c r="H54" i="8"/>
  <c r="I54" i="8"/>
  <c r="J54" i="8"/>
  <c r="K54" i="8"/>
  <c r="L54" i="8"/>
  <c r="M54" i="8"/>
  <c r="N54" i="8"/>
  <c r="O54" i="8"/>
  <c r="P54" i="8"/>
  <c r="Q54" i="8"/>
  <c r="R54" i="8"/>
  <c r="H57" i="8"/>
  <c r="I57" i="8"/>
  <c r="J57" i="8"/>
  <c r="K57" i="8"/>
  <c r="L57" i="8"/>
  <c r="M57" i="8"/>
  <c r="N57" i="8"/>
  <c r="O57" i="8"/>
  <c r="P57" i="8"/>
  <c r="Q57" i="8"/>
  <c r="R57" i="8"/>
  <c r="H60" i="8"/>
  <c r="I60" i="8"/>
  <c r="J60" i="8"/>
  <c r="K60" i="8"/>
  <c r="L60" i="8"/>
  <c r="M60" i="8"/>
  <c r="N60" i="8"/>
  <c r="O60" i="8"/>
  <c r="P60" i="8"/>
  <c r="Q60" i="8"/>
  <c r="R60" i="8"/>
  <c r="H61" i="8"/>
  <c r="I61" i="8"/>
  <c r="J61" i="8"/>
  <c r="K61" i="8"/>
  <c r="L61" i="8"/>
  <c r="M61" i="8"/>
  <c r="N61" i="8"/>
  <c r="O61" i="8"/>
  <c r="P61" i="8"/>
  <c r="Q61" i="8"/>
  <c r="R61" i="8"/>
  <c r="G61" i="8"/>
  <c r="G60" i="8"/>
  <c r="G57" i="8"/>
  <c r="G54" i="8"/>
  <c r="S61" i="8"/>
  <c r="S60" i="8"/>
  <c r="S57" i="8"/>
  <c r="S54" i="8"/>
  <c r="K49" i="8"/>
  <c r="K47" i="8" s="1"/>
  <c r="K48" i="8"/>
  <c r="K46" i="8" s="1"/>
  <c r="M46" i="8"/>
  <c r="M47" i="8"/>
  <c r="L47" i="8"/>
  <c r="L46" i="8"/>
  <c r="L49" i="8"/>
  <c r="L48" i="8"/>
  <c r="M49" i="8"/>
  <c r="M48" i="8"/>
  <c r="P47" i="8"/>
  <c r="O46" i="8"/>
  <c r="O47" i="8"/>
  <c r="N47" i="8"/>
  <c r="N46" i="8"/>
  <c r="P46" i="8"/>
  <c r="H14" i="8"/>
  <c r="I14" i="8"/>
  <c r="J14" i="8"/>
  <c r="K14" i="8"/>
  <c r="L14" i="8"/>
  <c r="M14" i="8"/>
  <c r="N14" i="8"/>
  <c r="O14" i="8"/>
  <c r="P14" i="8"/>
  <c r="G14" i="8"/>
  <c r="H10" i="8"/>
  <c r="I10" i="8"/>
  <c r="J10" i="8"/>
  <c r="K10" i="8"/>
  <c r="L10" i="8"/>
  <c r="M10" i="8"/>
  <c r="N10" i="8"/>
  <c r="O10" i="8"/>
  <c r="P10" i="8"/>
  <c r="G10" i="8"/>
  <c r="H16" i="8"/>
  <c r="I16" i="8"/>
  <c r="J16" i="8"/>
  <c r="K16" i="8"/>
  <c r="L16" i="8"/>
  <c r="M16" i="8"/>
  <c r="N16" i="8"/>
  <c r="O16" i="8"/>
  <c r="P16" i="8"/>
  <c r="Q16" i="8"/>
  <c r="R16" i="8"/>
  <c r="G16" i="8"/>
  <c r="S16" i="8"/>
  <c r="H23" i="8"/>
  <c r="I23" i="8"/>
  <c r="J23" i="8"/>
  <c r="K23" i="8"/>
  <c r="L23" i="8"/>
  <c r="M23" i="8"/>
  <c r="N23" i="8"/>
  <c r="O23" i="8"/>
  <c r="P23" i="8"/>
  <c r="Q23" i="8"/>
  <c r="R23" i="8"/>
  <c r="G23" i="8"/>
  <c r="S23" i="8"/>
  <c r="S10" i="8"/>
  <c r="R10" i="8"/>
  <c r="Q10" i="8"/>
  <c r="H17" i="8"/>
  <c r="I17" i="8"/>
  <c r="J17" i="8"/>
  <c r="K17" i="8"/>
  <c r="L17" i="8"/>
  <c r="M17" i="8"/>
  <c r="N17" i="8"/>
  <c r="O17" i="8"/>
  <c r="P17" i="8"/>
  <c r="Q17" i="8"/>
  <c r="R17" i="8"/>
  <c r="G17" i="8"/>
  <c r="S17" i="8"/>
  <c r="S14" i="8"/>
  <c r="R14" i="8"/>
  <c r="Q14" i="8"/>
  <c r="H33" i="8"/>
  <c r="I33" i="8"/>
  <c r="J33" i="8"/>
  <c r="K33" i="8"/>
  <c r="L33" i="8"/>
  <c r="M33" i="8"/>
  <c r="N33" i="8"/>
  <c r="O33" i="8"/>
  <c r="P33" i="8"/>
  <c r="Q33" i="8"/>
  <c r="R33" i="8"/>
  <c r="G33" i="8"/>
  <c r="S33" i="8"/>
  <c r="H29" i="8"/>
  <c r="I29" i="8"/>
  <c r="J29" i="8"/>
  <c r="K29" i="8"/>
  <c r="L29" i="8"/>
  <c r="M29" i="8"/>
  <c r="N29" i="8"/>
  <c r="O29" i="8"/>
  <c r="P29" i="8"/>
  <c r="Q29" i="8"/>
  <c r="R29" i="8"/>
  <c r="G29" i="8"/>
  <c r="S29" i="8"/>
  <c r="R1" i="8"/>
  <c r="Q1" i="8" s="1"/>
  <c r="P1" i="8" s="1"/>
  <c r="O1" i="8" s="1"/>
  <c r="N1" i="8" s="1"/>
  <c r="M1" i="8" s="1"/>
  <c r="L1" i="8" s="1"/>
  <c r="K1" i="8" s="1"/>
  <c r="R3" i="8"/>
  <c r="Q3" i="8" s="1"/>
  <c r="P3" i="8" s="1"/>
  <c r="O3" i="8" s="1"/>
  <c r="N3" i="8" s="1"/>
  <c r="M3" i="8" s="1"/>
  <c r="L3" i="8" s="1"/>
  <c r="K3" i="8" s="1"/>
  <c r="B5" i="1"/>
  <c r="B6" i="1"/>
  <c r="X134" i="3"/>
  <c r="Y134" i="3"/>
  <c r="Z134" i="3"/>
  <c r="AA134" i="3"/>
  <c r="AB134" i="3"/>
  <c r="AC134" i="3"/>
  <c r="AD134" i="3"/>
  <c r="AE134" i="3"/>
  <c r="AF134" i="3"/>
  <c r="AG134" i="3"/>
  <c r="AH134" i="3"/>
  <c r="AI134" i="3"/>
  <c r="AJ134" i="3"/>
  <c r="AK134" i="3"/>
  <c r="AL134" i="3"/>
  <c r="AM134" i="3"/>
  <c r="AN134" i="3"/>
  <c r="AO134" i="3"/>
  <c r="AP134" i="3"/>
  <c r="AQ134" i="3"/>
  <c r="AR134" i="3"/>
  <c r="AS134" i="3"/>
  <c r="AT134" i="3"/>
  <c r="AU134" i="3"/>
  <c r="X135" i="3"/>
  <c r="Y135" i="3"/>
  <c r="Z135" i="3"/>
  <c r="AA135" i="3"/>
  <c r="AB135" i="3"/>
  <c r="AC135" i="3"/>
  <c r="AD135" i="3"/>
  <c r="AE135" i="3"/>
  <c r="AF135" i="3"/>
  <c r="AG135" i="3"/>
  <c r="AH135" i="3"/>
  <c r="AI135" i="3"/>
  <c r="AJ135" i="3"/>
  <c r="AK135" i="3"/>
  <c r="AL135" i="3"/>
  <c r="AM135" i="3"/>
  <c r="AN135" i="3"/>
  <c r="AO135" i="3"/>
  <c r="AP135" i="3"/>
  <c r="AQ135" i="3"/>
  <c r="AR135" i="3"/>
  <c r="AS135" i="3"/>
  <c r="AT135" i="3"/>
  <c r="AU135" i="3"/>
  <c r="X136" i="3"/>
  <c r="Y136" i="3"/>
  <c r="Z136" i="3"/>
  <c r="AA136" i="3"/>
  <c r="AB136" i="3"/>
  <c r="AC136" i="3"/>
  <c r="AD136" i="3"/>
  <c r="AE136" i="3"/>
  <c r="AF136" i="3"/>
  <c r="AG136" i="3"/>
  <c r="AH136" i="3"/>
  <c r="AI136" i="3"/>
  <c r="AJ136" i="3"/>
  <c r="AK136" i="3"/>
  <c r="AL136" i="3"/>
  <c r="AM136" i="3"/>
  <c r="AN136" i="3"/>
  <c r="AO136" i="3"/>
  <c r="AP136" i="3"/>
  <c r="AQ136" i="3"/>
  <c r="AR136" i="3"/>
  <c r="AS136" i="3"/>
  <c r="AT136" i="3"/>
  <c r="AU136" i="3"/>
  <c r="W136" i="3"/>
  <c r="W135" i="3"/>
  <c r="W134" i="3"/>
  <c r="X128" i="3"/>
  <c r="Y128" i="3"/>
  <c r="Z128" i="3"/>
  <c r="AA128" i="3"/>
  <c r="AB128" i="3"/>
  <c r="AC128" i="3"/>
  <c r="AD128" i="3"/>
  <c r="AE128" i="3"/>
  <c r="AF128" i="3"/>
  <c r="AG128" i="3"/>
  <c r="AH128" i="3"/>
  <c r="AI128" i="3"/>
  <c r="AJ128" i="3"/>
  <c r="AK128" i="3"/>
  <c r="AL128" i="3"/>
  <c r="AM128" i="3"/>
  <c r="AN128" i="3"/>
  <c r="AO128" i="3"/>
  <c r="AP128" i="3"/>
  <c r="AQ128" i="3"/>
  <c r="AR128" i="3"/>
  <c r="AS128" i="3"/>
  <c r="AT128" i="3"/>
  <c r="AU128" i="3"/>
  <c r="X129" i="3"/>
  <c r="Y129" i="3"/>
  <c r="Z129" i="3"/>
  <c r="AA129" i="3"/>
  <c r="AB129" i="3"/>
  <c r="AC129" i="3"/>
  <c r="AD129" i="3"/>
  <c r="AE129" i="3"/>
  <c r="AF129" i="3"/>
  <c r="AG129" i="3"/>
  <c r="AH129" i="3"/>
  <c r="AI129" i="3"/>
  <c r="AJ129" i="3"/>
  <c r="AK129" i="3"/>
  <c r="AL129" i="3"/>
  <c r="AM129" i="3"/>
  <c r="AN129" i="3"/>
  <c r="AO129" i="3"/>
  <c r="AP129" i="3"/>
  <c r="AQ129" i="3"/>
  <c r="AR129" i="3"/>
  <c r="AS129" i="3"/>
  <c r="AT129" i="3"/>
  <c r="AU129" i="3"/>
  <c r="X130" i="3"/>
  <c r="Y130" i="3"/>
  <c r="Z130" i="3"/>
  <c r="AA130" i="3"/>
  <c r="AB130" i="3"/>
  <c r="AC130" i="3"/>
  <c r="AD130" i="3"/>
  <c r="AE130" i="3"/>
  <c r="AF130" i="3"/>
  <c r="AG130" i="3"/>
  <c r="AH130" i="3"/>
  <c r="AI130" i="3"/>
  <c r="AJ130" i="3"/>
  <c r="AK130" i="3"/>
  <c r="AL130" i="3"/>
  <c r="AM130" i="3"/>
  <c r="AN130" i="3"/>
  <c r="AO130" i="3"/>
  <c r="AP130" i="3"/>
  <c r="AQ130" i="3"/>
  <c r="AR130" i="3"/>
  <c r="AS130" i="3"/>
  <c r="AT130" i="3"/>
  <c r="AU130" i="3"/>
  <c r="X131" i="3"/>
  <c r="Y131" i="3"/>
  <c r="Z131" i="3"/>
  <c r="AA131" i="3"/>
  <c r="AB131" i="3"/>
  <c r="AC131" i="3"/>
  <c r="AD131" i="3"/>
  <c r="AE131" i="3"/>
  <c r="AF131" i="3"/>
  <c r="AG131" i="3"/>
  <c r="AH131" i="3"/>
  <c r="AI131" i="3"/>
  <c r="AJ131" i="3"/>
  <c r="AK131" i="3"/>
  <c r="AL131" i="3"/>
  <c r="AM131" i="3"/>
  <c r="AN131" i="3"/>
  <c r="AO131" i="3"/>
  <c r="AP131" i="3"/>
  <c r="AQ131" i="3"/>
  <c r="AR131" i="3"/>
  <c r="AS131" i="3"/>
  <c r="AT131" i="3"/>
  <c r="AU131" i="3"/>
  <c r="W131" i="3"/>
  <c r="W130" i="3"/>
  <c r="W129" i="3"/>
  <c r="W128" i="3"/>
  <c r="Z123" i="3"/>
  <c r="Z122" i="3"/>
  <c r="Z121" i="3"/>
  <c r="Z120" i="3"/>
  <c r="Z117" i="3"/>
  <c r="Z116" i="3"/>
  <c r="AD123" i="3"/>
  <c r="AD122" i="3"/>
  <c r="AD121" i="3"/>
  <c r="AD120" i="3"/>
  <c r="AD117" i="3"/>
  <c r="AD116" i="3"/>
  <c r="AH123" i="3"/>
  <c r="AH122" i="3"/>
  <c r="AH121" i="3"/>
  <c r="AH120" i="3"/>
  <c r="AH117" i="3"/>
  <c r="AH116" i="3"/>
  <c r="AP123" i="3"/>
  <c r="AP122" i="3"/>
  <c r="AP121" i="3"/>
  <c r="AP120" i="3"/>
  <c r="AL123" i="3"/>
  <c r="AL122" i="3"/>
  <c r="AL121" i="3"/>
  <c r="AL120" i="3"/>
  <c r="AL117" i="3"/>
  <c r="AL116" i="3"/>
  <c r="AP117" i="3"/>
  <c r="AP116" i="3"/>
  <c r="BK134" i="3"/>
  <c r="BL134" i="3"/>
  <c r="BM134" i="3"/>
  <c r="BN134" i="3"/>
  <c r="BO134" i="3"/>
  <c r="BP134" i="3"/>
  <c r="BQ134" i="3"/>
  <c r="BR134" i="3"/>
  <c r="BS134" i="3"/>
  <c r="BK135" i="3"/>
  <c r="BL135" i="3"/>
  <c r="BM135" i="3"/>
  <c r="BN135" i="3"/>
  <c r="BO135" i="3"/>
  <c r="BP135" i="3"/>
  <c r="BQ135" i="3"/>
  <c r="BR135" i="3"/>
  <c r="BS135" i="3"/>
  <c r="BK136" i="3"/>
  <c r="BL136" i="3"/>
  <c r="BM136" i="3"/>
  <c r="BN136" i="3"/>
  <c r="BO136" i="3"/>
  <c r="BP136" i="3"/>
  <c r="BQ136" i="3"/>
  <c r="BR136" i="3"/>
  <c r="BS136" i="3"/>
  <c r="BJ136" i="3"/>
  <c r="BJ135" i="3"/>
  <c r="BJ134" i="3"/>
  <c r="BT136" i="3"/>
  <c r="BT135" i="3"/>
  <c r="BT134" i="3"/>
  <c r="BP131" i="3"/>
  <c r="BO131" i="3"/>
  <c r="BK128" i="3"/>
  <c r="BL128" i="3"/>
  <c r="BM128" i="3"/>
  <c r="BN128" i="3"/>
  <c r="BO128" i="3"/>
  <c r="BP128" i="3"/>
  <c r="BQ128" i="3"/>
  <c r="BR128" i="3"/>
  <c r="BS128" i="3"/>
  <c r="BK129" i="3"/>
  <c r="BL129" i="3"/>
  <c r="BM129" i="3"/>
  <c r="BN129" i="3"/>
  <c r="BO129" i="3"/>
  <c r="BP129" i="3"/>
  <c r="BQ129" i="3"/>
  <c r="BR129" i="3"/>
  <c r="BS129" i="3"/>
  <c r="BK130" i="3"/>
  <c r="BL130" i="3"/>
  <c r="BM130" i="3"/>
  <c r="BN130" i="3"/>
  <c r="BO130" i="3"/>
  <c r="BP130" i="3"/>
  <c r="BQ130" i="3"/>
  <c r="BR130" i="3"/>
  <c r="BS130" i="3"/>
  <c r="BK131" i="3"/>
  <c r="BL131" i="3"/>
  <c r="BM131" i="3"/>
  <c r="BN131" i="3"/>
  <c r="BQ131" i="3"/>
  <c r="BR131" i="3"/>
  <c r="BS131" i="3"/>
  <c r="BJ131" i="3"/>
  <c r="BJ130" i="3"/>
  <c r="BJ129" i="3"/>
  <c r="BJ128" i="3"/>
  <c r="BT131" i="3"/>
  <c r="BT130" i="3"/>
  <c r="BT129" i="3"/>
  <c r="BT128" i="3"/>
  <c r="AF126" i="3"/>
  <c r="AG126" i="3"/>
  <c r="AH126" i="3"/>
  <c r="AI126" i="3"/>
  <c r="AJ126" i="3"/>
  <c r="AK126" i="3"/>
  <c r="AL126" i="3"/>
  <c r="AM126" i="3"/>
  <c r="X127" i="3"/>
  <c r="X126" i="3" s="1"/>
  <c r="Y127" i="3"/>
  <c r="Y126" i="3" s="1"/>
  <c r="Z127" i="3"/>
  <c r="Z126" i="3" s="1"/>
  <c r="AA127" i="3"/>
  <c r="AA126" i="3" s="1"/>
  <c r="AB127" i="3"/>
  <c r="AB126" i="3" s="1"/>
  <c r="AC127" i="3"/>
  <c r="AC126" i="3" s="1"/>
  <c r="AD127" i="3"/>
  <c r="AD126" i="3" s="1"/>
  <c r="AE127" i="3"/>
  <c r="AE126" i="3" s="1"/>
  <c r="AF127" i="3"/>
  <c r="AG127" i="3"/>
  <c r="AH127" i="3"/>
  <c r="AI127" i="3"/>
  <c r="AJ127" i="3"/>
  <c r="AK127" i="3"/>
  <c r="AL127" i="3"/>
  <c r="AM127" i="3"/>
  <c r="AN127" i="3"/>
  <c r="AN126" i="3" s="1"/>
  <c r="AO127" i="3"/>
  <c r="AO126" i="3" s="1"/>
  <c r="AP127" i="3"/>
  <c r="AP126" i="3" s="1"/>
  <c r="AQ127" i="3"/>
  <c r="AQ126" i="3" s="1"/>
  <c r="AR127" i="3"/>
  <c r="AR126" i="3" s="1"/>
  <c r="AS127" i="3"/>
  <c r="AS126" i="3" s="1"/>
  <c r="AT127" i="3"/>
  <c r="AT126" i="3" s="1"/>
  <c r="AU127" i="3"/>
  <c r="AU126" i="3" s="1"/>
  <c r="W127" i="3"/>
  <c r="W126" i="3"/>
  <c r="BR126" i="3"/>
  <c r="BS126" i="3"/>
  <c r="BK127" i="3"/>
  <c r="BK126" i="3" s="1"/>
  <c r="BL127" i="3"/>
  <c r="BL126" i="3" s="1"/>
  <c r="BM127" i="3"/>
  <c r="BM126" i="3" s="1"/>
  <c r="BN127" i="3"/>
  <c r="BN126" i="3" s="1"/>
  <c r="BO127" i="3"/>
  <c r="BO126" i="3" s="1"/>
  <c r="BP127" i="3"/>
  <c r="BP126" i="3" s="1"/>
  <c r="BQ127" i="3"/>
  <c r="BQ126" i="3" s="1"/>
  <c r="BR127" i="3"/>
  <c r="BS127" i="3"/>
  <c r="BJ127" i="3"/>
  <c r="BJ126" i="3"/>
  <c r="BT126" i="3"/>
  <c r="BT127" i="3"/>
  <c r="BI33" i="3"/>
  <c r="BI34" i="3" s="1"/>
  <c r="BI37" i="3" s="1"/>
  <c r="BJ33" i="3"/>
  <c r="BI58" i="3"/>
  <c r="BJ91" i="3"/>
  <c r="BJ97" i="3"/>
  <c r="BK91" i="3"/>
  <c r="BK97" i="3"/>
  <c r="BJ58" i="3"/>
  <c r="BK58" i="3"/>
  <c r="BL58" i="3"/>
  <c r="BM58" i="3"/>
  <c r="BN58" i="3"/>
  <c r="BO58" i="3"/>
  <c r="BP58" i="3"/>
  <c r="BQ58" i="3"/>
  <c r="BR58" i="3"/>
  <c r="BS58" i="3"/>
  <c r="BK33" i="3"/>
  <c r="BL33" i="3"/>
  <c r="BL34" i="3" s="1"/>
  <c r="BL37" i="3" s="1"/>
  <c r="BM33" i="3"/>
  <c r="BB118" i="3"/>
  <c r="BA118" i="3"/>
  <c r="BB108" i="3"/>
  <c r="BA108" i="3"/>
  <c r="BB98" i="3"/>
  <c r="BB99" i="3" s="1"/>
  <c r="BA98" i="3"/>
  <c r="BA99" i="3" s="1"/>
  <c r="BB92" i="3"/>
  <c r="BA92" i="3"/>
  <c r="BB83" i="3"/>
  <c r="BB84" i="3" s="1"/>
  <c r="BA83" i="3"/>
  <c r="BA84" i="3" s="1"/>
  <c r="BB72" i="3"/>
  <c r="BA72" i="3"/>
  <c r="BB46" i="3"/>
  <c r="BB47" i="3" s="1"/>
  <c r="BB51" i="3" s="1"/>
  <c r="BB53" i="3" s="1"/>
  <c r="BB55" i="3" s="1"/>
  <c r="BA46" i="3"/>
  <c r="BA47" i="3" s="1"/>
  <c r="BA51" i="3" s="1"/>
  <c r="BA53" i="3" s="1"/>
  <c r="BA55" i="3" s="1"/>
  <c r="BB41" i="3"/>
  <c r="BA41" i="3"/>
  <c r="BA36" i="3"/>
  <c r="BB34" i="3"/>
  <c r="BB37" i="3" s="1"/>
  <c r="BA34" i="3"/>
  <c r="BA37" i="3" s="1"/>
  <c r="BB27" i="3"/>
  <c r="BB28" i="3" s="1"/>
  <c r="BB29" i="3" s="1"/>
  <c r="BA27" i="3"/>
  <c r="BA28" i="3" s="1"/>
  <c r="BA29" i="3" s="1"/>
  <c r="BB26" i="3"/>
  <c r="BA26" i="3"/>
  <c r="BB24" i="3"/>
  <c r="BB25" i="3" s="1"/>
  <c r="BA24" i="3"/>
  <c r="BA25" i="3" s="1"/>
  <c r="BB19" i="3"/>
  <c r="BB20" i="3" s="1"/>
  <c r="BA19" i="3"/>
  <c r="BA20" i="3" s="1"/>
  <c r="BB14" i="3"/>
  <c r="BB15" i="3" s="1"/>
  <c r="BA14" i="3"/>
  <c r="BA15" i="3" s="1"/>
  <c r="BD118" i="3"/>
  <c r="BC118" i="3"/>
  <c r="BD108" i="3"/>
  <c r="BC108" i="3"/>
  <c r="BD98" i="3"/>
  <c r="BD99" i="3" s="1"/>
  <c r="BC98" i="3"/>
  <c r="BC99" i="3" s="1"/>
  <c r="BD92" i="3"/>
  <c r="BC92" i="3"/>
  <c r="BD83" i="3"/>
  <c r="BD84" i="3" s="1"/>
  <c r="BC83" i="3"/>
  <c r="BC84" i="3" s="1"/>
  <c r="BD72" i="3"/>
  <c r="BC72" i="3"/>
  <c r="BD46" i="3"/>
  <c r="BD47" i="3" s="1"/>
  <c r="BD51" i="3" s="1"/>
  <c r="BD53" i="3" s="1"/>
  <c r="BD55" i="3" s="1"/>
  <c r="BC46" i="3"/>
  <c r="BC47" i="3" s="1"/>
  <c r="BC51" i="3" s="1"/>
  <c r="BC53" i="3" s="1"/>
  <c r="BC55" i="3" s="1"/>
  <c r="BD41" i="3"/>
  <c r="BC41" i="3"/>
  <c r="BD34" i="3"/>
  <c r="BD37" i="3" s="1"/>
  <c r="BC34" i="3"/>
  <c r="BC37" i="3" s="1"/>
  <c r="BD27" i="3"/>
  <c r="BD28" i="3" s="1"/>
  <c r="BD29" i="3" s="1"/>
  <c r="BC27" i="3"/>
  <c r="BC28" i="3" s="1"/>
  <c r="BC29" i="3" s="1"/>
  <c r="BD26" i="3"/>
  <c r="BC26" i="3"/>
  <c r="BD24" i="3"/>
  <c r="BD25" i="3" s="1"/>
  <c r="BC24" i="3"/>
  <c r="BC25" i="3" s="1"/>
  <c r="BD19" i="3"/>
  <c r="BD20" i="3" s="1"/>
  <c r="BC19" i="3"/>
  <c r="BC20" i="3" s="1"/>
  <c r="BD14" i="3"/>
  <c r="BD15" i="3" s="1"/>
  <c r="BC14" i="3"/>
  <c r="BC15" i="3" s="1"/>
  <c r="BF118" i="3"/>
  <c r="BE118" i="3"/>
  <c r="BF108" i="3"/>
  <c r="BE108" i="3"/>
  <c r="BF98" i="3"/>
  <c r="BF99" i="3" s="1"/>
  <c r="BF110" i="3" s="1"/>
  <c r="BE98" i="3"/>
  <c r="BE99" i="3" s="1"/>
  <c r="BF92" i="3"/>
  <c r="BE92" i="3"/>
  <c r="BF83" i="3"/>
  <c r="BF84" i="3" s="1"/>
  <c r="BE83" i="3"/>
  <c r="BE84" i="3" s="1"/>
  <c r="BF72" i="3"/>
  <c r="BE72" i="3"/>
  <c r="BF46" i="3"/>
  <c r="BE46" i="3"/>
  <c r="BF41" i="3"/>
  <c r="BF47" i="3" s="1"/>
  <c r="BF51" i="3" s="1"/>
  <c r="BF53" i="3" s="1"/>
  <c r="BF55" i="3" s="1"/>
  <c r="BE41" i="3"/>
  <c r="BE47" i="3" s="1"/>
  <c r="BE51" i="3" s="1"/>
  <c r="BE53" i="3" s="1"/>
  <c r="BE55" i="3" s="1"/>
  <c r="BF37" i="3"/>
  <c r="BE36" i="3"/>
  <c r="BF34" i="3"/>
  <c r="BF36" i="3" s="1"/>
  <c r="BE34" i="3"/>
  <c r="BE37" i="3" s="1"/>
  <c r="BF27" i="3"/>
  <c r="BE27" i="3"/>
  <c r="BF26" i="3"/>
  <c r="BF28" i="3" s="1"/>
  <c r="BF29" i="3" s="1"/>
  <c r="BE26" i="3"/>
  <c r="BE28" i="3" s="1"/>
  <c r="BE29" i="3" s="1"/>
  <c r="BF25" i="3"/>
  <c r="BF24" i="3"/>
  <c r="BE24" i="3"/>
  <c r="BE25" i="3" s="1"/>
  <c r="BF19" i="3"/>
  <c r="BF20" i="3" s="1"/>
  <c r="BE19" i="3"/>
  <c r="BE20" i="3" s="1"/>
  <c r="BF15" i="3"/>
  <c r="BE15" i="3"/>
  <c r="BF14" i="3"/>
  <c r="BE14" i="3"/>
  <c r="BH118" i="3"/>
  <c r="BG118" i="3"/>
  <c r="BH108" i="3"/>
  <c r="BG108" i="3"/>
  <c r="BH98" i="3"/>
  <c r="BH99" i="3" s="1"/>
  <c r="BG98" i="3"/>
  <c r="BG99" i="3" s="1"/>
  <c r="BH92" i="3"/>
  <c r="BG92" i="3"/>
  <c r="BH83" i="3"/>
  <c r="BH84" i="3" s="1"/>
  <c r="BG83" i="3"/>
  <c r="BG84" i="3" s="1"/>
  <c r="BH72" i="3"/>
  <c r="BG72" i="3"/>
  <c r="BH46" i="3"/>
  <c r="BH47" i="3" s="1"/>
  <c r="BH51" i="3" s="1"/>
  <c r="BH53" i="3" s="1"/>
  <c r="BH55" i="3" s="1"/>
  <c r="BG46" i="3"/>
  <c r="BG47" i="3" s="1"/>
  <c r="BG51" i="3" s="1"/>
  <c r="BG53" i="3" s="1"/>
  <c r="BG55" i="3" s="1"/>
  <c r="BH41" i="3"/>
  <c r="BG41" i="3"/>
  <c r="BH36" i="3"/>
  <c r="BH34" i="3"/>
  <c r="BH37" i="3" s="1"/>
  <c r="BG34" i="3"/>
  <c r="BG37" i="3" s="1"/>
  <c r="BH27" i="3"/>
  <c r="BG27" i="3"/>
  <c r="BG28" i="3" s="1"/>
  <c r="BG29" i="3" s="1"/>
  <c r="BH26" i="3"/>
  <c r="BG26" i="3"/>
  <c r="BH24" i="3"/>
  <c r="BH25" i="3" s="1"/>
  <c r="BG24" i="3"/>
  <c r="BG25" i="3" s="1"/>
  <c r="BH19" i="3"/>
  <c r="BH20" i="3" s="1"/>
  <c r="BG19" i="3"/>
  <c r="BG20" i="3" s="1"/>
  <c r="BH14" i="3"/>
  <c r="BH15" i="3" s="1"/>
  <c r="BG14" i="3"/>
  <c r="BG15" i="3" s="1"/>
  <c r="BN33" i="3"/>
  <c r="BN34" i="3" s="1"/>
  <c r="BN35" i="3" s="1"/>
  <c r="BN97" i="3"/>
  <c r="BN91" i="3"/>
  <c r="BN92" i="3" s="1"/>
  <c r="BN82" i="3"/>
  <c r="BN83" i="3" s="1"/>
  <c r="BO97" i="3"/>
  <c r="BO91" i="3"/>
  <c r="BO82" i="3"/>
  <c r="BO33" i="3"/>
  <c r="BO34" i="3" s="1"/>
  <c r="BO36" i="3" s="1"/>
  <c r="BP33" i="3"/>
  <c r="BP34" i="3" s="1"/>
  <c r="BP36" i="3" s="1"/>
  <c r="BQ33" i="3"/>
  <c r="BQ34" i="3" s="1"/>
  <c r="BQ35" i="3" s="1"/>
  <c r="BJ118" i="3"/>
  <c r="BK118" i="3"/>
  <c r="BI118" i="3"/>
  <c r="BJ72" i="3"/>
  <c r="BK72" i="3"/>
  <c r="BL72" i="3"/>
  <c r="BJ83" i="3"/>
  <c r="BK83" i="3"/>
  <c r="BL83" i="3"/>
  <c r="BJ92" i="3"/>
  <c r="BK92" i="3"/>
  <c r="BL92" i="3"/>
  <c r="BJ98" i="3"/>
  <c r="BK98" i="3"/>
  <c r="BK99" i="3" s="1"/>
  <c r="BL98" i="3"/>
  <c r="BJ108" i="3"/>
  <c r="BK108" i="3"/>
  <c r="BL108" i="3"/>
  <c r="BI108" i="3"/>
  <c r="BI98" i="3"/>
  <c r="BI92" i="3"/>
  <c r="BI83" i="3"/>
  <c r="BI84" i="3" s="1"/>
  <c r="BI72" i="3"/>
  <c r="BJ46" i="3"/>
  <c r="BK46" i="3"/>
  <c r="BL46" i="3"/>
  <c r="BM46" i="3"/>
  <c r="BI46" i="3"/>
  <c r="BJ41" i="3"/>
  <c r="BK41" i="3"/>
  <c r="BK51" i="3" s="1"/>
  <c r="BK53" i="3" s="1"/>
  <c r="BK55" i="3" s="1"/>
  <c r="BL41" i="3"/>
  <c r="BL51" i="3" s="1"/>
  <c r="BL53" i="3" s="1"/>
  <c r="BL55" i="3" s="1"/>
  <c r="BM41" i="3"/>
  <c r="BI41" i="3"/>
  <c r="BJ14" i="3"/>
  <c r="BJ15" i="3" s="1"/>
  <c r="BK14" i="3"/>
  <c r="BK15" i="3" s="1"/>
  <c r="BL14" i="3"/>
  <c r="BL15" i="3" s="1"/>
  <c r="BM14" i="3"/>
  <c r="BM15" i="3" s="1"/>
  <c r="BI14" i="3"/>
  <c r="BI15" i="3" s="1"/>
  <c r="BJ19" i="3"/>
  <c r="BJ20" i="3" s="1"/>
  <c r="BK19" i="3"/>
  <c r="BK20" i="3" s="1"/>
  <c r="BL19" i="3"/>
  <c r="BL20" i="3" s="1"/>
  <c r="BM19" i="3"/>
  <c r="BM20" i="3" s="1"/>
  <c r="BI19" i="3"/>
  <c r="BI20" i="3" s="1"/>
  <c r="BJ26" i="3"/>
  <c r="BK26" i="3"/>
  <c r="BL26" i="3"/>
  <c r="BM26" i="3"/>
  <c r="BJ27" i="3"/>
  <c r="BK27" i="3"/>
  <c r="BL27" i="3"/>
  <c r="BM27" i="3"/>
  <c r="BI27" i="3"/>
  <c r="BI26" i="3"/>
  <c r="BJ24" i="3"/>
  <c r="BJ25" i="3" s="1"/>
  <c r="BK24" i="3"/>
  <c r="BK25" i="3" s="1"/>
  <c r="BL24" i="3"/>
  <c r="BL25" i="3" s="1"/>
  <c r="BM24" i="3"/>
  <c r="BM25" i="3" s="1"/>
  <c r="BI24" i="3"/>
  <c r="BI25" i="3" s="1"/>
  <c r="BJ34" i="3"/>
  <c r="BJ36" i="3" s="1"/>
  <c r="BK34" i="3"/>
  <c r="BK35" i="3" s="1"/>
  <c r="BM34" i="3"/>
  <c r="BM35" i="3" s="1"/>
  <c r="BR34" i="3"/>
  <c r="BR37" i="3" s="1"/>
  <c r="BS34" i="3"/>
  <c r="BS37" i="3" s="1"/>
  <c r="BT34" i="3"/>
  <c r="BT37" i="3" s="1"/>
  <c r="BU34" i="3"/>
  <c r="BU37" i="3" s="1"/>
  <c r="BV34" i="3"/>
  <c r="BV35" i="3" s="1"/>
  <c r="BW34" i="3"/>
  <c r="BW35" i="3" s="1"/>
  <c r="BO26" i="3"/>
  <c r="BP26" i="3"/>
  <c r="BQ26" i="3"/>
  <c r="BR26" i="3"/>
  <c r="BS26" i="3"/>
  <c r="BU26" i="3"/>
  <c r="BV26" i="3"/>
  <c r="BW26" i="3"/>
  <c r="BO27" i="3"/>
  <c r="BP27" i="3"/>
  <c r="BQ27" i="3"/>
  <c r="BR27" i="3"/>
  <c r="BS27" i="3"/>
  <c r="BU27" i="3"/>
  <c r="BV27" i="3"/>
  <c r="BW27" i="3"/>
  <c r="BN27" i="3"/>
  <c r="W97" i="3"/>
  <c r="W98" i="3" s="1"/>
  <c r="W91" i="3"/>
  <c r="W92" i="3" s="1"/>
  <c r="W82" i="3"/>
  <c r="W83" i="3" s="1"/>
  <c r="X97" i="3"/>
  <c r="X98" i="3" s="1"/>
  <c r="X91" i="3"/>
  <c r="X92" i="3" s="1"/>
  <c r="X82" i="3"/>
  <c r="Y97" i="3"/>
  <c r="Y98" i="3" s="1"/>
  <c r="Y82" i="3"/>
  <c r="Y83" i="3" s="1"/>
  <c r="Z23" i="3"/>
  <c r="Z22" i="3"/>
  <c r="Z18" i="3"/>
  <c r="Z17" i="3"/>
  <c r="Z13" i="3"/>
  <c r="Z12" i="3"/>
  <c r="Z54" i="3"/>
  <c r="Z52" i="3"/>
  <c r="Z50" i="3"/>
  <c r="Z49" i="3"/>
  <c r="Z48" i="3"/>
  <c r="Z45" i="3"/>
  <c r="Z44" i="3"/>
  <c r="Z43" i="3"/>
  <c r="X121" i="3"/>
  <c r="Y121" i="3" s="1"/>
  <c r="W117" i="3"/>
  <c r="W118" i="3" s="1"/>
  <c r="W33" i="3"/>
  <c r="W34" i="3" s="1"/>
  <c r="W37" i="3" s="1"/>
  <c r="W59" i="3"/>
  <c r="W58" i="3"/>
  <c r="AA82" i="3"/>
  <c r="AA83" i="3" s="1"/>
  <c r="X33" i="3"/>
  <c r="X34" i="3" s="1"/>
  <c r="X37" i="3" s="1"/>
  <c r="X117" i="3"/>
  <c r="X118" i="3" s="1"/>
  <c r="AB116" i="3"/>
  <c r="AC116" i="3" s="1"/>
  <c r="Z59" i="3"/>
  <c r="Z58" i="3"/>
  <c r="X59" i="3"/>
  <c r="X58" i="3"/>
  <c r="AB82" i="3"/>
  <c r="Y33" i="3"/>
  <c r="Y34" i="3" s="1"/>
  <c r="Y36" i="3" s="1"/>
  <c r="Y117" i="3"/>
  <c r="Y118" i="3" s="1"/>
  <c r="Y59" i="3"/>
  <c r="Y58" i="3"/>
  <c r="AC82" i="3"/>
  <c r="AC83" i="3" s="1"/>
  <c r="Z82" i="3"/>
  <c r="J118" i="3"/>
  <c r="I118" i="3"/>
  <c r="H118" i="3"/>
  <c r="G118" i="3"/>
  <c r="J108" i="3"/>
  <c r="I108" i="3"/>
  <c r="H108" i="3"/>
  <c r="G108" i="3"/>
  <c r="J98" i="3"/>
  <c r="I98" i="3"/>
  <c r="H98" i="3"/>
  <c r="G98" i="3"/>
  <c r="J92" i="3"/>
  <c r="I92" i="3"/>
  <c r="H92" i="3"/>
  <c r="G92" i="3"/>
  <c r="J83" i="3"/>
  <c r="I83" i="3"/>
  <c r="H83" i="3"/>
  <c r="G83" i="3"/>
  <c r="J72" i="3"/>
  <c r="I72" i="3"/>
  <c r="H72" i="3"/>
  <c r="G72" i="3"/>
  <c r="J46" i="3"/>
  <c r="I46" i="3"/>
  <c r="H46" i="3"/>
  <c r="G46" i="3"/>
  <c r="J41" i="3"/>
  <c r="I41" i="3"/>
  <c r="H41" i="3"/>
  <c r="H47" i="3" s="1"/>
  <c r="H51" i="3" s="1"/>
  <c r="H53" i="3" s="1"/>
  <c r="H55" i="3" s="1"/>
  <c r="G41" i="3"/>
  <c r="J34" i="3"/>
  <c r="J37" i="3" s="1"/>
  <c r="I34" i="3"/>
  <c r="I37" i="3" s="1"/>
  <c r="H34" i="3"/>
  <c r="H37" i="3" s="1"/>
  <c r="G34" i="3"/>
  <c r="G37" i="3" s="1"/>
  <c r="J27" i="3"/>
  <c r="I27" i="3"/>
  <c r="H27" i="3"/>
  <c r="G27" i="3"/>
  <c r="J26" i="3"/>
  <c r="I26" i="3"/>
  <c r="H26" i="3"/>
  <c r="G26" i="3"/>
  <c r="G28" i="3" s="1"/>
  <c r="G29" i="3" s="1"/>
  <c r="J24" i="3"/>
  <c r="J25" i="3" s="1"/>
  <c r="I24" i="3"/>
  <c r="I25" i="3" s="1"/>
  <c r="H24" i="3"/>
  <c r="H25" i="3" s="1"/>
  <c r="G24" i="3"/>
  <c r="G25" i="3" s="1"/>
  <c r="J19" i="3"/>
  <c r="J20" i="3" s="1"/>
  <c r="I19" i="3"/>
  <c r="I20" i="3" s="1"/>
  <c r="H19" i="3"/>
  <c r="H20" i="3" s="1"/>
  <c r="G19" i="3"/>
  <c r="G20" i="3" s="1"/>
  <c r="J14" i="3"/>
  <c r="J15" i="3" s="1"/>
  <c r="I14" i="3"/>
  <c r="I15" i="3" s="1"/>
  <c r="H14" i="3"/>
  <c r="H15" i="3" s="1"/>
  <c r="G14" i="3"/>
  <c r="G15" i="3" s="1"/>
  <c r="N118" i="3"/>
  <c r="M118" i="3"/>
  <c r="L118" i="3"/>
  <c r="K118" i="3"/>
  <c r="N108" i="3"/>
  <c r="M108" i="3"/>
  <c r="L108" i="3"/>
  <c r="K108" i="3"/>
  <c r="N98" i="3"/>
  <c r="M98" i="3"/>
  <c r="L98" i="3"/>
  <c r="K98" i="3"/>
  <c r="N92" i="3"/>
  <c r="M92" i="3"/>
  <c r="L92" i="3"/>
  <c r="K92" i="3"/>
  <c r="N83" i="3"/>
  <c r="M83" i="3"/>
  <c r="L83" i="3"/>
  <c r="K83" i="3"/>
  <c r="N72" i="3"/>
  <c r="M72" i="3"/>
  <c r="L72" i="3"/>
  <c r="K72" i="3"/>
  <c r="N46" i="3"/>
  <c r="M46" i="3"/>
  <c r="L46" i="3"/>
  <c r="K46" i="3"/>
  <c r="N41" i="3"/>
  <c r="M41" i="3"/>
  <c r="L41" i="3"/>
  <c r="K41" i="3"/>
  <c r="N34" i="3"/>
  <c r="N37" i="3" s="1"/>
  <c r="M34" i="3"/>
  <c r="M37" i="3" s="1"/>
  <c r="L34" i="3"/>
  <c r="L35" i="3" s="1"/>
  <c r="K34" i="3"/>
  <c r="K37" i="3" s="1"/>
  <c r="N27" i="3"/>
  <c r="M27" i="3"/>
  <c r="L27" i="3"/>
  <c r="K27" i="3"/>
  <c r="N26" i="3"/>
  <c r="M26" i="3"/>
  <c r="L26" i="3"/>
  <c r="K26" i="3"/>
  <c r="N24" i="3"/>
  <c r="N25" i="3" s="1"/>
  <c r="M24" i="3"/>
  <c r="M25" i="3" s="1"/>
  <c r="L24" i="3"/>
  <c r="L25" i="3" s="1"/>
  <c r="K24" i="3"/>
  <c r="K25" i="3" s="1"/>
  <c r="N19" i="3"/>
  <c r="N20" i="3" s="1"/>
  <c r="M19" i="3"/>
  <c r="M20" i="3" s="1"/>
  <c r="L19" i="3"/>
  <c r="L20" i="3" s="1"/>
  <c r="K19" i="3"/>
  <c r="K20" i="3" s="1"/>
  <c r="N14" i="3"/>
  <c r="N15" i="3" s="1"/>
  <c r="M14" i="3"/>
  <c r="M15" i="3" s="1"/>
  <c r="L14" i="3"/>
  <c r="L15" i="3" s="1"/>
  <c r="K14" i="3"/>
  <c r="K15" i="3" s="1"/>
  <c r="R118" i="3"/>
  <c r="Q118" i="3"/>
  <c r="P118" i="3"/>
  <c r="O118" i="3"/>
  <c r="R108" i="3"/>
  <c r="Q108" i="3"/>
  <c r="P108" i="3"/>
  <c r="O108" i="3"/>
  <c r="R98" i="3"/>
  <c r="Q98" i="3"/>
  <c r="P98" i="3"/>
  <c r="O98" i="3"/>
  <c r="R92" i="3"/>
  <c r="Q92" i="3"/>
  <c r="Q99" i="3" s="1"/>
  <c r="P92" i="3"/>
  <c r="O92" i="3"/>
  <c r="R83" i="3"/>
  <c r="Q83" i="3"/>
  <c r="P83" i="3"/>
  <c r="O83" i="3"/>
  <c r="R72" i="3"/>
  <c r="Q72" i="3"/>
  <c r="P72" i="3"/>
  <c r="O72" i="3"/>
  <c r="R46" i="3"/>
  <c r="Q46" i="3"/>
  <c r="P46" i="3"/>
  <c r="O46" i="3"/>
  <c r="R41" i="3"/>
  <c r="Q41" i="3"/>
  <c r="P41" i="3"/>
  <c r="O41" i="3"/>
  <c r="R34" i="3"/>
  <c r="R37" i="3" s="1"/>
  <c r="Q34" i="3"/>
  <c r="Q37" i="3" s="1"/>
  <c r="P34" i="3"/>
  <c r="P37" i="3" s="1"/>
  <c r="O34" i="3"/>
  <c r="O37" i="3" s="1"/>
  <c r="R27" i="3"/>
  <c r="Q27" i="3"/>
  <c r="P27" i="3"/>
  <c r="O27" i="3"/>
  <c r="R26" i="3"/>
  <c r="Q26" i="3"/>
  <c r="P26" i="3"/>
  <c r="O26" i="3"/>
  <c r="R24" i="3"/>
  <c r="R25" i="3" s="1"/>
  <c r="Q24" i="3"/>
  <c r="Q25" i="3" s="1"/>
  <c r="P24" i="3"/>
  <c r="P25" i="3" s="1"/>
  <c r="O24" i="3"/>
  <c r="O25" i="3" s="1"/>
  <c r="R19" i="3"/>
  <c r="R20" i="3" s="1"/>
  <c r="Q19" i="3"/>
  <c r="Q20" i="3" s="1"/>
  <c r="P19" i="3"/>
  <c r="P20" i="3" s="1"/>
  <c r="O19" i="3"/>
  <c r="O20" i="3" s="1"/>
  <c r="R14" i="3"/>
  <c r="R15" i="3" s="1"/>
  <c r="Q14" i="3"/>
  <c r="Q15" i="3" s="1"/>
  <c r="P14" i="3"/>
  <c r="P15" i="3" s="1"/>
  <c r="O14" i="3"/>
  <c r="O15" i="3" s="1"/>
  <c r="V14" i="3"/>
  <c r="V15" i="3" s="1"/>
  <c r="V19" i="3"/>
  <c r="V20" i="3" s="1"/>
  <c r="V24" i="3"/>
  <c r="V25" i="3" s="1"/>
  <c r="V26" i="3"/>
  <c r="V27" i="3"/>
  <c r="V34" i="3"/>
  <c r="V35" i="3" s="1"/>
  <c r="V41" i="3"/>
  <c r="V46" i="3"/>
  <c r="V72" i="3"/>
  <c r="V83" i="3"/>
  <c r="V92" i="3"/>
  <c r="V98" i="3"/>
  <c r="V108" i="3"/>
  <c r="V118" i="3"/>
  <c r="W108" i="3"/>
  <c r="W72" i="3"/>
  <c r="W46" i="3"/>
  <c r="W41" i="3"/>
  <c r="W27" i="3"/>
  <c r="W26" i="3"/>
  <c r="W24" i="3"/>
  <c r="W25" i="3" s="1"/>
  <c r="W19" i="3"/>
  <c r="W20" i="3" s="1"/>
  <c r="W14" i="3"/>
  <c r="W15" i="3" s="1"/>
  <c r="S98" i="3"/>
  <c r="T98" i="3"/>
  <c r="U98" i="3"/>
  <c r="S118" i="3"/>
  <c r="S108" i="3"/>
  <c r="S92" i="3"/>
  <c r="S83" i="3"/>
  <c r="S72" i="3"/>
  <c r="S46" i="3"/>
  <c r="S41" i="3"/>
  <c r="S34" i="3"/>
  <c r="S36" i="3" s="1"/>
  <c r="S27" i="3"/>
  <c r="S26" i="3"/>
  <c r="S24" i="3"/>
  <c r="S25" i="3" s="1"/>
  <c r="S19" i="3"/>
  <c r="S20" i="3" s="1"/>
  <c r="S14" i="3"/>
  <c r="S15" i="3" s="1"/>
  <c r="U14" i="3"/>
  <c r="U15" i="3" s="1"/>
  <c r="U19" i="3"/>
  <c r="U20" i="3" s="1"/>
  <c r="U24" i="3"/>
  <c r="U25" i="3" s="1"/>
  <c r="U26" i="3"/>
  <c r="U27" i="3"/>
  <c r="U34" i="3"/>
  <c r="U35" i="3" s="1"/>
  <c r="U41" i="3"/>
  <c r="U46" i="3"/>
  <c r="U72" i="3"/>
  <c r="U83" i="3"/>
  <c r="U92" i="3"/>
  <c r="U108" i="3"/>
  <c r="U118" i="3"/>
  <c r="T118" i="3"/>
  <c r="T108" i="3"/>
  <c r="T92" i="3"/>
  <c r="T83" i="3"/>
  <c r="T72" i="3"/>
  <c r="T46" i="3"/>
  <c r="T41" i="3"/>
  <c r="T34" i="3"/>
  <c r="T36" i="3" s="1"/>
  <c r="T27" i="3"/>
  <c r="T26" i="3"/>
  <c r="T24" i="3"/>
  <c r="T25" i="3" s="1"/>
  <c r="T19" i="3"/>
  <c r="T20" i="3" s="1"/>
  <c r="T14" i="3"/>
  <c r="T15" i="3" s="1"/>
  <c r="Y14" i="3"/>
  <c r="Y15" i="3" s="1"/>
  <c r="Y19" i="3"/>
  <c r="Y20" i="3" s="1"/>
  <c r="Y24" i="3"/>
  <c r="Y25" i="3" s="1"/>
  <c r="Y26" i="3"/>
  <c r="Y27" i="3"/>
  <c r="Y41" i="3"/>
  <c r="Y46" i="3"/>
  <c r="Y72" i="3"/>
  <c r="Y92" i="3"/>
  <c r="Y108" i="3"/>
  <c r="X108" i="3"/>
  <c r="X83" i="3"/>
  <c r="X72" i="3"/>
  <c r="X46" i="3"/>
  <c r="X41" i="3"/>
  <c r="X27" i="3"/>
  <c r="X26" i="3"/>
  <c r="X24" i="3"/>
  <c r="X25" i="3" s="1"/>
  <c r="X19" i="3"/>
  <c r="X20" i="3" s="1"/>
  <c r="X14" i="3"/>
  <c r="X15" i="3" s="1"/>
  <c r="AB121" i="3"/>
  <c r="AC121" i="3" s="1"/>
  <c r="AD23" i="3"/>
  <c r="AD22" i="3"/>
  <c r="AD18" i="3"/>
  <c r="AD17" i="3"/>
  <c r="AD13" i="3"/>
  <c r="AD12" i="3"/>
  <c r="AH23" i="3"/>
  <c r="AH22" i="3"/>
  <c r="AH18" i="3"/>
  <c r="AH17" i="3"/>
  <c r="AH13" i="3"/>
  <c r="AH12" i="3"/>
  <c r="AD59" i="3"/>
  <c r="AD58" i="3"/>
  <c r="AD54" i="3"/>
  <c r="AD52" i="3"/>
  <c r="AD50" i="3"/>
  <c r="AD49" i="3"/>
  <c r="AD48" i="3"/>
  <c r="AD45" i="3"/>
  <c r="AD44" i="3"/>
  <c r="AD43" i="3"/>
  <c r="AH59" i="3"/>
  <c r="AH58" i="3"/>
  <c r="AH54" i="3"/>
  <c r="AH52" i="3"/>
  <c r="AH50" i="3"/>
  <c r="AH49" i="3"/>
  <c r="AH48" i="3"/>
  <c r="AH45" i="3"/>
  <c r="AH44" i="3"/>
  <c r="AH43" i="3"/>
  <c r="AL23" i="3"/>
  <c r="AL22" i="3"/>
  <c r="AL18" i="3"/>
  <c r="AL17" i="3"/>
  <c r="AL13" i="3"/>
  <c r="AL12" i="3"/>
  <c r="AL59" i="3"/>
  <c r="AL58" i="3"/>
  <c r="AL54" i="3"/>
  <c r="AL52" i="3"/>
  <c r="AL50" i="3"/>
  <c r="AL49" i="3"/>
  <c r="AL48" i="3"/>
  <c r="AL45" i="3"/>
  <c r="AL44" i="3"/>
  <c r="AL43" i="3"/>
  <c r="AP23" i="3"/>
  <c r="AP22" i="3"/>
  <c r="AP18" i="3"/>
  <c r="AP17" i="3"/>
  <c r="AP54" i="3"/>
  <c r="AP52" i="3"/>
  <c r="AP50" i="3"/>
  <c r="AP49" i="3"/>
  <c r="AP48" i="3"/>
  <c r="AP45" i="3"/>
  <c r="AP44" i="3"/>
  <c r="AP43" i="3"/>
  <c r="AP40" i="3"/>
  <c r="AP39" i="3"/>
  <c r="AA34" i="3"/>
  <c r="AA36" i="3" s="1"/>
  <c r="AF116" i="3"/>
  <c r="AG116" i="3" s="1"/>
  <c r="AA117" i="3"/>
  <c r="AA118" i="3" s="1"/>
  <c r="AA59" i="3"/>
  <c r="AA58" i="3"/>
  <c r="AB59" i="3"/>
  <c r="AB58" i="3"/>
  <c r="AC59" i="3"/>
  <c r="AC58" i="3"/>
  <c r="AF121" i="3"/>
  <c r="AG121" i="3" s="1"/>
  <c r="AE117" i="3"/>
  <c r="AE118" i="3" s="1"/>
  <c r="AE59" i="3"/>
  <c r="AE58" i="3"/>
  <c r="AF59" i="3"/>
  <c r="AF58" i="3"/>
  <c r="AG59" i="3"/>
  <c r="AG58" i="3"/>
  <c r="AN121" i="3"/>
  <c r="AO121" i="3" s="1"/>
  <c r="AR121" i="3"/>
  <c r="AJ121" i="3"/>
  <c r="AK121" i="3" s="1"/>
  <c r="AJ116" i="3"/>
  <c r="AK116" i="3" s="1"/>
  <c r="AN116" i="3"/>
  <c r="AO116" i="3" s="1"/>
  <c r="AI117" i="3"/>
  <c r="AI118" i="3" s="1"/>
  <c r="AI59" i="3"/>
  <c r="AI58" i="3"/>
  <c r="AM108" i="3"/>
  <c r="AJ59" i="3"/>
  <c r="AJ58" i="3"/>
  <c r="AR116" i="3"/>
  <c r="AA26" i="3"/>
  <c r="AB26" i="3"/>
  <c r="AC26" i="3"/>
  <c r="AE26" i="3"/>
  <c r="AF26" i="3"/>
  <c r="AG26" i="3"/>
  <c r="AI26" i="3"/>
  <c r="AJ26" i="3"/>
  <c r="AK26" i="3"/>
  <c r="AM26" i="3"/>
  <c r="AN26" i="3"/>
  <c r="AO26" i="3"/>
  <c r="AQ26" i="3"/>
  <c r="AR26" i="3"/>
  <c r="AS26" i="3"/>
  <c r="AT26" i="3"/>
  <c r="AA27" i="3"/>
  <c r="AB27" i="3"/>
  <c r="AC27" i="3"/>
  <c r="AE27" i="3"/>
  <c r="AF27" i="3"/>
  <c r="AF28" i="3" s="1"/>
  <c r="AF29" i="3" s="1"/>
  <c r="AG27" i="3"/>
  <c r="AI27" i="3"/>
  <c r="AJ27" i="3"/>
  <c r="AK27" i="3"/>
  <c r="AM27" i="3"/>
  <c r="AN27" i="3"/>
  <c r="AO27" i="3"/>
  <c r="AQ27" i="3"/>
  <c r="AR27" i="3"/>
  <c r="AS27" i="3"/>
  <c r="AT27" i="3"/>
  <c r="AQ117" i="3"/>
  <c r="AQ118" i="3" s="1"/>
  <c r="AD118" i="3"/>
  <c r="AH118" i="3"/>
  <c r="AL118" i="3"/>
  <c r="AP118" i="3"/>
  <c r="AS118" i="3"/>
  <c r="AT118" i="3"/>
  <c r="AU118" i="3"/>
  <c r="AM117" i="3"/>
  <c r="AA108" i="3"/>
  <c r="AB108" i="3"/>
  <c r="AC108" i="3"/>
  <c r="AD108" i="3"/>
  <c r="AE108" i="3"/>
  <c r="AF108" i="3"/>
  <c r="AG108" i="3"/>
  <c r="AH108" i="3"/>
  <c r="AI108" i="3"/>
  <c r="AJ108" i="3"/>
  <c r="AK108" i="3"/>
  <c r="AL108" i="3"/>
  <c r="AN108" i="3"/>
  <c r="AO108" i="3"/>
  <c r="AP108" i="3"/>
  <c r="AQ108" i="3"/>
  <c r="AR108" i="3"/>
  <c r="AS108" i="3"/>
  <c r="AT108" i="3"/>
  <c r="AU108" i="3"/>
  <c r="Z108" i="3"/>
  <c r="AA92" i="3"/>
  <c r="AB92" i="3"/>
  <c r="AC92" i="3"/>
  <c r="AD92" i="3"/>
  <c r="AE92" i="3"/>
  <c r="AF92" i="3"/>
  <c r="AG92" i="3"/>
  <c r="AH92" i="3"/>
  <c r="AI92" i="3"/>
  <c r="AJ92" i="3"/>
  <c r="AK92" i="3"/>
  <c r="AL92" i="3"/>
  <c r="AM92" i="3"/>
  <c r="AN92" i="3"/>
  <c r="AO92" i="3"/>
  <c r="AP92" i="3"/>
  <c r="AQ92" i="3"/>
  <c r="AR92" i="3"/>
  <c r="AS92" i="3"/>
  <c r="AT92" i="3"/>
  <c r="AU92" i="3"/>
  <c r="Z92" i="3"/>
  <c r="AA72" i="3"/>
  <c r="AB72" i="3"/>
  <c r="AC72" i="3"/>
  <c r="AD72" i="3"/>
  <c r="AE72" i="3"/>
  <c r="AF72" i="3"/>
  <c r="AG72" i="3"/>
  <c r="AH72" i="3"/>
  <c r="AI72" i="3"/>
  <c r="AJ72" i="3"/>
  <c r="AK72" i="3"/>
  <c r="AL72" i="3"/>
  <c r="AM72" i="3"/>
  <c r="AN72" i="3"/>
  <c r="AO72" i="3"/>
  <c r="AP72" i="3"/>
  <c r="AQ72" i="3"/>
  <c r="AR72" i="3"/>
  <c r="AS72" i="3"/>
  <c r="AT72" i="3"/>
  <c r="AU72" i="3"/>
  <c r="Z72" i="3"/>
  <c r="AB34" i="3"/>
  <c r="AB35" i="3" s="1"/>
  <c r="AC34" i="3"/>
  <c r="AC35" i="3" s="1"/>
  <c r="AD34" i="3"/>
  <c r="AD35" i="3" s="1"/>
  <c r="AE34" i="3"/>
  <c r="AE35" i="3" s="1"/>
  <c r="AF34" i="3"/>
  <c r="AF35" i="3" s="1"/>
  <c r="AG34" i="3"/>
  <c r="AG37" i="3" s="1"/>
  <c r="AH34" i="3"/>
  <c r="AH35" i="3" s="1"/>
  <c r="AI34" i="3"/>
  <c r="AI35" i="3" s="1"/>
  <c r="AJ34" i="3"/>
  <c r="AJ37" i="3" s="1"/>
  <c r="AK34" i="3"/>
  <c r="AK37" i="3" s="1"/>
  <c r="AL34" i="3"/>
  <c r="AL37" i="3" s="1"/>
  <c r="AM34" i="3"/>
  <c r="AM37" i="3" s="1"/>
  <c r="AN34" i="3"/>
  <c r="AN36" i="3" s="1"/>
  <c r="AO34" i="3"/>
  <c r="AO36" i="3" s="1"/>
  <c r="AP34" i="3"/>
  <c r="AP36" i="3" s="1"/>
  <c r="AQ34" i="3"/>
  <c r="AQ36" i="3" s="1"/>
  <c r="AR34" i="3"/>
  <c r="AR35" i="3" s="1"/>
  <c r="AS34" i="3"/>
  <c r="AS35" i="3" s="1"/>
  <c r="AT34" i="3"/>
  <c r="AT35" i="3" s="1"/>
  <c r="Z34" i="3"/>
  <c r="Z37" i="3" s="1"/>
  <c r="AA24" i="3"/>
  <c r="AA25" i="3" s="1"/>
  <c r="AB24" i="3"/>
  <c r="AB25" i="3" s="1"/>
  <c r="AC24" i="3"/>
  <c r="AC25" i="3" s="1"/>
  <c r="AE24" i="3"/>
  <c r="AE25" i="3" s="1"/>
  <c r="AF24" i="3"/>
  <c r="AF25" i="3" s="1"/>
  <c r="AG24" i="3"/>
  <c r="AG25" i="3" s="1"/>
  <c r="AI24" i="3"/>
  <c r="AI25" i="3" s="1"/>
  <c r="AJ24" i="3"/>
  <c r="AJ25" i="3" s="1"/>
  <c r="AK24" i="3"/>
  <c r="AK25" i="3" s="1"/>
  <c r="AM24" i="3"/>
  <c r="AM25" i="3" s="1"/>
  <c r="AN24" i="3"/>
  <c r="AN25" i="3" s="1"/>
  <c r="AO24" i="3"/>
  <c r="AO25" i="3" s="1"/>
  <c r="AQ24" i="3"/>
  <c r="AQ25" i="3" s="1"/>
  <c r="AR24" i="3"/>
  <c r="AR25" i="3" s="1"/>
  <c r="AS24" i="3"/>
  <c r="AS25" i="3" s="1"/>
  <c r="AT24" i="3"/>
  <c r="AT25" i="3" s="1"/>
  <c r="AA19" i="3"/>
  <c r="AA20" i="3" s="1"/>
  <c r="AB19" i="3"/>
  <c r="AB20" i="3" s="1"/>
  <c r="AC19" i="3"/>
  <c r="AC20" i="3" s="1"/>
  <c r="AE19" i="3"/>
  <c r="AE20" i="3" s="1"/>
  <c r="AF19" i="3"/>
  <c r="AF20" i="3" s="1"/>
  <c r="AG19" i="3"/>
  <c r="AG20" i="3" s="1"/>
  <c r="AI19" i="3"/>
  <c r="AI20" i="3" s="1"/>
  <c r="AJ19" i="3"/>
  <c r="AJ20" i="3" s="1"/>
  <c r="AK19" i="3"/>
  <c r="AK20" i="3" s="1"/>
  <c r="AM19" i="3"/>
  <c r="AM20" i="3" s="1"/>
  <c r="AN19" i="3"/>
  <c r="AN20" i="3" s="1"/>
  <c r="AO19" i="3"/>
  <c r="AO20" i="3" s="1"/>
  <c r="AQ19" i="3"/>
  <c r="AQ20" i="3" s="1"/>
  <c r="AR19" i="3"/>
  <c r="AR20" i="3" s="1"/>
  <c r="AS19" i="3"/>
  <c r="AS20" i="3" s="1"/>
  <c r="AT19" i="3"/>
  <c r="AT20" i="3" s="1"/>
  <c r="AA14" i="3"/>
  <c r="AA15" i="3" s="1"/>
  <c r="AB14" i="3"/>
  <c r="AB15" i="3" s="1"/>
  <c r="AC14" i="3"/>
  <c r="AC15" i="3" s="1"/>
  <c r="AE14" i="3"/>
  <c r="AE15" i="3" s="1"/>
  <c r="AF14" i="3"/>
  <c r="AF15" i="3" s="1"/>
  <c r="AG14" i="3"/>
  <c r="AG15" i="3" s="1"/>
  <c r="AI14" i="3"/>
  <c r="AI15" i="3" s="1"/>
  <c r="AJ14" i="3"/>
  <c r="AJ15" i="3" s="1"/>
  <c r="AK14" i="3"/>
  <c r="AK15" i="3" s="1"/>
  <c r="AM14" i="3"/>
  <c r="AM15" i="3" s="1"/>
  <c r="AN14" i="3"/>
  <c r="AN15" i="3" s="1"/>
  <c r="AO14" i="3"/>
  <c r="AO15" i="3" s="1"/>
  <c r="AQ14" i="3"/>
  <c r="AQ15" i="3" s="1"/>
  <c r="AR14" i="3"/>
  <c r="AR15" i="3" s="1"/>
  <c r="AS14" i="3"/>
  <c r="AS15" i="3" s="1"/>
  <c r="AT14" i="3"/>
  <c r="AT15" i="3" s="1"/>
  <c r="AA46" i="3"/>
  <c r="AB46" i="3"/>
  <c r="AC46" i="3"/>
  <c r="AE46" i="3"/>
  <c r="AF46" i="3"/>
  <c r="AG46" i="3"/>
  <c r="AI46" i="3"/>
  <c r="AJ46" i="3"/>
  <c r="AK46" i="3"/>
  <c r="AM46" i="3"/>
  <c r="AN46" i="3"/>
  <c r="AO46" i="3"/>
  <c r="AQ46" i="3"/>
  <c r="AR46" i="3"/>
  <c r="AS46" i="3"/>
  <c r="AT46" i="3"/>
  <c r="AA41" i="3"/>
  <c r="AB41" i="3"/>
  <c r="AC41" i="3"/>
  <c r="AE41" i="3"/>
  <c r="AF41" i="3"/>
  <c r="AG41" i="3"/>
  <c r="AI41" i="3"/>
  <c r="AJ41" i="3"/>
  <c r="AK41" i="3"/>
  <c r="AM41" i="3"/>
  <c r="AN41" i="3"/>
  <c r="AO41" i="3"/>
  <c r="AQ41" i="3"/>
  <c r="AR41" i="3"/>
  <c r="AS41" i="3"/>
  <c r="AT41" i="3"/>
  <c r="BN98" i="3"/>
  <c r="BO98" i="3"/>
  <c r="BP98" i="3"/>
  <c r="BQ98" i="3"/>
  <c r="BR98" i="3"/>
  <c r="BS98" i="3"/>
  <c r="BT98" i="3"/>
  <c r="BU98" i="3"/>
  <c r="BV98" i="3"/>
  <c r="BW98" i="3"/>
  <c r="BM98" i="3"/>
  <c r="AA98" i="3"/>
  <c r="AB98" i="3"/>
  <c r="AC98" i="3"/>
  <c r="AD98" i="3"/>
  <c r="AE98" i="3"/>
  <c r="AF98" i="3"/>
  <c r="AG98" i="3"/>
  <c r="AH98" i="3"/>
  <c r="AI98" i="3"/>
  <c r="AJ98" i="3"/>
  <c r="AK98" i="3"/>
  <c r="AL98" i="3"/>
  <c r="AM98" i="3"/>
  <c r="AN98" i="3"/>
  <c r="AO98" i="3"/>
  <c r="AP98" i="3"/>
  <c r="AQ98" i="3"/>
  <c r="AR98" i="3"/>
  <c r="AS98" i="3"/>
  <c r="AT98" i="3"/>
  <c r="AU98" i="3"/>
  <c r="Z98" i="3"/>
  <c r="BO83" i="3"/>
  <c r="BP83" i="3"/>
  <c r="BQ83" i="3"/>
  <c r="BR83" i="3"/>
  <c r="BS83" i="3"/>
  <c r="BT83" i="3"/>
  <c r="BU83" i="3"/>
  <c r="BV83" i="3"/>
  <c r="BW83" i="3"/>
  <c r="BM83" i="3"/>
  <c r="AB83" i="3"/>
  <c r="AD83" i="3"/>
  <c r="AE83" i="3"/>
  <c r="AF83" i="3"/>
  <c r="AG83" i="3"/>
  <c r="AH83" i="3"/>
  <c r="AI83" i="3"/>
  <c r="AJ83" i="3"/>
  <c r="AK83" i="3"/>
  <c r="AL83" i="3"/>
  <c r="AM83" i="3"/>
  <c r="AN83" i="3"/>
  <c r="AO83" i="3"/>
  <c r="AP83" i="3"/>
  <c r="AQ83" i="3"/>
  <c r="AR83" i="3"/>
  <c r="AS83" i="3"/>
  <c r="AT83" i="3"/>
  <c r="AU83" i="3"/>
  <c r="Z83" i="3"/>
  <c r="BT117" i="3"/>
  <c r="BT118" i="3" s="1"/>
  <c r="BT24" i="3"/>
  <c r="BT25" i="3" s="1"/>
  <c r="BU24" i="3"/>
  <c r="BU25" i="3" s="1"/>
  <c r="BV24" i="3"/>
  <c r="BV25" i="3" s="1"/>
  <c r="BW24" i="3"/>
  <c r="BW25" i="3" s="1"/>
  <c r="BT19" i="3"/>
  <c r="BT20" i="3" s="1"/>
  <c r="BU19" i="3"/>
  <c r="BU20" i="3" s="1"/>
  <c r="BV19" i="3"/>
  <c r="BV20" i="3" s="1"/>
  <c r="BW19" i="3"/>
  <c r="BW20" i="3" s="1"/>
  <c r="BT13" i="3"/>
  <c r="AP13" i="3" s="1"/>
  <c r="BT12" i="3"/>
  <c r="AP12" i="3" s="1"/>
  <c r="BU14" i="3"/>
  <c r="BU15" i="3" s="1"/>
  <c r="BV14" i="3"/>
  <c r="BV15" i="3" s="1"/>
  <c r="BW14" i="3"/>
  <c r="BW15" i="3" s="1"/>
  <c r="BU118" i="3"/>
  <c r="BV118" i="3"/>
  <c r="BW118" i="3"/>
  <c r="BT41" i="3"/>
  <c r="BU41" i="3"/>
  <c r="BV41" i="3"/>
  <c r="BW41" i="3"/>
  <c r="BT46" i="3"/>
  <c r="BU46" i="3"/>
  <c r="BV46" i="3"/>
  <c r="BW46" i="3"/>
  <c r="BT108" i="3"/>
  <c r="BU108" i="3"/>
  <c r="BV108" i="3"/>
  <c r="BW108" i="3"/>
  <c r="BU72" i="3"/>
  <c r="BV72" i="3"/>
  <c r="BW72" i="3"/>
  <c r="BU92" i="3"/>
  <c r="BV92" i="3"/>
  <c r="BW92" i="3"/>
  <c r="BT92" i="3"/>
  <c r="BT72" i="3"/>
  <c r="P32" i="5"/>
  <c r="O32" i="5"/>
  <c r="N32" i="5"/>
  <c r="M32" i="5"/>
  <c r="L32" i="5"/>
  <c r="K32" i="5"/>
  <c r="J32" i="5"/>
  <c r="I32" i="5"/>
  <c r="H32" i="5"/>
  <c r="G32" i="5"/>
  <c r="F32" i="5"/>
  <c r="E32" i="5"/>
  <c r="D32" i="5"/>
  <c r="C32" i="5"/>
  <c r="B32" i="5"/>
  <c r="R28" i="4"/>
  <c r="Q28" i="4"/>
  <c r="P28" i="4"/>
  <c r="O28" i="4"/>
  <c r="N28" i="4"/>
  <c r="M28" i="4"/>
  <c r="L28" i="4"/>
  <c r="K28" i="4"/>
  <c r="J28" i="4"/>
  <c r="I28" i="4"/>
  <c r="H28" i="4"/>
  <c r="G28" i="4"/>
  <c r="F28" i="4"/>
  <c r="E28" i="4"/>
  <c r="D28" i="4"/>
  <c r="C28" i="4"/>
  <c r="BR118" i="3"/>
  <c r="BQ118" i="3"/>
  <c r="BP118" i="3"/>
  <c r="BO118" i="3"/>
  <c r="BN118" i="3"/>
  <c r="BM118" i="3"/>
  <c r="BL118" i="3"/>
  <c r="BS117" i="3"/>
  <c r="BS118" i="3" s="1"/>
  <c r="BS108" i="3"/>
  <c r="BR108" i="3"/>
  <c r="BQ108" i="3"/>
  <c r="BP108" i="3"/>
  <c r="BO108" i="3"/>
  <c r="BN108" i="3"/>
  <c r="BM108" i="3"/>
  <c r="BS92" i="3"/>
  <c r="BR92" i="3"/>
  <c r="BQ92" i="3"/>
  <c r="BP92" i="3"/>
  <c r="BO92" i="3"/>
  <c r="BM92" i="3"/>
  <c r="BS72" i="3"/>
  <c r="BR72" i="3"/>
  <c r="BQ72" i="3"/>
  <c r="BP72" i="3"/>
  <c r="BO72" i="3"/>
  <c r="BN72" i="3"/>
  <c r="BM72" i="3"/>
  <c r="BS46" i="3"/>
  <c r="BR46" i="3"/>
  <c r="BQ46" i="3"/>
  <c r="BP46" i="3"/>
  <c r="BO46" i="3"/>
  <c r="BN46" i="3"/>
  <c r="BS40" i="3"/>
  <c r="AL40" i="3" s="1"/>
  <c r="BR40" i="3"/>
  <c r="AH40" i="3" s="1"/>
  <c r="BQ40" i="3"/>
  <c r="AD40" i="3" s="1"/>
  <c r="BP40" i="3"/>
  <c r="Z40" i="3" s="1"/>
  <c r="BO40" i="3"/>
  <c r="BN40" i="3"/>
  <c r="BS39" i="3"/>
  <c r="AL39" i="3" s="1"/>
  <c r="BR39" i="3"/>
  <c r="AH39" i="3" s="1"/>
  <c r="BQ39" i="3"/>
  <c r="AD39" i="3" s="1"/>
  <c r="BP39" i="3"/>
  <c r="Z39" i="3" s="1"/>
  <c r="BO39" i="3"/>
  <c r="BS24" i="3"/>
  <c r="BS25" i="3" s="1"/>
  <c r="BR24" i="3"/>
  <c r="BR25" i="3" s="1"/>
  <c r="BQ24" i="3"/>
  <c r="BQ25" i="3" s="1"/>
  <c r="BP24" i="3"/>
  <c r="BP25" i="3" s="1"/>
  <c r="BO24" i="3"/>
  <c r="BO25" i="3" s="1"/>
  <c r="BN24" i="3"/>
  <c r="BN25" i="3" s="1"/>
  <c r="BS19" i="3"/>
  <c r="BS20" i="3" s="1"/>
  <c r="BR19" i="3"/>
  <c r="BR20" i="3" s="1"/>
  <c r="BQ19" i="3"/>
  <c r="BQ20" i="3" s="1"/>
  <c r="BP19" i="3"/>
  <c r="BP20" i="3" s="1"/>
  <c r="BO19" i="3"/>
  <c r="BO20" i="3" s="1"/>
  <c r="BN19" i="3"/>
  <c r="BN20" i="3" s="1"/>
  <c r="BS14" i="3"/>
  <c r="BS15" i="3" s="1"/>
  <c r="BR14" i="3"/>
  <c r="BR15" i="3" s="1"/>
  <c r="BQ14" i="3"/>
  <c r="BQ15" i="3" s="1"/>
  <c r="BP14" i="3"/>
  <c r="BP15" i="3" s="1"/>
  <c r="BO14" i="3"/>
  <c r="BO15" i="3" s="1"/>
  <c r="BN12" i="3"/>
  <c r="BN39" i="3" s="1"/>
  <c r="B3" i="1" a="1"/>
  <c r="B3" i="1" s="1"/>
  <c r="B2" i="1" a="1"/>
  <c r="B2" i="1" s="1"/>
  <c r="W30" i="8" l="1"/>
  <c r="Z32" i="8"/>
  <c r="V30" i="8"/>
  <c r="Y32" i="8"/>
  <c r="U30" i="8"/>
  <c r="X32" i="8"/>
  <c r="W32" i="8"/>
  <c r="V32" i="8"/>
  <c r="U32" i="8"/>
  <c r="Z29" i="8"/>
  <c r="Z31" i="8"/>
  <c r="Y29" i="8"/>
  <c r="Y31" i="8"/>
  <c r="T29" i="8"/>
  <c r="T34" i="8" s="1"/>
  <c r="T38" i="8" s="1"/>
  <c r="X29" i="8"/>
  <c r="X31" i="8"/>
  <c r="W29" i="8"/>
  <c r="W31" i="8"/>
  <c r="W33" i="8" s="1"/>
  <c r="V29" i="8"/>
  <c r="V31" i="8"/>
  <c r="U29" i="8"/>
  <c r="U31" i="8"/>
  <c r="Y30" i="8"/>
  <c r="X30" i="8"/>
  <c r="J34" i="8"/>
  <c r="J38" i="8" s="1"/>
  <c r="J40" i="8" s="1"/>
  <c r="J42" i="8" s="1"/>
  <c r="J44" i="8" s="1"/>
  <c r="I34" i="8"/>
  <c r="I38" i="8" s="1"/>
  <c r="I40" i="8" s="1"/>
  <c r="I42" i="8" s="1"/>
  <c r="I44" i="8" s="1"/>
  <c r="L34" i="8"/>
  <c r="L38" i="8" s="1"/>
  <c r="L40" i="8" s="1"/>
  <c r="L42" i="8" s="1"/>
  <c r="L45" i="8" s="1"/>
  <c r="K34" i="8"/>
  <c r="K38" i="8" s="1"/>
  <c r="K40" i="8" s="1"/>
  <c r="K42" i="8" s="1"/>
  <c r="K44" i="8" s="1"/>
  <c r="S34" i="8"/>
  <c r="S38" i="8" s="1"/>
  <c r="S40" i="8" s="1"/>
  <c r="S42" i="8" s="1"/>
  <c r="S45" i="8" s="1"/>
  <c r="O34" i="8"/>
  <c r="O38" i="8" s="1"/>
  <c r="O40" i="8" s="1"/>
  <c r="O42" i="8" s="1"/>
  <c r="M34" i="8"/>
  <c r="M38" i="8" s="1"/>
  <c r="M40" i="8" s="1"/>
  <c r="M42" i="8" s="1"/>
  <c r="H34" i="8"/>
  <c r="H38" i="8" s="1"/>
  <c r="H40" i="8" s="1"/>
  <c r="H42" i="8" s="1"/>
  <c r="G34" i="8"/>
  <c r="G38" i="8" s="1"/>
  <c r="G40" i="8" s="1"/>
  <c r="G42" i="8" s="1"/>
  <c r="P34" i="8"/>
  <c r="P38" i="8" s="1"/>
  <c r="P40" i="8" s="1"/>
  <c r="P42" i="8" s="1"/>
  <c r="N34" i="8"/>
  <c r="N38" i="8" s="1"/>
  <c r="N40" i="8" s="1"/>
  <c r="N42" i="8" s="1"/>
  <c r="Q34" i="8"/>
  <c r="Q38" i="8" s="1"/>
  <c r="Q40" i="8" s="1"/>
  <c r="Q42" i="8" s="1"/>
  <c r="R34" i="8"/>
  <c r="R38" i="8" s="1"/>
  <c r="R40" i="8" s="1"/>
  <c r="R42" i="8" s="1"/>
  <c r="B4" i="1"/>
  <c r="B7" i="1" s="1"/>
  <c r="Z118" i="3"/>
  <c r="BJ84" i="3"/>
  <c r="BH28" i="3"/>
  <c r="BH29" i="3" s="1"/>
  <c r="BJ47" i="3"/>
  <c r="BJ51" i="3" s="1"/>
  <c r="BJ53" i="3" s="1"/>
  <c r="BJ55" i="3" s="1"/>
  <c r="BJ56" i="3" s="1"/>
  <c r="BL99" i="3"/>
  <c r="BL110" i="3" s="1"/>
  <c r="BL84" i="3"/>
  <c r="BA56" i="3"/>
  <c r="BB56" i="3"/>
  <c r="BA110" i="3"/>
  <c r="BB110" i="3"/>
  <c r="BA35" i="3"/>
  <c r="BB35" i="3"/>
  <c r="BB36" i="3"/>
  <c r="BC56" i="3"/>
  <c r="BD56" i="3"/>
  <c r="BC110" i="3"/>
  <c r="BD110" i="3"/>
  <c r="BC35" i="3"/>
  <c r="BD35" i="3"/>
  <c r="BC36" i="3"/>
  <c r="BD36" i="3"/>
  <c r="BE56" i="3"/>
  <c r="BF56" i="3"/>
  <c r="BE110" i="3"/>
  <c r="BE35" i="3"/>
  <c r="BF35" i="3"/>
  <c r="BG56" i="3"/>
  <c r="BH56" i="3"/>
  <c r="BG110" i="3"/>
  <c r="BH110" i="3"/>
  <c r="BG35" i="3"/>
  <c r="BH35" i="3"/>
  <c r="BG36" i="3"/>
  <c r="Z41" i="3"/>
  <c r="G84" i="3"/>
  <c r="L99" i="3"/>
  <c r="BV36" i="3"/>
  <c r="BU36" i="3"/>
  <c r="BL36" i="3"/>
  <c r="BL35" i="3"/>
  <c r="I99" i="3"/>
  <c r="J99" i="3"/>
  <c r="K47" i="3"/>
  <c r="K51" i="3" s="1"/>
  <c r="K53" i="3" s="1"/>
  <c r="K55" i="3" s="1"/>
  <c r="K57" i="3" s="1"/>
  <c r="K99" i="3"/>
  <c r="H84" i="3"/>
  <c r="O47" i="3"/>
  <c r="O51" i="3" s="1"/>
  <c r="O53" i="3" s="1"/>
  <c r="O55" i="3" s="1"/>
  <c r="O57" i="3" s="1"/>
  <c r="H36" i="3"/>
  <c r="J84" i="3"/>
  <c r="R47" i="3"/>
  <c r="R51" i="3" s="1"/>
  <c r="R53" i="3" s="1"/>
  <c r="R55" i="3" s="1"/>
  <c r="R57" i="3" s="1"/>
  <c r="P47" i="3"/>
  <c r="P51" i="3" s="1"/>
  <c r="P53" i="3" s="1"/>
  <c r="P55" i="3" s="1"/>
  <c r="P57" i="3" s="1"/>
  <c r="P99" i="3"/>
  <c r="BW36" i="3"/>
  <c r="G36" i="3"/>
  <c r="BU28" i="3"/>
  <c r="BU29" i="3" s="1"/>
  <c r="N35" i="3"/>
  <c r="L36" i="3"/>
  <c r="M36" i="3"/>
  <c r="R84" i="3"/>
  <c r="N36" i="3"/>
  <c r="J47" i="3"/>
  <c r="J51" i="3" s="1"/>
  <c r="J53" i="3" s="1"/>
  <c r="J55" i="3" s="1"/>
  <c r="J56" i="3" s="1"/>
  <c r="BP28" i="3"/>
  <c r="BP29" i="3" s="1"/>
  <c r="O84" i="3"/>
  <c r="L37" i="3"/>
  <c r="Q84" i="3"/>
  <c r="BI28" i="3"/>
  <c r="BI29" i="3" s="1"/>
  <c r="BI99" i="3"/>
  <c r="P35" i="3"/>
  <c r="Q35" i="3"/>
  <c r="N84" i="3"/>
  <c r="G47" i="3"/>
  <c r="G51" i="3" s="1"/>
  <c r="G53" i="3" s="1"/>
  <c r="G55" i="3" s="1"/>
  <c r="G57" i="3" s="1"/>
  <c r="J28" i="3"/>
  <c r="J29" i="3" s="1"/>
  <c r="Z24" i="3"/>
  <c r="Z25" i="3" s="1"/>
  <c r="I47" i="3"/>
  <c r="I51" i="3" s="1"/>
  <c r="I53" i="3" s="1"/>
  <c r="I55" i="3" s="1"/>
  <c r="I56" i="3" s="1"/>
  <c r="BI47" i="3"/>
  <c r="BI51" i="3" s="1"/>
  <c r="BI53" i="3" s="1"/>
  <c r="BI55" i="3" s="1"/>
  <c r="H28" i="3"/>
  <c r="H29" i="3" s="1"/>
  <c r="BW28" i="3"/>
  <c r="BW29" i="3" s="1"/>
  <c r="O99" i="3"/>
  <c r="O110" i="3" s="1"/>
  <c r="N28" i="3"/>
  <c r="N29" i="3" s="1"/>
  <c r="I28" i="3"/>
  <c r="I29" i="3" s="1"/>
  <c r="BV28" i="3"/>
  <c r="BV29" i="3" s="1"/>
  <c r="P28" i="3"/>
  <c r="P29" i="3" s="1"/>
  <c r="M47" i="3"/>
  <c r="M51" i="3" s="1"/>
  <c r="M53" i="3" s="1"/>
  <c r="M55" i="3" s="1"/>
  <c r="M57" i="3" s="1"/>
  <c r="M99" i="3"/>
  <c r="M110" i="3" s="1"/>
  <c r="BJ99" i="3"/>
  <c r="BJ110" i="3" s="1"/>
  <c r="N47" i="3"/>
  <c r="N51" i="3" s="1"/>
  <c r="N53" i="3" s="1"/>
  <c r="N55" i="3" s="1"/>
  <c r="N57" i="3" s="1"/>
  <c r="N99" i="3"/>
  <c r="N110" i="3" s="1"/>
  <c r="BJ35" i="3"/>
  <c r="BL28" i="3"/>
  <c r="BL29" i="3" s="1"/>
  <c r="K35" i="3"/>
  <c r="BK28" i="3"/>
  <c r="BK29" i="3" s="1"/>
  <c r="BK84" i="3"/>
  <c r="V99" i="3"/>
  <c r="V110" i="3" s="1"/>
  <c r="M35" i="3"/>
  <c r="BJ28" i="3"/>
  <c r="BJ29" i="3" s="1"/>
  <c r="BK56" i="3"/>
  <c r="BL56" i="3"/>
  <c r="Q28" i="3"/>
  <c r="Q29" i="3" s="1"/>
  <c r="K36" i="3"/>
  <c r="BN26" i="3"/>
  <c r="BN28" i="3" s="1"/>
  <c r="BN29" i="3" s="1"/>
  <c r="BT26" i="3"/>
  <c r="AD41" i="3"/>
  <c r="Q47" i="3"/>
  <c r="Q51" i="3" s="1"/>
  <c r="Q53" i="3" s="1"/>
  <c r="Q55" i="3" s="1"/>
  <c r="Q56" i="3" s="1"/>
  <c r="BM37" i="3"/>
  <c r="BK110" i="3"/>
  <c r="R99" i="3"/>
  <c r="R110" i="3" s="1"/>
  <c r="K28" i="3"/>
  <c r="K29" i="3" s="1"/>
  <c r="K84" i="3"/>
  <c r="K110" i="3"/>
  <c r="G99" i="3"/>
  <c r="G110" i="3" s="1"/>
  <c r="L28" i="3"/>
  <c r="L29" i="3" s="1"/>
  <c r="L84" i="3"/>
  <c r="L110" i="3"/>
  <c r="H99" i="3"/>
  <c r="H110" i="3" s="1"/>
  <c r="Z19" i="3"/>
  <c r="Z20" i="3" s="1"/>
  <c r="BK37" i="3"/>
  <c r="V28" i="3"/>
  <c r="V29" i="3" s="1"/>
  <c r="O35" i="3"/>
  <c r="M28" i="3"/>
  <c r="M29" i="3" s="1"/>
  <c r="M84" i="3"/>
  <c r="I35" i="3"/>
  <c r="BJ37" i="3"/>
  <c r="BM36" i="3"/>
  <c r="BT27" i="3"/>
  <c r="P36" i="3"/>
  <c r="P84" i="3"/>
  <c r="P110" i="3"/>
  <c r="I36" i="3"/>
  <c r="BS28" i="3"/>
  <c r="BS29" i="3" s="1"/>
  <c r="BK36" i="3"/>
  <c r="O28" i="3"/>
  <c r="O29" i="3" s="1"/>
  <c r="Q36" i="3"/>
  <c r="Q110" i="3"/>
  <c r="BR28" i="3"/>
  <c r="BR29" i="3" s="1"/>
  <c r="BU35" i="3"/>
  <c r="I84" i="3"/>
  <c r="I110" i="3"/>
  <c r="BQ28" i="3"/>
  <c r="BQ29" i="3" s="1"/>
  <c r="R28" i="3"/>
  <c r="R29" i="3" s="1"/>
  <c r="L47" i="3"/>
  <c r="L51" i="3" s="1"/>
  <c r="L53" i="3" s="1"/>
  <c r="L55" i="3" s="1"/>
  <c r="L57" i="3" s="1"/>
  <c r="BO28" i="3"/>
  <c r="BO29" i="3" s="1"/>
  <c r="BN36" i="3"/>
  <c r="BN37" i="3"/>
  <c r="BM28" i="3"/>
  <c r="BM29" i="3" s="1"/>
  <c r="BM47" i="3"/>
  <c r="BM51" i="3" s="1"/>
  <c r="BM53" i="3" s="1"/>
  <c r="BM55" i="3" s="1"/>
  <c r="BO37" i="3"/>
  <c r="BO35" i="3"/>
  <c r="BP37" i="3"/>
  <c r="BP35" i="3"/>
  <c r="BQ37" i="3"/>
  <c r="BQ36" i="3"/>
  <c r="BR36" i="3"/>
  <c r="BR35" i="3"/>
  <c r="BS36" i="3"/>
  <c r="BS35" i="3"/>
  <c r="BT36" i="3"/>
  <c r="BT35" i="3"/>
  <c r="BI110" i="3"/>
  <c r="BI35" i="3"/>
  <c r="BI36" i="3"/>
  <c r="BW37" i="3"/>
  <c r="BV37" i="3"/>
  <c r="Z27" i="3"/>
  <c r="Z26" i="3"/>
  <c r="Z14" i="3"/>
  <c r="Z15" i="3" s="1"/>
  <c r="Z46" i="3"/>
  <c r="Z47" i="3" s="1"/>
  <c r="Z51" i="3" s="1"/>
  <c r="Z53" i="3" s="1"/>
  <c r="Z55" i="3" s="1"/>
  <c r="X47" i="3"/>
  <c r="X51" i="3" s="1"/>
  <c r="X53" i="3" s="1"/>
  <c r="X55" i="3" s="1"/>
  <c r="X57" i="3" s="1"/>
  <c r="Y35" i="3"/>
  <c r="I57" i="3"/>
  <c r="H57" i="3"/>
  <c r="H56" i="3"/>
  <c r="J110" i="3"/>
  <c r="J57" i="3"/>
  <c r="G35" i="3"/>
  <c r="H35" i="3"/>
  <c r="J35" i="3"/>
  <c r="J36" i="3"/>
  <c r="R35" i="3"/>
  <c r="O36" i="3"/>
  <c r="R36" i="3"/>
  <c r="AP24" i="3"/>
  <c r="AP25" i="3" s="1"/>
  <c r="AL24" i="3"/>
  <c r="AL25" i="3" s="1"/>
  <c r="AD24" i="3"/>
  <c r="AD25" i="3" s="1"/>
  <c r="U37" i="3"/>
  <c r="AP14" i="3"/>
  <c r="AP15" i="3" s="1"/>
  <c r="Y99" i="3"/>
  <c r="Y110" i="3" s="1"/>
  <c r="AQ84" i="3"/>
  <c r="U99" i="3"/>
  <c r="U110" i="3" s="1"/>
  <c r="U47" i="3"/>
  <c r="U51" i="3" s="1"/>
  <c r="U53" i="3" s="1"/>
  <c r="U55" i="3" s="1"/>
  <c r="U56" i="3" s="1"/>
  <c r="W47" i="3"/>
  <c r="W51" i="3" s="1"/>
  <c r="W53" i="3" s="1"/>
  <c r="W55" i="3" s="1"/>
  <c r="W57" i="3" s="1"/>
  <c r="Y37" i="3"/>
  <c r="S99" i="3"/>
  <c r="S110" i="3" s="1"/>
  <c r="U84" i="3"/>
  <c r="W28" i="3"/>
  <c r="W29" i="3" s="1"/>
  <c r="AH19" i="3"/>
  <c r="AH20" i="3" s="1"/>
  <c r="X28" i="3"/>
  <c r="X29" i="3" s="1"/>
  <c r="V84" i="3"/>
  <c r="Y47" i="3"/>
  <c r="Y51" i="3" s="1"/>
  <c r="Y53" i="3" s="1"/>
  <c r="Y55" i="3" s="1"/>
  <c r="Y56" i="3" s="1"/>
  <c r="S47" i="3"/>
  <c r="S51" i="3" s="1"/>
  <c r="S53" i="3" s="1"/>
  <c r="S55" i="3" s="1"/>
  <c r="S56" i="3" s="1"/>
  <c r="T47" i="3"/>
  <c r="T51" i="3" s="1"/>
  <c r="T53" i="3" s="1"/>
  <c r="T55" i="3" s="1"/>
  <c r="T57" i="3" s="1"/>
  <c r="U28" i="3"/>
  <c r="U29" i="3" s="1"/>
  <c r="V37" i="3"/>
  <c r="W99" i="3"/>
  <c r="W110" i="3" s="1"/>
  <c r="AF117" i="3"/>
  <c r="AG117" i="3" s="1"/>
  <c r="AG118" i="3" s="1"/>
  <c r="T99" i="3"/>
  <c r="T110" i="3" s="1"/>
  <c r="AP27" i="3"/>
  <c r="AL14" i="3"/>
  <c r="AL15" i="3" s="1"/>
  <c r="V47" i="3"/>
  <c r="V51" i="3" s="1"/>
  <c r="V53" i="3" s="1"/>
  <c r="V55" i="3" s="1"/>
  <c r="V56" i="3" s="1"/>
  <c r="W84" i="3"/>
  <c r="V36" i="3"/>
  <c r="AP41" i="3"/>
  <c r="AD19" i="3"/>
  <c r="AD20" i="3" s="1"/>
  <c r="T28" i="3"/>
  <c r="T29" i="3" s="1"/>
  <c r="S28" i="3"/>
  <c r="S29" i="3" s="1"/>
  <c r="T37" i="3"/>
  <c r="U36" i="3"/>
  <c r="S35" i="3"/>
  <c r="S37" i="3"/>
  <c r="AH14" i="3"/>
  <c r="AH15" i="3" s="1"/>
  <c r="AB117" i="3"/>
  <c r="Y28" i="3"/>
  <c r="Y29" i="3" s="1"/>
  <c r="W35" i="3"/>
  <c r="W36" i="3"/>
  <c r="X84" i="3"/>
  <c r="Y84" i="3"/>
  <c r="X99" i="3"/>
  <c r="X110" i="3" s="1"/>
  <c r="T84" i="3"/>
  <c r="S84" i="3"/>
  <c r="T35" i="3"/>
  <c r="X35" i="3"/>
  <c r="X36" i="3"/>
  <c r="AD27" i="3"/>
  <c r="AD26" i="3"/>
  <c r="AD14" i="3"/>
  <c r="AD15" i="3" s="1"/>
  <c r="AH24" i="3"/>
  <c r="AH25" i="3" s="1"/>
  <c r="AH26" i="3"/>
  <c r="AH27" i="3"/>
  <c r="AD46" i="3"/>
  <c r="AH46" i="3"/>
  <c r="AH41" i="3"/>
  <c r="AL19" i="3"/>
  <c r="AL20" i="3" s="1"/>
  <c r="AL26" i="3"/>
  <c r="AL27" i="3"/>
  <c r="AL46" i="3"/>
  <c r="AL41" i="3"/>
  <c r="AP19" i="3"/>
  <c r="AP20" i="3" s="1"/>
  <c r="AP26" i="3"/>
  <c r="AP46" i="3"/>
  <c r="AA28" i="3"/>
  <c r="AA29" i="3" s="1"/>
  <c r="AG28" i="3"/>
  <c r="AG29" i="3" s="1"/>
  <c r="AJ117" i="3"/>
  <c r="AM99" i="3"/>
  <c r="AM110" i="3" s="1"/>
  <c r="AN117" i="3"/>
  <c r="AO117" i="3" s="1"/>
  <c r="AO118" i="3" s="1"/>
  <c r="AF99" i="3"/>
  <c r="AF110" i="3" s="1"/>
  <c r="AF36" i="3"/>
  <c r="AB28" i="3"/>
  <c r="AB29" i="3" s="1"/>
  <c r="AU99" i="3"/>
  <c r="AU110" i="3" s="1"/>
  <c r="AE99" i="3"/>
  <c r="AE110" i="3" s="1"/>
  <c r="AE36" i="3"/>
  <c r="AB84" i="3"/>
  <c r="AO28" i="3"/>
  <c r="AO29" i="3" s="1"/>
  <c r="AN28" i="3"/>
  <c r="AN29" i="3" s="1"/>
  <c r="AM118" i="3"/>
  <c r="AH37" i="3"/>
  <c r="AT28" i="3"/>
  <c r="AT29" i="3" s="1"/>
  <c r="AR117" i="3"/>
  <c r="AR118" i="3" s="1"/>
  <c r="AH36" i="3"/>
  <c r="AS28" i="3"/>
  <c r="AS29" i="3" s="1"/>
  <c r="AC28" i="3"/>
  <c r="AC29" i="3" s="1"/>
  <c r="AG36" i="3"/>
  <c r="AR28" i="3"/>
  <c r="AR29" i="3" s="1"/>
  <c r="AA84" i="3"/>
  <c r="AE28" i="3"/>
  <c r="AE29" i="3" s="1"/>
  <c r="AM28" i="3"/>
  <c r="AM29" i="3" s="1"/>
  <c r="AQ28" i="3"/>
  <c r="AQ29" i="3" s="1"/>
  <c r="AI37" i="3"/>
  <c r="AK28" i="3"/>
  <c r="AK29" i="3" s="1"/>
  <c r="AJ28" i="3"/>
  <c r="AJ29" i="3" s="1"/>
  <c r="AG35" i="3"/>
  <c r="AI28" i="3"/>
  <c r="AI29" i="3" s="1"/>
  <c r="AT99" i="3"/>
  <c r="AT110" i="3" s="1"/>
  <c r="AS99" i="3"/>
  <c r="AS110" i="3" s="1"/>
  <c r="AC99" i="3"/>
  <c r="AC110" i="3" s="1"/>
  <c r="Z35" i="3"/>
  <c r="Z36" i="3"/>
  <c r="AB99" i="3"/>
  <c r="AB110" i="3" s="1"/>
  <c r="AA99" i="3"/>
  <c r="AA110" i="3" s="1"/>
  <c r="AT37" i="3"/>
  <c r="AS37" i="3"/>
  <c r="AM36" i="3"/>
  <c r="AL36" i="3"/>
  <c r="AK36" i="3"/>
  <c r="AI36" i="3"/>
  <c r="AJ36" i="3"/>
  <c r="AA35" i="3"/>
  <c r="AD36" i="3"/>
  <c r="AF37" i="3"/>
  <c r="AC36" i="3"/>
  <c r="AE37" i="3"/>
  <c r="AQ35" i="3"/>
  <c r="AD37" i="3"/>
  <c r="AP35" i="3"/>
  <c r="AC37" i="3"/>
  <c r="AM35" i="3"/>
  <c r="AT36" i="3"/>
  <c r="AK35" i="3"/>
  <c r="AS36" i="3"/>
  <c r="AJ35" i="3"/>
  <c r="AO35" i="3"/>
  <c r="AN35" i="3"/>
  <c r="AL35" i="3"/>
  <c r="AJ99" i="3"/>
  <c r="AJ110" i="3" s="1"/>
  <c r="AR37" i="3"/>
  <c r="AB37" i="3"/>
  <c r="AQ37" i="3"/>
  <c r="AA37" i="3"/>
  <c r="AF84" i="3"/>
  <c r="AP37" i="3"/>
  <c r="AU84" i="3"/>
  <c r="AE84" i="3"/>
  <c r="AO37" i="3"/>
  <c r="AT84" i="3"/>
  <c r="AN37" i="3"/>
  <c r="AR36" i="3"/>
  <c r="AB36" i="3"/>
  <c r="AS84" i="3"/>
  <c r="AC84" i="3"/>
  <c r="AQ99" i="3"/>
  <c r="AQ110" i="3" s="1"/>
  <c r="AN99" i="3"/>
  <c r="AN110" i="3" s="1"/>
  <c r="AK99" i="3"/>
  <c r="AK110" i="3" s="1"/>
  <c r="AO99" i="3"/>
  <c r="AO110" i="3" s="1"/>
  <c r="AI99" i="3"/>
  <c r="AI110" i="3" s="1"/>
  <c r="AG99" i="3"/>
  <c r="AG110" i="3" s="1"/>
  <c r="AO84" i="3"/>
  <c r="AN84" i="3"/>
  <c r="AM84" i="3"/>
  <c r="AK84" i="3"/>
  <c r="AJ84" i="3"/>
  <c r="AI84" i="3"/>
  <c r="AG84" i="3"/>
  <c r="BO84" i="3"/>
  <c r="AD99" i="3"/>
  <c r="AD110" i="3" s="1"/>
  <c r="AM47" i="3"/>
  <c r="AM51" i="3" s="1"/>
  <c r="AM53" i="3" s="1"/>
  <c r="AM55" i="3" s="1"/>
  <c r="AM56" i="3" s="1"/>
  <c r="AK47" i="3"/>
  <c r="AK51" i="3" s="1"/>
  <c r="AK53" i="3" s="1"/>
  <c r="AK55" i="3" s="1"/>
  <c r="AK56" i="3" s="1"/>
  <c r="AS47" i="3"/>
  <c r="AS51" i="3" s="1"/>
  <c r="AS53" i="3" s="1"/>
  <c r="AS55" i="3" s="1"/>
  <c r="AS56" i="3" s="1"/>
  <c r="AC47" i="3"/>
  <c r="AC51" i="3" s="1"/>
  <c r="AC53" i="3" s="1"/>
  <c r="AC55" i="3" s="1"/>
  <c r="AC57" i="3" s="1"/>
  <c r="AR47" i="3"/>
  <c r="AR51" i="3" s="1"/>
  <c r="AR53" i="3" s="1"/>
  <c r="AR55" i="3" s="1"/>
  <c r="AR57" i="3" s="1"/>
  <c r="AB47" i="3"/>
  <c r="AB51" i="3" s="1"/>
  <c r="AB53" i="3" s="1"/>
  <c r="AB55" i="3" s="1"/>
  <c r="AB57" i="3" s="1"/>
  <c r="AQ47" i="3"/>
  <c r="AQ51" i="3" s="1"/>
  <c r="AQ53" i="3" s="1"/>
  <c r="AQ55" i="3" s="1"/>
  <c r="AQ57" i="3" s="1"/>
  <c r="AA47" i="3"/>
  <c r="AA51" i="3" s="1"/>
  <c r="AA53" i="3" s="1"/>
  <c r="AA55" i="3" s="1"/>
  <c r="AA56" i="3" s="1"/>
  <c r="BN84" i="3"/>
  <c r="AJ47" i="3"/>
  <c r="AJ51" i="3" s="1"/>
  <c r="AJ53" i="3" s="1"/>
  <c r="AJ55" i="3" s="1"/>
  <c r="AJ56" i="3" s="1"/>
  <c r="BP99" i="3"/>
  <c r="BP110" i="3" s="1"/>
  <c r="AI47" i="3"/>
  <c r="AI51" i="3" s="1"/>
  <c r="AI53" i="3" s="1"/>
  <c r="AI55" i="3" s="1"/>
  <c r="AI56" i="3" s="1"/>
  <c r="AR99" i="3"/>
  <c r="AR110" i="3" s="1"/>
  <c r="AG47" i="3"/>
  <c r="AG51" i="3" s="1"/>
  <c r="AG53" i="3" s="1"/>
  <c r="AG55" i="3" s="1"/>
  <c r="AG56" i="3" s="1"/>
  <c r="BN99" i="3"/>
  <c r="BN110" i="3" s="1"/>
  <c r="AF47" i="3"/>
  <c r="AF51" i="3" s="1"/>
  <c r="AF53" i="3" s="1"/>
  <c r="AF55" i="3" s="1"/>
  <c r="BO99" i="3"/>
  <c r="BO110" i="3" s="1"/>
  <c r="AE47" i="3"/>
  <c r="AE51" i="3" s="1"/>
  <c r="AE53" i="3" s="1"/>
  <c r="AE55" i="3" s="1"/>
  <c r="AO47" i="3"/>
  <c r="AO51" i="3" s="1"/>
  <c r="AO53" i="3" s="1"/>
  <c r="AO55" i="3" s="1"/>
  <c r="AO56" i="3" s="1"/>
  <c r="AT47" i="3"/>
  <c r="AT51" i="3" s="1"/>
  <c r="AT53" i="3" s="1"/>
  <c r="AT55" i="3" s="1"/>
  <c r="BQ99" i="3"/>
  <c r="BQ110" i="3" s="1"/>
  <c r="AN47" i="3"/>
  <c r="AN51" i="3" s="1"/>
  <c r="AN53" i="3" s="1"/>
  <c r="AN55" i="3" s="1"/>
  <c r="AN57" i="3" s="1"/>
  <c r="AH99" i="3"/>
  <c r="AH110" i="3" s="1"/>
  <c r="AL99" i="3"/>
  <c r="AL110" i="3" s="1"/>
  <c r="AR84" i="3"/>
  <c r="BR84" i="3"/>
  <c r="BS99" i="3"/>
  <c r="BS110" i="3" s="1"/>
  <c r="BQ84" i="3"/>
  <c r="BR99" i="3"/>
  <c r="BR110" i="3" s="1"/>
  <c r="AH84" i="3"/>
  <c r="AD84" i="3"/>
  <c r="Z99" i="3"/>
  <c r="Z110" i="3" s="1"/>
  <c r="BW99" i="3"/>
  <c r="BW110" i="3" s="1"/>
  <c r="BV99" i="3"/>
  <c r="BV110" i="3" s="1"/>
  <c r="Z84" i="3"/>
  <c r="BU99" i="3"/>
  <c r="BU110" i="3" s="1"/>
  <c r="BT99" i="3"/>
  <c r="BT110" i="3" s="1"/>
  <c r="BM84" i="3"/>
  <c r="BP84" i="3"/>
  <c r="AL84" i="3"/>
  <c r="AP99" i="3"/>
  <c r="AP110" i="3" s="1"/>
  <c r="BM99" i="3"/>
  <c r="BM110" i="3" s="1"/>
  <c r="BS84" i="3"/>
  <c r="BW84" i="3"/>
  <c r="BV84" i="3"/>
  <c r="BU84" i="3"/>
  <c r="BT84" i="3"/>
  <c r="AP84" i="3"/>
  <c r="BW47" i="3"/>
  <c r="BW51" i="3" s="1"/>
  <c r="BW53" i="3" s="1"/>
  <c r="BW55" i="3" s="1"/>
  <c r="BW56" i="3" s="1"/>
  <c r="BU47" i="3"/>
  <c r="BU51" i="3" s="1"/>
  <c r="BU53" i="3" s="1"/>
  <c r="BU55" i="3" s="1"/>
  <c r="BU56" i="3" s="1"/>
  <c r="BT14" i="3"/>
  <c r="BT15" i="3" s="1"/>
  <c r="BP41" i="3"/>
  <c r="BP47" i="3" s="1"/>
  <c r="BP51" i="3" s="1"/>
  <c r="BP53" i="3" s="1"/>
  <c r="BP55" i="3" s="1"/>
  <c r="BP56" i="3" s="1"/>
  <c r="BS41" i="3"/>
  <c r="BS47" i="3" s="1"/>
  <c r="BS51" i="3" s="1"/>
  <c r="BS53" i="3" s="1"/>
  <c r="BS55" i="3" s="1"/>
  <c r="BN41" i="3"/>
  <c r="BN47" i="3" s="1"/>
  <c r="BN51" i="3" s="1"/>
  <c r="BN53" i="3" s="1"/>
  <c r="BN55" i="3" s="1"/>
  <c r="BV47" i="3"/>
  <c r="BV51" i="3" s="1"/>
  <c r="BV53" i="3" s="1"/>
  <c r="BV55" i="3" s="1"/>
  <c r="BV56" i="3" s="1"/>
  <c r="BO41" i="3"/>
  <c r="BO47" i="3" s="1"/>
  <c r="BO51" i="3" s="1"/>
  <c r="BO53" i="3" s="1"/>
  <c r="BO55" i="3" s="1"/>
  <c r="BO56" i="3" s="1"/>
  <c r="BR41" i="3"/>
  <c r="BR47" i="3" s="1"/>
  <c r="BR51" i="3" s="1"/>
  <c r="BR53" i="3" s="1"/>
  <c r="BR55" i="3" s="1"/>
  <c r="BR56" i="3" s="1"/>
  <c r="BQ41" i="3"/>
  <c r="BQ47" i="3" s="1"/>
  <c r="BQ51" i="3" s="1"/>
  <c r="BQ53" i="3" s="1"/>
  <c r="BQ55" i="3" s="1"/>
  <c r="BQ56" i="3" s="1"/>
  <c r="BT47" i="3"/>
  <c r="BT51" i="3" s="1"/>
  <c r="BT53" i="3" s="1"/>
  <c r="BT55" i="3" s="1"/>
  <c r="BN14" i="3"/>
  <c r="BN15" i="3" s="1"/>
  <c r="W34" i="8" l="1"/>
  <c r="W38" i="8" s="1"/>
  <c r="Z33" i="8"/>
  <c r="Z34" i="8" s="1"/>
  <c r="Z38" i="8" s="1"/>
  <c r="Z39" i="8" s="1"/>
  <c r="Z40" i="8" s="1"/>
  <c r="Z42" i="8" s="1"/>
  <c r="AA42" i="8" s="1"/>
  <c r="U33" i="8"/>
  <c r="U34" i="8" s="1"/>
  <c r="U38" i="8" s="1"/>
  <c r="U39" i="8" s="1"/>
  <c r="U40" i="8" s="1"/>
  <c r="U42" i="8" s="1"/>
  <c r="T39" i="8"/>
  <c r="T40" i="8"/>
  <c r="T42" i="8" s="1"/>
  <c r="W39" i="8"/>
  <c r="W40" i="8" s="1"/>
  <c r="W42" i="8" s="1"/>
  <c r="Y33" i="8"/>
  <c r="Y34" i="8" s="1"/>
  <c r="Y38" i="8" s="1"/>
  <c r="X33" i="8"/>
  <c r="X34" i="8" s="1"/>
  <c r="X38" i="8" s="1"/>
  <c r="V33" i="8"/>
  <c r="V34" i="8" s="1"/>
  <c r="V38" i="8" s="1"/>
  <c r="J45" i="8"/>
  <c r="I45" i="8"/>
  <c r="L44" i="8"/>
  <c r="K45" i="8"/>
  <c r="S44" i="8"/>
  <c r="Q45" i="8"/>
  <c r="Q44" i="8"/>
  <c r="G45" i="8"/>
  <c r="G44" i="8"/>
  <c r="P45" i="8"/>
  <c r="P44" i="8"/>
  <c r="H44" i="8"/>
  <c r="H45" i="8"/>
  <c r="M45" i="8"/>
  <c r="M44" i="8"/>
  <c r="N45" i="8"/>
  <c r="N44" i="8"/>
  <c r="O45" i="8"/>
  <c r="O44" i="8"/>
  <c r="R45" i="8"/>
  <c r="R44" i="8"/>
  <c r="K56" i="3"/>
  <c r="O56" i="3"/>
  <c r="R56" i="3"/>
  <c r="P56" i="3"/>
  <c r="M56" i="3"/>
  <c r="AH28" i="3"/>
  <c r="AH29" i="3" s="1"/>
  <c r="N56" i="3"/>
  <c r="G56" i="3"/>
  <c r="Q57" i="3"/>
  <c r="BI56" i="3"/>
  <c r="AF118" i="3"/>
  <c r="AC117" i="3"/>
  <c r="AC118" i="3" s="1"/>
  <c r="S57" i="3"/>
  <c r="BT28" i="3"/>
  <c r="BT29" i="3" s="1"/>
  <c r="L56" i="3"/>
  <c r="AD47" i="3"/>
  <c r="AD51" i="3" s="1"/>
  <c r="AD53" i="3" s="1"/>
  <c r="AD55" i="3" s="1"/>
  <c r="AD57" i="3" s="1"/>
  <c r="BM56" i="3"/>
  <c r="Z28" i="3"/>
  <c r="Z29" i="3" s="1"/>
  <c r="W56" i="3"/>
  <c r="X56" i="3"/>
  <c r="AP47" i="3"/>
  <c r="AP51" i="3" s="1"/>
  <c r="AP53" i="3" s="1"/>
  <c r="AP55" i="3" s="1"/>
  <c r="AP57" i="3" s="1"/>
  <c r="AN118" i="3"/>
  <c r="U57" i="3"/>
  <c r="T56" i="3"/>
  <c r="V57" i="3"/>
  <c r="AP28" i="3"/>
  <c r="AP29" i="3" s="1"/>
  <c r="AL28" i="3"/>
  <c r="AL29" i="3" s="1"/>
  <c r="Y57" i="3"/>
  <c r="AB118" i="3"/>
  <c r="AH47" i="3"/>
  <c r="AH51" i="3" s="1"/>
  <c r="AH53" i="3" s="1"/>
  <c r="AH55" i="3" s="1"/>
  <c r="AH56" i="3" s="1"/>
  <c r="AD28" i="3"/>
  <c r="AD29" i="3" s="1"/>
  <c r="AL47" i="3"/>
  <c r="AL51" i="3" s="1"/>
  <c r="AL53" i="3" s="1"/>
  <c r="AL55" i="3" s="1"/>
  <c r="AL56" i="3" s="1"/>
  <c r="AJ118" i="3"/>
  <c r="AK117" i="3"/>
  <c r="AK118" i="3" s="1"/>
  <c r="AK57" i="3"/>
  <c r="AQ56" i="3"/>
  <c r="AM57" i="3"/>
  <c r="AS57" i="3"/>
  <c r="AB56" i="3"/>
  <c r="AC56" i="3"/>
  <c r="AI57" i="3"/>
  <c r="AJ57" i="3"/>
  <c r="AA57" i="3"/>
  <c r="AO57" i="3"/>
  <c r="AG57" i="3"/>
  <c r="AF57" i="3"/>
  <c r="AF56" i="3"/>
  <c r="AR56" i="3"/>
  <c r="AE57" i="3"/>
  <c r="AE56" i="3"/>
  <c r="AN56" i="3"/>
  <c r="Z57" i="3"/>
  <c r="Z56" i="3"/>
  <c r="AT56" i="3"/>
  <c r="AT57" i="3"/>
  <c r="BS56" i="3"/>
  <c r="BN56" i="3"/>
  <c r="BT56" i="3"/>
  <c r="AB42" i="8" l="1"/>
  <c r="AC42" i="8" s="1"/>
  <c r="AD42" i="8" s="1"/>
  <c r="AE42" i="8" s="1"/>
  <c r="AF42" i="8" s="1"/>
  <c r="AG42" i="8" s="1"/>
  <c r="AH42" i="8" s="1"/>
  <c r="AI42" i="8" s="1"/>
  <c r="AJ42" i="8" s="1"/>
  <c r="AK42" i="8" s="1"/>
  <c r="AL42" i="8" s="1"/>
  <c r="AM42" i="8" s="1"/>
  <c r="AN42" i="8" s="1"/>
  <c r="AO42" i="8" s="1"/>
  <c r="AP42" i="8" s="1"/>
  <c r="AQ42" i="8" s="1"/>
  <c r="AR42" i="8" s="1"/>
  <c r="AS42" i="8" s="1"/>
  <c r="AT42" i="8" s="1"/>
  <c r="AU42" i="8" s="1"/>
  <c r="AV42" i="8" s="1"/>
  <c r="AW42" i="8" s="1"/>
  <c r="AX42" i="8" s="1"/>
  <c r="AY42" i="8" s="1"/>
  <c r="AZ42" i="8" s="1"/>
  <c r="BA42" i="8" s="1"/>
  <c r="BB42" i="8" s="1"/>
  <c r="BC42" i="8" s="1"/>
  <c r="BD42" i="8" s="1"/>
  <c r="BE42" i="8" s="1"/>
  <c r="BF42" i="8" s="1"/>
  <c r="BG42" i="8" s="1"/>
  <c r="BH42" i="8" s="1"/>
  <c r="BI42" i="8" s="1"/>
  <c r="BJ42" i="8" s="1"/>
  <c r="BK42" i="8" s="1"/>
  <c r="BL42" i="8" s="1"/>
  <c r="BM42" i="8" s="1"/>
  <c r="BN42" i="8" s="1"/>
  <c r="BO42" i="8" s="1"/>
  <c r="BP42" i="8" s="1"/>
  <c r="BQ42" i="8" s="1"/>
  <c r="BR42" i="8" s="1"/>
  <c r="BS42" i="8" s="1"/>
  <c r="BT42" i="8" s="1"/>
  <c r="BU42" i="8" s="1"/>
  <c r="BV42" i="8" s="1"/>
  <c r="BW42" i="8" s="1"/>
  <c r="BX42" i="8" s="1"/>
  <c r="BY42" i="8" s="1"/>
  <c r="BZ42" i="8" s="1"/>
  <c r="CA42" i="8" s="1"/>
  <c r="CB42" i="8" s="1"/>
  <c r="CC42" i="8" s="1"/>
  <c r="CD42" i="8" s="1"/>
  <c r="CE42" i="8" s="1"/>
  <c r="CF42" i="8" s="1"/>
  <c r="CG42" i="8" s="1"/>
  <c r="CH42" i="8" s="1"/>
  <c r="CI42" i="8" s="1"/>
  <c r="CJ42" i="8" s="1"/>
  <c r="CK42" i="8" s="1"/>
  <c r="CL42" i="8" s="1"/>
  <c r="CM42" i="8" s="1"/>
  <c r="CN42" i="8" s="1"/>
  <c r="CO42" i="8" s="1"/>
  <c r="CP42" i="8" s="1"/>
  <c r="CQ42" i="8" s="1"/>
  <c r="CR42" i="8" s="1"/>
  <c r="CS42" i="8" s="1"/>
  <c r="CT42" i="8" s="1"/>
  <c r="CU42" i="8" s="1"/>
  <c r="CV42" i="8" s="1"/>
  <c r="CW42" i="8" s="1"/>
  <c r="CX42" i="8" s="1"/>
  <c r="V39" i="8"/>
  <c r="V40" i="8" s="1"/>
  <c r="V42" i="8" s="1"/>
  <c r="X39" i="8"/>
  <c r="X40" i="8"/>
  <c r="X42" i="8" s="1"/>
  <c r="Y39" i="8"/>
  <c r="Y40" i="8" s="1"/>
  <c r="Y42" i="8" s="1"/>
  <c r="AD56" i="3"/>
  <c r="AP56" i="3"/>
  <c r="AH57" i="3"/>
  <c r="AL57" i="3"/>
  <c r="AE66" i="8" l="1"/>
  <c r="AE6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B58" authorId="0" shapeId="0" xr:uid="{D7611FDC-B16E-448F-A66E-4BE1A39455E8}">
      <text>
        <r>
          <rPr>
            <b/>
            <sz val="9"/>
            <color indexed="81"/>
            <rFont val="Tahoma"/>
            <family val="2"/>
          </rPr>
          <t>William:</t>
        </r>
        <r>
          <rPr>
            <sz val="9"/>
            <color indexed="81"/>
            <rFont val="Tahoma"/>
            <family val="2"/>
          </rPr>
          <t xml:space="preserve">
Adjusted for Splits:
- 3 for 1 stock split: 8/25/2022
- 5 for 1 stock split: 8/31/2020</t>
        </r>
      </text>
    </comment>
    <comment ref="AJ58" authorId="0" shapeId="0" xr:uid="{ABA25819-4F5C-4FEA-ABC2-89831B07DBE4}">
      <text>
        <r>
          <rPr>
            <b/>
            <sz val="9"/>
            <color indexed="81"/>
            <rFont val="Tahoma"/>
            <family val="2"/>
          </rPr>
          <t>William:</t>
        </r>
        <r>
          <rPr>
            <sz val="9"/>
            <color indexed="81"/>
            <rFont val="Tahoma"/>
            <family val="2"/>
          </rPr>
          <t xml:space="preserve">
Stock Split: 1-for-3</t>
        </r>
      </text>
    </comment>
    <comment ref="Z82" authorId="0" shapeId="0" xr:uid="{B2275985-A893-4A05-9B30-CCC04886CBCB}">
      <text>
        <r>
          <rPr>
            <b/>
            <sz val="9"/>
            <color indexed="81"/>
            <rFont val="Tahoma"/>
            <family val="2"/>
          </rPr>
          <t>William:</t>
        </r>
        <r>
          <rPr>
            <sz val="9"/>
            <color indexed="81"/>
            <rFont val="Tahoma"/>
            <family val="2"/>
          </rPr>
          <t xml:space="preserve">
Inlcudes "MyPower customer notes receivable"</t>
        </r>
      </text>
    </comment>
    <comment ref="AC82" authorId="0" shapeId="0" xr:uid="{5F269933-4840-4EBC-A60F-3DCD9C72510E}">
      <text>
        <r>
          <rPr>
            <b/>
            <sz val="9"/>
            <color indexed="81"/>
            <rFont val="Tahoma"/>
            <family val="2"/>
          </rPr>
          <t>William:</t>
        </r>
        <r>
          <rPr>
            <sz val="9"/>
            <color indexed="81"/>
            <rFont val="Tahoma"/>
            <family val="2"/>
          </rPr>
          <t xml:space="preserve">
Includes "MyPower customer recievable notes"
</t>
        </r>
      </text>
    </comment>
    <comment ref="X97" authorId="0" shapeId="0" xr:uid="{336712AA-5881-40EA-9609-D2C1C84FA57E}">
      <text>
        <r>
          <rPr>
            <b/>
            <sz val="9"/>
            <color indexed="81"/>
            <rFont val="Tahoma"/>
            <family val="2"/>
          </rPr>
          <t>William:</t>
        </r>
        <r>
          <rPr>
            <sz val="9"/>
            <color indexed="81"/>
            <rFont val="Tahoma"/>
            <family val="2"/>
          </rPr>
          <t xml:space="preserve">
Includes: 
- Solar Bonds issued
- Convertible senior notes</t>
        </r>
      </text>
    </comment>
    <comment ref="BK97" authorId="0" shapeId="0" xr:uid="{3AC48587-5746-4131-9929-571FE90CD339}">
      <text>
        <r>
          <rPr>
            <b/>
            <sz val="9"/>
            <color indexed="81"/>
            <rFont val="Tahoma"/>
            <family val="2"/>
          </rPr>
          <t>William:</t>
        </r>
        <r>
          <rPr>
            <sz val="9"/>
            <color indexed="81"/>
            <rFont val="Tahoma"/>
            <family val="2"/>
          </rPr>
          <t xml:space="preserve">
Includes: 
"convertible debt"</t>
        </r>
      </text>
    </comment>
    <comment ref="B107" authorId="0" shapeId="0" xr:uid="{FC392244-0C71-478E-AA8C-0F3F98345F4D}">
      <text>
        <r>
          <rPr>
            <b/>
            <sz val="9"/>
            <color indexed="81"/>
            <rFont val="Tahoma"/>
            <family val="2"/>
          </rPr>
          <t>William:</t>
        </r>
        <r>
          <rPr>
            <sz val="9"/>
            <color indexed="81"/>
            <rFont val="Tahoma"/>
            <family val="2"/>
          </rPr>
          <t xml:space="preserve">
Negative "Retained Earnings" can be interpreted as an "Accumulated Deficit" therefore, I combined the lines.
</t>
        </r>
      </text>
    </comment>
    <comment ref="BP117" authorId="0" shapeId="0" xr:uid="{00000000-0006-0000-0200-000001000000}">
      <text>
        <r>
          <rPr>
            <sz val="11"/>
            <color theme="1"/>
            <rFont val="Calibri"/>
            <family val="2"/>
            <scheme val="minor"/>
          </rPr>
          <t xml:space="preserve">William:
Here the CapEx is only "Purchases of Property and equipment excluding financing leases"
</t>
        </r>
      </text>
    </comment>
    <comment ref="BS117" authorId="0" shapeId="0" xr:uid="{00000000-0006-0000-0200-000002000000}">
      <text>
        <r>
          <rPr>
            <sz val="11"/>
            <color theme="1"/>
            <rFont val="Calibri"/>
            <family val="2"/>
            <scheme val="minor"/>
          </rPr>
          <t>William:
Sum of "Purchases of PP&amp;E"
"Purchases of solar energy systems"
"Purchases of digital assets"</t>
        </r>
      </text>
    </comment>
    <comment ref="AP133" authorId="0" shapeId="0" xr:uid="{00000000-0006-0000-0200-000003000000}">
      <text>
        <r>
          <rPr>
            <sz val="11"/>
            <color theme="1"/>
            <rFont val="Calibri"/>
            <family val="2"/>
            <scheme val="minor"/>
          </rPr>
          <t xml:space="preserve">William:
Here the CapEx is only "Purchases of Property and equipment excluding financing leases"
</t>
        </r>
      </text>
    </comment>
    <comment ref="AS133" authorId="0" shapeId="0" xr:uid="{00000000-0006-0000-0200-000004000000}">
      <text>
        <r>
          <rPr>
            <sz val="11"/>
            <color theme="1"/>
            <rFont val="Calibri"/>
            <family val="2"/>
            <scheme val="minor"/>
          </rPr>
          <t>William:
Sum of "Purchases of PP&amp;E"
"Purchases of solar energy systems"
"Purchases of digital assets"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<sst xmlns="http://schemas.openxmlformats.org/spreadsheetml/2006/main" count="2243" uniqueCount="1294">
  <si>
    <t>Price</t>
  </si>
  <si>
    <t>Shares</t>
  </si>
  <si>
    <t>MC</t>
  </si>
  <si>
    <t>Cash</t>
  </si>
  <si>
    <t>Debt</t>
  </si>
  <si>
    <t>EV</t>
  </si>
  <si>
    <t>Company Name</t>
  </si>
  <si>
    <t>Tesla, Inc.</t>
  </si>
  <si>
    <t>Ticker</t>
  </si>
  <si>
    <t>TSLA</t>
  </si>
  <si>
    <t>Country</t>
  </si>
  <si>
    <t>USA</t>
  </si>
  <si>
    <t>Sector</t>
  </si>
  <si>
    <t>Consumer Cyclical</t>
  </si>
  <si>
    <t>Industry</t>
  </si>
  <si>
    <t>Auto Manufacturer</t>
  </si>
  <si>
    <t>Quarter</t>
  </si>
  <si>
    <t>Filing Date</t>
  </si>
  <si>
    <t>Period of Report</t>
  </si>
  <si>
    <t>Profit Margins</t>
  </si>
  <si>
    <t>Automotive Revenues</t>
  </si>
  <si>
    <t>Revenue</t>
  </si>
  <si>
    <t>COGs</t>
  </si>
  <si>
    <t>Automotive Gross Profit</t>
  </si>
  <si>
    <t>Energy Generation &amp; Storage</t>
  </si>
  <si>
    <t xml:space="preserve">Revenue </t>
  </si>
  <si>
    <t>Energy G&amp;S Gross Profit</t>
  </si>
  <si>
    <t>Services &amp; Other</t>
  </si>
  <si>
    <t>Services Gross Profit</t>
  </si>
  <si>
    <t>Margin</t>
  </si>
  <si>
    <t>Income Statement</t>
  </si>
  <si>
    <t>Gross Profit</t>
  </si>
  <si>
    <t>Operating Expenses</t>
  </si>
  <si>
    <t>R&amp;D</t>
  </si>
  <si>
    <t>SG&amp;A</t>
  </si>
  <si>
    <t>Restructuring and other</t>
  </si>
  <si>
    <t>Total Operating Expenses</t>
  </si>
  <si>
    <t>Operating Income</t>
  </si>
  <si>
    <t>Interest income</t>
  </si>
  <si>
    <t>Interest expense</t>
  </si>
  <si>
    <t>Other income</t>
  </si>
  <si>
    <t>Income before taxes</t>
  </si>
  <si>
    <t>Taxes</t>
  </si>
  <si>
    <t>Net Income</t>
  </si>
  <si>
    <t>Net Income attributable to noncontrolling interests and redeemable noncontrolling interests in subsidiaries</t>
  </si>
  <si>
    <t>Net Income attributable to common stockholders</t>
  </si>
  <si>
    <t>EPS - Basic</t>
  </si>
  <si>
    <t>EPS - Diluted</t>
  </si>
  <si>
    <t>Shares - Basic</t>
  </si>
  <si>
    <t>Shares - Diluted</t>
  </si>
  <si>
    <t>Assets</t>
  </si>
  <si>
    <t>Cash &amp; cash equivalents</t>
  </si>
  <si>
    <t>Short-term marketable securities</t>
  </si>
  <si>
    <t>Restricted Cash</t>
  </si>
  <si>
    <t>AR</t>
  </si>
  <si>
    <t>Inventory</t>
  </si>
  <si>
    <t>Prepaid expenses and other current assets</t>
  </si>
  <si>
    <t>Total Current Assets</t>
  </si>
  <si>
    <t>Operating lease vehicles</t>
  </si>
  <si>
    <t>Solar energy systems</t>
  </si>
  <si>
    <t>PP&amp;E</t>
  </si>
  <si>
    <t>Operating lease right-of-use assets</t>
  </si>
  <si>
    <t>Digital assets</t>
  </si>
  <si>
    <t>Intangible assets</t>
  </si>
  <si>
    <t xml:space="preserve">Goodwill </t>
  </si>
  <si>
    <t>Restricted cash, net of current portion</t>
  </si>
  <si>
    <t>Other non-current assets</t>
  </si>
  <si>
    <t>Total Assets</t>
  </si>
  <si>
    <t>AP</t>
  </si>
  <si>
    <t>Accrued liabilities and other</t>
  </si>
  <si>
    <t>Deferred revenue</t>
  </si>
  <si>
    <t>Resale value guarantees</t>
  </si>
  <si>
    <t>Customer deposits</t>
  </si>
  <si>
    <t>Current portion of debt and finance leases</t>
  </si>
  <si>
    <t>Total Current Liabilities</t>
  </si>
  <si>
    <t>Debt and finance leases</t>
  </si>
  <si>
    <t>Other long-term liabilities</t>
  </si>
  <si>
    <t>Total Liabilities</t>
  </si>
  <si>
    <t>Redeemable noncontrolling interests in subsidiaries</t>
  </si>
  <si>
    <t>Convertible senior notes</t>
  </si>
  <si>
    <t>Equity</t>
  </si>
  <si>
    <t>Preferred stock</t>
  </si>
  <si>
    <t>Common stock</t>
  </si>
  <si>
    <t>Additional paid-in capital</t>
  </si>
  <si>
    <t>Accumulated other comprehensive income</t>
  </si>
  <si>
    <t>Retained earnings</t>
  </si>
  <si>
    <t>Total Stockholders Equity</t>
  </si>
  <si>
    <t>Noncontrolling interest in subsidiaries</t>
  </si>
  <si>
    <t>Total Liabilities and Equity</t>
  </si>
  <si>
    <t>Operating Cash Flow</t>
  </si>
  <si>
    <t>CapEx</t>
  </si>
  <si>
    <t>FCF</t>
  </si>
  <si>
    <t>Revenue per share</t>
  </si>
  <si>
    <t>- -</t>
  </si>
  <si>
    <t>0.00</t>
  </si>
  <si>
    <t>0.04</t>
  </si>
  <si>
    <t>0.29</t>
  </si>
  <si>
    <t>0.46</t>
  </si>
  <si>
    <t>0.41</t>
  </si>
  <si>
    <t>0.77</t>
  </si>
  <si>
    <t>3.37</t>
  </si>
  <si>
    <t>5.13</t>
  </si>
  <si>
    <t>6.31</t>
  </si>
  <si>
    <t>9.71</t>
  </si>
  <si>
    <t>14.19</t>
  </si>
  <si>
    <t>25.17</t>
  </si>
  <si>
    <t>27.77</t>
  </si>
  <si>
    <t>32.85</t>
  </si>
  <si>
    <t>54.59</t>
  </si>
  <si>
    <t>65.78</t>
  </si>
  <si>
    <t>Earnings per share</t>
  </si>
  <si>
    <t>(0.20)</t>
  </si>
  <si>
    <t>(0.21)</t>
  </si>
  <si>
    <t>(0.14)</t>
  </si>
  <si>
    <t>(0.61)</t>
  </si>
  <si>
    <t>(0.51)</t>
  </si>
  <si>
    <t>(0.74)</t>
  </si>
  <si>
    <t>(0.12)</t>
  </si>
  <si>
    <t>(0.47)</t>
  </si>
  <si>
    <t>(1.39)</t>
  </si>
  <si>
    <t>(0.94)</t>
  </si>
  <si>
    <t>(2.37)</t>
  </si>
  <si>
    <t>(1.14)</t>
  </si>
  <si>
    <t>(0.97)</t>
  </si>
  <si>
    <t>0.72</t>
  </si>
  <si>
    <t>5.60</t>
  </si>
  <si>
    <t>9.29</t>
  </si>
  <si>
    <t>FCF per share</t>
  </si>
  <si>
    <t>(0.16)</t>
  </si>
  <si>
    <t>(0.24)</t>
  </si>
  <si>
    <t>(0.66)</t>
  </si>
  <si>
    <t>(0.62)</t>
  </si>
  <si>
    <t>(0.01)</t>
  </si>
  <si>
    <t>(1.65)</t>
  </si>
  <si>
    <t>(3.37)</t>
  </si>
  <si>
    <t>(2.17)</t>
  </si>
  <si>
    <t>(5.00)</t>
  </si>
  <si>
    <t>(0.26)</t>
  </si>
  <si>
    <t>1.09</t>
  </si>
  <si>
    <t>2.81</t>
  </si>
  <si>
    <t>3.53</t>
  </si>
  <si>
    <t>6.79</t>
  </si>
  <si>
    <t>Dividends per share</t>
  </si>
  <si>
    <t>CAPEX per share</t>
  </si>
  <si>
    <t>0.03</t>
  </si>
  <si>
    <t>0.02</t>
  </si>
  <si>
    <t>0.16</t>
  </si>
  <si>
    <t>0.39</t>
  </si>
  <si>
    <t>0.45</t>
  </si>
  <si>
    <t>0.44</t>
  </si>
  <si>
    <t>1.56</t>
  </si>
  <si>
    <t>2.55</t>
  </si>
  <si>
    <t>2.00</t>
  </si>
  <si>
    <t>4.92</t>
  </si>
  <si>
    <t>2.72</t>
  </si>
  <si>
    <t>1.62</t>
  </si>
  <si>
    <t>3.38</t>
  </si>
  <si>
    <t>8.13</t>
  </si>
  <si>
    <t>6.99</t>
  </si>
  <si>
    <t>Book Value per sh.</t>
  </si>
  <si>
    <t>(0.30)</t>
  </si>
  <si>
    <t>(0.65)</t>
  </si>
  <si>
    <t>0.82</t>
  </si>
  <si>
    <t>0.23</t>
  </si>
  <si>
    <t>1.12</t>
  </si>
  <si>
    <t>1.46</t>
  </si>
  <si>
    <t>1.70</t>
  </si>
  <si>
    <t>6.59</t>
  </si>
  <si>
    <t>5.11</t>
  </si>
  <si>
    <t>5.77</t>
  </si>
  <si>
    <t>7.48</t>
  </si>
  <si>
    <t>23.15</t>
  </si>
  <si>
    <t>30.62</t>
  </si>
  <si>
    <t>31.27</t>
  </si>
  <si>
    <t>Comm.Shares outs.</t>
  </si>
  <si>
    <t>390</t>
  </si>
  <si>
    <t>388</t>
  </si>
  <si>
    <t>254</t>
  </si>
  <si>
    <t>502</t>
  </si>
  <si>
    <t>537</t>
  </si>
  <si>
    <t>597</t>
  </si>
  <si>
    <t>623</t>
  </si>
  <si>
    <t>641</t>
  </si>
  <si>
    <t>721</t>
  </si>
  <si>
    <t>829</t>
  </si>
  <si>
    <t>853</t>
  </si>
  <si>
    <t>885</t>
  </si>
  <si>
    <t>960</t>
  </si>
  <si>
    <t>986</t>
  </si>
  <si>
    <t>1,021</t>
  </si>
  <si>
    <t>Avg. annual P/E ratio</t>
  </si>
  <si>
    <t>(2.6)</t>
  </si>
  <si>
    <t>(3.6)</t>
  </si>
  <si>
    <t>(2.8)</t>
  </si>
  <si>
    <t>(56.2)</t>
  </si>
  <si>
    <t>(31.6)</t>
  </si>
  <si>
    <t>(11.0)</t>
  </si>
  <si>
    <t>(14.9)</t>
  </si>
  <si>
    <t>(8.8)</t>
  </si>
  <si>
    <t>(18.4)</t>
  </si>
  <si>
    <t>(18.8)</t>
  </si>
  <si>
    <t>135.4</t>
  </si>
  <si>
    <t>46.8</t>
  </si>
  <si>
    <t>107.4</t>
  </si>
  <si>
    <t>P/E to S&amp;P500</t>
  </si>
  <si>
    <t>(0.1)</t>
  </si>
  <si>
    <t>(0.2)</t>
  </si>
  <si>
    <t>(3.3)</t>
  </si>
  <si>
    <t>(1.7)</t>
  </si>
  <si>
    <t>(0.5)</t>
  </si>
  <si>
    <t>(0.7)</t>
  </si>
  <si>
    <t>(0.4)</t>
  </si>
  <si>
    <t>(0.8)</t>
  </si>
  <si>
    <t>3.6</t>
  </si>
  <si>
    <t>1.6</t>
  </si>
  <si>
    <t>5.4</t>
  </si>
  <si>
    <t>Avg. annual div. yield</t>
  </si>
  <si>
    <t>Revenue (m)</t>
  </si>
  <si>
    <t>0</t>
  </si>
  <si>
    <t>15</t>
  </si>
  <si>
    <t>112</t>
  </si>
  <si>
    <t>117</t>
  </si>
  <si>
    <t>204</t>
  </si>
  <si>
    <t>413</t>
  </si>
  <si>
    <t>2,013</t>
  </si>
  <si>
    <t>3,198</t>
  </si>
  <si>
    <t>4,046</t>
  </si>
  <si>
    <t>7,000</t>
  </si>
  <si>
    <t>11,759</t>
  </si>
  <si>
    <t>21,461</t>
  </si>
  <si>
    <t>24,578</t>
  </si>
  <si>
    <t>31,536</t>
  </si>
  <si>
    <t>53,823</t>
  </si>
  <si>
    <t>67,166</t>
  </si>
  <si>
    <t>Operating margin</t>
  </si>
  <si>
    <t>(109,497.3)%</t>
  </si>
  <si>
    <t>(532.5)%</t>
  </si>
  <si>
    <t>(46.4)%</t>
  </si>
  <si>
    <t>(125.8)%</t>
  </si>
  <si>
    <t>(123.1)%</t>
  </si>
  <si>
    <t>(95.4)%</t>
  </si>
  <si>
    <t>(3.0)%</t>
  </si>
  <si>
    <t>(5.8)%</t>
  </si>
  <si>
    <t>(17.7)%</t>
  </si>
  <si>
    <t>(9.5)%</t>
  </si>
  <si>
    <t>(13.9)%</t>
  </si>
  <si>
    <t>(1.8)%</t>
  </si>
  <si>
    <t>(0.3)%</t>
  </si>
  <si>
    <t>6.3%</t>
  </si>
  <si>
    <t>12.1%</t>
  </si>
  <si>
    <t>15.8%</t>
  </si>
  <si>
    <t>Depreciation (m)</t>
  </si>
  <si>
    <t>3</t>
  </si>
  <si>
    <t>4</t>
  </si>
  <si>
    <t>7</t>
  </si>
  <si>
    <t>11</t>
  </si>
  <si>
    <t>17</t>
  </si>
  <si>
    <t>29</t>
  </si>
  <si>
    <t>106</t>
  </si>
  <si>
    <t>232</t>
  </si>
  <si>
    <t>423</t>
  </si>
  <si>
    <t>947</t>
  </si>
  <si>
    <t>1,636</t>
  </si>
  <si>
    <t>1,901</t>
  </si>
  <si>
    <t>2,154</t>
  </si>
  <si>
    <t>2,322</t>
  </si>
  <si>
    <t>2,911</t>
  </si>
  <si>
    <t>3,411</t>
  </si>
  <si>
    <t>Net profit (m)</t>
  </si>
  <si>
    <t>(78)</t>
  </si>
  <si>
    <t>(83)</t>
  </si>
  <si>
    <t>(56)</t>
  </si>
  <si>
    <t>(154)</t>
  </si>
  <si>
    <t>(254)</t>
  </si>
  <si>
    <t>(396)</t>
  </si>
  <si>
    <t>(74)</t>
  </si>
  <si>
    <t>(294)</t>
  </si>
  <si>
    <t>(889)</t>
  </si>
  <si>
    <t>(675)</t>
  </si>
  <si>
    <t>(1,961)</t>
  </si>
  <si>
    <t>(976)</t>
  </si>
  <si>
    <t>(862)</t>
  </si>
  <si>
    <t>690</t>
  </si>
  <si>
    <t>5,519</t>
  </si>
  <si>
    <t>9,516</t>
  </si>
  <si>
    <t>Income tax rate</t>
  </si>
  <si>
    <t>(0.1)%</t>
  </si>
  <si>
    <t>(0.0)%</t>
  </si>
  <si>
    <t>(0.2)%</t>
  </si>
  <si>
    <t>(3.6)%</t>
  </si>
  <si>
    <t>(3.3)%</t>
  </si>
  <si>
    <t>(1.5)%</t>
  </si>
  <si>
    <t>(1.4)%</t>
  </si>
  <si>
    <t>(16.5)%</t>
  </si>
  <si>
    <t>25.3%</t>
  </si>
  <si>
    <t>11.0%</t>
  </si>
  <si>
    <t>10.2%</t>
  </si>
  <si>
    <t>Net profit margin</t>
  </si>
  <si>
    <t>(107,064.4)%</t>
  </si>
  <si>
    <t>(561.5)%</t>
  </si>
  <si>
    <t>(49.8)%</t>
  </si>
  <si>
    <t>(132.2)%</t>
  </si>
  <si>
    <t>(124.6)%</t>
  </si>
  <si>
    <t>(95.9)%</t>
  </si>
  <si>
    <t>(3.7)%</t>
  </si>
  <si>
    <t>(9.2)%</t>
  </si>
  <si>
    <t>(22.0)%</t>
  </si>
  <si>
    <t>(9.6)%</t>
  </si>
  <si>
    <t>(16.7)%</t>
  </si>
  <si>
    <t>(4.5)%</t>
  </si>
  <si>
    <t>(3.5)%</t>
  </si>
  <si>
    <t>2.2%</t>
  </si>
  <si>
    <t>10.3%</t>
  </si>
  <si>
    <t>14.0%</t>
  </si>
  <si>
    <t>Working capital (m)</t>
  </si>
  <si>
    <t>(29)</t>
  </si>
  <si>
    <t>(57)</t>
  </si>
  <si>
    <t>43</t>
  </si>
  <si>
    <t>150</t>
  </si>
  <si>
    <t>181</t>
  </si>
  <si>
    <t>(14)</t>
  </si>
  <si>
    <t>591</t>
  </si>
  <si>
    <t>1,091</t>
  </si>
  <si>
    <t>(25)</t>
  </si>
  <si>
    <t>433</t>
  </si>
  <si>
    <t>(1,104)</t>
  </si>
  <si>
    <t>(1,686)</t>
  </si>
  <si>
    <t>1,436</t>
  </si>
  <si>
    <t>12,469</t>
  </si>
  <si>
    <t>7,395</t>
  </si>
  <si>
    <t>9,401</t>
  </si>
  <si>
    <t>Long-term debt (m)</t>
  </si>
  <si>
    <t>55</t>
  </si>
  <si>
    <t>72</t>
  </si>
  <si>
    <t>268</t>
  </si>
  <si>
    <t>401</t>
  </si>
  <si>
    <t>586</t>
  </si>
  <si>
    <t>1,865</t>
  </si>
  <si>
    <t>2,082</t>
  </si>
  <si>
    <t>5,978</t>
  </si>
  <si>
    <t>9,418</t>
  </si>
  <si>
    <t>9,404</t>
  </si>
  <si>
    <t>11,634</t>
  </si>
  <si>
    <t>9,556</t>
  </si>
  <si>
    <t>5,245</t>
  </si>
  <si>
    <t>2,898</t>
  </si>
  <si>
    <t>Equity (m)</t>
  </si>
  <si>
    <t>(118)</t>
  </si>
  <si>
    <t>(200)</t>
  </si>
  <si>
    <t>207</t>
  </si>
  <si>
    <t>224</t>
  </si>
  <si>
    <t>125</t>
  </si>
  <si>
    <t>667</t>
  </si>
  <si>
    <t>912</t>
  </si>
  <si>
    <t>1,089</t>
  </si>
  <si>
    <t>4,753</t>
  </si>
  <si>
    <t>4,237</t>
  </si>
  <si>
    <t>4,923</t>
  </si>
  <si>
    <t>6,618</t>
  </si>
  <si>
    <t>22,225</t>
  </si>
  <si>
    <t>30,189</t>
  </si>
  <si>
    <t>36,376</t>
  </si>
  <si>
    <t>ROIC</t>
  </si>
  <si>
    <t>474.9%</t>
  </si>
  <si>
    <t>218.1%</t>
  </si>
  <si>
    <t>(73.0)%</t>
  </si>
  <si>
    <t>(51.0)%</t>
  </si>
  <si>
    <t>(48.7)%</t>
  </si>
  <si>
    <t>(68.9)%</t>
  </si>
  <si>
    <t>(2.3)%</t>
  </si>
  <si>
    <t>(5.1)%</t>
  </si>
  <si>
    <t>(14.6)%</t>
  </si>
  <si>
    <t>(2.9)%</t>
  </si>
  <si>
    <t>(7.4)%</t>
  </si>
  <si>
    <t>3.5%</t>
  </si>
  <si>
    <t>14.1%</t>
  </si>
  <si>
    <t>21.1%</t>
  </si>
  <si>
    <t>Return on capital</t>
  </si>
  <si>
    <t>(224.0)%</t>
  </si>
  <si>
    <t>(152.7)%</t>
  </si>
  <si>
    <t>(40.8)%</t>
  </si>
  <si>
    <t>(39.7)%</t>
  </si>
  <si>
    <t>(35.6)%</t>
  </si>
  <si>
    <t>(35.5)%</t>
  </si>
  <si>
    <t>(1.6)%</t>
  </si>
  <si>
    <t>(3.1)%</t>
  </si>
  <si>
    <t>(9.4)%</t>
  </si>
  <si>
    <t>(2.1)%</t>
  </si>
  <si>
    <t>(5.3)%</t>
  </si>
  <si>
    <t>(0.9)%</t>
  </si>
  <si>
    <t>3.4%</t>
  </si>
  <si>
    <t>10.7%</t>
  </si>
  <si>
    <t>16.0%</t>
  </si>
  <si>
    <t>Return on equity</t>
  </si>
  <si>
    <t>66.3%</t>
  </si>
  <si>
    <t>41.5%</t>
  </si>
  <si>
    <t>22.0%</t>
  </si>
  <si>
    <t>(74.5)%</t>
  </si>
  <si>
    <t>(113.6)%</t>
  </si>
  <si>
    <t>(317.7)%</t>
  </si>
  <si>
    <t>(11.1)%</t>
  </si>
  <si>
    <t>(32.3)%</t>
  </si>
  <si>
    <t>(81.6)%</t>
  </si>
  <si>
    <t>(14.2)%</t>
  </si>
  <si>
    <t>(46.3)%</t>
  </si>
  <si>
    <t>(19.8)%</t>
  </si>
  <si>
    <t>(13.0)%</t>
  </si>
  <si>
    <t>3.1%</t>
  </si>
  <si>
    <t>18.3%</t>
  </si>
  <si>
    <t>26.2%</t>
  </si>
  <si>
    <t>Plowback ratio</t>
  </si>
  <si>
    <t>100.0%</t>
  </si>
  <si>
    <t>Div.&amp;Repurch./FCF</t>
  </si>
  <si>
    <t>(454.2)%</t>
  </si>
  <si>
    <t>2007</t>
  </si>
  <si>
    <t>2008</t>
  </si>
  <si>
    <t>2009</t>
  </si>
  <si>
    <t>2010</t>
  </si>
  <si>
    <t>2011</t>
  </si>
  <si>
    <t>2012</t>
  </si>
  <si>
    <t>2013</t>
  </si>
  <si>
    <t>2014</t>
  </si>
  <si>
    <t>2015</t>
  </si>
  <si>
    <t>2016</t>
  </si>
  <si>
    <t>2017</t>
  </si>
  <si>
    <t>2018</t>
  </si>
  <si>
    <t>2019</t>
  </si>
  <si>
    <t>2020</t>
  </si>
  <si>
    <t>2021</t>
  </si>
  <si>
    <t>COGS</t>
  </si>
  <si>
    <t>16</t>
  </si>
  <si>
    <t>102</t>
  </si>
  <si>
    <t>86</t>
  </si>
  <si>
    <t>143</t>
  </si>
  <si>
    <t>383</t>
  </si>
  <si>
    <t>1,557</t>
  </si>
  <si>
    <t>2,317</t>
  </si>
  <si>
    <t>3,123</t>
  </si>
  <si>
    <t>5,401</t>
  </si>
  <si>
    <t>9,536</t>
  </si>
  <si>
    <t>17,419</t>
  </si>
  <si>
    <t>20,509</t>
  </si>
  <si>
    <t>24,906</t>
  </si>
  <si>
    <t>40,217</t>
  </si>
  <si>
    <t>(1)</t>
  </si>
  <si>
    <t>10</t>
  </si>
  <si>
    <t>31</t>
  </si>
  <si>
    <t>62</t>
  </si>
  <si>
    <t>30</t>
  </si>
  <si>
    <t>456</t>
  </si>
  <si>
    <t>882</t>
  </si>
  <si>
    <t>924</t>
  </si>
  <si>
    <t>1,599</t>
  </si>
  <si>
    <t>2,222</t>
  </si>
  <si>
    <t>4,042</t>
  </si>
  <si>
    <t>4,069</t>
  </si>
  <si>
    <t>6,630</t>
  </si>
  <si>
    <t>13,606</t>
  </si>
  <si>
    <t>Gross Profit Ratio</t>
  </si>
  <si>
    <t>87.67%</t>
  </si>
  <si>
    <t>(7.74)%</t>
  </si>
  <si>
    <t>8.52%</t>
  </si>
  <si>
    <t>26.32%</t>
  </si>
  <si>
    <t>30.16%</t>
  </si>
  <si>
    <t>7.28%</t>
  </si>
  <si>
    <t>22.66%</t>
  </si>
  <si>
    <t>27.57%</t>
  </si>
  <si>
    <t>22.82%</t>
  </si>
  <si>
    <t>22.85%</t>
  </si>
  <si>
    <t>18.90%</t>
  </si>
  <si>
    <t>18.83%</t>
  </si>
  <si>
    <t>16.56%</t>
  </si>
  <si>
    <t>21.02%</t>
  </si>
  <si>
    <t>25.28%</t>
  </si>
  <si>
    <t>80</t>
  </si>
  <si>
    <t>77</t>
  </si>
  <si>
    <t>61</t>
  </si>
  <si>
    <t>178</t>
  </si>
  <si>
    <t>313</t>
  </si>
  <si>
    <t>424</t>
  </si>
  <si>
    <t>518</t>
  </si>
  <si>
    <t>1,068</t>
  </si>
  <si>
    <t>1,640</t>
  </si>
  <si>
    <t>2,267</t>
  </si>
  <si>
    <t>3,855</t>
  </si>
  <si>
    <t>4,295</t>
  </si>
  <si>
    <t>3,989</t>
  </si>
  <si>
    <t>4,636</t>
  </si>
  <si>
    <t>7,110</t>
  </si>
  <si>
    <t>R&amp;D Expenses</t>
  </si>
  <si>
    <t>63</t>
  </si>
  <si>
    <t>54</t>
  </si>
  <si>
    <t>19</t>
  </si>
  <si>
    <t>93</t>
  </si>
  <si>
    <t>209</t>
  </si>
  <si>
    <t>274</t>
  </si>
  <si>
    <t>465</t>
  </si>
  <si>
    <t>718</t>
  </si>
  <si>
    <t>834</t>
  </si>
  <si>
    <t>1,378</t>
  </si>
  <si>
    <t>1,460</t>
  </si>
  <si>
    <t>1,343</t>
  </si>
  <si>
    <t>1,491</t>
  </si>
  <si>
    <t>2,593</t>
  </si>
  <si>
    <t>Selling, G&amp;A Exp.</t>
  </si>
  <si>
    <t>85</t>
  </si>
  <si>
    <t>104</t>
  </si>
  <si>
    <t>286</t>
  </si>
  <si>
    <t>604</t>
  </si>
  <si>
    <t>922</t>
  </si>
  <si>
    <t>1,432</t>
  </si>
  <si>
    <t>2,477</t>
  </si>
  <si>
    <t>2,834</t>
  </si>
  <si>
    <t>2,646</t>
  </si>
  <si>
    <t>3,145</t>
  </si>
  <si>
    <t>4,517</t>
  </si>
  <si>
    <t>General and Admin. Exp.</t>
  </si>
  <si>
    <t>Selling and Marketing Exp.</t>
  </si>
  <si>
    <t>Other Expenses</t>
  </si>
  <si>
    <t>24</t>
  </si>
  <si>
    <t>42</t>
  </si>
  <si>
    <t>COGS and Expenses</t>
  </si>
  <si>
    <t>164</t>
  </si>
  <si>
    <t>264</t>
  </si>
  <si>
    <t>808</t>
  </si>
  <si>
    <t>2,075</t>
  </si>
  <si>
    <t>3,385</t>
  </si>
  <si>
    <t>4,763</t>
  </si>
  <si>
    <t>7,667</t>
  </si>
  <si>
    <t>13,391</t>
  </si>
  <si>
    <t>21,714</t>
  </si>
  <si>
    <t>24,498</t>
  </si>
  <si>
    <t>29,542</t>
  </si>
  <si>
    <t>47,327</t>
  </si>
  <si>
    <t>Interest Income</t>
  </si>
  <si>
    <t>2</t>
  </si>
  <si>
    <t>1</t>
  </si>
  <si>
    <t>9</t>
  </si>
  <si>
    <t>20</t>
  </si>
  <si>
    <t>25</t>
  </si>
  <si>
    <t>44</t>
  </si>
  <si>
    <t>56</t>
  </si>
  <si>
    <t>Interest Expense</t>
  </si>
  <si>
    <t>33</t>
  </si>
  <si>
    <t>101</t>
  </si>
  <si>
    <t>119</t>
  </si>
  <si>
    <t>199</t>
  </si>
  <si>
    <t>471</t>
  </si>
  <si>
    <t>663</t>
  </si>
  <si>
    <t>685</t>
  </si>
  <si>
    <t>748</t>
  </si>
  <si>
    <t>371</t>
  </si>
  <si>
    <t>Depreciation and Amortization</t>
  </si>
  <si>
    <t>EBITDA</t>
  </si>
  <si>
    <t>(75)</t>
  </si>
  <si>
    <t>(46)</t>
  </si>
  <si>
    <t>(143)</t>
  </si>
  <si>
    <t>(237)</t>
  </si>
  <si>
    <t>(367)</t>
  </si>
  <si>
    <t>68</t>
  </si>
  <si>
    <t>48</t>
  </si>
  <si>
    <t>(334)</t>
  </si>
  <si>
    <t>498</t>
  </si>
  <si>
    <t>177</t>
  </si>
  <si>
    <t>1,646</t>
  </si>
  <si>
    <t>2,087</t>
  </si>
  <si>
    <t>4,052</t>
  </si>
  <si>
    <t>9,500</t>
  </si>
  <si>
    <t>EBITDA ratio</t>
  </si>
  <si>
    <t>(102,947.95)%</t>
  </si>
  <si>
    <t>(507.26)%</t>
  </si>
  <si>
    <t>(41.31)%</t>
  </si>
  <si>
    <t>(122.10)%</t>
  </si>
  <si>
    <t>(116.02)%</t>
  </si>
  <si>
    <t>(88.81)%</t>
  </si>
  <si>
    <t>3.36%</t>
  </si>
  <si>
    <t>1.51%</t>
  </si>
  <si>
    <t>(8.26)%</t>
  </si>
  <si>
    <t>7.11%</t>
  </si>
  <si>
    <t>7.67%</t>
  </si>
  <si>
    <t>8.49%</t>
  </si>
  <si>
    <t>12.85%</t>
  </si>
  <si>
    <t>17.65%</t>
  </si>
  <si>
    <t>(80)</t>
  </si>
  <si>
    <t>(79)</t>
  </si>
  <si>
    <t>(52)</t>
  </si>
  <si>
    <t>(147)</t>
  </si>
  <si>
    <t>(251)</t>
  </si>
  <si>
    <t>(394)</t>
  </si>
  <si>
    <t>(61)</t>
  </si>
  <si>
    <t>(187)</t>
  </si>
  <si>
    <t>(717)</t>
  </si>
  <si>
    <t>(667)</t>
  </si>
  <si>
    <t>(1,632)</t>
  </si>
  <si>
    <t>(388)</t>
  </si>
  <si>
    <t>(69)</t>
  </si>
  <si>
    <t>1,994</t>
  </si>
  <si>
    <t>6,523</t>
  </si>
  <si>
    <t>Operating Income ratio</t>
  </si>
  <si>
    <t>(109,497.26)%</t>
  </si>
  <si>
    <t>(532.52)%</t>
  </si>
  <si>
    <t>(46.36)%</t>
  </si>
  <si>
    <t>(125.78)%</t>
  </si>
  <si>
    <t>(123.13)%</t>
  </si>
  <si>
    <t>(95.41)%</t>
  </si>
  <si>
    <t>(3.04)%</t>
  </si>
  <si>
    <t>(5.84)%</t>
  </si>
  <si>
    <t>(17.71)%</t>
  </si>
  <si>
    <t>(9.53)%</t>
  </si>
  <si>
    <t>(13.88)%</t>
  </si>
  <si>
    <t>(1.81)%</t>
  </si>
  <si>
    <t>(0.28)%</t>
  </si>
  <si>
    <t>6.32%</t>
  </si>
  <si>
    <t>12.12%</t>
  </si>
  <si>
    <t>Total Other Income Exp.(Gains)</t>
  </si>
  <si>
    <t>(4)</t>
  </si>
  <si>
    <t>(7)</t>
  </si>
  <si>
    <t>(2)</t>
  </si>
  <si>
    <t>(10)</t>
  </si>
  <si>
    <t>(98)</t>
  </si>
  <si>
    <t>(159)</t>
  </si>
  <si>
    <t>(577)</t>
  </si>
  <si>
    <t>(617)</t>
  </si>
  <si>
    <t>(596)</t>
  </si>
  <si>
    <t>(840)</t>
  </si>
  <si>
    <t>(180)</t>
  </si>
  <si>
    <t>Income Before Tax</t>
  </si>
  <si>
    <t>(71)</t>
  </si>
  <si>
    <t>(285)</t>
  </si>
  <si>
    <t>(876)</t>
  </si>
  <si>
    <t>(746)</t>
  </si>
  <si>
    <t>(2,209)</t>
  </si>
  <si>
    <t>(1,005)</t>
  </si>
  <si>
    <t>(665)</t>
  </si>
  <si>
    <t>1,154</t>
  </si>
  <si>
    <t>6,343</t>
  </si>
  <si>
    <t>Income Before Tax ratio</t>
  </si>
  <si>
    <t>(106,913.70)%</t>
  </si>
  <si>
    <t>(560.88)%</t>
  </si>
  <si>
    <t>(49.77)%</t>
  </si>
  <si>
    <t>(132.05)%</t>
  </si>
  <si>
    <t>(124.32)%</t>
  </si>
  <si>
    <t>(95.84)%</t>
  </si>
  <si>
    <t>(3.55)%</t>
  </si>
  <si>
    <t>(8.90)%</t>
  </si>
  <si>
    <t>(21.64)%</t>
  </si>
  <si>
    <t>(10.66)%</t>
  </si>
  <si>
    <t>(18.79)%</t>
  </si>
  <si>
    <t>(4.68)%</t>
  </si>
  <si>
    <t>(2.71)%</t>
  </si>
  <si>
    <t>3.66%</t>
  </si>
  <si>
    <t>11.78%</t>
  </si>
  <si>
    <t>Income Tax Expense (Gain)</t>
  </si>
  <si>
    <t>13</t>
  </si>
  <si>
    <t>27</t>
  </si>
  <si>
    <t>32</t>
  </si>
  <si>
    <t>58</t>
  </si>
  <si>
    <t>110</t>
  </si>
  <si>
    <t>292</t>
  </si>
  <si>
    <t>699</t>
  </si>
  <si>
    <t>Net Income Ratio</t>
  </si>
  <si>
    <t>(107,064.38)%</t>
  </si>
  <si>
    <t>(561.54)%</t>
  </si>
  <si>
    <t>(49.79)%</t>
  </si>
  <si>
    <t>(132.19)%</t>
  </si>
  <si>
    <t>(124.56)%</t>
  </si>
  <si>
    <t>(95.88)%</t>
  </si>
  <si>
    <t>(3.68)%</t>
  </si>
  <si>
    <t>(9.19)%</t>
  </si>
  <si>
    <t>(21.96)%</t>
  </si>
  <si>
    <t>(9.64)%</t>
  </si>
  <si>
    <t>(16.68)%</t>
  </si>
  <si>
    <t>(4.55)%</t>
  </si>
  <si>
    <t>(3.51)%</t>
  </si>
  <si>
    <t>2.19%</t>
  </si>
  <si>
    <t>10.25%</t>
  </si>
  <si>
    <t>EPS</t>
  </si>
  <si>
    <t>(0.98)</t>
  </si>
  <si>
    <t>0.74</t>
  </si>
  <si>
    <t>EPS Diluted</t>
  </si>
  <si>
    <t>0.64</t>
  </si>
  <si>
    <t>4.90</t>
  </si>
  <si>
    <t>Weighted Avg. Shares Outs.</t>
  </si>
  <si>
    <t>Weighted Avg. Shares Outs. Dil.</t>
  </si>
  <si>
    <t>1,129</t>
  </si>
  <si>
    <t>Share Price</t>
  </si>
  <si>
    <t>Cash and Cash Equivalents</t>
  </si>
  <si>
    <t>70</t>
  </si>
  <si>
    <t>100</t>
  </si>
  <si>
    <t>255</t>
  </si>
  <si>
    <t>202</t>
  </si>
  <si>
    <t>846</t>
  </si>
  <si>
    <t>1,906</t>
  </si>
  <si>
    <t>1,197</t>
  </si>
  <si>
    <t>3,393</t>
  </si>
  <si>
    <t>3,368</t>
  </si>
  <si>
    <t>3,686</t>
  </si>
  <si>
    <t>6,268</t>
  </si>
  <si>
    <t>19,384</t>
  </si>
  <si>
    <t>17,576</t>
  </si>
  <si>
    <t>Short-Term Investments</t>
  </si>
  <si>
    <t>131</t>
  </si>
  <si>
    <t>Cash &amp; Short-Term Investments</t>
  </si>
  <si>
    <t>280</t>
  </si>
  <si>
    <t>17,707</t>
  </si>
  <si>
    <t>Net Receivables</t>
  </si>
  <si>
    <t>49</t>
  </si>
  <si>
    <t>227</t>
  </si>
  <si>
    <t>169</t>
  </si>
  <si>
    <t>499</t>
  </si>
  <si>
    <t>515</t>
  </si>
  <si>
    <t>949</t>
  </si>
  <si>
    <t>1,324</t>
  </si>
  <si>
    <t>1,886</t>
  </si>
  <si>
    <t>1,913</t>
  </si>
  <si>
    <t>23</t>
  </si>
  <si>
    <t>45</t>
  </si>
  <si>
    <t>50</t>
  </si>
  <si>
    <t>269</t>
  </si>
  <si>
    <t>340</t>
  </si>
  <si>
    <t>954</t>
  </si>
  <si>
    <t>1,278</t>
  </si>
  <si>
    <t>2,067</t>
  </si>
  <si>
    <t>2,264</t>
  </si>
  <si>
    <t>3,113</t>
  </si>
  <si>
    <t>3,552</t>
  </si>
  <si>
    <t>4,101</t>
  </si>
  <si>
    <t>5,757</t>
  </si>
  <si>
    <t>Other Current Assets</t>
  </si>
  <si>
    <t>84</t>
  </si>
  <si>
    <t>28</t>
  </si>
  <si>
    <t>113</t>
  </si>
  <si>
    <t>148</t>
  </si>
  <si>
    <t>300</t>
  </si>
  <si>
    <t>558</t>
  </si>
  <si>
    <t>959</t>
  </si>
  <si>
    <t>1,346</t>
  </si>
  <si>
    <t>1,723</t>
  </si>
  <si>
    <t>22</t>
  </si>
  <si>
    <t>236</t>
  </si>
  <si>
    <t>373</t>
  </si>
  <si>
    <t>525</t>
  </si>
  <si>
    <t>1,266</t>
  </si>
  <si>
    <t>3,199</t>
  </si>
  <si>
    <t>2,792</t>
  </si>
  <si>
    <t>6,260</t>
  </si>
  <si>
    <t>6,571</t>
  </si>
  <si>
    <t>8,306</t>
  </si>
  <si>
    <t>12,103</t>
  </si>
  <si>
    <t>26,717</t>
  </si>
  <si>
    <t>27,100</t>
  </si>
  <si>
    <t>12</t>
  </si>
  <si>
    <t>123</t>
  </si>
  <si>
    <t>310</t>
  </si>
  <si>
    <t>562</t>
  </si>
  <si>
    <t>1,121</t>
  </si>
  <si>
    <t>2,596</t>
  </si>
  <si>
    <t>5,195</t>
  </si>
  <si>
    <t>15,037</t>
  </si>
  <si>
    <t>20,492</t>
  </si>
  <si>
    <t>19,691</t>
  </si>
  <si>
    <t>20,199</t>
  </si>
  <si>
    <t>23,375</t>
  </si>
  <si>
    <t>31,176</t>
  </si>
  <si>
    <t>Goodwill</t>
  </si>
  <si>
    <t>60</t>
  </si>
  <si>
    <t>198</t>
  </si>
  <si>
    <t>200</t>
  </si>
  <si>
    <t>Intangible Assets</t>
  </si>
  <si>
    <t>14</t>
  </si>
  <si>
    <t>376</t>
  </si>
  <si>
    <t>362</t>
  </si>
  <si>
    <t>282</t>
  </si>
  <si>
    <t>339</t>
  </si>
  <si>
    <t>1,517</t>
  </si>
  <si>
    <t>Goodwill and Intangible Assets</t>
  </si>
  <si>
    <t>422</t>
  </si>
  <si>
    <t>351</t>
  </si>
  <si>
    <t>520</t>
  </si>
  <si>
    <t>1,717</t>
  </si>
  <si>
    <t>Investments</t>
  </si>
  <si>
    <t>Tax Assets</t>
  </si>
  <si>
    <t>Other Non-Current Assets</t>
  </si>
  <si>
    <t>6</t>
  </si>
  <si>
    <t>991</t>
  </si>
  <si>
    <t>1,171</t>
  </si>
  <si>
    <t>1,391</t>
  </si>
  <si>
    <t>1,470</t>
  </si>
  <si>
    <t>1,536</t>
  </si>
  <si>
    <t>2,138</t>
  </si>
  <si>
    <t>Total Non-Current Assets</t>
  </si>
  <si>
    <t>341</t>
  </si>
  <si>
    <t>589</t>
  </si>
  <si>
    <t>1,151</t>
  </si>
  <si>
    <t>2,651</t>
  </si>
  <si>
    <t>5,301</t>
  </si>
  <si>
    <t>16,404</t>
  </si>
  <si>
    <t>22,085</t>
  </si>
  <si>
    <t>21,433</t>
  </si>
  <si>
    <t>22,206</t>
  </si>
  <si>
    <t>25,431</t>
  </si>
  <si>
    <t>35,031</t>
  </si>
  <si>
    <t>Other Assets</t>
  </si>
  <si>
    <t>35</t>
  </si>
  <si>
    <t>52</t>
  </si>
  <si>
    <t>130</t>
  </si>
  <si>
    <t>386</t>
  </si>
  <si>
    <t>713</t>
  </si>
  <si>
    <t>1,114</t>
  </si>
  <si>
    <t>2,417</t>
  </si>
  <si>
    <t>5,849</t>
  </si>
  <si>
    <t>8,092</t>
  </si>
  <si>
    <t>22,664</t>
  </si>
  <si>
    <t>28,655</t>
  </si>
  <si>
    <t>29,740</t>
  </si>
  <si>
    <t>34,309</t>
  </si>
  <si>
    <t>52,148</t>
  </si>
  <si>
    <t>62,131</t>
  </si>
  <si>
    <t>Accounts Payable</t>
  </si>
  <si>
    <t>5</t>
  </si>
  <si>
    <t>303</t>
  </si>
  <si>
    <t>304</t>
  </si>
  <si>
    <t>778</t>
  </si>
  <si>
    <t>916</t>
  </si>
  <si>
    <t>1,860</t>
  </si>
  <si>
    <t>2,390</t>
  </si>
  <si>
    <t>3,404</t>
  </si>
  <si>
    <t>3,771</t>
  </si>
  <si>
    <t>6,051</t>
  </si>
  <si>
    <t>10,025</t>
  </si>
  <si>
    <t>Short-Term Debt</t>
  </si>
  <si>
    <t>8</t>
  </si>
  <si>
    <t>632</t>
  </si>
  <si>
    <t>633</t>
  </si>
  <si>
    <t>1,202</t>
  </si>
  <si>
    <t>964</t>
  </si>
  <si>
    <t>2,711</t>
  </si>
  <si>
    <t>2,070</t>
  </si>
  <si>
    <t>2,132</t>
  </si>
  <si>
    <t>1,589</t>
  </si>
  <si>
    <t>Tax Payable</t>
  </si>
  <si>
    <t>38</t>
  </si>
  <si>
    <t>71</t>
  </si>
  <si>
    <t>153</t>
  </si>
  <si>
    <t>186</t>
  </si>
  <si>
    <t>349</t>
  </si>
  <si>
    <t>611</t>
  </si>
  <si>
    <t>777</t>
  </si>
  <si>
    <t>1,122</t>
  </si>
  <si>
    <t>Deferred Revenue</t>
  </si>
  <si>
    <t>446</t>
  </si>
  <si>
    <t>852</t>
  </si>
  <si>
    <t>1,178</t>
  </si>
  <si>
    <t>1,207</t>
  </si>
  <si>
    <t>1,284</t>
  </si>
  <si>
    <t>2,052</t>
  </si>
  <si>
    <t>Other Current Liabilities</t>
  </si>
  <si>
    <t>46</t>
  </si>
  <si>
    <t>69</t>
  </si>
  <si>
    <t>41</t>
  </si>
  <si>
    <t>124</t>
  </si>
  <si>
    <t>40</t>
  </si>
  <si>
    <t>108</t>
  </si>
  <si>
    <t>248</t>
  </si>
  <si>
    <t>560</t>
  </si>
  <si>
    <t>1,338</t>
  </si>
  <si>
    <t>2,451</t>
  </si>
  <si>
    <t>2,454</t>
  </si>
  <si>
    <t>2,937</t>
  </si>
  <si>
    <t>5,719</t>
  </si>
  <si>
    <t>51</t>
  </si>
  <si>
    <t>88</t>
  </si>
  <si>
    <t>57</t>
  </si>
  <si>
    <t>191</t>
  </si>
  <si>
    <t>539</t>
  </si>
  <si>
    <t>675</t>
  </si>
  <si>
    <t>2,107</t>
  </si>
  <si>
    <t>2,816</t>
  </si>
  <si>
    <t>5,827</t>
  </si>
  <si>
    <t>7,675</t>
  </si>
  <si>
    <t>9,992</t>
  </si>
  <si>
    <t>10,667</t>
  </si>
  <si>
    <t>14,248</t>
  </si>
  <si>
    <t>19,705</t>
  </si>
  <si>
    <t>Long-Term Debt</t>
  </si>
  <si>
    <t>Deferred Tax Liabilities</t>
  </si>
  <si>
    <t>151</t>
  </si>
  <si>
    <t>Other Non-Current Liabilities</t>
  </si>
  <si>
    <t>109</t>
  </si>
  <si>
    <t>325</t>
  </si>
  <si>
    <t>301</t>
  </si>
  <si>
    <t>673</t>
  </si>
  <si>
    <t>1,659</t>
  </si>
  <si>
    <t>4,469</t>
  </si>
  <si>
    <t>5,150</t>
  </si>
  <si>
    <t>3,595</t>
  </si>
  <si>
    <t>3,334</t>
  </si>
  <si>
    <t>3,834</t>
  </si>
  <si>
    <t>4,090</t>
  </si>
  <si>
    <t>Total Non-Current Liabilities</t>
  </si>
  <si>
    <t>163</t>
  </si>
  <si>
    <t>326</t>
  </si>
  <si>
    <t>298</t>
  </si>
  <si>
    <t>450</t>
  </si>
  <si>
    <t>1,075</t>
  </si>
  <si>
    <t>2,830</t>
  </si>
  <si>
    <t>4,187</t>
  </si>
  <si>
    <t>11,299</t>
  </si>
  <si>
    <t>15,746</t>
  </si>
  <si>
    <t>13,990</t>
  </si>
  <si>
    <t>16,175</t>
  </si>
  <si>
    <t>14,825</t>
  </si>
  <si>
    <t>11,411</t>
  </si>
  <si>
    <t>Other Liabilities</t>
  </si>
  <si>
    <t>Capital Lease Obligations</t>
  </si>
  <si>
    <t>21</t>
  </si>
  <si>
    <t>1,801</t>
  </si>
  <si>
    <t>3,195</t>
  </si>
  <si>
    <t>2,896</t>
  </si>
  <si>
    <t>3,008</t>
  </si>
  <si>
    <t>3,531</t>
  </si>
  <si>
    <t>251</t>
  </si>
  <si>
    <t>384</t>
  </si>
  <si>
    <t>179</t>
  </si>
  <si>
    <t>489</t>
  </si>
  <si>
    <t>989</t>
  </si>
  <si>
    <t>1,750</t>
  </si>
  <si>
    <t>4,938</t>
  </si>
  <si>
    <t>7,004</t>
  </si>
  <si>
    <t>17,126</t>
  </si>
  <si>
    <t>23,421</t>
  </si>
  <si>
    <t>23,982</t>
  </si>
  <si>
    <t>26,842</t>
  </si>
  <si>
    <t>29,073</t>
  </si>
  <si>
    <t>31,116</t>
  </si>
  <si>
    <t>Preferred Stock</t>
  </si>
  <si>
    <t>Common Stock</t>
  </si>
  <si>
    <t>Retained Earnings</t>
  </si>
  <si>
    <t>(122)</t>
  </si>
  <si>
    <t>(205)</t>
  </si>
  <si>
    <t>(261)</t>
  </si>
  <si>
    <t>(415)</t>
  </si>
  <si>
    <t>(669)</t>
  </si>
  <si>
    <t>(1,066)</t>
  </si>
  <si>
    <t>(1,140)</t>
  </si>
  <si>
    <t>(1,434)</t>
  </si>
  <si>
    <t>(2,322)</t>
  </si>
  <si>
    <t>(2,997)</t>
  </si>
  <si>
    <t>(4,974)</t>
  </si>
  <si>
    <t>(5,318)</t>
  </si>
  <si>
    <t>(6,083)</t>
  </si>
  <si>
    <t>(5,399)</t>
  </si>
  <si>
    <t>331</t>
  </si>
  <si>
    <t>Other Compreh. Income(Loss)</t>
  </si>
  <si>
    <t>(3)</t>
  </si>
  <si>
    <t>(13)</t>
  </si>
  <si>
    <t>(22)</t>
  </si>
  <si>
    <t>(0)</t>
  </si>
  <si>
    <t>(140)</t>
  </si>
  <si>
    <t>(293)</t>
  </si>
  <si>
    <t>(24)</t>
  </si>
  <si>
    <t>(8)</t>
  </si>
  <si>
    <t>(36)</t>
  </si>
  <si>
    <t>363</t>
  </si>
  <si>
    <t>Other Total Stockhold. Equity</t>
  </si>
  <si>
    <t>644</t>
  </si>
  <si>
    <t>893</t>
  </si>
  <si>
    <t>1,190</t>
  </si>
  <si>
    <t>1,947</t>
  </si>
  <si>
    <t>2,638</t>
  </si>
  <si>
    <t>3,415</t>
  </si>
  <si>
    <t>7,774</t>
  </si>
  <si>
    <t>9,178</t>
  </si>
  <si>
    <t>10,249</t>
  </si>
  <si>
    <t>12,737</t>
  </si>
  <si>
    <t>27,260</t>
  </si>
  <si>
    <t>29,803</t>
  </si>
  <si>
    <t>Total Liab.&amp;Stockhold. Equity</t>
  </si>
  <si>
    <t>21,879</t>
  </si>
  <si>
    <t>27,658</t>
  </si>
  <si>
    <t>28,905</t>
  </si>
  <si>
    <t>33,460</t>
  </si>
  <si>
    <t>51,298</t>
  </si>
  <si>
    <t>61,305</t>
  </si>
  <si>
    <t>Minority Interest</t>
  </si>
  <si>
    <t>785</t>
  </si>
  <si>
    <t>997</t>
  </si>
  <si>
    <t>849</t>
  </si>
  <si>
    <t>850</t>
  </si>
  <si>
    <t>826</t>
  </si>
  <si>
    <t>Total Liabilities &amp; Equity</t>
  </si>
  <si>
    <t>Deferred Income Tax</t>
  </si>
  <si>
    <t>Stock Based Compensation</t>
  </si>
  <si>
    <t>81</t>
  </si>
  <si>
    <t>156</t>
  </si>
  <si>
    <t>334</t>
  </si>
  <si>
    <t>467</t>
  </si>
  <si>
    <t>749</t>
  </si>
  <si>
    <t>898</t>
  </si>
  <si>
    <t>1,734</t>
  </si>
  <si>
    <t>2,121</t>
  </si>
  <si>
    <t>Change in Working Capital</t>
  </si>
  <si>
    <t>(38)</t>
  </si>
  <si>
    <t>(11)</t>
  </si>
  <si>
    <t>89</t>
  </si>
  <si>
    <t>(257)</t>
  </si>
  <si>
    <t>(493)</t>
  </si>
  <si>
    <t>(694)</t>
  </si>
  <si>
    <t>(497)</t>
  </si>
  <si>
    <t>(349)</t>
  </si>
  <si>
    <t>184</t>
  </si>
  <si>
    <t>Accounts Receivable</t>
  </si>
  <si>
    <t>(17)</t>
  </si>
  <si>
    <t>(184)</t>
  </si>
  <si>
    <t>(217)</t>
  </si>
  <si>
    <t>(652)</t>
  </si>
  <si>
    <t>(130)</t>
  </si>
  <si>
    <t>(15)</t>
  </si>
  <si>
    <t>(20)</t>
  </si>
  <si>
    <t>(195)</t>
  </si>
  <si>
    <t>(463)</t>
  </si>
  <si>
    <t>(1,050)</t>
  </si>
  <si>
    <t>(1,574)</t>
  </si>
  <si>
    <t>(2,466)</t>
  </si>
  <si>
    <t>(179)</t>
  </si>
  <si>
    <t>(1,023)</t>
  </si>
  <si>
    <t>(429)</t>
  </si>
  <si>
    <t>(422)</t>
  </si>
  <si>
    <t>(1,709)</t>
  </si>
  <si>
    <t>188</t>
  </si>
  <si>
    <t>253</t>
  </si>
  <si>
    <t>Other Working Capital</t>
  </si>
  <si>
    <t>47</t>
  </si>
  <si>
    <t>316</t>
  </si>
  <si>
    <t>359</t>
  </si>
  <si>
    <t>775</t>
  </si>
  <si>
    <t>103</t>
  </si>
  <si>
    <t>743</t>
  </si>
  <si>
    <t>328</t>
  </si>
  <si>
    <t>979</t>
  </si>
  <si>
    <t>Other Non-Cash Items</t>
  </si>
  <si>
    <t>105</t>
  </si>
  <si>
    <t>237</t>
  </si>
  <si>
    <t>295</t>
  </si>
  <si>
    <t>366</t>
  </si>
  <si>
    <t>564</t>
  </si>
  <si>
    <t>1,013</t>
  </si>
  <si>
    <t>428</t>
  </si>
  <si>
    <t>Cash Provided by Operating Activities</t>
  </si>
  <si>
    <t>(53)</t>
  </si>
  <si>
    <t>(81)</t>
  </si>
  <si>
    <t>(128)</t>
  </si>
  <si>
    <t>(114)</t>
  </si>
  <si>
    <t>(266)</t>
  </si>
  <si>
    <t>258</t>
  </si>
  <si>
    <t>(524)</t>
  </si>
  <si>
    <t>(124)</t>
  </si>
  <si>
    <t>2,098</t>
  </si>
  <si>
    <t>2,405</t>
  </si>
  <si>
    <t>5,943</t>
  </si>
  <si>
    <t>11,497</t>
  </si>
  <si>
    <t>CAPEX</t>
  </si>
  <si>
    <t>(12)</t>
  </si>
  <si>
    <t>(40)</t>
  </si>
  <si>
    <t>(198)</t>
  </si>
  <si>
    <t>(239)</t>
  </si>
  <si>
    <t>(264)</t>
  </si>
  <si>
    <t>(970)</t>
  </si>
  <si>
    <t>(1,635)</t>
  </si>
  <si>
    <t>(1,440)</t>
  </si>
  <si>
    <t>(4,081)</t>
  </si>
  <si>
    <t>(2,320)</t>
  </si>
  <si>
    <t>(1,437)</t>
  </si>
  <si>
    <t>(3,242)</t>
  </si>
  <si>
    <t>(8,014)</t>
  </si>
  <si>
    <t>Acquisitions Net</t>
  </si>
  <si>
    <t>214</t>
  </si>
  <si>
    <t>(115)</t>
  </si>
  <si>
    <t>(18)</t>
  </si>
  <si>
    <t>(45)</t>
  </si>
  <si>
    <t>Purchases of Investments</t>
  </si>
  <si>
    <t>(65)</t>
  </si>
  <si>
    <t>(206)</t>
  </si>
  <si>
    <t>(132)</t>
  </si>
  <si>
    <t>Sales/Maturities of Investments</t>
  </si>
  <si>
    <t>189</t>
  </si>
  <si>
    <t>Other Investing Activities</t>
  </si>
  <si>
    <t>(26)</t>
  </si>
  <si>
    <t>(223)</t>
  </si>
  <si>
    <t>(1,222)</t>
  </si>
  <si>
    <t>Cash Used for Investing Activities</t>
  </si>
  <si>
    <t>(176)</t>
  </si>
  <si>
    <t>(207)</t>
  </si>
  <si>
    <t>(249)</t>
  </si>
  <si>
    <t>(990)</t>
  </si>
  <si>
    <t>(1,674)</t>
  </si>
  <si>
    <t>(1,416)</t>
  </si>
  <si>
    <t>(4,419)</t>
  </si>
  <si>
    <t>(2,337)</t>
  </si>
  <si>
    <t>(1,436)</t>
  </si>
  <si>
    <t>(3,132)</t>
  </si>
  <si>
    <t>(7,868)</t>
  </si>
  <si>
    <t>Debt Repayment</t>
  </si>
  <si>
    <t>(16)</t>
  </si>
  <si>
    <t>(461)</t>
  </si>
  <si>
    <t>(204)</t>
  </si>
  <si>
    <t>(1,904)</t>
  </si>
  <si>
    <t>(4,264)</t>
  </si>
  <si>
    <t>(6,087)</t>
  </si>
  <si>
    <t>(9,871)</t>
  </si>
  <si>
    <t>(12,201)</t>
  </si>
  <si>
    <t>(14,615)</t>
  </si>
  <si>
    <t>Common Stock Issued</t>
  </si>
  <si>
    <t>231</t>
  </si>
  <si>
    <t>221</t>
  </si>
  <si>
    <t>415</t>
  </si>
  <si>
    <t>750</t>
  </si>
  <si>
    <t>1,702</t>
  </si>
  <si>
    <t>400</t>
  </si>
  <si>
    <t>848</t>
  </si>
  <si>
    <t>12,269</t>
  </si>
  <si>
    <t>Common Stock Repurchased</t>
  </si>
  <si>
    <t>Dividends Paid</t>
  </si>
  <si>
    <t>Other Financing Activities</t>
  </si>
  <si>
    <t>215</t>
  </si>
  <si>
    <t>681</t>
  </si>
  <si>
    <t>977</t>
  </si>
  <si>
    <t>3,947</t>
  </si>
  <si>
    <t>8,278</t>
  </si>
  <si>
    <t>6,661</t>
  </si>
  <si>
    <t>10,552</t>
  </si>
  <si>
    <t>9,905</t>
  </si>
  <si>
    <t>9,412</t>
  </si>
  <si>
    <t>Cash Used/Provided by Financing Activities</t>
  </si>
  <si>
    <t>155</t>
  </si>
  <si>
    <t>338</t>
  </si>
  <si>
    <t>420</t>
  </si>
  <si>
    <t>635</t>
  </si>
  <si>
    <t>2,143</t>
  </si>
  <si>
    <t>1,524</t>
  </si>
  <si>
    <t>3,744</t>
  </si>
  <si>
    <t>4,415</t>
  </si>
  <si>
    <t>574</t>
  </si>
  <si>
    <t>1,529</t>
  </si>
  <si>
    <t>9,973</t>
  </si>
  <si>
    <t>(5,203)</t>
  </si>
  <si>
    <t>Effect of Forex Changes on Cash</t>
  </si>
  <si>
    <t>(34)</t>
  </si>
  <si>
    <t>39</t>
  </si>
  <si>
    <t>(23)</t>
  </si>
  <si>
    <t>(183)</t>
  </si>
  <si>
    <t>Net Change In Cash</t>
  </si>
  <si>
    <t>1,060</t>
  </si>
  <si>
    <t>(709)</t>
  </si>
  <si>
    <t>2,196</t>
  </si>
  <si>
    <t>311</t>
  </si>
  <si>
    <t>2,506</t>
  </si>
  <si>
    <t>13,118</t>
  </si>
  <si>
    <t>(1,757)</t>
  </si>
  <si>
    <t>Cash at the End of Period</t>
  </si>
  <si>
    <t>4,276</t>
  </si>
  <si>
    <t>6,783</t>
  </si>
  <si>
    <t>19,901</t>
  </si>
  <si>
    <t>18,144</t>
  </si>
  <si>
    <t>Cash at the Beginning of Period</t>
  </si>
  <si>
    <t>3,965</t>
  </si>
  <si>
    <t>4,277</t>
  </si>
  <si>
    <t>Free Cash Flow</t>
  </si>
  <si>
    <t>(63)</t>
  </si>
  <si>
    <t>(62)</t>
  </si>
  <si>
    <t>(93)</t>
  </si>
  <si>
    <t>(168)</t>
  </si>
  <si>
    <t>(312)</t>
  </si>
  <si>
    <t>(505)</t>
  </si>
  <si>
    <t>(6)</t>
  </si>
  <si>
    <t>(1,027)</t>
  </si>
  <si>
    <t>(2,159)</t>
  </si>
  <si>
    <t>(1,564)</t>
  </si>
  <si>
    <t>(4,142)</t>
  </si>
  <si>
    <t>(222)</t>
  </si>
  <si>
    <t>968</t>
  </si>
  <si>
    <t>2,701</t>
  </si>
  <si>
    <t>3,483</t>
  </si>
  <si>
    <t>Gigafactories</t>
  </si>
  <si>
    <t>Location</t>
  </si>
  <si>
    <t>Vehicle Model(s)</t>
  </si>
  <si>
    <t>Production Status</t>
  </si>
  <si>
    <t>Fremont Factory</t>
  </si>
  <si>
    <t>Gigafactory Shanghai</t>
  </si>
  <si>
    <t>Gigafactory Berlin-Brandenburg</t>
  </si>
  <si>
    <t>Gigafactory Texas</t>
  </si>
  <si>
    <t>Gigafactory Nevada</t>
  </si>
  <si>
    <t>TBD</t>
  </si>
  <si>
    <t>Model 3/ Model Y</t>
  </si>
  <si>
    <t>Model Y</t>
  </si>
  <si>
    <t>Model Y/ Cybertruck</t>
  </si>
  <si>
    <t>Tesla Semi</t>
  </si>
  <si>
    <t>Tesla Roadster</t>
  </si>
  <si>
    <t>Robotaxi &amp; Others</t>
  </si>
  <si>
    <t xml:space="preserve">Active </t>
  </si>
  <si>
    <t>Active</t>
  </si>
  <si>
    <t>Model S/Model X/ Model 3/ Model Y</t>
  </si>
  <si>
    <t>Active Tooling</t>
  </si>
  <si>
    <t>Pilot in production</t>
  </si>
  <si>
    <t>In development</t>
  </si>
  <si>
    <t>Q120</t>
  </si>
  <si>
    <t>Q220</t>
  </si>
  <si>
    <t>Q320</t>
  </si>
  <si>
    <t>Q420</t>
  </si>
  <si>
    <t>Q121</t>
  </si>
  <si>
    <t>Q221</t>
  </si>
  <si>
    <t>Q321</t>
  </si>
  <si>
    <t>Q421</t>
  </si>
  <si>
    <t>Q122</t>
  </si>
  <si>
    <t>Q222</t>
  </si>
  <si>
    <t>Q322</t>
  </si>
  <si>
    <t>Q422</t>
  </si>
  <si>
    <t>Q123</t>
  </si>
  <si>
    <t>Q223</t>
  </si>
  <si>
    <t>Q323</t>
  </si>
  <si>
    <t>Q423</t>
  </si>
  <si>
    <t>Q119</t>
  </si>
  <si>
    <t>Q219</t>
  </si>
  <si>
    <t>Q319</t>
  </si>
  <si>
    <t>Q419</t>
  </si>
  <si>
    <t>Q118</t>
  </si>
  <si>
    <t>Q218</t>
  </si>
  <si>
    <t>Q318</t>
  </si>
  <si>
    <t>Q418</t>
  </si>
  <si>
    <t>Total Non-current Assets</t>
  </si>
  <si>
    <t>Total Non-current Liabilities</t>
  </si>
  <si>
    <t>Current Liabilities</t>
  </si>
  <si>
    <t>Non-current Liabiliites</t>
  </si>
  <si>
    <t>Non-current Assets</t>
  </si>
  <si>
    <t>Revenue by Region</t>
  </si>
  <si>
    <t>United States</t>
  </si>
  <si>
    <t>China</t>
  </si>
  <si>
    <t>Other international</t>
  </si>
  <si>
    <t>Total Revenues by Region</t>
  </si>
  <si>
    <t>United States %</t>
  </si>
  <si>
    <t>China %</t>
  </si>
  <si>
    <t>Other international %</t>
  </si>
  <si>
    <t>Stock Statistics</t>
  </si>
  <si>
    <t>Total Revenue</t>
  </si>
  <si>
    <t>Total Gross Profit</t>
  </si>
  <si>
    <t>Total COGs</t>
  </si>
  <si>
    <t>SBI</t>
  </si>
  <si>
    <t>SBC</t>
  </si>
  <si>
    <t>SBB</t>
  </si>
  <si>
    <t>Dividends</t>
  </si>
  <si>
    <t>Cash Flow *in millions, USD</t>
  </si>
  <si>
    <t>Stock Prices</t>
  </si>
  <si>
    <t xml:space="preserve">High </t>
  </si>
  <si>
    <t>Low</t>
  </si>
  <si>
    <t>Average</t>
  </si>
  <si>
    <t>Pre-split adjusted - Basic</t>
  </si>
  <si>
    <t>Pre-split adjusted - Diluted</t>
  </si>
  <si>
    <t>Balance Sheet *in millions, USD</t>
  </si>
  <si>
    <t>Marketcap</t>
  </si>
  <si>
    <t>P/S</t>
  </si>
  <si>
    <t>P/E</t>
  </si>
  <si>
    <t>P/B</t>
  </si>
  <si>
    <t>P/FCF</t>
  </si>
  <si>
    <t xml:space="preserve">Growth </t>
  </si>
  <si>
    <t>Revenue %</t>
  </si>
  <si>
    <t>Earnings %</t>
  </si>
  <si>
    <t>FCF %</t>
  </si>
  <si>
    <t>Current Earnings</t>
  </si>
  <si>
    <t>Earnings</t>
  </si>
  <si>
    <t>Fiscal Period</t>
  </si>
  <si>
    <t>Period Of Report</t>
  </si>
  <si>
    <t>Income Statement *in millions, USD</t>
  </si>
  <si>
    <t>G&amp;A</t>
  </si>
  <si>
    <t>Restructuring</t>
  </si>
  <si>
    <t xml:space="preserve">Other income </t>
  </si>
  <si>
    <t>Taxes (benefit)</t>
  </si>
  <si>
    <t>Net Income, including non-controlling</t>
  </si>
  <si>
    <t>Less: Non-controlling</t>
  </si>
  <si>
    <t xml:space="preserve">Net Income   </t>
  </si>
  <si>
    <t>Mix</t>
  </si>
  <si>
    <t xml:space="preserve">Automotive Sales </t>
  </si>
  <si>
    <t>Revenue by Geography *in millions, USD</t>
  </si>
  <si>
    <t>Total</t>
  </si>
  <si>
    <t xml:space="preserve">Automotive    </t>
  </si>
  <si>
    <t>Growth</t>
  </si>
  <si>
    <t>OpEx</t>
  </si>
  <si>
    <t>Gross Margin</t>
  </si>
  <si>
    <t>Tax Rate</t>
  </si>
  <si>
    <t>Maturity</t>
  </si>
  <si>
    <t>Discount</t>
  </si>
  <si>
    <t>NPV</t>
  </si>
  <si>
    <t>Forecast</t>
  </si>
  <si>
    <t>Current Price</t>
  </si>
  <si>
    <t xml:space="preserve">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</si>
</sst>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164" formatCode="_([$$-409]* #,##0.00_);_([$$-409]* \(#,##0.00\);_([$$-409]* &quot;-&quot;??_);_(@_)"/>
    <numFmt numFmtId="165" formatCode="&quot;$&quot;#,##0.00"/>
    <numFmt numFmtId="166" formatCode="&quot;$&quot;#,##0"/>
  </numFmts>
  <fonts count="10" x14ac:knownFonts="1">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i/>
      <u/>
      <sz val="11"/>
      <color theme="1"/>
      <name val="Calibri"/>
      <family val="2"/>
      <scheme val="minor"/>
    </font>
    <font>
      <sz val="9"/>
      <color indexed="81"/>
      <name val="Tahoma"/>
      <family val="2"/>
    </font>
    <font>
      <b/>
      <sz val="9"/>
      <color indexed="81"/>
      <name val="Tahoma"/>
      <family val="2"/>
    </font>
    <font>
      <sz val="11"/>
      <color theme="0"/>
      <name val="Calibri"/>
      <family val="2"/>
      <scheme val="minor"/>
    </font>
    <font>
      <i/>
      <u/>
      <sz val="11"/>
      <color theme="0"/>
      <name val="Calibri"/>
      <family val="2"/>
      <scheme val="minor"/>
    </font>
    <font>
      <b/>
      <i/>
      <u/>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0">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3" fillId="0" borderId="2" xfId="0" applyFont="1" applyBorder="1"/>
    <xf numFmtId="0" fontId="3" fillId="0" borderId="3" xfId="0" applyFont="1" applyBorder="1"/>
    <xf numFmtId="0" fontId="3" fillId="0" borderId="4" xfId="0" applyFont="1" applyBorder="1"/>
    <xf numFmtId="164" fontId="0" fillId="0" borderId="0" xfId="0" applyNumberFormat="1"/>
    <xf numFmtId="3" fontId="0" fillId="0" borderId="0" xfId="0" applyNumberFormat="1"/>
    <xf numFmtId="0" fontId="0" fillId="2" borderId="0" xfId="0" applyFill="1"/>
    <xf numFmtId="0" fontId="2" fillId="2" borderId="0" xfId="0" applyFont="1" applyFill="1"/>
    <xf numFmtId="0" fontId="0" fillId="0" borderId="5" xfId="0" applyBorder="1"/>
    <xf numFmtId="14" fontId="0" fillId="0" borderId="0" xfId="0" applyNumberFormat="1"/>
    <xf numFmtId="0" fontId="4" fillId="3" borderId="0" xfId="0" applyFont="1" applyFill="1"/>
    <xf numFmtId="0" fontId="0" fillId="3" borderId="0" xfId="0" applyFill="1"/>
    <xf numFmtId="0" fontId="0" fillId="0" borderId="6" xfId="0" applyBorder="1"/>
    <xf numFmtId="2" fontId="0" fillId="0" borderId="0" xfId="0" applyNumberFormat="1"/>
    <xf numFmtId="0" fontId="3" fillId="0" borderId="0" xfId="0" applyFont="1"/>
    <xf numFmtId="0" fontId="8" fillId="2" borderId="0" xfId="0" applyFont="1" applyFill="1"/>
    <xf numFmtId="0" fontId="7" fillId="2" borderId="0" xfId="0" applyFont="1" applyFill="1"/>
    <xf numFmtId="0" fontId="3" fillId="3" borderId="0" xfId="0" applyFont="1" applyFill="1"/>
    <xf numFmtId="10" fontId="0" fillId="0" borderId="0" xfId="0" applyNumberFormat="1"/>
    <xf numFmtId="165" fontId="3" fillId="0" borderId="0" xfId="0" applyNumberFormat="1" applyFont="1"/>
    <xf numFmtId="3" fontId="0" fillId="0" borderId="5" xfId="0" applyNumberFormat="1" applyBorder="1"/>
    <xf numFmtId="3" fontId="3" fillId="0" borderId="0" xfId="0" applyNumberFormat="1" applyFont="1"/>
    <xf numFmtId="3" fontId="3" fillId="3" borderId="0" xfId="0" applyNumberFormat="1" applyFont="1" applyFill="1"/>
    <xf numFmtId="3" fontId="3" fillId="0" borderId="5" xfId="0" applyNumberFormat="1" applyFont="1" applyBorder="1"/>
    <xf numFmtId="3" fontId="0" fillId="2" borderId="0" xfId="0" applyNumberFormat="1" applyFill="1"/>
    <xf numFmtId="3" fontId="0" fillId="3" borderId="0" xfId="0" applyNumberFormat="1" applyFill="1"/>
    <xf numFmtId="3" fontId="0" fillId="0" borderId="6" xfId="0" applyNumberFormat="1" applyBorder="1"/>
    <xf numFmtId="10" fontId="3" fillId="0" borderId="0" xfId="0" applyNumberFormat="1" applyFont="1"/>
    <xf numFmtId="3" fontId="4" fillId="3" borderId="0" xfId="0" applyNumberFormat="1" applyFont="1" applyFill="1"/>
    <xf numFmtId="3" fontId="2" fillId="2" borderId="0" xfId="0" applyNumberFormat="1" applyFont="1" applyFill="1"/>
    <xf numFmtId="0" fontId="0" fillId="0" borderId="7" xfId="0" applyBorder="1"/>
    <xf numFmtId="14" fontId="0" fillId="0" borderId="7" xfId="0" applyNumberFormat="1" applyBorder="1"/>
    <xf numFmtId="0" fontId="7" fillId="2" borderId="7" xfId="0" applyFont="1" applyFill="1" applyBorder="1"/>
    <xf numFmtId="0" fontId="0" fillId="3" borderId="7" xfId="0" applyFill="1" applyBorder="1"/>
    <xf numFmtId="3" fontId="0" fillId="0" borderId="7" xfId="0" applyNumberFormat="1" applyBorder="1"/>
    <xf numFmtId="3" fontId="0" fillId="0" borderId="8" xfId="0" applyNumberFormat="1" applyBorder="1"/>
    <xf numFmtId="3" fontId="3" fillId="0" borderId="7" xfId="0" applyNumberFormat="1" applyFont="1" applyBorder="1"/>
    <xf numFmtId="10" fontId="3" fillId="0" borderId="7" xfId="0" applyNumberFormat="1" applyFont="1" applyBorder="1"/>
    <xf numFmtId="3" fontId="3" fillId="3" borderId="7" xfId="0" applyNumberFormat="1" applyFont="1" applyFill="1" applyBorder="1"/>
    <xf numFmtId="3" fontId="0" fillId="2" borderId="7" xfId="0" applyNumberFormat="1" applyFill="1" applyBorder="1"/>
    <xf numFmtId="3" fontId="0" fillId="3" borderId="7" xfId="0" applyNumberFormat="1" applyFill="1" applyBorder="1"/>
    <xf numFmtId="3" fontId="0" fillId="0" borderId="9" xfId="0" applyNumberFormat="1" applyBorder="1"/>
    <xf numFmtId="0" fontId="0" fillId="2" borderId="7" xfId="0" applyFill="1" applyBorder="1"/>
    <xf numFmtId="10" fontId="0" fillId="0" borderId="7" xfId="0" applyNumberFormat="1" applyBorder="1"/>
    <xf numFmtId="3" fontId="4" fillId="3" borderId="7" xfId="0" applyNumberFormat="1" applyFont="1" applyFill="1" applyBorder="1"/>
    <xf numFmtId="2" fontId="0" fillId="0" borderId="7" xfId="0" applyNumberFormat="1" applyBorder="1"/>
    <xf numFmtId="3" fontId="7" fillId="2" borderId="0" xfId="0" applyNumberFormat="1" applyFont="1" applyFill="1"/>
    <xf numFmtId="3" fontId="7" fillId="2" borderId="7" xfId="0" applyNumberFormat="1" applyFont="1" applyFill="1" applyBorder="1"/>
    <xf numFmtId="3" fontId="2" fillId="2" borderId="7" xfId="0" applyNumberFormat="1" applyFont="1" applyFill="1" applyBorder="1"/>
    <xf numFmtId="10" fontId="0" fillId="0" borderId="5" xfId="0" applyNumberFormat="1" applyBorder="1"/>
    <xf numFmtId="10" fontId="3" fillId="0" borderId="5" xfId="0" applyNumberFormat="1" applyFont="1" applyBorder="1"/>
    <xf numFmtId="10" fontId="3" fillId="0" borderId="8" xfId="0" applyNumberFormat="1" applyFont="1" applyBorder="1"/>
    <xf numFmtId="0" fontId="2" fillId="2" borderId="7" xfId="0" applyFont="1" applyFill="1" applyBorder="1"/>
    <xf numFmtId="14" fontId="2" fillId="2" borderId="7" xfId="0" applyNumberFormat="1" applyFont="1" applyFill="1" applyBorder="1"/>
    <xf numFmtId="14" fontId="2" fillId="2" borderId="0" xfId="0" applyNumberFormat="1" applyFont="1" applyFill="1"/>
    <xf numFmtId="10" fontId="3" fillId="4" borderId="0" xfId="0" applyNumberFormat="1" applyFont="1" applyFill="1"/>
    <xf numFmtId="4" fontId="0" fillId="0" borderId="0" xfId="0" applyNumberFormat="1"/>
    <xf numFmtId="4" fontId="0" fillId="0" borderId="7" xfId="0" applyNumberFormat="1" applyBorder="1"/>
    <xf numFmtId="165" fontId="0" fillId="0" borderId="0" xfId="0" applyNumberFormat="1"/>
    <xf numFmtId="165" fontId="0" fillId="0" borderId="7" xfId="0" applyNumberFormat="1" applyBorder="1"/>
    <xf numFmtId="165" fontId="3" fillId="0" borderId="7" xfId="0" applyNumberFormat="1" applyFont="1" applyBorder="1"/>
    <xf numFmtId="166" fontId="0" fillId="0" borderId="0" xfId="0" applyNumberFormat="1"/>
    <xf numFmtId="166" fontId="0" fillId="0" borderId="7" xfId="0" applyNumberFormat="1" applyBorder="1"/>
    <xf numFmtId="0" fontId="9" fillId="0" borderId="0" xfId="0" applyFont="1"/>
    <xf numFmtId="9" fontId="0" fillId="0" borderId="0" xfId="0" applyNumberFormat="1"/>
    <xf numFmtId="9" fontId="4" fillId="3" borderId="0" xfId="0" applyNumberFormat="1" applyFont="1" applyFill="1"/>
    <xf numFmtId="8" fontId="0" fillId="0" borderId="0" xfId="0" applyNumberFormat="1"/>
    <xf numFmtId="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drawings/drawing1.xml><?xml version="1.0" encoding="utf-8"?>
<xdr:wsDr xmlns:xdr="http://schemas.openxmlformats.org/drawingml/2006/spreadsheetDrawing" xmlns:a="http://schemas.openxmlformats.org/drawingml/2006/main">
  <xdr:twoCellAnchor>
    <xdr:from>
      <xdr:col>18</xdr:col>
      <xdr:colOff>725714</xdr:colOff>
      <xdr:row>0</xdr:row>
      <xdr:rowOff>9071</xdr:rowOff>
    </xdr:from>
    <xdr:to>
      <xdr:col>19</xdr:col>
      <xdr:colOff>0</xdr:colOff>
      <xdr:row>93</xdr:row>
      <xdr:rowOff>127000</xdr:rowOff>
    </xdr:to>
    <xdr:cxnSp macro="">
      <xdr:nvCxnSpPr>
        <xdr:cNvPr id="3" name="Straight Connector 2">
          <a:extLst>
            <a:ext uri="{FF2B5EF4-FFF2-40B4-BE49-F238E27FC236}">
              <a16:creationId xmlns:a16="http://schemas.microsoft.com/office/drawing/2014/main" id="{74F25055-C6D2-913C-75DD-AD9DF37DD436}"/>
            </a:ext>
          </a:extLst>
        </xdr:cNvPr>
        <xdr:cNvCxnSpPr/>
      </xdr:nvCxnSpPr>
      <xdr:spPr>
        <a:xfrm>
          <a:off x="14115143" y="9071"/>
          <a:ext cx="18143" cy="144507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en-US</v>
    <v>a24kar</v>
    <v>268435456</v>
    <v>1</v>
    <v>Powered by Refinitiv</v>
    <v>0</v>
    <v>TESLA, INC. (XNAS:TSLA)</v>
    <v>2</v>
    <v>3</v>
    <v>Finance</v>
    <v>4</v>
    <v>278.98</v>
    <v>138.80250000000001</v>
    <v>2.3079000000000001</v>
    <v>-0.45</v>
    <v>-2.0430000000000001E-3</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222.2799</v>
    <v>Automobiles &amp; Auto Parts</v>
    <v>Stock</v>
    <v>45499.99996020781</v>
    <v>0</v>
    <v>215.33</v>
    <v>700985300000</v>
    <v>TESLA, INC.</v>
    <v>TESLA, INC.</v>
    <v>221.19</v>
    <v>61.7864</v>
    <v>220.25</v>
    <v>219.8</v>
    <v>3189196000</v>
    <v>TSLA</v>
    <v>TESLA, INC. (XNAS:TSLA)</v>
    <v>600538</v>
    <v>122531892</v>
    <v>2024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A13" sqref="A13"/>
    </sheetView>
  </sheetViews>
  <sheetFormatPr defaultRowHeight="14.5" x14ac:dyDescent="0.35"/>
  <cols>
    <col min="2" max="2" width="12.1796875" bestFit="1" customWidth="1"/>
    <col min="3" max="3" width="9.453125" bestFit="1" customWidth="1"/>
  </cols>
  <sheetData>
    <row r="1" spans="1:3" ht="15" customHeight="1" thickBot="1" x14ac:dyDescent="0.4">
      <c r="A1" t="e" vm="1">
        <v>#VALUE!</v>
      </c>
    </row>
    <row r="2" spans="1:3" x14ac:dyDescent="0.35">
      <c r="A2" s="3" t="s">
        <v>0</v>
      </c>
      <c r="B2" s="6">
        <f t="array" ref="B2">_FV(A1,"Price")</f>
        <v>219.8</v>
      </c>
    </row>
    <row r="3" spans="1:3" x14ac:dyDescent="0.35">
      <c r="A3" s="4" t="s">
        <v>1</v>
      </c>
      <c r="B3" s="7">
        <f t="array" ref="B3">_FV(A1,"Shares outstanding",TRUE)/1000000</f>
        <v>3189.1959999999999</v>
      </c>
    </row>
    <row r="4" spans="1:3" x14ac:dyDescent="0.35">
      <c r="A4" s="4" t="s">
        <v>2</v>
      </c>
      <c r="B4" s="6">
        <f>B2*B3</f>
        <v>700985.28080000007</v>
      </c>
    </row>
    <row r="5" spans="1:3" x14ac:dyDescent="0.35">
      <c r="A5" s="4" t="s">
        <v>3</v>
      </c>
      <c r="B5" s="7">
        <f>Model!AR66+Model!AR67</f>
        <v>23075</v>
      </c>
      <c r="C5" s="11"/>
    </row>
    <row r="6" spans="1:3" x14ac:dyDescent="0.35">
      <c r="A6" s="4" t="s">
        <v>4</v>
      </c>
      <c r="B6" s="7">
        <f>Model!AR94+Model!AR91</f>
        <v>2331</v>
      </c>
    </row>
    <row r="7" spans="1:3" ht="15" customHeight="1" thickBot="1" x14ac:dyDescent="0.4">
      <c r="A7" s="5" t="s">
        <v>5</v>
      </c>
      <c r="B7" s="6">
        <f>B4-B5+B6</f>
        <v>680241.28080000007</v>
      </c>
      <c r="C7" s="11">
        <v>45187</v>
      </c>
    </row>
    <row r="10" spans="1:3" s="9" customFormat="1" x14ac:dyDescent="0.35">
      <c r="A10" s="9" t="s">
        <v>1267</v>
      </c>
    </row>
    <row r="11" spans="1:3" x14ac:dyDescent="0.35">
      <c r="A11" t="s">
        <v>21</v>
      </c>
    </row>
    <row r="12" spans="1:3" x14ac:dyDescent="0.35">
      <c r="A12" t="s">
        <v>1268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C19" sqref="C19"/>
    </sheetView>
  </sheetViews>
  <sheetFormatPr defaultRowHeight="14.5" x14ac:dyDescent="0.35"/>
  <cols>
    <col min="1" max="1" width="19.7265625" customWidth="1"/>
  </cols>
  <sheetData>
    <row r="1" spans="1:3" x14ac:dyDescent="0.35">
      <c r="A1" t="s">
        <v>6</v>
      </c>
      <c r="B1" t="s">
        <v>7</v>
      </c>
    </row>
    <row r="2" spans="1:3" x14ac:dyDescent="0.35">
      <c r="A2" t="s">
        <v>8</v>
      </c>
      <c r="B2" t="s">
        <v>9</v>
      </c>
    </row>
    <row r="3" spans="1:3" x14ac:dyDescent="0.35">
      <c r="A3" t="s">
        <v>10</v>
      </c>
      <c r="B3" t="s">
        <v>11</v>
      </c>
    </row>
    <row r="4" spans="1:3" x14ac:dyDescent="0.35">
      <c r="A4" t="s">
        <v>12</v>
      </c>
      <c r="B4" t="s">
        <v>13</v>
      </c>
    </row>
    <row r="5" spans="1:3" x14ac:dyDescent="0.35">
      <c r="A5" t="s">
        <v>14</v>
      </c>
      <c r="B5" t="s">
        <v>15</v>
      </c>
    </row>
    <row r="10" spans="1:3" s="9" customFormat="1" x14ac:dyDescent="0.35">
      <c r="A10" s="9" t="s">
        <v>1183</v>
      </c>
    </row>
    <row r="11" spans="1:3" s="12" customFormat="1" x14ac:dyDescent="0.35">
      <c r="A11" s="12" t="s">
        <v>1184</v>
      </c>
      <c r="B11" s="12" t="s">
        <v>1185</v>
      </c>
      <c r="C11" s="12" t="s">
        <v>1186</v>
      </c>
    </row>
    <row r="12" spans="1:3" x14ac:dyDescent="0.35">
      <c r="A12" t="s">
        <v>1187</v>
      </c>
      <c r="B12" t="s">
        <v>1201</v>
      </c>
      <c r="C12" t="s">
        <v>1200</v>
      </c>
    </row>
    <row r="13" spans="1:3" x14ac:dyDescent="0.35">
      <c r="A13" t="s">
        <v>1188</v>
      </c>
      <c r="B13" t="s">
        <v>1193</v>
      </c>
      <c r="C13" t="s">
        <v>1200</v>
      </c>
    </row>
    <row r="14" spans="1:3" x14ac:dyDescent="0.35">
      <c r="A14" t="s">
        <v>1189</v>
      </c>
      <c r="B14" t="s">
        <v>1194</v>
      </c>
      <c r="C14" t="s">
        <v>1199</v>
      </c>
    </row>
    <row r="15" spans="1:3" x14ac:dyDescent="0.35">
      <c r="A15" t="s">
        <v>1190</v>
      </c>
      <c r="B15" t="s">
        <v>1195</v>
      </c>
      <c r="C15" t="s">
        <v>1202</v>
      </c>
    </row>
    <row r="16" spans="1:3" x14ac:dyDescent="0.35">
      <c r="A16" t="s">
        <v>1191</v>
      </c>
      <c r="B16" t="s">
        <v>1196</v>
      </c>
      <c r="C16" t="s">
        <v>1203</v>
      </c>
    </row>
    <row r="17" spans="1:3" x14ac:dyDescent="0.35">
      <c r="A17" t="s">
        <v>1192</v>
      </c>
      <c r="B17" t="s">
        <v>1197</v>
      </c>
      <c r="C17" t="s">
        <v>1204</v>
      </c>
    </row>
    <row r="18" spans="1:3" x14ac:dyDescent="0.35">
      <c r="A18" t="s">
        <v>1192</v>
      </c>
      <c r="B18" t="s">
        <v>1198</v>
      </c>
      <c r="C18" t="s">
        <v>1204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Y137"/>
  <sheetViews>
    <sheetView zoomScale="55" zoomScaleNormal="55" workbookViewId="0">
      <pane xSplit="2" ySplit="7" topLeftCell="W8" activePane="bottomRight" state="frozen"/>
      <selection pane="topRight" activeCell="C1" sqref="C1"/>
      <selection pane="bottomLeft" activeCell="A5" sqref="A5"/>
      <selection pane="bottomRight" activeCell="CH121" sqref="CH121"/>
    </sheetView>
  </sheetViews>
  <sheetFormatPr defaultRowHeight="14.5" x14ac:dyDescent="0.35"/>
  <cols>
    <col min="2" max="2" width="22.90625" customWidth="1"/>
    <col min="19" max="19" width="8.7265625" style="32"/>
    <col min="23" max="23" width="9.453125" style="32" bestFit="1" customWidth="1"/>
    <col min="24" max="25" width="9.453125" bestFit="1" customWidth="1"/>
    <col min="26" max="26" width="10.453125" bestFit="1" customWidth="1"/>
    <col min="27" max="27" width="9.453125" style="32" bestFit="1" customWidth="1"/>
    <col min="28" max="28" width="9.453125" bestFit="1" customWidth="1"/>
    <col min="29" max="30" width="10.453125" bestFit="1" customWidth="1"/>
    <col min="31" max="31" width="9.453125" style="32" bestFit="1" customWidth="1"/>
    <col min="32" max="32" width="9.453125" bestFit="1" customWidth="1"/>
    <col min="33" max="34" width="10.453125" bestFit="1" customWidth="1"/>
    <col min="35" max="35" width="9.453125" style="32" bestFit="1" customWidth="1"/>
    <col min="36" max="36" width="9.453125" bestFit="1" customWidth="1"/>
    <col min="37" max="38" width="10.453125" bestFit="1" customWidth="1"/>
    <col min="39" max="39" width="9.453125" style="32" bestFit="1" customWidth="1"/>
    <col min="40" max="40" width="9.453125" bestFit="1" customWidth="1"/>
    <col min="41" max="42" width="10.453125" bestFit="1" customWidth="1"/>
    <col min="43" max="43" width="9.453125" style="32" bestFit="1" customWidth="1"/>
    <col min="44" max="44" width="9.453125" bestFit="1" customWidth="1"/>
    <col min="61" max="61" width="9.453125" bestFit="1" customWidth="1"/>
    <col min="63" max="65" width="9.453125" bestFit="1" customWidth="1"/>
    <col min="67" max="67" width="9.453125" bestFit="1" customWidth="1"/>
    <col min="68" max="68" width="11.7265625" customWidth="1"/>
    <col min="69" max="70" width="9.453125" bestFit="1" customWidth="1"/>
    <col min="72" max="72" width="9.453125" bestFit="1" customWidth="1"/>
  </cols>
  <sheetData>
    <row r="1" spans="1:77" x14ac:dyDescent="0.35">
      <c r="A1" t="e" vm="1">
        <v>#VALUE!</v>
      </c>
      <c r="B1" t="s">
        <v>16</v>
      </c>
      <c r="G1" s="32"/>
      <c r="K1" s="32"/>
      <c r="O1" s="32"/>
      <c r="W1" s="32" t="s">
        <v>1225</v>
      </c>
      <c r="X1" t="s">
        <v>1226</v>
      </c>
      <c r="Y1" t="s">
        <v>1227</v>
      </c>
      <c r="Z1" t="s">
        <v>1228</v>
      </c>
      <c r="AA1" s="32" t="s">
        <v>1221</v>
      </c>
      <c r="AB1" t="s">
        <v>1222</v>
      </c>
      <c r="AC1" t="s">
        <v>1223</v>
      </c>
      <c r="AD1" t="s">
        <v>1224</v>
      </c>
      <c r="AE1" s="32" t="s">
        <v>1205</v>
      </c>
      <c r="AF1" t="s">
        <v>1206</v>
      </c>
      <c r="AG1" t="s">
        <v>1207</v>
      </c>
      <c r="AH1" t="s">
        <v>1208</v>
      </c>
      <c r="AI1" s="32" t="s">
        <v>1209</v>
      </c>
      <c r="AJ1" t="s">
        <v>1210</v>
      </c>
      <c r="AK1" t="s">
        <v>1211</v>
      </c>
      <c r="AL1" t="s">
        <v>1212</v>
      </c>
      <c r="AM1" s="32" t="s">
        <v>1213</v>
      </c>
      <c r="AN1" t="s">
        <v>1214</v>
      </c>
      <c r="AO1" t="s">
        <v>1215</v>
      </c>
      <c r="AP1" t="s">
        <v>1216</v>
      </c>
      <c r="AQ1" s="32" t="s">
        <v>1217</v>
      </c>
      <c r="AR1" t="s">
        <v>1218</v>
      </c>
      <c r="AS1" t="s">
        <v>1219</v>
      </c>
      <c r="AT1" t="s">
        <v>1220</v>
      </c>
    </row>
    <row r="2" spans="1:77" x14ac:dyDescent="0.35">
      <c r="B2" t="s">
        <v>17</v>
      </c>
      <c r="G2" s="32"/>
      <c r="K2" s="32"/>
      <c r="O2" s="32"/>
      <c r="W2" s="33">
        <v>43227</v>
      </c>
      <c r="X2" s="11">
        <v>43318</v>
      </c>
      <c r="Y2" s="11">
        <v>43406</v>
      </c>
      <c r="Z2" s="11">
        <v>43515</v>
      </c>
      <c r="AA2" s="33">
        <v>43584</v>
      </c>
      <c r="AB2" s="11">
        <v>43675</v>
      </c>
      <c r="AC2" s="11">
        <v>43767</v>
      </c>
      <c r="AD2" s="11">
        <v>43874</v>
      </c>
      <c r="AE2" s="33">
        <v>43951</v>
      </c>
      <c r="AF2" s="11">
        <v>44040</v>
      </c>
      <c r="AG2" s="11">
        <v>44130</v>
      </c>
      <c r="AH2" s="11">
        <v>44235</v>
      </c>
      <c r="AI2" s="33">
        <v>44314</v>
      </c>
      <c r="AJ2" s="11">
        <v>44404</v>
      </c>
      <c r="AK2" s="11">
        <v>44494</v>
      </c>
      <c r="AL2" s="11">
        <v>44599</v>
      </c>
      <c r="AM2" s="33">
        <v>44676</v>
      </c>
      <c r="AN2" s="11">
        <v>44767</v>
      </c>
      <c r="AO2" s="11">
        <v>44858</v>
      </c>
      <c r="AP2" s="11">
        <v>44957</v>
      </c>
      <c r="AQ2" s="33">
        <v>45040</v>
      </c>
      <c r="AR2" s="11">
        <v>45131</v>
      </c>
      <c r="BB2" s="11"/>
      <c r="BD2" s="11"/>
      <c r="BF2" s="11"/>
      <c r="BH2" s="11">
        <v>40605</v>
      </c>
      <c r="BI2" s="11">
        <v>40966</v>
      </c>
      <c r="BJ2" s="11">
        <v>41340</v>
      </c>
      <c r="BK2" s="11">
        <v>41696</v>
      </c>
      <c r="BL2" s="11">
        <v>42061</v>
      </c>
      <c r="BM2" s="11">
        <v>42424</v>
      </c>
      <c r="BN2" s="11">
        <v>42795</v>
      </c>
      <c r="BO2" s="11">
        <v>43154</v>
      </c>
      <c r="BP2" s="11">
        <v>43515</v>
      </c>
      <c r="BQ2" s="11">
        <v>43874</v>
      </c>
      <c r="BR2" s="11">
        <v>44235</v>
      </c>
      <c r="BS2" s="11">
        <v>44599</v>
      </c>
      <c r="BT2" s="11">
        <v>44957</v>
      </c>
    </row>
    <row r="3" spans="1:77" x14ac:dyDescent="0.35">
      <c r="A3" s="6"/>
      <c r="B3" t="s">
        <v>18</v>
      </c>
      <c r="G3" s="32"/>
      <c r="K3" s="32"/>
      <c r="O3" s="32"/>
      <c r="W3" s="33">
        <v>43190</v>
      </c>
      <c r="X3" s="11">
        <v>43281</v>
      </c>
      <c r="Y3" s="11">
        <v>43373</v>
      </c>
      <c r="Z3" s="11">
        <v>43465</v>
      </c>
      <c r="AA3" s="33">
        <v>43555</v>
      </c>
      <c r="AB3" s="11">
        <v>43646</v>
      </c>
      <c r="AC3" s="11">
        <v>43738</v>
      </c>
      <c r="AD3" s="11">
        <v>43830</v>
      </c>
      <c r="AE3" s="33">
        <v>43921</v>
      </c>
      <c r="AF3" s="11">
        <v>44012</v>
      </c>
      <c r="AG3" s="11">
        <v>44104</v>
      </c>
      <c r="AH3" s="11">
        <v>44196</v>
      </c>
      <c r="AI3" s="33">
        <v>44286</v>
      </c>
      <c r="AJ3" s="11">
        <v>44377</v>
      </c>
      <c r="AK3" s="11">
        <v>44469</v>
      </c>
      <c r="AL3" s="11">
        <v>44561</v>
      </c>
      <c r="AM3" s="33">
        <v>44651</v>
      </c>
      <c r="AN3" s="11">
        <v>44742</v>
      </c>
      <c r="AO3" s="11">
        <v>44834</v>
      </c>
      <c r="AP3" s="11">
        <v>44926</v>
      </c>
      <c r="AQ3" s="33">
        <v>45016</v>
      </c>
      <c r="AR3" s="11">
        <v>45107</v>
      </c>
      <c r="BH3">
        <v>2010</v>
      </c>
      <c r="BI3">
        <v>2011</v>
      </c>
      <c r="BJ3">
        <v>2012</v>
      </c>
      <c r="BK3">
        <v>2013</v>
      </c>
      <c r="BL3">
        <v>2014</v>
      </c>
      <c r="BM3">
        <v>2015</v>
      </c>
      <c r="BN3">
        <v>2016</v>
      </c>
      <c r="BO3">
        <v>2017</v>
      </c>
      <c r="BP3">
        <v>2018</v>
      </c>
      <c r="BQ3">
        <v>2019</v>
      </c>
      <c r="BR3">
        <v>2020</v>
      </c>
      <c r="BS3">
        <v>2021</v>
      </c>
      <c r="BT3">
        <v>2022</v>
      </c>
    </row>
    <row r="4" spans="1:77" s="9" customFormat="1" x14ac:dyDescent="0.35">
      <c r="B4" s="9" t="s">
        <v>1251</v>
      </c>
      <c r="G4" s="54"/>
      <c r="K4" s="54"/>
      <c r="O4" s="54"/>
      <c r="S4" s="54"/>
      <c r="W4" s="54"/>
      <c r="AA4" s="54"/>
      <c r="AE4" s="55"/>
      <c r="AF4" s="56"/>
      <c r="AI4" s="55"/>
      <c r="AJ4" s="56"/>
      <c r="AM4" s="55"/>
      <c r="AN4" s="56"/>
      <c r="AO4" s="56"/>
      <c r="AP4" s="56"/>
      <c r="AQ4" s="55"/>
      <c r="AR4" s="56"/>
    </row>
    <row r="5" spans="1:77" s="60" customFormat="1" x14ac:dyDescent="0.35">
      <c r="B5" s="60" t="s">
        <v>1252</v>
      </c>
      <c r="G5" s="61"/>
      <c r="K5" s="61"/>
      <c r="O5" s="61"/>
      <c r="S5" s="61"/>
      <c r="W5" s="61">
        <v>24.03</v>
      </c>
      <c r="X5" s="60">
        <v>24.92</v>
      </c>
      <c r="Y5" s="60">
        <v>25.83</v>
      </c>
      <c r="Z5" s="60">
        <v>25.3</v>
      </c>
      <c r="AA5" s="61">
        <v>23.47</v>
      </c>
      <c r="AB5" s="60">
        <v>19.739999999999998</v>
      </c>
      <c r="AC5" s="60">
        <v>17.739999999999998</v>
      </c>
      <c r="AD5" s="60">
        <v>29.02</v>
      </c>
      <c r="AE5" s="61">
        <v>64.599999999999994</v>
      </c>
      <c r="AF5" s="60">
        <v>68.5</v>
      </c>
      <c r="AG5" s="60">
        <v>167.5</v>
      </c>
      <c r="AH5" s="60">
        <v>232.2</v>
      </c>
      <c r="AI5" s="61">
        <v>300.13</v>
      </c>
      <c r="AJ5" s="60">
        <v>300.13</v>
      </c>
      <c r="AK5" s="60">
        <v>266.33</v>
      </c>
      <c r="AL5" s="60">
        <v>414.5</v>
      </c>
      <c r="AM5" s="61">
        <v>402.67</v>
      </c>
      <c r="AN5" s="60">
        <v>384.29</v>
      </c>
      <c r="AO5" s="60">
        <v>314.67</v>
      </c>
      <c r="AP5" s="60">
        <v>257.5</v>
      </c>
      <c r="AQ5" s="61">
        <v>217.65</v>
      </c>
      <c r="AR5" s="60">
        <v>276.99</v>
      </c>
      <c r="BH5" s="60">
        <v>2.4300000000000002</v>
      </c>
      <c r="BI5" s="60">
        <v>2.33</v>
      </c>
      <c r="BJ5" s="60">
        <v>2.66</v>
      </c>
      <c r="BK5" s="60">
        <v>12.97</v>
      </c>
      <c r="BL5" s="60">
        <v>19.43</v>
      </c>
      <c r="BM5" s="60">
        <v>19.11</v>
      </c>
      <c r="BN5" s="60">
        <v>17.96</v>
      </c>
      <c r="BO5" s="60">
        <v>25.97</v>
      </c>
      <c r="BP5" s="60">
        <v>25.83</v>
      </c>
      <c r="BQ5" s="60">
        <v>29.02</v>
      </c>
      <c r="BR5" s="60">
        <v>232.2</v>
      </c>
      <c r="BS5" s="60">
        <v>414.5</v>
      </c>
      <c r="BT5" s="60">
        <v>402.67</v>
      </c>
    </row>
    <row r="6" spans="1:77" s="60" customFormat="1" x14ac:dyDescent="0.35">
      <c r="B6" s="60" t="s">
        <v>1253</v>
      </c>
      <c r="G6" s="61"/>
      <c r="K6" s="61"/>
      <c r="O6" s="61"/>
      <c r="S6" s="61"/>
      <c r="W6" s="61">
        <v>16.55</v>
      </c>
      <c r="X6" s="60">
        <v>16.309999999999999</v>
      </c>
      <c r="Y6" s="60">
        <v>16.82</v>
      </c>
      <c r="Z6" s="60">
        <v>16.52</v>
      </c>
      <c r="AA6" s="61">
        <v>16.96</v>
      </c>
      <c r="AB6" s="60">
        <v>11.8</v>
      </c>
      <c r="AC6" s="60">
        <v>14.07</v>
      </c>
      <c r="AD6" s="60">
        <v>14.95</v>
      </c>
      <c r="AE6" s="61">
        <v>23.37</v>
      </c>
      <c r="AF6" s="60">
        <v>29.76</v>
      </c>
      <c r="AG6" s="60">
        <v>72.03</v>
      </c>
      <c r="AH6" s="60">
        <v>126.37</v>
      </c>
      <c r="AI6" s="61">
        <v>179.83</v>
      </c>
      <c r="AJ6" s="60">
        <v>179.83</v>
      </c>
      <c r="AK6" s="60">
        <v>206.82</v>
      </c>
      <c r="AL6" s="60">
        <v>254.53</v>
      </c>
      <c r="AM6" s="61">
        <v>233.33</v>
      </c>
      <c r="AN6" s="60">
        <v>206.86</v>
      </c>
      <c r="AO6" s="60">
        <v>216.17</v>
      </c>
      <c r="AP6" s="60">
        <v>108.24</v>
      </c>
      <c r="AQ6" s="61">
        <v>101.81</v>
      </c>
      <c r="AR6" s="60">
        <v>152.37</v>
      </c>
      <c r="BH6" s="60">
        <v>1</v>
      </c>
      <c r="BI6" s="60">
        <v>1.41</v>
      </c>
      <c r="BJ6" s="60">
        <v>1.51</v>
      </c>
      <c r="BK6" s="60">
        <v>2.14</v>
      </c>
      <c r="BL6" s="60">
        <v>9.11</v>
      </c>
      <c r="BM6" s="60">
        <v>12.09</v>
      </c>
      <c r="BN6" s="60">
        <v>9.4</v>
      </c>
      <c r="BO6" s="60">
        <v>14.06</v>
      </c>
      <c r="BP6" s="60">
        <v>16.309999999999999</v>
      </c>
      <c r="BQ6" s="60">
        <v>11.8</v>
      </c>
      <c r="BR6" s="60">
        <v>23.37</v>
      </c>
      <c r="BS6" s="60">
        <v>179.83</v>
      </c>
      <c r="BT6" s="60">
        <v>108.24</v>
      </c>
    </row>
    <row r="7" spans="1:77" s="21" customFormat="1" x14ac:dyDescent="0.35">
      <c r="B7" s="21" t="s">
        <v>1254</v>
      </c>
      <c r="G7" s="62"/>
      <c r="K7" s="62"/>
      <c r="O7" s="62"/>
      <c r="S7" s="62"/>
      <c r="W7" s="62">
        <v>22</v>
      </c>
      <c r="X7" s="21">
        <v>20.32</v>
      </c>
      <c r="Y7" s="21">
        <v>20.83</v>
      </c>
      <c r="Z7" s="21">
        <v>21.5</v>
      </c>
      <c r="AA7" s="62">
        <v>20.07</v>
      </c>
      <c r="AB7" s="21">
        <v>15.56</v>
      </c>
      <c r="AC7" s="21">
        <v>15.65</v>
      </c>
      <c r="AD7" s="21">
        <v>21.59</v>
      </c>
      <c r="AE7" s="62">
        <v>41.56</v>
      </c>
      <c r="AF7" s="21">
        <v>53.81</v>
      </c>
      <c r="AG7" s="21">
        <v>117.67</v>
      </c>
      <c r="AH7" s="21">
        <v>169.63</v>
      </c>
      <c r="AI7" s="62">
        <v>251.54</v>
      </c>
      <c r="AJ7" s="21">
        <v>251.54</v>
      </c>
      <c r="AK7" s="21">
        <v>235</v>
      </c>
      <c r="AL7" s="21">
        <v>335.12</v>
      </c>
      <c r="AM7" s="62">
        <v>310.68</v>
      </c>
      <c r="AN7" s="21">
        <v>273.75</v>
      </c>
      <c r="AO7" s="21">
        <v>279.49</v>
      </c>
      <c r="AP7" s="21">
        <v>189.34</v>
      </c>
      <c r="AQ7" s="62">
        <v>173.91</v>
      </c>
      <c r="AR7" s="21">
        <v>198.95</v>
      </c>
      <c r="BH7" s="21">
        <v>1.55</v>
      </c>
      <c r="BI7" s="21">
        <v>1.79</v>
      </c>
      <c r="BJ7" s="21">
        <v>2.08</v>
      </c>
      <c r="BK7" s="21">
        <v>6.95</v>
      </c>
      <c r="BL7" s="21">
        <v>14.89</v>
      </c>
      <c r="BM7" s="21">
        <v>15.33</v>
      </c>
      <c r="BN7" s="21">
        <v>13.98</v>
      </c>
      <c r="BO7" s="21">
        <v>20.95</v>
      </c>
      <c r="BP7" s="21">
        <v>21.15</v>
      </c>
      <c r="BQ7" s="21">
        <v>18.2</v>
      </c>
      <c r="BR7" s="21">
        <v>96.12</v>
      </c>
      <c r="BS7" s="21">
        <v>259.63</v>
      </c>
      <c r="BT7" s="21">
        <v>263.08999999999997</v>
      </c>
    </row>
    <row r="8" spans="1:77" x14ac:dyDescent="0.35">
      <c r="G8" s="32"/>
      <c r="K8" s="32"/>
      <c r="O8" s="32"/>
    </row>
    <row r="9" spans="1:77" x14ac:dyDescent="0.35">
      <c r="G9" s="32"/>
      <c r="K9" s="32"/>
      <c r="O9" s="32"/>
    </row>
    <row r="10" spans="1:77" s="18" customFormat="1" x14ac:dyDescent="0.35">
      <c r="B10" s="17" t="s">
        <v>19</v>
      </c>
      <c r="G10" s="34"/>
      <c r="K10" s="34"/>
      <c r="O10" s="34"/>
      <c r="S10" s="34"/>
      <c r="W10" s="34"/>
      <c r="AA10" s="34"/>
      <c r="AE10" s="34"/>
      <c r="AI10" s="34"/>
      <c r="AM10" s="34"/>
      <c r="AQ10" s="34"/>
    </row>
    <row r="11" spans="1:77" s="13" customFormat="1" x14ac:dyDescent="0.35">
      <c r="B11" s="12" t="s">
        <v>20</v>
      </c>
      <c r="G11" s="35"/>
      <c r="K11" s="35"/>
      <c r="O11" s="35"/>
      <c r="S11" s="35"/>
      <c r="W11" s="35"/>
      <c r="AA11" s="35"/>
      <c r="AE11" s="35"/>
      <c r="AI11" s="35"/>
      <c r="AM11" s="35"/>
      <c r="AQ11" s="35"/>
    </row>
    <row r="12" spans="1:77" x14ac:dyDescent="0.35">
      <c r="B12" t="s">
        <v>21</v>
      </c>
      <c r="C12" s="7"/>
      <c r="D12" s="7"/>
      <c r="E12" s="7"/>
      <c r="F12" s="7"/>
      <c r="G12" s="36"/>
      <c r="H12" s="7"/>
      <c r="I12" s="7"/>
      <c r="J12" s="7"/>
      <c r="K12" s="36"/>
      <c r="L12" s="7"/>
      <c r="M12" s="7"/>
      <c r="N12" s="7"/>
      <c r="O12" s="36"/>
      <c r="P12" s="7"/>
      <c r="Q12" s="7"/>
      <c r="R12" s="7"/>
      <c r="S12" s="36"/>
      <c r="T12" s="7"/>
      <c r="U12" s="7"/>
      <c r="V12" s="7"/>
      <c r="W12" s="36">
        <v>2735.317</v>
      </c>
      <c r="X12" s="7">
        <v>3357.681</v>
      </c>
      <c r="Y12" s="7">
        <v>6099</v>
      </c>
      <c r="Z12" s="7">
        <f>BP12-Y12-X12-W12</f>
        <v>6323.0019999999995</v>
      </c>
      <c r="AA12" s="36">
        <v>3724</v>
      </c>
      <c r="AB12" s="7">
        <v>5376</v>
      </c>
      <c r="AC12" s="7">
        <v>5353</v>
      </c>
      <c r="AD12" s="7">
        <f>BQ12-AC12-AB12-AA12</f>
        <v>6368</v>
      </c>
      <c r="AE12" s="36">
        <v>5132</v>
      </c>
      <c r="AF12" s="7">
        <v>5179</v>
      </c>
      <c r="AG12" s="7">
        <v>7611</v>
      </c>
      <c r="AH12" s="7">
        <f>BR12-AG12-AF12-AE12</f>
        <v>9314</v>
      </c>
      <c r="AI12" s="36">
        <v>9002</v>
      </c>
      <c r="AJ12" s="7">
        <v>10206</v>
      </c>
      <c r="AK12" s="7">
        <v>12057</v>
      </c>
      <c r="AL12" s="7">
        <f>BS12-AK12-AJ12-AI12</f>
        <v>15967</v>
      </c>
      <c r="AM12" s="36">
        <v>16861</v>
      </c>
      <c r="AN12" s="7">
        <v>14602</v>
      </c>
      <c r="AO12" s="7">
        <v>18692</v>
      </c>
      <c r="AP12" s="7">
        <f>BT12-AO12-AN12-AM12</f>
        <v>21307</v>
      </c>
      <c r="AQ12" s="36">
        <v>19963</v>
      </c>
      <c r="AR12" s="7">
        <v>21268</v>
      </c>
      <c r="AS12" s="7"/>
      <c r="AT12" s="7"/>
      <c r="AU12" s="7"/>
      <c r="AV12" s="7"/>
      <c r="AW12" s="7"/>
      <c r="AX12" s="7"/>
      <c r="AY12" s="7"/>
      <c r="AZ12" s="7"/>
      <c r="BA12" s="7"/>
      <c r="BB12" s="7"/>
      <c r="BC12" s="7"/>
      <c r="BD12" s="7"/>
      <c r="BE12" s="7"/>
      <c r="BF12" s="7"/>
      <c r="BG12" s="7"/>
      <c r="BH12" s="7">
        <v>97.078000000000003</v>
      </c>
      <c r="BI12" s="7">
        <v>148.56800000000001</v>
      </c>
      <c r="BJ12" s="7">
        <v>385.69900000000001</v>
      </c>
      <c r="BK12" s="7">
        <v>1921.877</v>
      </c>
      <c r="BL12" s="7">
        <v>3007</v>
      </c>
      <c r="BM12" s="7">
        <v>3740.973</v>
      </c>
      <c r="BN12" s="7">
        <f>5589+762</f>
        <v>6351</v>
      </c>
      <c r="BO12" s="7">
        <v>9641</v>
      </c>
      <c r="BP12" s="7">
        <v>18515</v>
      </c>
      <c r="BQ12" s="7">
        <v>20821</v>
      </c>
      <c r="BR12" s="7">
        <v>27236</v>
      </c>
      <c r="BS12" s="7">
        <v>47232</v>
      </c>
      <c r="BT12" s="7">
        <f>67210+1776+2476</f>
        <v>71462</v>
      </c>
      <c r="BU12" s="7"/>
      <c r="BV12" s="7"/>
      <c r="BW12" s="7"/>
      <c r="BX12" s="7"/>
      <c r="BY12" s="7"/>
    </row>
    <row r="13" spans="1:77" s="10" customFormat="1" x14ac:dyDescent="0.35">
      <c r="B13" s="10" t="s">
        <v>22</v>
      </c>
      <c r="C13" s="22"/>
      <c r="D13" s="22"/>
      <c r="E13" s="22"/>
      <c r="F13" s="22"/>
      <c r="G13" s="37"/>
      <c r="H13" s="22"/>
      <c r="I13" s="22"/>
      <c r="J13" s="22"/>
      <c r="K13" s="37"/>
      <c r="L13" s="22"/>
      <c r="M13" s="22"/>
      <c r="N13" s="22"/>
      <c r="O13" s="37"/>
      <c r="P13" s="22"/>
      <c r="Q13" s="22"/>
      <c r="R13" s="22"/>
      <c r="S13" s="37"/>
      <c r="T13" s="22"/>
      <c r="U13" s="22"/>
      <c r="V13" s="22"/>
      <c r="W13" s="37">
        <v>2195.893</v>
      </c>
      <c r="X13" s="22">
        <v>2666.654</v>
      </c>
      <c r="Y13" s="22">
        <v>4525</v>
      </c>
      <c r="Z13" s="22">
        <f>BP13-Y13-X13-W13</f>
        <v>4786.4529999999995</v>
      </c>
      <c r="AA13" s="37">
        <v>2973</v>
      </c>
      <c r="AB13" s="22">
        <v>4360</v>
      </c>
      <c r="AC13" s="22">
        <v>4131</v>
      </c>
      <c r="AD13" s="22">
        <f>BQ13-AC13-AB13-AA13</f>
        <v>4934</v>
      </c>
      <c r="AE13" s="37">
        <v>3821</v>
      </c>
      <c r="AF13" s="22">
        <v>3862</v>
      </c>
      <c r="AG13" s="22">
        <v>5506</v>
      </c>
      <c r="AH13" s="22">
        <f>BR13-AG13-AF13-AE13</f>
        <v>7070</v>
      </c>
      <c r="AI13" s="37">
        <v>6617</v>
      </c>
      <c r="AJ13" s="22">
        <v>7307</v>
      </c>
      <c r="AK13" s="22">
        <v>8384</v>
      </c>
      <c r="AL13" s="22">
        <f>BS13-AK13-AJ13-AI13</f>
        <v>11085</v>
      </c>
      <c r="AM13" s="37">
        <v>11322</v>
      </c>
      <c r="AN13" s="22">
        <v>10521</v>
      </c>
      <c r="AO13" s="22">
        <v>13480</v>
      </c>
      <c r="AP13" s="22">
        <f>BT13-AO13-AN13-AM13</f>
        <v>15785</v>
      </c>
      <c r="AQ13" s="37">
        <v>15755</v>
      </c>
      <c r="AR13" s="22">
        <v>17179</v>
      </c>
      <c r="AS13" s="22"/>
      <c r="AT13" s="22"/>
      <c r="AU13" s="22"/>
      <c r="AV13" s="22"/>
      <c r="AW13" s="22"/>
      <c r="AX13" s="22"/>
      <c r="AY13" s="22"/>
      <c r="AZ13" s="22"/>
      <c r="BA13" s="22"/>
      <c r="BB13" s="22"/>
      <c r="BC13" s="22"/>
      <c r="BD13" s="22"/>
      <c r="BE13" s="22"/>
      <c r="BF13" s="22"/>
      <c r="BG13" s="22"/>
      <c r="BH13" s="22">
        <v>79.981999999999999</v>
      </c>
      <c r="BI13" s="22">
        <v>115.482</v>
      </c>
      <c r="BJ13" s="22">
        <v>371.65800000000002</v>
      </c>
      <c r="BK13" s="22">
        <v>1483.3209999999999</v>
      </c>
      <c r="BL13" s="22">
        <v>191.34399999999999</v>
      </c>
      <c r="BM13" s="22">
        <v>2823.3020000000001</v>
      </c>
      <c r="BN13" s="22">
        <v>4750</v>
      </c>
      <c r="BO13" s="22">
        <v>7433</v>
      </c>
      <c r="BP13" s="22">
        <v>14174</v>
      </c>
      <c r="BQ13" s="22">
        <v>16398</v>
      </c>
      <c r="BR13" s="22">
        <v>20259</v>
      </c>
      <c r="BS13" s="22">
        <v>33393</v>
      </c>
      <c r="BT13" s="22">
        <f>49599+1509</f>
        <v>51108</v>
      </c>
      <c r="BU13" s="22"/>
      <c r="BV13" s="22"/>
      <c r="BW13" s="22"/>
      <c r="BX13" s="22"/>
      <c r="BY13" s="22"/>
    </row>
    <row r="14" spans="1:77" s="16" customFormat="1" x14ac:dyDescent="0.35">
      <c r="B14" s="16" t="s">
        <v>23</v>
      </c>
      <c r="C14" s="23"/>
      <c r="D14" s="23"/>
      <c r="E14" s="23"/>
      <c r="F14" s="23"/>
      <c r="G14" s="38">
        <f t="shared" ref="G14:Z14" si="0">G12-G13</f>
        <v>0</v>
      </c>
      <c r="H14" s="23">
        <f t="shared" si="0"/>
        <v>0</v>
      </c>
      <c r="I14" s="23">
        <f t="shared" si="0"/>
        <v>0</v>
      </c>
      <c r="J14" s="23">
        <f t="shared" si="0"/>
        <v>0</v>
      </c>
      <c r="K14" s="38">
        <f t="shared" si="0"/>
        <v>0</v>
      </c>
      <c r="L14" s="23">
        <f t="shared" si="0"/>
        <v>0</v>
      </c>
      <c r="M14" s="23">
        <f t="shared" si="0"/>
        <v>0</v>
      </c>
      <c r="N14" s="23">
        <f t="shared" si="0"/>
        <v>0</v>
      </c>
      <c r="O14" s="38">
        <f t="shared" si="0"/>
        <v>0</v>
      </c>
      <c r="P14" s="23">
        <f t="shared" si="0"/>
        <v>0</v>
      </c>
      <c r="Q14" s="23">
        <f t="shared" si="0"/>
        <v>0</v>
      </c>
      <c r="R14" s="23">
        <f t="shared" si="0"/>
        <v>0</v>
      </c>
      <c r="S14" s="38">
        <f t="shared" si="0"/>
        <v>0</v>
      </c>
      <c r="T14" s="23">
        <f t="shared" si="0"/>
        <v>0</v>
      </c>
      <c r="U14" s="23">
        <f t="shared" si="0"/>
        <v>0</v>
      </c>
      <c r="V14" s="23">
        <f t="shared" si="0"/>
        <v>0</v>
      </c>
      <c r="W14" s="38">
        <f t="shared" si="0"/>
        <v>539.42399999999998</v>
      </c>
      <c r="X14" s="23">
        <f t="shared" si="0"/>
        <v>691.02700000000004</v>
      </c>
      <c r="Y14" s="23">
        <f t="shared" si="0"/>
        <v>1574</v>
      </c>
      <c r="Z14" s="23">
        <f t="shared" si="0"/>
        <v>1536.549</v>
      </c>
      <c r="AA14" s="38">
        <f t="shared" ref="AA14:AT14" si="1">AA12-AA13</f>
        <v>751</v>
      </c>
      <c r="AB14" s="23">
        <f t="shared" si="1"/>
        <v>1016</v>
      </c>
      <c r="AC14" s="23">
        <f t="shared" si="1"/>
        <v>1222</v>
      </c>
      <c r="AD14" s="23">
        <f t="shared" si="1"/>
        <v>1434</v>
      </c>
      <c r="AE14" s="38">
        <f t="shared" si="1"/>
        <v>1311</v>
      </c>
      <c r="AF14" s="23">
        <f t="shared" si="1"/>
        <v>1317</v>
      </c>
      <c r="AG14" s="23">
        <f t="shared" si="1"/>
        <v>2105</v>
      </c>
      <c r="AH14" s="23">
        <f t="shared" si="1"/>
        <v>2244</v>
      </c>
      <c r="AI14" s="38">
        <f t="shared" si="1"/>
        <v>2385</v>
      </c>
      <c r="AJ14" s="23">
        <f t="shared" si="1"/>
        <v>2899</v>
      </c>
      <c r="AK14" s="23">
        <f t="shared" si="1"/>
        <v>3673</v>
      </c>
      <c r="AL14" s="23">
        <f t="shared" si="1"/>
        <v>4882</v>
      </c>
      <c r="AM14" s="38">
        <f t="shared" si="1"/>
        <v>5539</v>
      </c>
      <c r="AN14" s="23">
        <f t="shared" si="1"/>
        <v>4081</v>
      </c>
      <c r="AO14" s="23">
        <f t="shared" si="1"/>
        <v>5212</v>
      </c>
      <c r="AP14" s="23">
        <f t="shared" si="1"/>
        <v>5522</v>
      </c>
      <c r="AQ14" s="38">
        <f t="shared" si="1"/>
        <v>4208</v>
      </c>
      <c r="AR14" s="23">
        <f t="shared" si="1"/>
        <v>4089</v>
      </c>
      <c r="AS14" s="23">
        <f t="shared" si="1"/>
        <v>0</v>
      </c>
      <c r="AT14" s="23">
        <f t="shared" si="1"/>
        <v>0</v>
      </c>
      <c r="AU14" s="23"/>
      <c r="AV14" s="23"/>
      <c r="AW14" s="23"/>
      <c r="AX14" s="23"/>
      <c r="AY14" s="23"/>
      <c r="AZ14" s="23"/>
      <c r="BA14" s="23">
        <f t="shared" ref="BA14" si="2">BA12-BA13</f>
        <v>0</v>
      </c>
      <c r="BB14" s="23">
        <f t="shared" ref="BB14" si="3">BB12-BB13</f>
        <v>0</v>
      </c>
      <c r="BC14" s="23">
        <f t="shared" ref="BC14" si="4">BC12-BC13</f>
        <v>0</v>
      </c>
      <c r="BD14" s="23">
        <f t="shared" ref="BD14" si="5">BD12-BD13</f>
        <v>0</v>
      </c>
      <c r="BE14" s="23">
        <f t="shared" ref="BE14" si="6">BE12-BE13</f>
        <v>0</v>
      </c>
      <c r="BF14" s="23">
        <f t="shared" ref="BF14" si="7">BF12-BF13</f>
        <v>0</v>
      </c>
      <c r="BG14" s="23">
        <f t="shared" ref="BG14" si="8">BG12-BG13</f>
        <v>0</v>
      </c>
      <c r="BH14" s="23">
        <f t="shared" ref="BH14" si="9">BH12-BH13</f>
        <v>17.096000000000004</v>
      </c>
      <c r="BI14" s="23">
        <f t="shared" ref="BI14" si="10">BI12-BI13</f>
        <v>33.086000000000013</v>
      </c>
      <c r="BJ14" s="23">
        <f t="shared" ref="BJ14" si="11">BJ12-BJ13</f>
        <v>14.040999999999997</v>
      </c>
      <c r="BK14" s="23">
        <f t="shared" ref="BK14" si="12">BK12-BK13</f>
        <v>438.55600000000004</v>
      </c>
      <c r="BL14" s="23">
        <f t="shared" ref="BL14" si="13">BL12-BL13</f>
        <v>2815.6559999999999</v>
      </c>
      <c r="BM14" s="23">
        <f t="shared" ref="BM14" si="14">BM12-BM13</f>
        <v>917.67099999999982</v>
      </c>
      <c r="BN14" s="23">
        <f t="shared" ref="BN14:BS14" si="15">BN12-BN13</f>
        <v>1601</v>
      </c>
      <c r="BO14" s="23">
        <f t="shared" si="15"/>
        <v>2208</v>
      </c>
      <c r="BP14" s="23">
        <f t="shared" si="15"/>
        <v>4341</v>
      </c>
      <c r="BQ14" s="23">
        <f t="shared" si="15"/>
        <v>4423</v>
      </c>
      <c r="BR14" s="23">
        <f t="shared" si="15"/>
        <v>6977</v>
      </c>
      <c r="BS14" s="23">
        <f t="shared" si="15"/>
        <v>13839</v>
      </c>
      <c r="BT14" s="23">
        <f t="shared" ref="BT14" si="16">BT12-BT13</f>
        <v>20354</v>
      </c>
      <c r="BU14" s="23">
        <f t="shared" ref="BU14" si="17">BU12-BU13</f>
        <v>0</v>
      </c>
      <c r="BV14" s="23">
        <f t="shared" ref="BV14" si="18">BV12-BV13</f>
        <v>0</v>
      </c>
      <c r="BW14" s="23">
        <f t="shared" ref="BW14" si="19">BW12-BW13</f>
        <v>0</v>
      </c>
      <c r="BX14" s="23"/>
      <c r="BY14" s="23"/>
    </row>
    <row r="15" spans="1:77" s="29" customFormat="1" x14ac:dyDescent="0.35">
      <c r="G15" s="39" t="e">
        <f t="shared" ref="G15:Z15" si="20">G14/G12</f>
        <v>#DIV/0!</v>
      </c>
      <c r="H15" s="29" t="e">
        <f t="shared" si="20"/>
        <v>#DIV/0!</v>
      </c>
      <c r="I15" s="29" t="e">
        <f t="shared" si="20"/>
        <v>#DIV/0!</v>
      </c>
      <c r="J15" s="29" t="e">
        <f t="shared" si="20"/>
        <v>#DIV/0!</v>
      </c>
      <c r="K15" s="39" t="e">
        <f t="shared" si="20"/>
        <v>#DIV/0!</v>
      </c>
      <c r="L15" s="29" t="e">
        <f t="shared" si="20"/>
        <v>#DIV/0!</v>
      </c>
      <c r="M15" s="29" t="e">
        <f t="shared" si="20"/>
        <v>#DIV/0!</v>
      </c>
      <c r="N15" s="29" t="e">
        <f t="shared" si="20"/>
        <v>#DIV/0!</v>
      </c>
      <c r="O15" s="39" t="e">
        <f t="shared" si="20"/>
        <v>#DIV/0!</v>
      </c>
      <c r="P15" s="29" t="e">
        <f t="shared" si="20"/>
        <v>#DIV/0!</v>
      </c>
      <c r="Q15" s="29" t="e">
        <f t="shared" si="20"/>
        <v>#DIV/0!</v>
      </c>
      <c r="R15" s="29" t="e">
        <f t="shared" si="20"/>
        <v>#DIV/0!</v>
      </c>
      <c r="S15" s="39" t="e">
        <f t="shared" si="20"/>
        <v>#DIV/0!</v>
      </c>
      <c r="T15" s="29" t="e">
        <f t="shared" si="20"/>
        <v>#DIV/0!</v>
      </c>
      <c r="U15" s="29" t="e">
        <f t="shared" si="20"/>
        <v>#DIV/0!</v>
      </c>
      <c r="V15" s="29" t="e">
        <f t="shared" si="20"/>
        <v>#DIV/0!</v>
      </c>
      <c r="W15" s="39">
        <f t="shared" si="20"/>
        <v>0.19720712443932459</v>
      </c>
      <c r="X15" s="29">
        <f t="shared" si="20"/>
        <v>0.20580483970931129</v>
      </c>
      <c r="Y15" s="29">
        <f t="shared" si="20"/>
        <v>0.25807509427775044</v>
      </c>
      <c r="Z15" s="29">
        <f t="shared" si="20"/>
        <v>0.24300941230130879</v>
      </c>
      <c r="AA15" s="39">
        <f t="shared" ref="AA15:AT15" si="21">AA14/AA12</f>
        <v>0.20166487647690656</v>
      </c>
      <c r="AB15" s="29">
        <f t="shared" si="21"/>
        <v>0.18898809523809523</v>
      </c>
      <c r="AC15" s="29">
        <f t="shared" si="21"/>
        <v>0.22828320567905847</v>
      </c>
      <c r="AD15" s="29">
        <f t="shared" si="21"/>
        <v>0.22518844221105527</v>
      </c>
      <c r="AE15" s="39">
        <f t="shared" si="21"/>
        <v>0.2554559625876851</v>
      </c>
      <c r="AF15" s="29">
        <f t="shared" si="21"/>
        <v>0.25429619617686811</v>
      </c>
      <c r="AG15" s="29">
        <f t="shared" si="21"/>
        <v>0.2765733806332939</v>
      </c>
      <c r="AH15" s="29">
        <f t="shared" si="21"/>
        <v>0.2409276358170496</v>
      </c>
      <c r="AI15" s="39">
        <f t="shared" si="21"/>
        <v>0.2649411241946234</v>
      </c>
      <c r="AJ15" s="29">
        <f t="shared" si="21"/>
        <v>0.28404859886341366</v>
      </c>
      <c r="AK15" s="29">
        <f t="shared" si="21"/>
        <v>0.30463631085676368</v>
      </c>
      <c r="AL15" s="29">
        <f t="shared" si="21"/>
        <v>0.30575562096824699</v>
      </c>
      <c r="AM15" s="39">
        <f t="shared" si="21"/>
        <v>0.32850957831682581</v>
      </c>
      <c r="AN15" s="29">
        <f t="shared" si="21"/>
        <v>0.27948226270373921</v>
      </c>
      <c r="AO15" s="29">
        <f t="shared" si="21"/>
        <v>0.27883586561095658</v>
      </c>
      <c r="AP15" s="29">
        <f t="shared" si="21"/>
        <v>0.2591636551368095</v>
      </c>
      <c r="AQ15" s="39">
        <f t="shared" si="21"/>
        <v>0.21078996142864298</v>
      </c>
      <c r="AR15" s="29">
        <f t="shared" si="21"/>
        <v>0.19226067331201804</v>
      </c>
      <c r="AS15" s="29" t="e">
        <f t="shared" si="21"/>
        <v>#DIV/0!</v>
      </c>
      <c r="AT15" s="29" t="e">
        <f t="shared" si="21"/>
        <v>#DIV/0!</v>
      </c>
      <c r="BA15" s="29" t="e">
        <f t="shared" ref="BA15" si="22">BA14/BA12</f>
        <v>#DIV/0!</v>
      </c>
      <c r="BB15" s="29" t="e">
        <f t="shared" ref="BB15" si="23">BB14/BB12</f>
        <v>#DIV/0!</v>
      </c>
      <c r="BC15" s="29" t="e">
        <f t="shared" ref="BC15" si="24">BC14/BC12</f>
        <v>#DIV/0!</v>
      </c>
      <c r="BD15" s="29" t="e">
        <f t="shared" ref="BD15" si="25">BD14/BD12</f>
        <v>#DIV/0!</v>
      </c>
      <c r="BE15" s="29" t="e">
        <f t="shared" ref="BE15" si="26">BE14/BE12</f>
        <v>#DIV/0!</v>
      </c>
      <c r="BF15" s="29" t="e">
        <f t="shared" ref="BF15" si="27">BF14/BF12</f>
        <v>#DIV/0!</v>
      </c>
      <c r="BG15" s="29" t="e">
        <f t="shared" ref="BG15" si="28">BG14/BG12</f>
        <v>#DIV/0!</v>
      </c>
      <c r="BH15" s="29">
        <f t="shared" ref="BH15" si="29">BH14/BH12</f>
        <v>0.17610581182142199</v>
      </c>
      <c r="BI15" s="29">
        <f t="shared" ref="BI15" si="30">BI14/BI12</f>
        <v>0.22269936998546128</v>
      </c>
      <c r="BJ15" s="29">
        <f t="shared" ref="BJ15" si="31">BJ14/BJ12</f>
        <v>3.6404035271027396E-2</v>
      </c>
      <c r="BK15" s="29">
        <f t="shared" ref="BK15" si="32">BK14/BK12</f>
        <v>0.22819150236981869</v>
      </c>
      <c r="BL15" s="57">
        <f t="shared" ref="BL15" si="33">BL14/BL12</f>
        <v>0.93636714333222482</v>
      </c>
      <c r="BM15" s="29">
        <f t="shared" ref="BM15" si="34">BM14/BM12</f>
        <v>0.24530275946926103</v>
      </c>
      <c r="BN15" s="29">
        <f t="shared" ref="BN15:BR15" si="35">BN14/BN12</f>
        <v>0.25208628562431112</v>
      </c>
      <c r="BO15" s="29">
        <f t="shared" si="35"/>
        <v>0.2290218856965045</v>
      </c>
      <c r="BP15" s="29">
        <f t="shared" si="35"/>
        <v>0.23445854712395356</v>
      </c>
      <c r="BQ15" s="29">
        <f t="shared" si="35"/>
        <v>0.21242975841698286</v>
      </c>
      <c r="BR15" s="29">
        <f t="shared" si="35"/>
        <v>0.25616830665295931</v>
      </c>
      <c r="BS15" s="29">
        <f>BS14/BS12</f>
        <v>0.29300050813008133</v>
      </c>
      <c r="BT15" s="29">
        <f t="shared" ref="BT15:BW15" si="36">BT14/BT12</f>
        <v>0.28482270297500767</v>
      </c>
      <c r="BU15" s="29" t="e">
        <f t="shared" si="36"/>
        <v>#DIV/0!</v>
      </c>
      <c r="BV15" s="29" t="e">
        <f t="shared" si="36"/>
        <v>#DIV/0!</v>
      </c>
      <c r="BW15" s="29" t="e">
        <f t="shared" si="36"/>
        <v>#DIV/0!</v>
      </c>
    </row>
    <row r="16" spans="1:77" s="19" customFormat="1" x14ac:dyDescent="0.35">
      <c r="B16" s="12" t="s">
        <v>24</v>
      </c>
      <c r="C16" s="24"/>
      <c r="D16" s="24"/>
      <c r="E16" s="24"/>
      <c r="F16" s="24"/>
      <c r="G16" s="40"/>
      <c r="H16" s="24"/>
      <c r="I16" s="24"/>
      <c r="J16" s="24"/>
      <c r="K16" s="40"/>
      <c r="L16" s="24"/>
      <c r="M16" s="24"/>
      <c r="N16" s="24"/>
      <c r="O16" s="40"/>
      <c r="P16" s="24"/>
      <c r="Q16" s="24"/>
      <c r="R16" s="24"/>
      <c r="S16" s="40"/>
      <c r="T16" s="24"/>
      <c r="U16" s="24"/>
      <c r="V16" s="24"/>
      <c r="W16" s="40"/>
      <c r="X16" s="24"/>
      <c r="Y16" s="24"/>
      <c r="Z16" s="24"/>
      <c r="AA16" s="40"/>
      <c r="AB16" s="24"/>
      <c r="AC16" s="24"/>
      <c r="AD16" s="24"/>
      <c r="AE16" s="40"/>
      <c r="AF16" s="24"/>
      <c r="AG16" s="24"/>
      <c r="AH16" s="24"/>
      <c r="AI16" s="40"/>
      <c r="AJ16" s="24"/>
      <c r="AK16" s="24"/>
      <c r="AL16" s="24"/>
      <c r="AM16" s="40"/>
      <c r="AN16" s="24"/>
      <c r="AO16" s="24"/>
      <c r="AP16" s="24"/>
      <c r="AQ16" s="40"/>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row>
    <row r="17" spans="2:77" x14ac:dyDescent="0.35">
      <c r="B17" t="s">
        <v>25</v>
      </c>
      <c r="C17" s="7"/>
      <c r="D17" s="7"/>
      <c r="E17" s="7"/>
      <c r="F17" s="7"/>
      <c r="G17" s="36"/>
      <c r="H17" s="7"/>
      <c r="I17" s="7"/>
      <c r="J17" s="7"/>
      <c r="K17" s="36"/>
      <c r="L17" s="7"/>
      <c r="M17" s="7"/>
      <c r="N17" s="7"/>
      <c r="O17" s="36"/>
      <c r="P17" s="7"/>
      <c r="Q17" s="7"/>
      <c r="R17" s="7"/>
      <c r="S17" s="36"/>
      <c r="T17" s="7"/>
      <c r="U17" s="7"/>
      <c r="V17" s="7"/>
      <c r="W17" s="36">
        <v>410.02199999999999</v>
      </c>
      <c r="X17" s="7">
        <v>374.40800000000002</v>
      </c>
      <c r="Y17" s="7">
        <v>399</v>
      </c>
      <c r="Z17" s="7">
        <f>BP17-Y17-X17-W17</f>
        <v>371.57</v>
      </c>
      <c r="AA17" s="36">
        <v>324</v>
      </c>
      <c r="AB17" s="7">
        <v>369</v>
      </c>
      <c r="AC17" s="7">
        <v>402</v>
      </c>
      <c r="AD17" s="7">
        <f>BQ17-AC17-AB17-AA17</f>
        <v>436</v>
      </c>
      <c r="AE17" s="36">
        <v>293</v>
      </c>
      <c r="AF17" s="7">
        <v>370</v>
      </c>
      <c r="AG17" s="7">
        <v>579</v>
      </c>
      <c r="AH17" s="7">
        <f>BR17-AG17-AF17-AE17</f>
        <v>752</v>
      </c>
      <c r="AI17" s="36">
        <v>494</v>
      </c>
      <c r="AJ17" s="7">
        <v>801</v>
      </c>
      <c r="AK17" s="7">
        <v>806</v>
      </c>
      <c r="AL17" s="7">
        <f>BS17-AK17-AJ17-AI17</f>
        <v>688</v>
      </c>
      <c r="AM17" s="36">
        <v>616</v>
      </c>
      <c r="AN17" s="7">
        <v>866</v>
      </c>
      <c r="AO17" s="7">
        <v>1117</v>
      </c>
      <c r="AP17" s="7">
        <f>BT17-AO17-AN17-AM17</f>
        <v>1310</v>
      </c>
      <c r="AQ17" s="36">
        <v>1529</v>
      </c>
      <c r="AR17" s="7">
        <v>1509</v>
      </c>
      <c r="AS17" s="7"/>
      <c r="AT17" s="7"/>
      <c r="AU17" s="7"/>
      <c r="AV17" s="7"/>
      <c r="AW17" s="7"/>
      <c r="AX17" s="7"/>
      <c r="AY17" s="7"/>
      <c r="AZ17" s="7"/>
      <c r="BA17" s="7"/>
      <c r="BB17" s="7"/>
      <c r="BC17" s="7"/>
      <c r="BD17" s="7"/>
      <c r="BE17" s="7"/>
      <c r="BF17" s="7"/>
      <c r="BG17" s="7"/>
      <c r="BH17" s="7">
        <v>0</v>
      </c>
      <c r="BI17" s="7">
        <v>0</v>
      </c>
      <c r="BJ17" s="7">
        <v>0</v>
      </c>
      <c r="BK17" s="7">
        <v>0</v>
      </c>
      <c r="BL17" s="7">
        <v>0</v>
      </c>
      <c r="BM17" s="7">
        <v>14.477</v>
      </c>
      <c r="BN17" s="7">
        <v>181</v>
      </c>
      <c r="BO17" s="7">
        <v>1116</v>
      </c>
      <c r="BP17" s="7">
        <v>1555</v>
      </c>
      <c r="BQ17" s="7">
        <v>1531</v>
      </c>
      <c r="BR17" s="7">
        <v>1994</v>
      </c>
      <c r="BS17" s="7">
        <v>2789</v>
      </c>
      <c r="BT17" s="7">
        <v>3909</v>
      </c>
      <c r="BU17" s="7"/>
      <c r="BV17" s="7"/>
      <c r="BW17" s="7"/>
      <c r="BX17" s="7"/>
      <c r="BY17" s="7"/>
    </row>
    <row r="18" spans="2:77" s="10" customFormat="1" x14ac:dyDescent="0.35">
      <c r="B18" s="10" t="s">
        <v>22</v>
      </c>
      <c r="C18" s="22"/>
      <c r="D18" s="22"/>
      <c r="E18" s="22"/>
      <c r="F18" s="22"/>
      <c r="G18" s="37"/>
      <c r="H18" s="22"/>
      <c r="I18" s="22"/>
      <c r="J18" s="22"/>
      <c r="K18" s="37"/>
      <c r="L18" s="22"/>
      <c r="M18" s="22"/>
      <c r="N18" s="22"/>
      <c r="O18" s="37"/>
      <c r="P18" s="22"/>
      <c r="Q18" s="22"/>
      <c r="R18" s="22"/>
      <c r="S18" s="37"/>
      <c r="T18" s="22"/>
      <c r="U18" s="22"/>
      <c r="V18" s="22"/>
      <c r="W18" s="37">
        <v>375.363</v>
      </c>
      <c r="X18" s="22">
        <v>330.27300000000002</v>
      </c>
      <c r="Y18" s="22">
        <v>330</v>
      </c>
      <c r="Z18" s="22">
        <f>BP18-Y18-X18-W18</f>
        <v>329.25999999999993</v>
      </c>
      <c r="AA18" s="37">
        <v>316</v>
      </c>
      <c r="AB18" s="22">
        <v>326</v>
      </c>
      <c r="AC18" s="22">
        <v>314</v>
      </c>
      <c r="AD18" s="22">
        <f>BQ18-AC18-AB18-AA18</f>
        <v>385</v>
      </c>
      <c r="AE18" s="37">
        <v>282</v>
      </c>
      <c r="AF18" s="22">
        <v>349</v>
      </c>
      <c r="AG18" s="22">
        <v>558</v>
      </c>
      <c r="AH18" s="22">
        <f>BR18-AG18-AF18-AE18</f>
        <v>787</v>
      </c>
      <c r="AI18" s="37">
        <v>595</v>
      </c>
      <c r="AJ18" s="22">
        <v>781</v>
      </c>
      <c r="AK18" s="22">
        <v>803</v>
      </c>
      <c r="AL18" s="22">
        <f>BS18-AK18-AJ18-AI18</f>
        <v>739</v>
      </c>
      <c r="AM18" s="37">
        <v>688</v>
      </c>
      <c r="AN18" s="22">
        <v>769</v>
      </c>
      <c r="AO18" s="22">
        <v>1013</v>
      </c>
      <c r="AP18" s="22">
        <f>BT18-AO18-AN18-AM18</f>
        <v>1151</v>
      </c>
      <c r="AQ18" s="37">
        <v>1361</v>
      </c>
      <c r="AR18" s="22">
        <v>1231</v>
      </c>
      <c r="AS18" s="22"/>
      <c r="AT18" s="22"/>
      <c r="AU18" s="22"/>
      <c r="AV18" s="22"/>
      <c r="AW18" s="22"/>
      <c r="AX18" s="22"/>
      <c r="AY18" s="22"/>
      <c r="AZ18" s="22"/>
      <c r="BA18" s="22"/>
      <c r="BB18" s="22"/>
      <c r="BC18" s="22"/>
      <c r="BD18" s="22"/>
      <c r="BE18" s="22"/>
      <c r="BF18" s="22"/>
      <c r="BG18" s="22"/>
      <c r="BH18" s="22">
        <v>0</v>
      </c>
      <c r="BI18" s="22">
        <v>0</v>
      </c>
      <c r="BJ18" s="22">
        <v>0</v>
      </c>
      <c r="BK18" s="22">
        <v>0</v>
      </c>
      <c r="BL18" s="22">
        <v>0</v>
      </c>
      <c r="BM18" s="22">
        <v>12.287000000000001</v>
      </c>
      <c r="BN18" s="22">
        <v>178</v>
      </c>
      <c r="BO18" s="22">
        <v>874.53800000000001</v>
      </c>
      <c r="BP18" s="22">
        <v>1364.896</v>
      </c>
      <c r="BQ18" s="22">
        <v>1341</v>
      </c>
      <c r="BR18" s="22">
        <v>1976</v>
      </c>
      <c r="BS18" s="22">
        <v>2918</v>
      </c>
      <c r="BT18" s="22">
        <v>3621</v>
      </c>
      <c r="BU18" s="22"/>
      <c r="BV18" s="22"/>
      <c r="BW18" s="22"/>
      <c r="BX18" s="22"/>
      <c r="BY18" s="22"/>
    </row>
    <row r="19" spans="2:77" s="16" customFormat="1" x14ac:dyDescent="0.35">
      <c r="B19" s="16" t="s">
        <v>26</v>
      </c>
      <c r="C19" s="23"/>
      <c r="D19" s="23"/>
      <c r="E19" s="23"/>
      <c r="F19" s="23"/>
      <c r="G19" s="38">
        <f t="shared" ref="G19" si="37">G17-G18</f>
        <v>0</v>
      </c>
      <c r="H19" s="23">
        <f t="shared" ref="H19" si="38">H17-H18</f>
        <v>0</v>
      </c>
      <c r="I19" s="23">
        <f t="shared" ref="I19" si="39">I17-I18</f>
        <v>0</v>
      </c>
      <c r="J19" s="23">
        <f t="shared" ref="J19" si="40">J17-J18</f>
        <v>0</v>
      </c>
      <c r="K19" s="38">
        <f t="shared" ref="K19" si="41">K17-K18</f>
        <v>0</v>
      </c>
      <c r="L19" s="23">
        <f t="shared" ref="L19" si="42">L17-L18</f>
        <v>0</v>
      </c>
      <c r="M19" s="23">
        <f t="shared" ref="M19" si="43">M17-M18</f>
        <v>0</v>
      </c>
      <c r="N19" s="23">
        <f t="shared" ref="N19" si="44">N17-N18</f>
        <v>0</v>
      </c>
      <c r="O19" s="38">
        <f t="shared" ref="O19" si="45">O17-O18</f>
        <v>0</v>
      </c>
      <c r="P19" s="23">
        <f t="shared" ref="P19" si="46">P17-P18</f>
        <v>0</v>
      </c>
      <c r="Q19" s="23">
        <f t="shared" ref="Q19" si="47">Q17-Q18</f>
        <v>0</v>
      </c>
      <c r="R19" s="23">
        <f t="shared" ref="R19" si="48">R17-R18</f>
        <v>0</v>
      </c>
      <c r="S19" s="38">
        <f t="shared" ref="S19:W19" si="49">S17-S18</f>
        <v>0</v>
      </c>
      <c r="T19" s="23">
        <f t="shared" si="49"/>
        <v>0</v>
      </c>
      <c r="U19" s="23">
        <f t="shared" si="49"/>
        <v>0</v>
      </c>
      <c r="V19" s="23">
        <f t="shared" si="49"/>
        <v>0</v>
      </c>
      <c r="W19" s="38">
        <f t="shared" si="49"/>
        <v>34.658999999999992</v>
      </c>
      <c r="X19" s="23">
        <f t="shared" ref="X19:Z19" si="50">X17-X18</f>
        <v>44.134999999999991</v>
      </c>
      <c r="Y19" s="23">
        <f t="shared" si="50"/>
        <v>69</v>
      </c>
      <c r="Z19" s="23">
        <f t="shared" si="50"/>
        <v>42.310000000000059</v>
      </c>
      <c r="AA19" s="38">
        <f t="shared" ref="AA19" si="51">AA17-AA18</f>
        <v>8</v>
      </c>
      <c r="AB19" s="23">
        <f t="shared" ref="AB19" si="52">AB17-AB18</f>
        <v>43</v>
      </c>
      <c r="AC19" s="23">
        <f t="shared" ref="AC19" si="53">AC17-AC18</f>
        <v>88</v>
      </c>
      <c r="AD19" s="23">
        <f t="shared" ref="AD19" si="54">AD17-AD18</f>
        <v>51</v>
      </c>
      <c r="AE19" s="38">
        <f t="shared" ref="AE19" si="55">AE17-AE18</f>
        <v>11</v>
      </c>
      <c r="AF19" s="23">
        <f t="shared" ref="AF19" si="56">AF17-AF18</f>
        <v>21</v>
      </c>
      <c r="AG19" s="23">
        <f t="shared" ref="AG19" si="57">AG17-AG18</f>
        <v>21</v>
      </c>
      <c r="AH19" s="23">
        <f t="shared" ref="AH19" si="58">AH17-AH18</f>
        <v>-35</v>
      </c>
      <c r="AI19" s="38">
        <f t="shared" ref="AI19" si="59">AI17-AI18</f>
        <v>-101</v>
      </c>
      <c r="AJ19" s="23">
        <f t="shared" ref="AJ19" si="60">AJ17-AJ18</f>
        <v>20</v>
      </c>
      <c r="AK19" s="23">
        <f t="shared" ref="AK19" si="61">AK17-AK18</f>
        <v>3</v>
      </c>
      <c r="AL19" s="23">
        <f t="shared" ref="AL19" si="62">AL17-AL18</f>
        <v>-51</v>
      </c>
      <c r="AM19" s="38">
        <f t="shared" ref="AM19" si="63">AM17-AM18</f>
        <v>-72</v>
      </c>
      <c r="AN19" s="23">
        <f t="shared" ref="AN19" si="64">AN17-AN18</f>
        <v>97</v>
      </c>
      <c r="AO19" s="23">
        <f t="shared" ref="AO19" si="65">AO17-AO18</f>
        <v>104</v>
      </c>
      <c r="AP19" s="23">
        <f t="shared" ref="AP19" si="66">AP17-AP18</f>
        <v>159</v>
      </c>
      <c r="AQ19" s="38">
        <f t="shared" ref="AQ19" si="67">AQ17-AQ18</f>
        <v>168</v>
      </c>
      <c r="AR19" s="23">
        <f t="shared" ref="AR19" si="68">AR17-AR18</f>
        <v>278</v>
      </c>
      <c r="AS19" s="23">
        <f t="shared" ref="AS19" si="69">AS17-AS18</f>
        <v>0</v>
      </c>
      <c r="AT19" s="23">
        <f t="shared" ref="AT19" si="70">AT17-AT18</f>
        <v>0</v>
      </c>
      <c r="AU19" s="23"/>
      <c r="AV19" s="23"/>
      <c r="AW19" s="23"/>
      <c r="AX19" s="23"/>
      <c r="AY19" s="23"/>
      <c r="AZ19" s="23"/>
      <c r="BA19" s="23">
        <f t="shared" ref="BA19" si="71">BA17-BA18</f>
        <v>0</v>
      </c>
      <c r="BB19" s="23">
        <f t="shared" ref="BB19" si="72">BB17-BB18</f>
        <v>0</v>
      </c>
      <c r="BC19" s="23">
        <f t="shared" ref="BC19" si="73">BC17-BC18</f>
        <v>0</v>
      </c>
      <c r="BD19" s="23">
        <f t="shared" ref="BD19" si="74">BD17-BD18</f>
        <v>0</v>
      </c>
      <c r="BE19" s="23">
        <f t="shared" ref="BE19" si="75">BE17-BE18</f>
        <v>0</v>
      </c>
      <c r="BF19" s="23">
        <f t="shared" ref="BF19" si="76">BF17-BF18</f>
        <v>0</v>
      </c>
      <c r="BG19" s="23">
        <f t="shared" ref="BG19" si="77">BG17-BG18</f>
        <v>0</v>
      </c>
      <c r="BH19" s="23">
        <f t="shared" ref="BH19" si="78">BH17-BH18</f>
        <v>0</v>
      </c>
      <c r="BI19" s="23">
        <f t="shared" ref="BI19" si="79">BI17-BI18</f>
        <v>0</v>
      </c>
      <c r="BJ19" s="23">
        <f t="shared" ref="BJ19" si="80">BJ17-BJ18</f>
        <v>0</v>
      </c>
      <c r="BK19" s="23">
        <f t="shared" ref="BK19" si="81">BK17-BK18</f>
        <v>0</v>
      </c>
      <c r="BL19" s="23">
        <f t="shared" ref="BL19" si="82">BL17-BL18</f>
        <v>0</v>
      </c>
      <c r="BM19" s="23">
        <f t="shared" ref="BM19" si="83">BM17-BM18</f>
        <v>2.1899999999999995</v>
      </c>
      <c r="BN19" s="23">
        <f t="shared" ref="BN19:BS19" si="84">BN17-BN18</f>
        <v>3</v>
      </c>
      <c r="BO19" s="23">
        <f t="shared" si="84"/>
        <v>241.46199999999999</v>
      </c>
      <c r="BP19" s="23">
        <f t="shared" si="84"/>
        <v>190.10400000000004</v>
      </c>
      <c r="BQ19" s="23">
        <f t="shared" si="84"/>
        <v>190</v>
      </c>
      <c r="BR19" s="23">
        <f t="shared" si="84"/>
        <v>18</v>
      </c>
      <c r="BS19" s="23">
        <f t="shared" si="84"/>
        <v>-129</v>
      </c>
      <c r="BT19" s="23">
        <f t="shared" ref="BT19" si="85">BT17-BT18</f>
        <v>288</v>
      </c>
      <c r="BU19" s="23">
        <f t="shared" ref="BU19" si="86">BU17-BU18</f>
        <v>0</v>
      </c>
      <c r="BV19" s="23">
        <f t="shared" ref="BV19" si="87">BV17-BV18</f>
        <v>0</v>
      </c>
      <c r="BW19" s="23">
        <f t="shared" ref="BW19" si="88">BW17-BW18</f>
        <v>0</v>
      </c>
      <c r="BX19" s="23"/>
      <c r="BY19" s="23"/>
    </row>
    <row r="20" spans="2:77" s="29" customFormat="1" x14ac:dyDescent="0.35">
      <c r="G20" s="39" t="e">
        <f t="shared" ref="G20" si="89">G19/G17</f>
        <v>#DIV/0!</v>
      </c>
      <c r="H20" s="29" t="e">
        <f t="shared" ref="H20" si="90">H19/H17</f>
        <v>#DIV/0!</v>
      </c>
      <c r="I20" s="29" t="e">
        <f t="shared" ref="I20" si="91">I19/I17</f>
        <v>#DIV/0!</v>
      </c>
      <c r="J20" s="29" t="e">
        <f t="shared" ref="J20" si="92">J19/J17</f>
        <v>#DIV/0!</v>
      </c>
      <c r="K20" s="39" t="e">
        <f t="shared" ref="K20" si="93">K19/K17</f>
        <v>#DIV/0!</v>
      </c>
      <c r="L20" s="29" t="e">
        <f t="shared" ref="L20" si="94">L19/L17</f>
        <v>#DIV/0!</v>
      </c>
      <c r="M20" s="29" t="e">
        <f t="shared" ref="M20" si="95">M19/M17</f>
        <v>#DIV/0!</v>
      </c>
      <c r="N20" s="29" t="e">
        <f t="shared" ref="N20" si="96">N19/N17</f>
        <v>#DIV/0!</v>
      </c>
      <c r="O20" s="39" t="e">
        <f t="shared" ref="O20" si="97">O19/O17</f>
        <v>#DIV/0!</v>
      </c>
      <c r="P20" s="29" t="e">
        <f t="shared" ref="P20" si="98">P19/P17</f>
        <v>#DIV/0!</v>
      </c>
      <c r="Q20" s="29" t="e">
        <f t="shared" ref="Q20" si="99">Q19/Q17</f>
        <v>#DIV/0!</v>
      </c>
      <c r="R20" s="29" t="e">
        <f t="shared" ref="R20" si="100">R19/R17</f>
        <v>#DIV/0!</v>
      </c>
      <c r="S20" s="39" t="e">
        <f t="shared" ref="S20:W20" si="101">S19/S17</f>
        <v>#DIV/0!</v>
      </c>
      <c r="T20" s="29" t="e">
        <f t="shared" si="101"/>
        <v>#DIV/0!</v>
      </c>
      <c r="U20" s="29" t="e">
        <f t="shared" si="101"/>
        <v>#DIV/0!</v>
      </c>
      <c r="V20" s="29" t="e">
        <f t="shared" si="101"/>
        <v>#DIV/0!</v>
      </c>
      <c r="W20" s="39">
        <f t="shared" si="101"/>
        <v>8.452961060626013E-2</v>
      </c>
      <c r="X20" s="29">
        <f t="shared" ref="X20:Z20" si="102">X19/X17</f>
        <v>0.11787942565329798</v>
      </c>
      <c r="Y20" s="29">
        <f t="shared" si="102"/>
        <v>0.17293233082706766</v>
      </c>
      <c r="Z20" s="29">
        <f t="shared" si="102"/>
        <v>0.11386818096186468</v>
      </c>
      <c r="AA20" s="39">
        <f t="shared" ref="AA20" si="103">AA19/AA17</f>
        <v>2.4691358024691357E-2</v>
      </c>
      <c r="AB20" s="29">
        <f t="shared" ref="AB20" si="104">AB19/AB17</f>
        <v>0.11653116531165311</v>
      </c>
      <c r="AC20" s="29">
        <f t="shared" ref="AC20" si="105">AC19/AC17</f>
        <v>0.21890547263681592</v>
      </c>
      <c r="AD20" s="29">
        <f t="shared" ref="AD20" si="106">AD19/AD17</f>
        <v>0.11697247706422019</v>
      </c>
      <c r="AE20" s="39">
        <f t="shared" ref="AE20" si="107">AE19/AE17</f>
        <v>3.7542662116040959E-2</v>
      </c>
      <c r="AF20" s="29">
        <f t="shared" ref="AF20" si="108">AF19/AF17</f>
        <v>5.675675675675676E-2</v>
      </c>
      <c r="AG20" s="29">
        <f t="shared" ref="AG20" si="109">AG19/AG17</f>
        <v>3.6269430051813469E-2</v>
      </c>
      <c r="AH20" s="29">
        <f t="shared" ref="AH20" si="110">AH19/AH17</f>
        <v>-4.6542553191489359E-2</v>
      </c>
      <c r="AI20" s="39">
        <f t="shared" ref="AI20" si="111">AI19/AI17</f>
        <v>-0.20445344129554655</v>
      </c>
      <c r="AJ20" s="29">
        <f t="shared" ref="AJ20" si="112">AJ19/AJ17</f>
        <v>2.4968789013732832E-2</v>
      </c>
      <c r="AK20" s="29">
        <f t="shared" ref="AK20" si="113">AK19/AK17</f>
        <v>3.7220843672456576E-3</v>
      </c>
      <c r="AL20" s="29">
        <f t="shared" ref="AL20" si="114">AL19/AL17</f>
        <v>-7.4127906976744193E-2</v>
      </c>
      <c r="AM20" s="39">
        <f t="shared" ref="AM20" si="115">AM19/AM17</f>
        <v>-0.11688311688311688</v>
      </c>
      <c r="AN20" s="29">
        <f t="shared" ref="AN20" si="116">AN19/AN17</f>
        <v>0.11200923787528869</v>
      </c>
      <c r="AO20" s="29">
        <f t="shared" ref="AO20" si="117">AO19/AO17</f>
        <v>9.3106535362578333E-2</v>
      </c>
      <c r="AP20" s="29">
        <f t="shared" ref="AP20" si="118">AP19/AP17</f>
        <v>0.12137404580152672</v>
      </c>
      <c r="AQ20" s="39">
        <f t="shared" ref="AQ20" si="119">AQ19/AQ17</f>
        <v>0.10987573577501634</v>
      </c>
      <c r="AR20" s="29">
        <f t="shared" ref="AR20" si="120">AR19/AR17</f>
        <v>0.18422796554009277</v>
      </c>
      <c r="AS20" s="29" t="e">
        <f t="shared" ref="AS20" si="121">AS19/AS17</f>
        <v>#DIV/0!</v>
      </c>
      <c r="AT20" s="29" t="e">
        <f t="shared" ref="AT20" si="122">AT19/AT17</f>
        <v>#DIV/0!</v>
      </c>
      <c r="BA20" s="29" t="e">
        <f t="shared" ref="BA20" si="123">BA19/BA17</f>
        <v>#DIV/0!</v>
      </c>
      <c r="BB20" s="29" t="e">
        <f t="shared" ref="BB20" si="124">BB19/BB17</f>
        <v>#DIV/0!</v>
      </c>
      <c r="BC20" s="29" t="e">
        <f t="shared" ref="BC20" si="125">BC19/BC17</f>
        <v>#DIV/0!</v>
      </c>
      <c r="BD20" s="29" t="e">
        <f t="shared" ref="BD20" si="126">BD19/BD17</f>
        <v>#DIV/0!</v>
      </c>
      <c r="BE20" s="29" t="e">
        <f t="shared" ref="BE20" si="127">BE19/BE17</f>
        <v>#DIV/0!</v>
      </c>
      <c r="BF20" s="29" t="e">
        <f t="shared" ref="BF20" si="128">BF19/BF17</f>
        <v>#DIV/0!</v>
      </c>
      <c r="BG20" s="29" t="e">
        <f t="shared" ref="BG20" si="129">BG19/BG17</f>
        <v>#DIV/0!</v>
      </c>
      <c r="BH20" s="29" t="e">
        <f t="shared" ref="BH20" si="130">BH19/BH17</f>
        <v>#DIV/0!</v>
      </c>
      <c r="BI20" s="29" t="e">
        <f t="shared" ref="BI20" si="131">BI19/BI17</f>
        <v>#DIV/0!</v>
      </c>
      <c r="BJ20" s="29" t="e">
        <f t="shared" ref="BJ20" si="132">BJ19/BJ17</f>
        <v>#DIV/0!</v>
      </c>
      <c r="BK20" s="29" t="e">
        <f t="shared" ref="BK20" si="133">BK19/BK17</f>
        <v>#DIV/0!</v>
      </c>
      <c r="BL20" s="29" t="e">
        <f t="shared" ref="BL20" si="134">BL19/BL17</f>
        <v>#DIV/0!</v>
      </c>
      <c r="BM20" s="29">
        <f t="shared" ref="BM20" si="135">BM19/BM17</f>
        <v>0.15127443531118323</v>
      </c>
      <c r="BN20" s="29">
        <f t="shared" ref="BN20:BS20" si="136">BN19/BN17</f>
        <v>1.6574585635359115E-2</v>
      </c>
      <c r="BO20" s="29">
        <f t="shared" si="136"/>
        <v>0.21636379928315411</v>
      </c>
      <c r="BP20" s="29">
        <f t="shared" si="136"/>
        <v>0.12225337620578781</v>
      </c>
      <c r="BQ20" s="29">
        <f t="shared" si="136"/>
        <v>0.12410189418680601</v>
      </c>
      <c r="BR20" s="29">
        <f t="shared" si="136"/>
        <v>9.0270812437311942E-3</v>
      </c>
      <c r="BS20" s="29">
        <f t="shared" si="136"/>
        <v>-4.6253137325206167E-2</v>
      </c>
      <c r="BT20" s="29">
        <f t="shared" ref="BT20" si="137">BT19/BT17</f>
        <v>7.3676132003069841E-2</v>
      </c>
      <c r="BU20" s="29" t="e">
        <f t="shared" ref="BU20" si="138">BU19/BU17</f>
        <v>#DIV/0!</v>
      </c>
      <c r="BV20" s="29" t="e">
        <f t="shared" ref="BV20" si="139">BV19/BV17</f>
        <v>#DIV/0!</v>
      </c>
      <c r="BW20" s="29" t="e">
        <f t="shared" ref="BW20" si="140">BW19/BW17</f>
        <v>#DIV/0!</v>
      </c>
    </row>
    <row r="21" spans="2:77" s="19" customFormat="1" x14ac:dyDescent="0.35">
      <c r="B21" s="12" t="s">
        <v>27</v>
      </c>
      <c r="C21" s="24"/>
      <c r="D21" s="24"/>
      <c r="E21" s="24"/>
      <c r="F21" s="24"/>
      <c r="G21" s="40"/>
      <c r="H21" s="24"/>
      <c r="I21" s="24"/>
      <c r="J21" s="24"/>
      <c r="K21" s="40"/>
      <c r="L21" s="24"/>
      <c r="M21" s="24"/>
      <c r="N21" s="24"/>
      <c r="O21" s="40"/>
      <c r="P21" s="24"/>
      <c r="Q21" s="24"/>
      <c r="R21" s="24"/>
      <c r="S21" s="40"/>
      <c r="T21" s="24"/>
      <c r="U21" s="24"/>
      <c r="V21" s="24"/>
      <c r="W21" s="40"/>
      <c r="X21" s="24"/>
      <c r="Y21" s="24"/>
      <c r="Z21" s="24"/>
      <c r="AA21" s="40"/>
      <c r="AB21" s="24"/>
      <c r="AC21" s="24"/>
      <c r="AD21" s="24"/>
      <c r="AE21" s="40"/>
      <c r="AF21" s="24"/>
      <c r="AG21" s="24"/>
      <c r="AH21" s="24"/>
      <c r="AI21" s="40"/>
      <c r="AJ21" s="24"/>
      <c r="AK21" s="24"/>
      <c r="AL21" s="24"/>
      <c r="AM21" s="40"/>
      <c r="AN21" s="24"/>
      <c r="AO21" s="24"/>
      <c r="AP21" s="24"/>
      <c r="AQ21" s="40"/>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row>
    <row r="22" spans="2:77" x14ac:dyDescent="0.35">
      <c r="B22" t="s">
        <v>21</v>
      </c>
      <c r="C22" s="7"/>
      <c r="D22" s="7"/>
      <c r="E22" s="7"/>
      <c r="F22" s="7"/>
      <c r="G22" s="36"/>
      <c r="H22" s="7"/>
      <c r="I22" s="7"/>
      <c r="J22" s="7"/>
      <c r="K22" s="36"/>
      <c r="L22" s="7"/>
      <c r="M22" s="7"/>
      <c r="N22" s="7"/>
      <c r="O22" s="36"/>
      <c r="P22" s="7"/>
      <c r="Q22" s="7"/>
      <c r="R22" s="7"/>
      <c r="S22" s="36"/>
      <c r="T22" s="7"/>
      <c r="U22" s="7"/>
      <c r="V22" s="7"/>
      <c r="W22" s="36">
        <v>263.41199999999998</v>
      </c>
      <c r="X22" s="7">
        <v>270.142</v>
      </c>
      <c r="Y22" s="7">
        <v>326</v>
      </c>
      <c r="Z22" s="7">
        <f>BP22-Y22-X22-W22</f>
        <v>531.44599999999991</v>
      </c>
      <c r="AA22" s="36">
        <v>493</v>
      </c>
      <c r="AB22" s="7">
        <v>605</v>
      </c>
      <c r="AC22" s="7">
        <v>548</v>
      </c>
      <c r="AD22" s="7">
        <f>BQ22-AC22-AB22-AA22</f>
        <v>580</v>
      </c>
      <c r="AE22" s="36">
        <v>560</v>
      </c>
      <c r="AF22" s="7">
        <v>487</v>
      </c>
      <c r="AG22" s="7">
        <v>581</v>
      </c>
      <c r="AH22" s="7">
        <f>BR22-AG22-AF22-AE22</f>
        <v>678</v>
      </c>
      <c r="AI22" s="36">
        <v>893</v>
      </c>
      <c r="AJ22" s="7">
        <v>951</v>
      </c>
      <c r="AK22" s="7">
        <v>894</v>
      </c>
      <c r="AL22" s="7">
        <f>BS22-AK22-AJ22-AI22</f>
        <v>1064</v>
      </c>
      <c r="AM22" s="36">
        <v>1279</v>
      </c>
      <c r="AN22" s="7">
        <v>1466</v>
      </c>
      <c r="AO22" s="7">
        <v>1645</v>
      </c>
      <c r="AP22" s="7">
        <f>BT22-AO22-AN22-AM22</f>
        <v>1701</v>
      </c>
      <c r="AQ22" s="36">
        <v>1837</v>
      </c>
      <c r="AR22" s="7">
        <v>2150</v>
      </c>
      <c r="AS22" s="7"/>
      <c r="AT22" s="7"/>
      <c r="AU22" s="7"/>
      <c r="AV22" s="7"/>
      <c r="AW22" s="7"/>
      <c r="AX22" s="7"/>
      <c r="AY22" s="7"/>
      <c r="AZ22" s="7"/>
      <c r="BA22" s="7"/>
      <c r="BB22" s="7"/>
      <c r="BC22" s="7"/>
      <c r="BD22" s="7"/>
      <c r="BE22" s="7"/>
      <c r="BF22" s="7"/>
      <c r="BG22" s="7"/>
      <c r="BH22" s="7">
        <v>19.666</v>
      </c>
      <c r="BI22" s="7">
        <v>55.673999999999999</v>
      </c>
      <c r="BJ22" s="7">
        <v>27.556999999999999</v>
      </c>
      <c r="BK22" s="7">
        <v>91.619</v>
      </c>
      <c r="BL22" s="7">
        <v>191.34399999999999</v>
      </c>
      <c r="BM22" s="7">
        <v>290.57499999999999</v>
      </c>
      <c r="BN22" s="7">
        <v>468</v>
      </c>
      <c r="BO22" s="7">
        <v>1001</v>
      </c>
      <c r="BP22" s="7">
        <v>1391</v>
      </c>
      <c r="BQ22" s="7">
        <v>2226</v>
      </c>
      <c r="BR22" s="7">
        <v>2306</v>
      </c>
      <c r="BS22" s="7">
        <v>3802</v>
      </c>
      <c r="BT22" s="7">
        <v>6091</v>
      </c>
      <c r="BU22" s="7"/>
      <c r="BV22" s="7"/>
      <c r="BW22" s="7"/>
      <c r="BX22" s="7"/>
      <c r="BY22" s="7"/>
    </row>
    <row r="23" spans="2:77" s="10" customFormat="1" x14ac:dyDescent="0.35">
      <c r="B23" s="10" t="s">
        <v>22</v>
      </c>
      <c r="C23" s="22"/>
      <c r="D23" s="22"/>
      <c r="E23" s="22"/>
      <c r="F23" s="22"/>
      <c r="G23" s="37"/>
      <c r="H23" s="22"/>
      <c r="I23" s="22"/>
      <c r="J23" s="22"/>
      <c r="K23" s="37"/>
      <c r="L23" s="22"/>
      <c r="M23" s="22"/>
      <c r="N23" s="22"/>
      <c r="O23" s="37"/>
      <c r="P23" s="22"/>
      <c r="Q23" s="22"/>
      <c r="R23" s="22"/>
      <c r="S23" s="37"/>
      <c r="T23" s="22"/>
      <c r="U23" s="22"/>
      <c r="V23" s="22"/>
      <c r="W23" s="37">
        <v>380.96899999999999</v>
      </c>
      <c r="X23" s="22">
        <v>386.37400000000002</v>
      </c>
      <c r="Y23" s="22">
        <v>445</v>
      </c>
      <c r="Z23" s="7">
        <f>BP23-Y23-X23-W23</f>
        <v>667.65699999999993</v>
      </c>
      <c r="AA23" s="37">
        <v>686</v>
      </c>
      <c r="AB23" s="22">
        <v>743</v>
      </c>
      <c r="AC23" s="22">
        <v>667</v>
      </c>
      <c r="AD23" s="22">
        <f>BQ23-AC23-AB23-AA23</f>
        <v>674</v>
      </c>
      <c r="AE23" s="37">
        <v>648</v>
      </c>
      <c r="AF23" s="22">
        <v>558</v>
      </c>
      <c r="AG23" s="22">
        <v>644</v>
      </c>
      <c r="AH23" s="22">
        <f>BR23-AG23-AF23-AE23</f>
        <v>821</v>
      </c>
      <c r="AI23" s="37">
        <v>962</v>
      </c>
      <c r="AJ23" s="22">
        <v>986</v>
      </c>
      <c r="AK23" s="22">
        <v>910</v>
      </c>
      <c r="AL23" s="22">
        <f>BS23-AK23-AJ23-AI23</f>
        <v>1048</v>
      </c>
      <c r="AM23" s="37">
        <v>1286</v>
      </c>
      <c r="AN23" s="22">
        <v>1410</v>
      </c>
      <c r="AO23" s="22">
        <v>1579</v>
      </c>
      <c r="AP23" s="22">
        <f>BT23-AO23-AN23-AM23</f>
        <v>1605</v>
      </c>
      <c r="AQ23" s="37">
        <v>1702</v>
      </c>
      <c r="AR23" s="22">
        <v>1984</v>
      </c>
      <c r="AS23" s="22"/>
      <c r="AT23" s="22"/>
      <c r="AU23" s="22"/>
      <c r="AV23" s="22"/>
      <c r="AW23" s="22"/>
      <c r="AX23" s="22"/>
      <c r="AY23" s="22"/>
      <c r="AZ23" s="22"/>
      <c r="BA23" s="22"/>
      <c r="BB23" s="22"/>
      <c r="BC23" s="22"/>
      <c r="BD23" s="22"/>
      <c r="BE23" s="22"/>
      <c r="BF23" s="22"/>
      <c r="BG23" s="22"/>
      <c r="BH23" s="22">
        <v>6.0309999999999997</v>
      </c>
      <c r="BI23" s="22">
        <v>27.164999999999999</v>
      </c>
      <c r="BJ23" s="22">
        <v>11.531000000000001</v>
      </c>
      <c r="BK23" s="22">
        <v>0</v>
      </c>
      <c r="BL23" s="22">
        <v>0</v>
      </c>
      <c r="BM23" s="22">
        <v>286.93299999999999</v>
      </c>
      <c r="BN23" s="22">
        <v>472</v>
      </c>
      <c r="BO23" s="22">
        <v>1229</v>
      </c>
      <c r="BP23" s="22">
        <v>1880</v>
      </c>
      <c r="BQ23" s="22">
        <v>2770</v>
      </c>
      <c r="BR23" s="22">
        <v>2671</v>
      </c>
      <c r="BS23" s="22">
        <v>3906</v>
      </c>
      <c r="BT23" s="22">
        <v>5880</v>
      </c>
      <c r="BU23" s="22"/>
      <c r="BV23" s="22"/>
      <c r="BW23" s="22"/>
      <c r="BX23" s="22"/>
      <c r="BY23" s="22"/>
    </row>
    <row r="24" spans="2:77" s="16" customFormat="1" x14ac:dyDescent="0.35">
      <c r="B24" s="16" t="s">
        <v>28</v>
      </c>
      <c r="C24" s="23"/>
      <c r="D24" s="23"/>
      <c r="E24" s="23"/>
      <c r="F24" s="23"/>
      <c r="G24" s="38">
        <f t="shared" ref="G24" si="141">G22-G23</f>
        <v>0</v>
      </c>
      <c r="H24" s="23">
        <f t="shared" ref="H24" si="142">H22-H23</f>
        <v>0</v>
      </c>
      <c r="I24" s="23">
        <f t="shared" ref="I24" si="143">I22-I23</f>
        <v>0</v>
      </c>
      <c r="J24" s="23">
        <f t="shared" ref="J24" si="144">J22-J23</f>
        <v>0</v>
      </c>
      <c r="K24" s="38">
        <f t="shared" ref="K24" si="145">K22-K23</f>
        <v>0</v>
      </c>
      <c r="L24" s="23">
        <f t="shared" ref="L24" si="146">L22-L23</f>
        <v>0</v>
      </c>
      <c r="M24" s="23">
        <f t="shared" ref="M24" si="147">M22-M23</f>
        <v>0</v>
      </c>
      <c r="N24" s="23">
        <f t="shared" ref="N24" si="148">N22-N23</f>
        <v>0</v>
      </c>
      <c r="O24" s="38">
        <f t="shared" ref="O24" si="149">O22-O23</f>
        <v>0</v>
      </c>
      <c r="P24" s="23">
        <f t="shared" ref="P24" si="150">P22-P23</f>
        <v>0</v>
      </c>
      <c r="Q24" s="23">
        <f t="shared" ref="Q24" si="151">Q22-Q23</f>
        <v>0</v>
      </c>
      <c r="R24" s="23">
        <f t="shared" ref="R24" si="152">R22-R23</f>
        <v>0</v>
      </c>
      <c r="S24" s="38">
        <f t="shared" ref="S24:W24" si="153">S22-S23</f>
        <v>0</v>
      </c>
      <c r="T24" s="23">
        <f t="shared" si="153"/>
        <v>0</v>
      </c>
      <c r="U24" s="23">
        <f t="shared" si="153"/>
        <v>0</v>
      </c>
      <c r="V24" s="23">
        <f t="shared" si="153"/>
        <v>0</v>
      </c>
      <c r="W24" s="38">
        <f t="shared" si="153"/>
        <v>-117.55700000000002</v>
      </c>
      <c r="X24" s="23">
        <f t="shared" ref="X24:Z24" si="154">X22-X23</f>
        <v>-116.23200000000003</v>
      </c>
      <c r="Y24" s="23">
        <f t="shared" si="154"/>
        <v>-119</v>
      </c>
      <c r="Z24" s="23">
        <f t="shared" si="154"/>
        <v>-136.21100000000001</v>
      </c>
      <c r="AA24" s="38">
        <f t="shared" ref="AA24" si="155">AA22-AA23</f>
        <v>-193</v>
      </c>
      <c r="AB24" s="23">
        <f t="shared" ref="AB24" si="156">AB22-AB23</f>
        <v>-138</v>
      </c>
      <c r="AC24" s="23">
        <f t="shared" ref="AC24" si="157">AC22-AC23</f>
        <v>-119</v>
      </c>
      <c r="AD24" s="23">
        <f t="shared" ref="AD24" si="158">AD22-AD23</f>
        <v>-94</v>
      </c>
      <c r="AE24" s="38">
        <f t="shared" ref="AE24" si="159">AE22-AE23</f>
        <v>-88</v>
      </c>
      <c r="AF24" s="23">
        <f t="shared" ref="AF24" si="160">AF22-AF23</f>
        <v>-71</v>
      </c>
      <c r="AG24" s="23">
        <f t="shared" ref="AG24" si="161">AG22-AG23</f>
        <v>-63</v>
      </c>
      <c r="AH24" s="23">
        <f t="shared" ref="AH24" si="162">AH22-AH23</f>
        <v>-143</v>
      </c>
      <c r="AI24" s="38">
        <f t="shared" ref="AI24" si="163">AI22-AI23</f>
        <v>-69</v>
      </c>
      <c r="AJ24" s="23">
        <f t="shared" ref="AJ24" si="164">AJ22-AJ23</f>
        <v>-35</v>
      </c>
      <c r="AK24" s="23">
        <f t="shared" ref="AK24" si="165">AK22-AK23</f>
        <v>-16</v>
      </c>
      <c r="AL24" s="23">
        <f t="shared" ref="AL24" si="166">AL22-AL23</f>
        <v>16</v>
      </c>
      <c r="AM24" s="38">
        <f t="shared" ref="AM24" si="167">AM22-AM23</f>
        <v>-7</v>
      </c>
      <c r="AN24" s="23">
        <f t="shared" ref="AN24" si="168">AN22-AN23</f>
        <v>56</v>
      </c>
      <c r="AO24" s="23">
        <f t="shared" ref="AO24" si="169">AO22-AO23</f>
        <v>66</v>
      </c>
      <c r="AP24" s="23">
        <f t="shared" ref="AP24" si="170">AP22-AP23</f>
        <v>96</v>
      </c>
      <c r="AQ24" s="38">
        <f t="shared" ref="AQ24" si="171">AQ22-AQ23</f>
        <v>135</v>
      </c>
      <c r="AR24" s="23">
        <f t="shared" ref="AR24" si="172">AR22-AR23</f>
        <v>166</v>
      </c>
      <c r="AS24" s="23">
        <f t="shared" ref="AS24" si="173">AS22-AS23</f>
        <v>0</v>
      </c>
      <c r="AT24" s="23">
        <f t="shared" ref="AT24" si="174">AT22-AT23</f>
        <v>0</v>
      </c>
      <c r="AU24" s="23"/>
      <c r="AV24" s="23"/>
      <c r="AW24" s="23"/>
      <c r="AX24" s="23"/>
      <c r="AY24" s="23"/>
      <c r="AZ24" s="23"/>
      <c r="BA24" s="23">
        <f t="shared" ref="BA24" si="175">BA22-BA23</f>
        <v>0</v>
      </c>
      <c r="BB24" s="23">
        <f t="shared" ref="BB24" si="176">BB22-BB23</f>
        <v>0</v>
      </c>
      <c r="BC24" s="23">
        <f t="shared" ref="BC24" si="177">BC22-BC23</f>
        <v>0</v>
      </c>
      <c r="BD24" s="23">
        <f t="shared" ref="BD24" si="178">BD22-BD23</f>
        <v>0</v>
      </c>
      <c r="BE24" s="23">
        <f t="shared" ref="BE24" si="179">BE22-BE23</f>
        <v>0</v>
      </c>
      <c r="BF24" s="23">
        <f t="shared" ref="BF24" si="180">BF22-BF23</f>
        <v>0</v>
      </c>
      <c r="BG24" s="23">
        <f t="shared" ref="BG24" si="181">BG22-BG23</f>
        <v>0</v>
      </c>
      <c r="BH24" s="23">
        <f t="shared" ref="BH24" si="182">BH22-BH23</f>
        <v>13.635000000000002</v>
      </c>
      <c r="BI24" s="23">
        <f t="shared" ref="BI24" si="183">BI22-BI23</f>
        <v>28.509</v>
      </c>
      <c r="BJ24" s="23">
        <f t="shared" ref="BJ24" si="184">BJ22-BJ23</f>
        <v>16.025999999999996</v>
      </c>
      <c r="BK24" s="23">
        <f t="shared" ref="BK24" si="185">BK22-BK23</f>
        <v>91.619</v>
      </c>
      <c r="BL24" s="23">
        <f t="shared" ref="BL24" si="186">BL22-BL23</f>
        <v>191.34399999999999</v>
      </c>
      <c r="BM24" s="23">
        <f t="shared" ref="BM24" si="187">BM22-BM23</f>
        <v>3.6419999999999959</v>
      </c>
      <c r="BN24" s="23">
        <f t="shared" ref="BN24:BS24" si="188">BN22-BN23</f>
        <v>-4</v>
      </c>
      <c r="BO24" s="23">
        <f t="shared" si="188"/>
        <v>-228</v>
      </c>
      <c r="BP24" s="23">
        <f t="shared" si="188"/>
        <v>-489</v>
      </c>
      <c r="BQ24" s="23">
        <f t="shared" si="188"/>
        <v>-544</v>
      </c>
      <c r="BR24" s="23">
        <f t="shared" si="188"/>
        <v>-365</v>
      </c>
      <c r="BS24" s="23">
        <f t="shared" si="188"/>
        <v>-104</v>
      </c>
      <c r="BT24" s="23">
        <f t="shared" ref="BT24" si="189">BT22-BT23</f>
        <v>211</v>
      </c>
      <c r="BU24" s="23">
        <f t="shared" ref="BU24" si="190">BU22-BU23</f>
        <v>0</v>
      </c>
      <c r="BV24" s="23">
        <f t="shared" ref="BV24" si="191">BV22-BV23</f>
        <v>0</v>
      </c>
      <c r="BW24" s="23">
        <f t="shared" ref="BW24" si="192">BW22-BW23</f>
        <v>0</v>
      </c>
      <c r="BX24" s="23"/>
      <c r="BY24" s="23"/>
    </row>
    <row r="25" spans="2:77" s="52" customFormat="1" x14ac:dyDescent="0.35">
      <c r="B25" s="51" t="s">
        <v>29</v>
      </c>
      <c r="G25" s="53" t="e">
        <f t="shared" ref="G25" si="193">G24/G22</f>
        <v>#DIV/0!</v>
      </c>
      <c r="H25" s="52" t="e">
        <f t="shared" ref="H25" si="194">H24/H22</f>
        <v>#DIV/0!</v>
      </c>
      <c r="I25" s="52" t="e">
        <f t="shared" ref="I25" si="195">I24/I22</f>
        <v>#DIV/0!</v>
      </c>
      <c r="J25" s="52" t="e">
        <f t="shared" ref="J25" si="196">J24/J22</f>
        <v>#DIV/0!</v>
      </c>
      <c r="K25" s="53" t="e">
        <f t="shared" ref="K25" si="197">K24/K22</f>
        <v>#DIV/0!</v>
      </c>
      <c r="L25" s="52" t="e">
        <f t="shared" ref="L25" si="198">L24/L22</f>
        <v>#DIV/0!</v>
      </c>
      <c r="M25" s="52" t="e">
        <f t="shared" ref="M25" si="199">M24/M22</f>
        <v>#DIV/0!</v>
      </c>
      <c r="N25" s="52" t="e">
        <f t="shared" ref="N25" si="200">N24/N22</f>
        <v>#DIV/0!</v>
      </c>
      <c r="O25" s="53" t="e">
        <f t="shared" ref="O25" si="201">O24/O22</f>
        <v>#DIV/0!</v>
      </c>
      <c r="P25" s="52" t="e">
        <f t="shared" ref="P25" si="202">P24/P22</f>
        <v>#DIV/0!</v>
      </c>
      <c r="Q25" s="52" t="e">
        <f t="shared" ref="Q25" si="203">Q24/Q22</f>
        <v>#DIV/0!</v>
      </c>
      <c r="R25" s="52" t="e">
        <f t="shared" ref="R25" si="204">R24/R22</f>
        <v>#DIV/0!</v>
      </c>
      <c r="S25" s="53" t="e">
        <f t="shared" ref="S25:W25" si="205">S24/S22</f>
        <v>#DIV/0!</v>
      </c>
      <c r="T25" s="52" t="e">
        <f t="shared" si="205"/>
        <v>#DIV/0!</v>
      </c>
      <c r="U25" s="52" t="e">
        <f t="shared" si="205"/>
        <v>#DIV/0!</v>
      </c>
      <c r="V25" s="52" t="e">
        <f t="shared" si="205"/>
        <v>#DIV/0!</v>
      </c>
      <c r="W25" s="53">
        <f t="shared" si="205"/>
        <v>-0.44628566656036939</v>
      </c>
      <c r="X25" s="52">
        <f t="shared" ref="X25:Z25" si="206">X24/X22</f>
        <v>-0.43026260263120886</v>
      </c>
      <c r="Y25" s="52">
        <f t="shared" si="206"/>
        <v>-0.36503067484662577</v>
      </c>
      <c r="Z25" s="52">
        <f t="shared" si="206"/>
        <v>-0.2563026158819523</v>
      </c>
      <c r="AA25" s="53">
        <f t="shared" ref="AA25" si="207">AA24/AA22</f>
        <v>-0.39148073022312374</v>
      </c>
      <c r="AB25" s="52">
        <f t="shared" ref="AB25" si="208">AB24/AB22</f>
        <v>-0.228099173553719</v>
      </c>
      <c r="AC25" s="52">
        <f t="shared" ref="AC25" si="209">AC24/AC22</f>
        <v>-0.21715328467153286</v>
      </c>
      <c r="AD25" s="52">
        <f t="shared" ref="AD25" si="210">AD24/AD22</f>
        <v>-0.16206896551724137</v>
      </c>
      <c r="AE25" s="53">
        <f t="shared" ref="AE25" si="211">AE24/AE22</f>
        <v>-0.15714285714285714</v>
      </c>
      <c r="AF25" s="52">
        <f t="shared" ref="AF25" si="212">AF24/AF22</f>
        <v>-0.14579055441478439</v>
      </c>
      <c r="AG25" s="52">
        <f t="shared" ref="AG25" si="213">AG24/AG22</f>
        <v>-0.10843373493975904</v>
      </c>
      <c r="AH25" s="52">
        <f t="shared" ref="AH25" si="214">AH24/AH22</f>
        <v>-0.21091445427728614</v>
      </c>
      <c r="AI25" s="53">
        <f t="shared" ref="AI25" si="215">AI24/AI22</f>
        <v>-7.7267637178051518E-2</v>
      </c>
      <c r="AJ25" s="52">
        <f t="shared" ref="AJ25" si="216">AJ24/AJ22</f>
        <v>-3.6803364879074658E-2</v>
      </c>
      <c r="AK25" s="52">
        <f t="shared" ref="AK25" si="217">AK24/AK22</f>
        <v>-1.7897091722595078E-2</v>
      </c>
      <c r="AL25" s="52">
        <f t="shared" ref="AL25" si="218">AL24/AL22</f>
        <v>1.5037593984962405E-2</v>
      </c>
      <c r="AM25" s="53">
        <f t="shared" ref="AM25" si="219">AM24/AM22</f>
        <v>-5.4730258014073496E-3</v>
      </c>
      <c r="AN25" s="52">
        <f t="shared" ref="AN25" si="220">AN24/AN22</f>
        <v>3.8199181446111868E-2</v>
      </c>
      <c r="AO25" s="52">
        <f t="shared" ref="AO25" si="221">AO24/AO22</f>
        <v>4.0121580547112463E-2</v>
      </c>
      <c r="AP25" s="52">
        <f t="shared" ref="AP25" si="222">AP24/AP22</f>
        <v>5.6437389770723101E-2</v>
      </c>
      <c r="AQ25" s="53">
        <f t="shared" ref="AQ25" si="223">AQ24/AQ22</f>
        <v>7.348938486663037E-2</v>
      </c>
      <c r="AR25" s="52">
        <f t="shared" ref="AR25" si="224">AR24/AR22</f>
        <v>7.7209302325581389E-2</v>
      </c>
      <c r="AS25" s="52" t="e">
        <f t="shared" ref="AS25" si="225">AS24/AS22</f>
        <v>#DIV/0!</v>
      </c>
      <c r="AT25" s="52" t="e">
        <f t="shared" ref="AT25" si="226">AT24/AT22</f>
        <v>#DIV/0!</v>
      </c>
      <c r="BA25" s="52" t="e">
        <f t="shared" ref="BA25" si="227">BA24/BA22</f>
        <v>#DIV/0!</v>
      </c>
      <c r="BB25" s="52" t="e">
        <f t="shared" ref="BB25" si="228">BB24/BB22</f>
        <v>#DIV/0!</v>
      </c>
      <c r="BC25" s="52" t="e">
        <f t="shared" ref="BC25" si="229">BC24/BC22</f>
        <v>#DIV/0!</v>
      </c>
      <c r="BD25" s="52" t="e">
        <f t="shared" ref="BD25" si="230">BD24/BD22</f>
        <v>#DIV/0!</v>
      </c>
      <c r="BE25" s="52" t="e">
        <f t="shared" ref="BE25" si="231">BE24/BE22</f>
        <v>#DIV/0!</v>
      </c>
      <c r="BF25" s="52" t="e">
        <f t="shared" ref="BF25" si="232">BF24/BF22</f>
        <v>#DIV/0!</v>
      </c>
      <c r="BG25" s="52" t="e">
        <f t="shared" ref="BG25" si="233">BG24/BG22</f>
        <v>#DIV/0!</v>
      </c>
      <c r="BH25" s="52">
        <f t="shared" ref="BH25" si="234">BH24/BH22</f>
        <v>0.69332858740974279</v>
      </c>
      <c r="BI25" s="52">
        <f t="shared" ref="BI25" si="235">BI24/BI22</f>
        <v>0.51207026619247764</v>
      </c>
      <c r="BJ25" s="52">
        <f t="shared" ref="BJ25" si="236">BJ24/BJ22</f>
        <v>0.58155822477047558</v>
      </c>
      <c r="BK25" s="52">
        <f t="shared" ref="BK25" si="237">BK24/BK22</f>
        <v>1</v>
      </c>
      <c r="BL25" s="52">
        <f t="shared" ref="BL25" si="238">BL24/BL22</f>
        <v>1</v>
      </c>
      <c r="BM25" s="52">
        <f t="shared" ref="BM25" si="239">BM24/BM22</f>
        <v>1.2533769250623749E-2</v>
      </c>
      <c r="BN25" s="52">
        <f t="shared" ref="BN25:BS25" si="240">BN24/BN22</f>
        <v>-8.5470085470085479E-3</v>
      </c>
      <c r="BO25" s="52">
        <f t="shared" si="240"/>
        <v>-0.22777222777222778</v>
      </c>
      <c r="BP25" s="52">
        <f t="shared" si="240"/>
        <v>-0.35154565061107118</v>
      </c>
      <c r="BQ25" s="52">
        <f t="shared" si="240"/>
        <v>-0.24438454627133874</v>
      </c>
      <c r="BR25" s="52">
        <f t="shared" si="240"/>
        <v>-0.15828274067649609</v>
      </c>
      <c r="BS25" s="52">
        <f t="shared" si="240"/>
        <v>-2.7354024197790636E-2</v>
      </c>
      <c r="BT25" s="52">
        <f t="shared" ref="BT25" si="241">BT24/BT22</f>
        <v>3.4641274010835658E-2</v>
      </c>
      <c r="BU25" s="52" t="e">
        <f t="shared" ref="BU25" si="242">BU24/BU22</f>
        <v>#DIV/0!</v>
      </c>
      <c r="BV25" s="52" t="e">
        <f t="shared" ref="BV25" si="243">BV24/BV22</f>
        <v>#DIV/0!</v>
      </c>
      <c r="BW25" s="52" t="e">
        <f t="shared" ref="BW25" si="244">BW24/BW22</f>
        <v>#DIV/0!</v>
      </c>
    </row>
    <row r="26" spans="2:77" x14ac:dyDescent="0.35">
      <c r="B26" t="s">
        <v>1243</v>
      </c>
      <c r="C26" s="7"/>
      <c r="D26" s="7"/>
      <c r="E26" s="7"/>
      <c r="F26" s="7"/>
      <c r="G26" s="36">
        <f t="shared" ref="G26:Z26" si="245">G22+G17+G12</f>
        <v>0</v>
      </c>
      <c r="H26" s="7">
        <f t="shared" si="245"/>
        <v>0</v>
      </c>
      <c r="I26" s="7">
        <f t="shared" si="245"/>
        <v>0</v>
      </c>
      <c r="J26" s="7">
        <f t="shared" si="245"/>
        <v>0</v>
      </c>
      <c r="K26" s="36">
        <f t="shared" si="245"/>
        <v>0</v>
      </c>
      <c r="L26" s="7">
        <f t="shared" si="245"/>
        <v>0</v>
      </c>
      <c r="M26" s="7">
        <f t="shared" si="245"/>
        <v>0</v>
      </c>
      <c r="N26" s="7">
        <f t="shared" si="245"/>
        <v>0</v>
      </c>
      <c r="O26" s="36">
        <f t="shared" si="245"/>
        <v>0</v>
      </c>
      <c r="P26" s="7">
        <f t="shared" si="245"/>
        <v>0</v>
      </c>
      <c r="Q26" s="7">
        <f t="shared" si="245"/>
        <v>0</v>
      </c>
      <c r="R26" s="7">
        <f t="shared" si="245"/>
        <v>0</v>
      </c>
      <c r="S26" s="36">
        <f t="shared" si="245"/>
        <v>0</v>
      </c>
      <c r="T26" s="7">
        <f t="shared" si="245"/>
        <v>0</v>
      </c>
      <c r="U26" s="7">
        <f t="shared" si="245"/>
        <v>0</v>
      </c>
      <c r="V26" s="7">
        <f t="shared" si="245"/>
        <v>0</v>
      </c>
      <c r="W26" s="36">
        <f t="shared" si="245"/>
        <v>3408.7510000000002</v>
      </c>
      <c r="X26" s="7">
        <f t="shared" si="245"/>
        <v>4002.2309999999998</v>
      </c>
      <c r="Y26" s="7">
        <f t="shared" si="245"/>
        <v>6824</v>
      </c>
      <c r="Z26" s="7">
        <f t="shared" si="245"/>
        <v>7226.0179999999991</v>
      </c>
      <c r="AA26" s="36">
        <f t="shared" ref="AA26:AT26" si="246">AA22+AA17+AA12</f>
        <v>4541</v>
      </c>
      <c r="AB26" s="7">
        <f t="shared" si="246"/>
        <v>6350</v>
      </c>
      <c r="AC26" s="7">
        <f t="shared" si="246"/>
        <v>6303</v>
      </c>
      <c r="AD26" s="7">
        <f t="shared" si="246"/>
        <v>7384</v>
      </c>
      <c r="AE26" s="36">
        <f t="shared" si="246"/>
        <v>5985</v>
      </c>
      <c r="AF26" s="7">
        <f t="shared" si="246"/>
        <v>6036</v>
      </c>
      <c r="AG26" s="7">
        <f t="shared" si="246"/>
        <v>8771</v>
      </c>
      <c r="AH26" s="7">
        <f t="shared" si="246"/>
        <v>10744</v>
      </c>
      <c r="AI26" s="36">
        <f t="shared" si="246"/>
        <v>10389</v>
      </c>
      <c r="AJ26" s="7">
        <f t="shared" si="246"/>
        <v>11958</v>
      </c>
      <c r="AK26" s="7">
        <f t="shared" si="246"/>
        <v>13757</v>
      </c>
      <c r="AL26" s="7">
        <f t="shared" si="246"/>
        <v>17719</v>
      </c>
      <c r="AM26" s="36">
        <f t="shared" si="246"/>
        <v>18756</v>
      </c>
      <c r="AN26" s="7">
        <f t="shared" si="246"/>
        <v>16934</v>
      </c>
      <c r="AO26" s="7">
        <f t="shared" si="246"/>
        <v>21454</v>
      </c>
      <c r="AP26" s="7">
        <f t="shared" si="246"/>
        <v>24318</v>
      </c>
      <c r="AQ26" s="36">
        <f t="shared" si="246"/>
        <v>23329</v>
      </c>
      <c r="AR26" s="7">
        <f t="shared" si="246"/>
        <v>24927</v>
      </c>
      <c r="AS26" s="7">
        <f t="shared" si="246"/>
        <v>0</v>
      </c>
      <c r="AT26" s="7">
        <f t="shared" si="246"/>
        <v>0</v>
      </c>
      <c r="AU26" s="7"/>
      <c r="AV26" s="7"/>
      <c r="AW26" s="7"/>
      <c r="AX26" s="7"/>
      <c r="AY26" s="7"/>
      <c r="AZ26" s="7"/>
      <c r="BA26" s="7">
        <f t="shared" ref="BA26:BB26" si="247">BA22+BA17+BA12</f>
        <v>0</v>
      </c>
      <c r="BB26" s="7">
        <f t="shared" si="247"/>
        <v>0</v>
      </c>
      <c r="BC26" s="7">
        <f t="shared" ref="BC26:BD26" si="248">BC22+BC17+BC12</f>
        <v>0</v>
      </c>
      <c r="BD26" s="7">
        <f t="shared" si="248"/>
        <v>0</v>
      </c>
      <c r="BE26" s="7">
        <f t="shared" ref="BE26:BF26" si="249">BE22+BE17+BE12</f>
        <v>0</v>
      </c>
      <c r="BF26" s="7">
        <f t="shared" si="249"/>
        <v>0</v>
      </c>
      <c r="BG26" s="7">
        <f t="shared" ref="BG26:BH26" si="250">BG22+BG17+BG12</f>
        <v>0</v>
      </c>
      <c r="BH26" s="7">
        <f t="shared" si="250"/>
        <v>116.744</v>
      </c>
      <c r="BI26" s="7">
        <f t="shared" ref="BI26:BM26" si="251">BI22+BI17+BI12</f>
        <v>204.24200000000002</v>
      </c>
      <c r="BJ26" s="7">
        <f t="shared" si="251"/>
        <v>413.25600000000003</v>
      </c>
      <c r="BK26" s="7">
        <f t="shared" si="251"/>
        <v>2013.4959999999999</v>
      </c>
      <c r="BL26" s="7">
        <f t="shared" si="251"/>
        <v>3198.3440000000001</v>
      </c>
      <c r="BM26" s="7">
        <f t="shared" si="251"/>
        <v>4046.0250000000001</v>
      </c>
      <c r="BN26" s="7">
        <f t="shared" ref="BN26:BW26" si="252">BN22+BN17+BN12</f>
        <v>7000</v>
      </c>
      <c r="BO26" s="7">
        <f t="shared" si="252"/>
        <v>11758</v>
      </c>
      <c r="BP26" s="7">
        <f t="shared" si="252"/>
        <v>21461</v>
      </c>
      <c r="BQ26" s="7">
        <f t="shared" si="252"/>
        <v>24578</v>
      </c>
      <c r="BR26" s="7">
        <f t="shared" si="252"/>
        <v>31536</v>
      </c>
      <c r="BS26" s="7">
        <f t="shared" si="252"/>
        <v>53823</v>
      </c>
      <c r="BT26" s="7">
        <f t="shared" si="252"/>
        <v>81462</v>
      </c>
      <c r="BU26" s="7">
        <f t="shared" si="252"/>
        <v>0</v>
      </c>
      <c r="BV26" s="7">
        <f t="shared" si="252"/>
        <v>0</v>
      </c>
      <c r="BW26" s="7">
        <f t="shared" si="252"/>
        <v>0</v>
      </c>
      <c r="BX26" s="7"/>
      <c r="BY26" s="7"/>
    </row>
    <row r="27" spans="2:77" s="10" customFormat="1" x14ac:dyDescent="0.35">
      <c r="B27" s="10" t="s">
        <v>1245</v>
      </c>
      <c r="C27" s="22"/>
      <c r="D27" s="22"/>
      <c r="E27" s="22"/>
      <c r="F27" s="22"/>
      <c r="G27" s="37">
        <f t="shared" ref="G27:Z27" si="253">G23+G18+G13</f>
        <v>0</v>
      </c>
      <c r="H27" s="22">
        <f t="shared" si="253"/>
        <v>0</v>
      </c>
      <c r="I27" s="22">
        <f t="shared" si="253"/>
        <v>0</v>
      </c>
      <c r="J27" s="22">
        <f t="shared" si="253"/>
        <v>0</v>
      </c>
      <c r="K27" s="37">
        <f t="shared" si="253"/>
        <v>0</v>
      </c>
      <c r="L27" s="22">
        <f t="shared" si="253"/>
        <v>0</v>
      </c>
      <c r="M27" s="22">
        <f t="shared" si="253"/>
        <v>0</v>
      </c>
      <c r="N27" s="22">
        <f t="shared" si="253"/>
        <v>0</v>
      </c>
      <c r="O27" s="37">
        <f t="shared" si="253"/>
        <v>0</v>
      </c>
      <c r="P27" s="22">
        <f t="shared" si="253"/>
        <v>0</v>
      </c>
      <c r="Q27" s="22">
        <f t="shared" si="253"/>
        <v>0</v>
      </c>
      <c r="R27" s="22">
        <f t="shared" si="253"/>
        <v>0</v>
      </c>
      <c r="S27" s="37">
        <f t="shared" si="253"/>
        <v>0</v>
      </c>
      <c r="T27" s="22">
        <f t="shared" si="253"/>
        <v>0</v>
      </c>
      <c r="U27" s="22">
        <f t="shared" si="253"/>
        <v>0</v>
      </c>
      <c r="V27" s="22">
        <f t="shared" si="253"/>
        <v>0</v>
      </c>
      <c r="W27" s="37">
        <f t="shared" si="253"/>
        <v>2952.2249999999999</v>
      </c>
      <c r="X27" s="22">
        <f t="shared" si="253"/>
        <v>3383.3009999999999</v>
      </c>
      <c r="Y27" s="22">
        <f t="shared" si="253"/>
        <v>5300</v>
      </c>
      <c r="Z27" s="22">
        <f t="shared" si="253"/>
        <v>5783.369999999999</v>
      </c>
      <c r="AA27" s="37">
        <f t="shared" ref="AA27:AT27" si="254">AA23+AA18+AA13</f>
        <v>3975</v>
      </c>
      <c r="AB27" s="22">
        <f t="shared" si="254"/>
        <v>5429</v>
      </c>
      <c r="AC27" s="22">
        <f t="shared" si="254"/>
        <v>5112</v>
      </c>
      <c r="AD27" s="22">
        <f t="shared" si="254"/>
        <v>5993</v>
      </c>
      <c r="AE27" s="37">
        <f t="shared" si="254"/>
        <v>4751</v>
      </c>
      <c r="AF27" s="22">
        <f t="shared" si="254"/>
        <v>4769</v>
      </c>
      <c r="AG27" s="22">
        <f t="shared" si="254"/>
        <v>6708</v>
      </c>
      <c r="AH27" s="22">
        <f t="shared" si="254"/>
        <v>8678</v>
      </c>
      <c r="AI27" s="37">
        <f t="shared" si="254"/>
        <v>8174</v>
      </c>
      <c r="AJ27" s="22">
        <f t="shared" si="254"/>
        <v>9074</v>
      </c>
      <c r="AK27" s="22">
        <f t="shared" si="254"/>
        <v>10097</v>
      </c>
      <c r="AL27" s="22">
        <f t="shared" si="254"/>
        <v>12872</v>
      </c>
      <c r="AM27" s="37">
        <f t="shared" si="254"/>
        <v>13296</v>
      </c>
      <c r="AN27" s="22">
        <f t="shared" si="254"/>
        <v>12700</v>
      </c>
      <c r="AO27" s="22">
        <f t="shared" si="254"/>
        <v>16072</v>
      </c>
      <c r="AP27" s="22">
        <f t="shared" si="254"/>
        <v>18541</v>
      </c>
      <c r="AQ27" s="37">
        <f t="shared" si="254"/>
        <v>18818</v>
      </c>
      <c r="AR27" s="22">
        <f t="shared" si="254"/>
        <v>20394</v>
      </c>
      <c r="AS27" s="22">
        <f t="shared" si="254"/>
        <v>0</v>
      </c>
      <c r="AT27" s="22">
        <f t="shared" si="254"/>
        <v>0</v>
      </c>
      <c r="AU27" s="22"/>
      <c r="AV27" s="22"/>
      <c r="AW27" s="22"/>
      <c r="AX27" s="22"/>
      <c r="AY27" s="22"/>
      <c r="AZ27" s="22"/>
      <c r="BA27" s="22">
        <f t="shared" ref="BA27:BB27" si="255">BA23+BA18+BA13</f>
        <v>0</v>
      </c>
      <c r="BB27" s="22">
        <f t="shared" si="255"/>
        <v>0</v>
      </c>
      <c r="BC27" s="22">
        <f t="shared" ref="BC27:BD27" si="256">BC23+BC18+BC13</f>
        <v>0</v>
      </c>
      <c r="BD27" s="22">
        <f t="shared" si="256"/>
        <v>0</v>
      </c>
      <c r="BE27" s="22">
        <f t="shared" ref="BE27:BF27" si="257">BE23+BE18+BE13</f>
        <v>0</v>
      </c>
      <c r="BF27" s="22">
        <f t="shared" si="257"/>
        <v>0</v>
      </c>
      <c r="BG27" s="22">
        <f t="shared" ref="BG27:BH27" si="258">BG23+BG18+BG13</f>
        <v>0</v>
      </c>
      <c r="BH27" s="22">
        <f t="shared" si="258"/>
        <v>86.013000000000005</v>
      </c>
      <c r="BI27" s="22">
        <f t="shared" ref="BI27:BM27" si="259">BI23+BI18+BI13</f>
        <v>142.64699999999999</v>
      </c>
      <c r="BJ27" s="22">
        <f t="shared" si="259"/>
        <v>383.18900000000002</v>
      </c>
      <c r="BK27" s="22">
        <f t="shared" si="259"/>
        <v>1483.3209999999999</v>
      </c>
      <c r="BL27" s="22">
        <f t="shared" si="259"/>
        <v>191.34399999999999</v>
      </c>
      <c r="BM27" s="22">
        <f t="shared" si="259"/>
        <v>3122.5219999999999</v>
      </c>
      <c r="BN27" s="22">
        <f t="shared" ref="BN27:BW27" si="260">BN23+BN18+BN13</f>
        <v>5400</v>
      </c>
      <c r="BO27" s="22">
        <f t="shared" si="260"/>
        <v>9536.5380000000005</v>
      </c>
      <c r="BP27" s="22">
        <f t="shared" si="260"/>
        <v>17418.896000000001</v>
      </c>
      <c r="BQ27" s="22">
        <f t="shared" si="260"/>
        <v>20509</v>
      </c>
      <c r="BR27" s="22">
        <f t="shared" si="260"/>
        <v>24906</v>
      </c>
      <c r="BS27" s="22">
        <f t="shared" si="260"/>
        <v>40217</v>
      </c>
      <c r="BT27" s="22">
        <f t="shared" si="260"/>
        <v>60609</v>
      </c>
      <c r="BU27" s="22">
        <f t="shared" si="260"/>
        <v>0</v>
      </c>
      <c r="BV27" s="22">
        <f t="shared" si="260"/>
        <v>0</v>
      </c>
      <c r="BW27" s="22">
        <f t="shared" si="260"/>
        <v>0</v>
      </c>
      <c r="BX27" s="22"/>
      <c r="BY27" s="22"/>
    </row>
    <row r="28" spans="2:77" x14ac:dyDescent="0.35">
      <c r="B28" t="s">
        <v>1244</v>
      </c>
      <c r="C28" s="7"/>
      <c r="D28" s="7"/>
      <c r="E28" s="7"/>
      <c r="F28" s="7"/>
      <c r="G28" s="36">
        <f t="shared" ref="G28:Z28" si="261">G26-G27</f>
        <v>0</v>
      </c>
      <c r="H28" s="7">
        <f t="shared" si="261"/>
        <v>0</v>
      </c>
      <c r="I28" s="7">
        <f t="shared" si="261"/>
        <v>0</v>
      </c>
      <c r="J28" s="7">
        <f t="shared" si="261"/>
        <v>0</v>
      </c>
      <c r="K28" s="36">
        <f t="shared" si="261"/>
        <v>0</v>
      </c>
      <c r="L28" s="7">
        <f t="shared" si="261"/>
        <v>0</v>
      </c>
      <c r="M28" s="7">
        <f t="shared" si="261"/>
        <v>0</v>
      </c>
      <c r="N28" s="7">
        <f t="shared" si="261"/>
        <v>0</v>
      </c>
      <c r="O28" s="36">
        <f t="shared" si="261"/>
        <v>0</v>
      </c>
      <c r="P28" s="7">
        <f t="shared" si="261"/>
        <v>0</v>
      </c>
      <c r="Q28" s="7">
        <f t="shared" si="261"/>
        <v>0</v>
      </c>
      <c r="R28" s="7">
        <f t="shared" si="261"/>
        <v>0</v>
      </c>
      <c r="S28" s="36">
        <f t="shared" si="261"/>
        <v>0</v>
      </c>
      <c r="T28" s="7">
        <f t="shared" si="261"/>
        <v>0</v>
      </c>
      <c r="U28" s="7">
        <f t="shared" si="261"/>
        <v>0</v>
      </c>
      <c r="V28" s="7">
        <f t="shared" si="261"/>
        <v>0</v>
      </c>
      <c r="W28" s="36">
        <f t="shared" si="261"/>
        <v>456.52600000000029</v>
      </c>
      <c r="X28" s="7">
        <f t="shared" si="261"/>
        <v>618.92999999999984</v>
      </c>
      <c r="Y28" s="7">
        <f t="shared" si="261"/>
        <v>1524</v>
      </c>
      <c r="Z28" s="7">
        <f t="shared" si="261"/>
        <v>1442.6480000000001</v>
      </c>
      <c r="AA28" s="36">
        <f t="shared" ref="AA28:AT28" si="262">AA26-AA27</f>
        <v>566</v>
      </c>
      <c r="AB28" s="7">
        <f t="shared" si="262"/>
        <v>921</v>
      </c>
      <c r="AC28" s="7">
        <f t="shared" si="262"/>
        <v>1191</v>
      </c>
      <c r="AD28" s="7">
        <f t="shared" si="262"/>
        <v>1391</v>
      </c>
      <c r="AE28" s="36">
        <f t="shared" si="262"/>
        <v>1234</v>
      </c>
      <c r="AF28" s="7">
        <f t="shared" si="262"/>
        <v>1267</v>
      </c>
      <c r="AG28" s="7">
        <f t="shared" si="262"/>
        <v>2063</v>
      </c>
      <c r="AH28" s="7">
        <f t="shared" si="262"/>
        <v>2066</v>
      </c>
      <c r="AI28" s="36">
        <f t="shared" si="262"/>
        <v>2215</v>
      </c>
      <c r="AJ28" s="7">
        <f t="shared" si="262"/>
        <v>2884</v>
      </c>
      <c r="AK28" s="7">
        <f t="shared" si="262"/>
        <v>3660</v>
      </c>
      <c r="AL28" s="7">
        <f t="shared" si="262"/>
        <v>4847</v>
      </c>
      <c r="AM28" s="36">
        <f t="shared" si="262"/>
        <v>5460</v>
      </c>
      <c r="AN28" s="7">
        <f t="shared" si="262"/>
        <v>4234</v>
      </c>
      <c r="AO28" s="7">
        <f t="shared" si="262"/>
        <v>5382</v>
      </c>
      <c r="AP28" s="7">
        <f t="shared" si="262"/>
        <v>5777</v>
      </c>
      <c r="AQ28" s="36">
        <f t="shared" si="262"/>
        <v>4511</v>
      </c>
      <c r="AR28" s="7">
        <f t="shared" si="262"/>
        <v>4533</v>
      </c>
      <c r="AS28" s="7">
        <f t="shared" si="262"/>
        <v>0</v>
      </c>
      <c r="AT28" s="7">
        <f t="shared" si="262"/>
        <v>0</v>
      </c>
      <c r="AU28" s="7"/>
      <c r="AV28" s="7"/>
      <c r="AW28" s="7"/>
      <c r="AX28" s="7"/>
      <c r="AY28" s="7"/>
      <c r="AZ28" s="7"/>
      <c r="BA28" s="7">
        <f t="shared" ref="BA28" si="263">BA26-BA27</f>
        <v>0</v>
      </c>
      <c r="BB28" s="7">
        <f t="shared" ref="BB28" si="264">BB26-BB27</f>
        <v>0</v>
      </c>
      <c r="BC28" s="7">
        <f t="shared" ref="BC28" si="265">BC26-BC27</f>
        <v>0</v>
      </c>
      <c r="BD28" s="7">
        <f t="shared" ref="BD28" si="266">BD26-BD27</f>
        <v>0</v>
      </c>
      <c r="BE28" s="7">
        <f t="shared" ref="BE28" si="267">BE26-BE27</f>
        <v>0</v>
      </c>
      <c r="BF28" s="7">
        <f t="shared" ref="BF28" si="268">BF26-BF27</f>
        <v>0</v>
      </c>
      <c r="BG28" s="7">
        <f t="shared" ref="BG28" si="269">BG26-BG27</f>
        <v>0</v>
      </c>
      <c r="BH28" s="7">
        <f t="shared" ref="BH28" si="270">BH26-BH27</f>
        <v>30.730999999999995</v>
      </c>
      <c r="BI28" s="7">
        <f t="shared" ref="BI28" si="271">BI26-BI27</f>
        <v>61.595000000000027</v>
      </c>
      <c r="BJ28" s="7">
        <f t="shared" ref="BJ28" si="272">BJ26-BJ27</f>
        <v>30.067000000000007</v>
      </c>
      <c r="BK28" s="7">
        <f t="shared" ref="BK28" si="273">BK26-BK27</f>
        <v>530.17499999999995</v>
      </c>
      <c r="BL28" s="7">
        <f t="shared" ref="BL28" si="274">BL26-BL27</f>
        <v>3007</v>
      </c>
      <c r="BM28" s="7">
        <f t="shared" ref="BM28" si="275">BM26-BM27</f>
        <v>923.50300000000016</v>
      </c>
      <c r="BN28" s="7">
        <f t="shared" ref="BN28" si="276">BN26-BN27</f>
        <v>1600</v>
      </c>
      <c r="BO28" s="7">
        <f t="shared" ref="BO28" si="277">BO26-BO27</f>
        <v>2221.4619999999995</v>
      </c>
      <c r="BP28" s="7">
        <f t="shared" ref="BP28" si="278">BP26-BP27</f>
        <v>4042.1039999999994</v>
      </c>
      <c r="BQ28" s="7">
        <f t="shared" ref="BQ28" si="279">BQ26-BQ27</f>
        <v>4069</v>
      </c>
      <c r="BR28" s="7">
        <f t="shared" ref="BR28" si="280">BR26-BR27</f>
        <v>6630</v>
      </c>
      <c r="BS28" s="7">
        <f t="shared" ref="BS28" si="281">BS26-BS27</f>
        <v>13606</v>
      </c>
      <c r="BT28" s="7">
        <f t="shared" ref="BT28" si="282">BT26-BT27</f>
        <v>20853</v>
      </c>
      <c r="BU28" s="7">
        <f t="shared" ref="BU28" si="283">BU26-BU27</f>
        <v>0</v>
      </c>
      <c r="BV28" s="7">
        <f t="shared" ref="BV28" si="284">BV26-BV27</f>
        <v>0</v>
      </c>
      <c r="BW28" s="7">
        <f t="shared" ref="BW28" si="285">BW26-BW27</f>
        <v>0</v>
      </c>
      <c r="BX28" s="7"/>
      <c r="BY28" s="7"/>
    </row>
    <row r="29" spans="2:77" s="20" customFormat="1" x14ac:dyDescent="0.35">
      <c r="B29" s="20" t="s">
        <v>29</v>
      </c>
      <c r="G29" s="45" t="e">
        <f t="shared" ref="G29:Z29" si="286">G28/G26</f>
        <v>#DIV/0!</v>
      </c>
      <c r="H29" s="20" t="e">
        <f t="shared" si="286"/>
        <v>#DIV/0!</v>
      </c>
      <c r="I29" s="20" t="e">
        <f t="shared" si="286"/>
        <v>#DIV/0!</v>
      </c>
      <c r="J29" s="20" t="e">
        <f t="shared" si="286"/>
        <v>#DIV/0!</v>
      </c>
      <c r="K29" s="45" t="e">
        <f t="shared" si="286"/>
        <v>#DIV/0!</v>
      </c>
      <c r="L29" s="20" t="e">
        <f t="shared" si="286"/>
        <v>#DIV/0!</v>
      </c>
      <c r="M29" s="20" t="e">
        <f t="shared" si="286"/>
        <v>#DIV/0!</v>
      </c>
      <c r="N29" s="20" t="e">
        <f t="shared" si="286"/>
        <v>#DIV/0!</v>
      </c>
      <c r="O29" s="45" t="e">
        <f t="shared" si="286"/>
        <v>#DIV/0!</v>
      </c>
      <c r="P29" s="20" t="e">
        <f t="shared" si="286"/>
        <v>#DIV/0!</v>
      </c>
      <c r="Q29" s="20" t="e">
        <f t="shared" si="286"/>
        <v>#DIV/0!</v>
      </c>
      <c r="R29" s="20" t="e">
        <f t="shared" si="286"/>
        <v>#DIV/0!</v>
      </c>
      <c r="S29" s="45" t="e">
        <f t="shared" si="286"/>
        <v>#DIV/0!</v>
      </c>
      <c r="T29" s="20" t="e">
        <f t="shared" si="286"/>
        <v>#DIV/0!</v>
      </c>
      <c r="U29" s="20" t="e">
        <f t="shared" si="286"/>
        <v>#DIV/0!</v>
      </c>
      <c r="V29" s="20" t="e">
        <f t="shared" si="286"/>
        <v>#DIV/0!</v>
      </c>
      <c r="W29" s="45">
        <f t="shared" si="286"/>
        <v>0.1339276468125716</v>
      </c>
      <c r="X29" s="20">
        <f t="shared" si="286"/>
        <v>0.15464624605626209</v>
      </c>
      <c r="Y29" s="20">
        <f t="shared" si="286"/>
        <v>0.22332942555685814</v>
      </c>
      <c r="Z29" s="20">
        <f t="shared" si="286"/>
        <v>0.19964633356850209</v>
      </c>
      <c r="AA29" s="45">
        <f t="shared" ref="AA29:AT29" si="287">AA28/AA26</f>
        <v>0.1246421493063202</v>
      </c>
      <c r="AB29" s="20">
        <f t="shared" si="287"/>
        <v>0.14503937007874015</v>
      </c>
      <c r="AC29" s="20">
        <f t="shared" si="287"/>
        <v>0.18895763921941933</v>
      </c>
      <c r="AD29" s="20">
        <f t="shared" si="287"/>
        <v>0.18838028169014084</v>
      </c>
      <c r="AE29" s="45">
        <f t="shared" si="287"/>
        <v>0.20618212197159566</v>
      </c>
      <c r="AF29" s="20">
        <f t="shared" si="287"/>
        <v>0.20990722332670642</v>
      </c>
      <c r="AG29" s="20">
        <f t="shared" si="287"/>
        <v>0.23520693193478509</v>
      </c>
      <c r="AH29" s="20">
        <f t="shared" si="287"/>
        <v>0.19229337304542071</v>
      </c>
      <c r="AI29" s="45">
        <f t="shared" si="287"/>
        <v>0.21320627586870727</v>
      </c>
      <c r="AJ29" s="20">
        <f t="shared" si="287"/>
        <v>0.24117745442381669</v>
      </c>
      <c r="AK29" s="20">
        <f t="shared" si="287"/>
        <v>0.26604637639020134</v>
      </c>
      <c r="AL29" s="20">
        <f t="shared" si="287"/>
        <v>0.27354816863254133</v>
      </c>
      <c r="AM29" s="45">
        <f t="shared" si="287"/>
        <v>0.29110684580934099</v>
      </c>
      <c r="AN29" s="20">
        <f t="shared" si="287"/>
        <v>0.25002952639659853</v>
      </c>
      <c r="AO29" s="20">
        <f t="shared" si="287"/>
        <v>0.25086231005873033</v>
      </c>
      <c r="AP29" s="20">
        <f t="shared" si="287"/>
        <v>0.23756065465910026</v>
      </c>
      <c r="AQ29" s="45">
        <f t="shared" si="287"/>
        <v>0.19336448197522396</v>
      </c>
      <c r="AR29" s="20">
        <f t="shared" si="287"/>
        <v>0.18185100493440848</v>
      </c>
      <c r="AS29" s="20" t="e">
        <f t="shared" si="287"/>
        <v>#DIV/0!</v>
      </c>
      <c r="AT29" s="20" t="e">
        <f t="shared" si="287"/>
        <v>#DIV/0!</v>
      </c>
      <c r="BA29" s="20" t="e">
        <f t="shared" ref="BA29" si="288">BA28/BA26</f>
        <v>#DIV/0!</v>
      </c>
      <c r="BB29" s="20" t="e">
        <f t="shared" ref="BB29" si="289">BB28/BB26</f>
        <v>#DIV/0!</v>
      </c>
      <c r="BC29" s="20" t="e">
        <f t="shared" ref="BC29" si="290">BC28/BC26</f>
        <v>#DIV/0!</v>
      </c>
      <c r="BD29" s="20" t="e">
        <f t="shared" ref="BD29" si="291">BD28/BD26</f>
        <v>#DIV/0!</v>
      </c>
      <c r="BE29" s="20" t="e">
        <f t="shared" ref="BE29" si="292">BE28/BE26</f>
        <v>#DIV/0!</v>
      </c>
      <c r="BF29" s="20" t="e">
        <f t="shared" ref="BF29" si="293">BF28/BF26</f>
        <v>#DIV/0!</v>
      </c>
      <c r="BG29" s="20" t="e">
        <f t="shared" ref="BG29" si="294">BG28/BG26</f>
        <v>#DIV/0!</v>
      </c>
      <c r="BH29" s="20">
        <f t="shared" ref="BH29" si="295">BH28/BH26</f>
        <v>0.26323408483519489</v>
      </c>
      <c r="BI29" s="20">
        <f t="shared" ref="BI29" si="296">BI28/BI26</f>
        <v>0.30157851959929899</v>
      </c>
      <c r="BJ29" s="20">
        <f t="shared" ref="BJ29" si="297">BJ28/BJ26</f>
        <v>7.2756354414696953E-2</v>
      </c>
      <c r="BK29" s="20">
        <f t="shared" ref="BK29" si="298">BK28/BK26</f>
        <v>0.26331067953450116</v>
      </c>
      <c r="BL29" s="20">
        <f t="shared" ref="BL29" si="299">BL28/BL26</f>
        <v>0.94017404006573402</v>
      </c>
      <c r="BM29" s="20">
        <f t="shared" ref="BM29" si="300">BM28/BM26</f>
        <v>0.22824945471172328</v>
      </c>
      <c r="BN29" s="20">
        <f t="shared" ref="BN29" si="301">BN28/BN26</f>
        <v>0.22857142857142856</v>
      </c>
      <c r="BO29" s="20">
        <f t="shared" ref="BO29" si="302">BO28/BO26</f>
        <v>0.18893196121789416</v>
      </c>
      <c r="BP29" s="20">
        <f t="shared" ref="BP29" si="303">BP28/BP26</f>
        <v>0.18834648898001022</v>
      </c>
      <c r="BQ29" s="20">
        <f t="shared" ref="BQ29" si="304">BQ28/BQ26</f>
        <v>0.1655545609895028</v>
      </c>
      <c r="BR29" s="20">
        <f t="shared" ref="BR29" si="305">BR28/BR26</f>
        <v>0.2102359208523592</v>
      </c>
      <c r="BS29" s="20">
        <f t="shared" ref="BS29" si="306">BS28/BS26</f>
        <v>0.25279155751258753</v>
      </c>
      <c r="BT29" s="20">
        <f t="shared" ref="BT29" si="307">BT28/BT26</f>
        <v>0.25598438535759005</v>
      </c>
      <c r="BU29" s="20" t="e">
        <f t="shared" ref="BU29" si="308">BU28/BU26</f>
        <v>#DIV/0!</v>
      </c>
      <c r="BV29" s="20" t="e">
        <f t="shared" ref="BV29" si="309">BV28/BV26</f>
        <v>#DIV/0!</v>
      </c>
      <c r="BW29" s="20" t="e">
        <f t="shared" ref="BW29" si="310">BW28/BW26</f>
        <v>#DIV/0!</v>
      </c>
    </row>
    <row r="30" spans="2:77" s="9" customFormat="1" x14ac:dyDescent="0.35">
      <c r="B30" s="9" t="s">
        <v>1234</v>
      </c>
      <c r="C30" s="31"/>
      <c r="D30" s="31"/>
      <c r="E30" s="31"/>
      <c r="F30" s="31"/>
      <c r="G30" s="50"/>
      <c r="H30" s="31"/>
      <c r="I30" s="31"/>
      <c r="J30" s="31"/>
      <c r="K30" s="50"/>
      <c r="L30" s="31"/>
      <c r="M30" s="31"/>
      <c r="N30" s="31"/>
      <c r="O30" s="50"/>
      <c r="P30" s="31"/>
      <c r="Q30" s="31"/>
      <c r="R30" s="31"/>
      <c r="S30" s="50"/>
      <c r="T30" s="31"/>
      <c r="U30" s="31"/>
      <c r="V30" s="31"/>
      <c r="W30" s="50"/>
      <c r="X30" s="31"/>
      <c r="Y30" s="31"/>
      <c r="Z30" s="31"/>
      <c r="AA30" s="50"/>
      <c r="AB30" s="31"/>
      <c r="AC30" s="31"/>
      <c r="AD30" s="31"/>
      <c r="AE30" s="50"/>
      <c r="AF30" s="31"/>
      <c r="AG30" s="31"/>
      <c r="AH30" s="31"/>
      <c r="AI30" s="50"/>
      <c r="AJ30" s="31"/>
      <c r="AK30" s="31"/>
      <c r="AL30" s="31"/>
      <c r="AM30" s="50"/>
      <c r="AN30" s="31"/>
      <c r="AO30" s="31"/>
      <c r="AP30" s="31"/>
      <c r="AQ30" s="50"/>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row>
    <row r="31" spans="2:77" x14ac:dyDescent="0.35">
      <c r="B31" t="s">
        <v>1235</v>
      </c>
      <c r="C31" s="7"/>
      <c r="D31" s="7"/>
      <c r="E31" s="7"/>
      <c r="F31" s="7"/>
      <c r="G31" s="36"/>
      <c r="H31" s="7"/>
      <c r="I31" s="7"/>
      <c r="J31" s="7"/>
      <c r="K31" s="36"/>
      <c r="L31" s="7"/>
      <c r="M31" s="7"/>
      <c r="N31" s="7"/>
      <c r="O31" s="36"/>
      <c r="P31" s="7"/>
      <c r="Q31" s="7"/>
      <c r="R31" s="7"/>
      <c r="S31" s="36"/>
      <c r="T31" s="7"/>
      <c r="U31" s="7"/>
      <c r="V31" s="7"/>
      <c r="W31" s="36">
        <v>1844.4469999999999</v>
      </c>
      <c r="X31" s="7">
        <v>2246.6370000000002</v>
      </c>
      <c r="Y31" s="7">
        <v>5133</v>
      </c>
      <c r="Z31" s="7"/>
      <c r="AA31" s="36">
        <v>2330</v>
      </c>
      <c r="AB31" s="7">
        <v>3480</v>
      </c>
      <c r="AC31" s="7">
        <v>3127</v>
      </c>
      <c r="AD31" s="7"/>
      <c r="AE31" s="36">
        <v>2768</v>
      </c>
      <c r="AF31" s="7">
        <v>3090</v>
      </c>
      <c r="AG31" s="7">
        <v>4215</v>
      </c>
      <c r="AH31" s="7"/>
      <c r="AI31" s="36">
        <v>4424</v>
      </c>
      <c r="AJ31" s="7">
        <v>5205</v>
      </c>
      <c r="AK31" s="7">
        <v>6414</v>
      </c>
      <c r="AL31" s="7"/>
      <c r="AM31" s="36">
        <v>8734</v>
      </c>
      <c r="AN31" s="7">
        <v>9614</v>
      </c>
      <c r="AO31" s="7">
        <v>10236</v>
      </c>
      <c r="AP31" s="7"/>
      <c r="AQ31" s="36">
        <v>11247</v>
      </c>
      <c r="AR31" s="7">
        <v>11332</v>
      </c>
      <c r="AS31" s="7"/>
      <c r="AT31" s="7"/>
      <c r="AU31" s="7"/>
      <c r="AV31" s="7"/>
      <c r="AW31" s="7"/>
      <c r="AX31" s="7"/>
      <c r="AY31" s="7"/>
      <c r="AZ31" s="7"/>
      <c r="BA31" s="7"/>
      <c r="BB31" s="7"/>
      <c r="BC31" s="7"/>
      <c r="BD31" s="7"/>
      <c r="BE31" s="7"/>
      <c r="BF31" s="7"/>
      <c r="BG31" s="7"/>
      <c r="BH31" s="7"/>
      <c r="BI31" s="7">
        <v>109.233</v>
      </c>
      <c r="BJ31" s="7">
        <v>355.32499999999999</v>
      </c>
      <c r="BK31" s="7">
        <v>1479.1659999999999</v>
      </c>
      <c r="BL31" s="7">
        <v>1471.643</v>
      </c>
      <c r="BM31" s="7">
        <v>1957.3969999999999</v>
      </c>
      <c r="BN31" s="7">
        <v>4200.7060000000001</v>
      </c>
      <c r="BO31" s="7">
        <v>6221</v>
      </c>
      <c r="BP31" s="7">
        <v>14872</v>
      </c>
      <c r="BQ31" s="7">
        <v>12653</v>
      </c>
      <c r="BR31" s="7">
        <v>15207</v>
      </c>
      <c r="BS31" s="7">
        <v>23973</v>
      </c>
      <c r="BT31" s="7">
        <v>40553</v>
      </c>
      <c r="BU31" s="7"/>
      <c r="BV31" s="7"/>
      <c r="BW31" s="7"/>
      <c r="BX31" s="7"/>
      <c r="BY31" s="7"/>
    </row>
    <row r="32" spans="2:77" x14ac:dyDescent="0.35">
      <c r="B32" t="s">
        <v>1236</v>
      </c>
      <c r="C32" s="7"/>
      <c r="D32" s="7"/>
      <c r="E32" s="7"/>
      <c r="F32" s="7"/>
      <c r="G32" s="36"/>
      <c r="H32" s="7"/>
      <c r="I32" s="7"/>
      <c r="J32" s="7"/>
      <c r="K32" s="36"/>
      <c r="L32" s="7"/>
      <c r="M32" s="7"/>
      <c r="N32" s="7"/>
      <c r="O32" s="36"/>
      <c r="P32" s="7"/>
      <c r="Q32" s="7"/>
      <c r="R32" s="7"/>
      <c r="S32" s="36"/>
      <c r="T32" s="7"/>
      <c r="U32" s="7"/>
      <c r="V32" s="7"/>
      <c r="W32" s="36">
        <v>508.70299999999997</v>
      </c>
      <c r="X32" s="7">
        <v>527.23</v>
      </c>
      <c r="Y32" s="7">
        <v>409</v>
      </c>
      <c r="Z32" s="7"/>
      <c r="AA32" s="36">
        <v>779</v>
      </c>
      <c r="AB32" s="7">
        <v>690</v>
      </c>
      <c r="AC32" s="7">
        <v>669</v>
      </c>
      <c r="AD32" s="7"/>
      <c r="AE32" s="36">
        <v>900</v>
      </c>
      <c r="AF32" s="7">
        <v>1400</v>
      </c>
      <c r="AG32" s="7">
        <v>1744</v>
      </c>
      <c r="AH32" s="7"/>
      <c r="AI32" s="36">
        <v>3043</v>
      </c>
      <c r="AJ32" s="7">
        <v>2859</v>
      </c>
      <c r="AK32" s="7">
        <v>3113</v>
      </c>
      <c r="AL32" s="7"/>
      <c r="AM32" s="36">
        <v>4650</v>
      </c>
      <c r="AN32" s="7">
        <v>3787</v>
      </c>
      <c r="AO32" s="7">
        <v>5131</v>
      </c>
      <c r="AP32" s="7"/>
      <c r="AQ32" s="36">
        <v>4891</v>
      </c>
      <c r="AR32" s="7">
        <v>5731</v>
      </c>
      <c r="AS32" s="7"/>
      <c r="AT32" s="7"/>
      <c r="AU32" s="7"/>
      <c r="AV32" s="7"/>
      <c r="AW32" s="7"/>
      <c r="AX32" s="7"/>
      <c r="AY32" s="7"/>
      <c r="AZ32" s="7"/>
      <c r="BA32" s="7"/>
      <c r="BB32" s="7"/>
      <c r="BC32" s="7"/>
      <c r="BD32" s="7"/>
      <c r="BE32" s="7"/>
      <c r="BF32" s="7"/>
      <c r="BG32" s="7"/>
      <c r="BH32" s="7"/>
      <c r="BI32" s="7">
        <v>0</v>
      </c>
      <c r="BJ32" s="7">
        <v>0</v>
      </c>
      <c r="BK32" s="7">
        <v>0</v>
      </c>
      <c r="BL32" s="7">
        <v>477.08199999999999</v>
      </c>
      <c r="BM32" s="7">
        <v>318.51299999999998</v>
      </c>
      <c r="BN32" s="7">
        <v>1065.2550000000001</v>
      </c>
      <c r="BO32" s="7">
        <v>2027</v>
      </c>
      <c r="BP32" s="7">
        <v>1757</v>
      </c>
      <c r="BQ32" s="7">
        <v>2979</v>
      </c>
      <c r="BR32" s="7">
        <v>6662</v>
      </c>
      <c r="BS32" s="7">
        <v>13844</v>
      </c>
      <c r="BT32" s="7">
        <v>18145</v>
      </c>
      <c r="BU32" s="7"/>
      <c r="BV32" s="7"/>
      <c r="BW32" s="7"/>
      <c r="BX32" s="7"/>
      <c r="BY32" s="7"/>
    </row>
    <row r="33" spans="2:77" s="10" customFormat="1" x14ac:dyDescent="0.35">
      <c r="B33" s="10" t="s">
        <v>1237</v>
      </c>
      <c r="C33" s="22"/>
      <c r="D33" s="22"/>
      <c r="E33" s="22"/>
      <c r="F33" s="22"/>
      <c r="G33" s="37"/>
      <c r="H33" s="22"/>
      <c r="I33" s="22"/>
      <c r="J33" s="22"/>
      <c r="K33" s="37"/>
      <c r="L33" s="22"/>
      <c r="M33" s="22"/>
      <c r="N33" s="22"/>
      <c r="O33" s="37"/>
      <c r="P33" s="22"/>
      <c r="Q33" s="22"/>
      <c r="R33" s="22"/>
      <c r="S33" s="37"/>
      <c r="T33" s="22"/>
      <c r="U33" s="22"/>
      <c r="V33" s="22"/>
      <c r="W33" s="37">
        <f>162.319+146.527+746.755</f>
        <v>1055.6010000000001</v>
      </c>
      <c r="X33" s="22">
        <f>224.421+206.55+797.393</f>
        <v>1228.364</v>
      </c>
      <c r="Y33" s="22">
        <f>274+224+784</f>
        <v>1282</v>
      </c>
      <c r="Z33" s="22"/>
      <c r="AA33" s="37">
        <v>1432</v>
      </c>
      <c r="AB33" s="22">
        <v>2180</v>
      </c>
      <c r="AC33" s="22">
        <v>2507</v>
      </c>
      <c r="AD33" s="22"/>
      <c r="AE33" s="37">
        <v>2317</v>
      </c>
      <c r="AF33" s="22">
        <v>1546</v>
      </c>
      <c r="AG33" s="22">
        <v>2812</v>
      </c>
      <c r="AH33" s="22"/>
      <c r="AI33" s="37">
        <v>2922</v>
      </c>
      <c r="AJ33" s="22">
        <v>3894</v>
      </c>
      <c r="AK33" s="22">
        <v>4230</v>
      </c>
      <c r="AL33" s="22"/>
      <c r="AM33" s="37">
        <v>5372</v>
      </c>
      <c r="AN33" s="22">
        <v>3533</v>
      </c>
      <c r="AO33" s="22">
        <v>6087</v>
      </c>
      <c r="AP33" s="22"/>
      <c r="AQ33" s="37">
        <v>7191</v>
      </c>
      <c r="AR33" s="22">
        <v>7864</v>
      </c>
      <c r="AS33" s="22"/>
      <c r="AT33" s="22"/>
      <c r="AU33" s="22"/>
      <c r="AV33" s="22"/>
      <c r="AW33" s="22"/>
      <c r="AX33" s="22"/>
      <c r="AY33" s="22"/>
      <c r="AZ33" s="22"/>
      <c r="BA33" s="22"/>
      <c r="BB33" s="22"/>
      <c r="BC33" s="22"/>
      <c r="BD33" s="22"/>
      <c r="BE33" s="22"/>
      <c r="BF33" s="22"/>
      <c r="BG33" s="22"/>
      <c r="BH33" s="22"/>
      <c r="BI33" s="22">
        <f>84.397+10.612</f>
        <v>95.009</v>
      </c>
      <c r="BJ33" s="22">
        <f>50.318+7.613</f>
        <v>57.930999999999997</v>
      </c>
      <c r="BK33" s="22">
        <f>217.07+317.26</f>
        <v>534.32999999999993</v>
      </c>
      <c r="BL33" s="22">
        <f>412.198+837.433</f>
        <v>1249.6309999999999</v>
      </c>
      <c r="BM33" s="22">
        <f>356.419+1413.696</f>
        <v>1770.1149999999998</v>
      </c>
      <c r="BN33" s="22">
        <f>335.572+1398.599</f>
        <v>1734.1709999999998</v>
      </c>
      <c r="BO33" s="22">
        <f>331+823+2357</f>
        <v>3511</v>
      </c>
      <c r="BP33" s="22">
        <f>965+813+3054</f>
        <v>4832</v>
      </c>
      <c r="BQ33" s="22">
        <f>1590+1201+6155</f>
        <v>8946</v>
      </c>
      <c r="BR33" s="22">
        <v>9667</v>
      </c>
      <c r="BS33" s="22">
        <v>16006</v>
      </c>
      <c r="BT33" s="22">
        <v>22764</v>
      </c>
      <c r="BU33" s="22"/>
      <c r="BV33" s="22"/>
      <c r="BW33" s="22"/>
      <c r="BX33" s="22"/>
      <c r="BY33" s="22"/>
    </row>
    <row r="34" spans="2:77" s="16" customFormat="1" x14ac:dyDescent="0.35">
      <c r="B34" s="16" t="s">
        <v>1238</v>
      </c>
      <c r="C34" s="23"/>
      <c r="D34" s="23"/>
      <c r="E34" s="23"/>
      <c r="F34" s="23"/>
      <c r="G34" s="38">
        <f t="shared" ref="G34:AA34" si="311">SUM(G31:G33)</f>
        <v>0</v>
      </c>
      <c r="H34" s="23">
        <f t="shared" si="311"/>
        <v>0</v>
      </c>
      <c r="I34" s="23">
        <f t="shared" si="311"/>
        <v>0</v>
      </c>
      <c r="J34" s="23">
        <f t="shared" si="311"/>
        <v>0</v>
      </c>
      <c r="K34" s="38">
        <f t="shared" si="311"/>
        <v>0</v>
      </c>
      <c r="L34" s="23">
        <f t="shared" si="311"/>
        <v>0</v>
      </c>
      <c r="M34" s="23">
        <f t="shared" si="311"/>
        <v>0</v>
      </c>
      <c r="N34" s="23">
        <f t="shared" si="311"/>
        <v>0</v>
      </c>
      <c r="O34" s="38">
        <f t="shared" si="311"/>
        <v>0</v>
      </c>
      <c r="P34" s="23">
        <f t="shared" si="311"/>
        <v>0</v>
      </c>
      <c r="Q34" s="23">
        <f t="shared" si="311"/>
        <v>0</v>
      </c>
      <c r="R34" s="23">
        <f t="shared" si="311"/>
        <v>0</v>
      </c>
      <c r="S34" s="38">
        <f t="shared" si="311"/>
        <v>0</v>
      </c>
      <c r="T34" s="23">
        <f t="shared" si="311"/>
        <v>0</v>
      </c>
      <c r="U34" s="23">
        <f t="shared" si="311"/>
        <v>0</v>
      </c>
      <c r="V34" s="23">
        <f t="shared" si="311"/>
        <v>0</v>
      </c>
      <c r="W34" s="38">
        <f t="shared" si="311"/>
        <v>3408.7509999999997</v>
      </c>
      <c r="X34" s="23">
        <f t="shared" si="311"/>
        <v>4002.2310000000002</v>
      </c>
      <c r="Y34" s="23">
        <f t="shared" si="311"/>
        <v>6824</v>
      </c>
      <c r="Z34" s="23">
        <f t="shared" si="311"/>
        <v>0</v>
      </c>
      <c r="AA34" s="38">
        <f t="shared" si="311"/>
        <v>4541</v>
      </c>
      <c r="AB34" s="23">
        <f t="shared" ref="AB34:AT34" si="312">SUM(AB31:AB33)</f>
        <v>6350</v>
      </c>
      <c r="AC34" s="23">
        <f t="shared" si="312"/>
        <v>6303</v>
      </c>
      <c r="AD34" s="23">
        <f t="shared" si="312"/>
        <v>0</v>
      </c>
      <c r="AE34" s="38">
        <f t="shared" si="312"/>
        <v>5985</v>
      </c>
      <c r="AF34" s="23">
        <f t="shared" si="312"/>
        <v>6036</v>
      </c>
      <c r="AG34" s="23">
        <f t="shared" si="312"/>
        <v>8771</v>
      </c>
      <c r="AH34" s="23">
        <f t="shared" si="312"/>
        <v>0</v>
      </c>
      <c r="AI34" s="38">
        <f t="shared" si="312"/>
        <v>10389</v>
      </c>
      <c r="AJ34" s="23">
        <f t="shared" si="312"/>
        <v>11958</v>
      </c>
      <c r="AK34" s="23">
        <f t="shared" si="312"/>
        <v>13757</v>
      </c>
      <c r="AL34" s="23">
        <f t="shared" si="312"/>
        <v>0</v>
      </c>
      <c r="AM34" s="38">
        <f t="shared" si="312"/>
        <v>18756</v>
      </c>
      <c r="AN34" s="23">
        <f t="shared" si="312"/>
        <v>16934</v>
      </c>
      <c r="AO34" s="23">
        <f t="shared" si="312"/>
        <v>21454</v>
      </c>
      <c r="AP34" s="23">
        <f t="shared" si="312"/>
        <v>0</v>
      </c>
      <c r="AQ34" s="38">
        <f t="shared" si="312"/>
        <v>23329</v>
      </c>
      <c r="AR34" s="23">
        <f t="shared" si="312"/>
        <v>24927</v>
      </c>
      <c r="AS34" s="23">
        <f t="shared" si="312"/>
        <v>0</v>
      </c>
      <c r="AT34" s="23">
        <f t="shared" si="312"/>
        <v>0</v>
      </c>
      <c r="AU34" s="23"/>
      <c r="AV34" s="23"/>
      <c r="AW34" s="23"/>
      <c r="AX34" s="23"/>
      <c r="AY34" s="23"/>
      <c r="AZ34" s="23"/>
      <c r="BA34" s="23">
        <f t="shared" ref="BA34" si="313">SUM(BA31:BA33)</f>
        <v>0</v>
      </c>
      <c r="BB34" s="23">
        <f t="shared" ref="BB34" si="314">SUM(BB31:BB33)</f>
        <v>0</v>
      </c>
      <c r="BC34" s="23">
        <f t="shared" ref="BC34" si="315">SUM(BC31:BC33)</f>
        <v>0</v>
      </c>
      <c r="BD34" s="23">
        <f t="shared" ref="BD34" si="316">SUM(BD31:BD33)</f>
        <v>0</v>
      </c>
      <c r="BE34" s="23">
        <f t="shared" ref="BE34" si="317">SUM(BE31:BE33)</f>
        <v>0</v>
      </c>
      <c r="BF34" s="23">
        <f t="shared" ref="BF34" si="318">SUM(BF31:BF33)</f>
        <v>0</v>
      </c>
      <c r="BG34" s="23">
        <f t="shared" ref="BG34" si="319">SUM(BG31:BG33)</f>
        <v>0</v>
      </c>
      <c r="BH34" s="23">
        <f t="shared" ref="BH34" si="320">SUM(BH31:BH33)</f>
        <v>0</v>
      </c>
      <c r="BI34" s="23">
        <f t="shared" ref="BI34" si="321">SUM(BI31:BI33)</f>
        <v>204.24200000000002</v>
      </c>
      <c r="BJ34" s="23">
        <f t="shared" ref="BJ34" si="322">SUM(BJ31:BJ33)</f>
        <v>413.25599999999997</v>
      </c>
      <c r="BK34" s="23">
        <f t="shared" ref="BK34" si="323">SUM(BK31:BK33)</f>
        <v>2013.4959999999999</v>
      </c>
      <c r="BL34" s="23">
        <f t="shared" ref="BL34" si="324">SUM(BL31:BL33)</f>
        <v>3198.3559999999998</v>
      </c>
      <c r="BM34" s="23">
        <f t="shared" ref="BM34" si="325">SUM(BM31:BM33)</f>
        <v>4046.0249999999996</v>
      </c>
      <c r="BN34" s="23">
        <f t="shared" ref="BN34" si="326">SUM(BN31:BN33)</f>
        <v>7000.1319999999996</v>
      </c>
      <c r="BO34" s="23">
        <f t="shared" ref="BO34" si="327">SUM(BO31:BO33)</f>
        <v>11759</v>
      </c>
      <c r="BP34" s="23">
        <f t="shared" ref="BP34" si="328">SUM(BP31:BP33)</f>
        <v>21461</v>
      </c>
      <c r="BQ34" s="23">
        <f t="shared" ref="BQ34" si="329">SUM(BQ31:BQ33)</f>
        <v>24578</v>
      </c>
      <c r="BR34" s="23">
        <f t="shared" ref="BR34" si="330">SUM(BR31:BR33)</f>
        <v>31536</v>
      </c>
      <c r="BS34" s="23">
        <f t="shared" ref="BS34" si="331">SUM(BS31:BS33)</f>
        <v>53823</v>
      </c>
      <c r="BT34" s="23">
        <f t="shared" ref="BT34" si="332">SUM(BT31:BT33)</f>
        <v>81462</v>
      </c>
      <c r="BU34" s="23">
        <f t="shared" ref="BU34" si="333">SUM(BU31:BU33)</f>
        <v>0</v>
      </c>
      <c r="BV34" s="23">
        <f t="shared" ref="BV34" si="334">SUM(BV31:BV33)</f>
        <v>0</v>
      </c>
      <c r="BW34" s="23">
        <f t="shared" ref="BW34" si="335">SUM(BW31:BW33)</f>
        <v>0</v>
      </c>
      <c r="BX34" s="23"/>
      <c r="BY34" s="23"/>
    </row>
    <row r="35" spans="2:77" s="20" customFormat="1" x14ac:dyDescent="0.35">
      <c r="B35" s="20" t="s">
        <v>1239</v>
      </c>
      <c r="G35" s="45" t="e">
        <f t="shared" ref="G35:Z35" si="336">G31/G34</f>
        <v>#DIV/0!</v>
      </c>
      <c r="H35" s="20" t="e">
        <f t="shared" si="336"/>
        <v>#DIV/0!</v>
      </c>
      <c r="I35" s="20" t="e">
        <f t="shared" si="336"/>
        <v>#DIV/0!</v>
      </c>
      <c r="J35" s="20" t="e">
        <f t="shared" si="336"/>
        <v>#DIV/0!</v>
      </c>
      <c r="K35" s="45" t="e">
        <f t="shared" si="336"/>
        <v>#DIV/0!</v>
      </c>
      <c r="L35" s="20" t="e">
        <f t="shared" si="336"/>
        <v>#DIV/0!</v>
      </c>
      <c r="M35" s="20" t="e">
        <f t="shared" si="336"/>
        <v>#DIV/0!</v>
      </c>
      <c r="N35" s="20" t="e">
        <f t="shared" si="336"/>
        <v>#DIV/0!</v>
      </c>
      <c r="O35" s="45" t="e">
        <f t="shared" si="336"/>
        <v>#DIV/0!</v>
      </c>
      <c r="P35" s="20" t="e">
        <f t="shared" si="336"/>
        <v>#DIV/0!</v>
      </c>
      <c r="Q35" s="20" t="e">
        <f t="shared" si="336"/>
        <v>#DIV/0!</v>
      </c>
      <c r="R35" s="20" t="e">
        <f t="shared" si="336"/>
        <v>#DIV/0!</v>
      </c>
      <c r="S35" s="45" t="e">
        <f t="shared" si="336"/>
        <v>#DIV/0!</v>
      </c>
      <c r="T35" s="20" t="e">
        <f t="shared" si="336"/>
        <v>#DIV/0!</v>
      </c>
      <c r="U35" s="20" t="e">
        <f t="shared" si="336"/>
        <v>#DIV/0!</v>
      </c>
      <c r="V35" s="20" t="e">
        <f t="shared" si="336"/>
        <v>#DIV/0!</v>
      </c>
      <c r="W35" s="45">
        <f t="shared" si="336"/>
        <v>0.54109173712013581</v>
      </c>
      <c r="X35" s="20">
        <f t="shared" si="336"/>
        <v>0.56134615917971753</v>
      </c>
      <c r="Y35" s="20">
        <f t="shared" si="336"/>
        <v>0.75219812426729193</v>
      </c>
      <c r="Z35" s="20" t="e">
        <f t="shared" si="336"/>
        <v>#DIV/0!</v>
      </c>
      <c r="AA35" s="45">
        <f t="shared" ref="AA35:AT35" si="337">AA31/AA34</f>
        <v>0.51310284078396828</v>
      </c>
      <c r="AB35" s="20">
        <f t="shared" si="337"/>
        <v>0.54803149606299217</v>
      </c>
      <c r="AC35" s="20">
        <f t="shared" si="337"/>
        <v>0.49611296208154848</v>
      </c>
      <c r="AD35" s="20" t="e">
        <f t="shared" si="337"/>
        <v>#DIV/0!</v>
      </c>
      <c r="AE35" s="45">
        <f t="shared" si="337"/>
        <v>0.46248955722639934</v>
      </c>
      <c r="AF35" s="20">
        <f t="shared" si="337"/>
        <v>0.51192842942345929</v>
      </c>
      <c r="AG35" s="20">
        <f t="shared" si="337"/>
        <v>0.48056093945958273</v>
      </c>
      <c r="AH35" s="20" t="e">
        <f t="shared" si="337"/>
        <v>#DIV/0!</v>
      </c>
      <c r="AI35" s="45">
        <f t="shared" si="337"/>
        <v>0.42583501780729616</v>
      </c>
      <c r="AJ35" s="20">
        <f t="shared" si="337"/>
        <v>0.43527345709984949</v>
      </c>
      <c r="AK35" s="20">
        <f t="shared" si="337"/>
        <v>0.46623537108381186</v>
      </c>
      <c r="AL35" s="20" t="e">
        <f t="shared" si="337"/>
        <v>#DIV/0!</v>
      </c>
      <c r="AM35" s="45">
        <f t="shared" si="337"/>
        <v>0.46566432075069314</v>
      </c>
      <c r="AN35" s="20">
        <f t="shared" si="337"/>
        <v>0.56773355379709456</v>
      </c>
      <c r="AO35" s="20">
        <f t="shared" si="337"/>
        <v>0.47711382492775239</v>
      </c>
      <c r="AP35" s="20" t="e">
        <f t="shared" si="337"/>
        <v>#DIV/0!</v>
      </c>
      <c r="AQ35" s="45">
        <f t="shared" si="337"/>
        <v>0.48210381928072354</v>
      </c>
      <c r="AR35" s="20">
        <f t="shared" si="337"/>
        <v>0.45460745376499379</v>
      </c>
      <c r="AS35" s="20" t="e">
        <f t="shared" si="337"/>
        <v>#DIV/0!</v>
      </c>
      <c r="AT35" s="20" t="e">
        <f t="shared" si="337"/>
        <v>#DIV/0!</v>
      </c>
      <c r="BA35" s="20" t="e">
        <f t="shared" ref="BA35" si="338">BA31/BA34</f>
        <v>#DIV/0!</v>
      </c>
      <c r="BB35" s="20" t="e">
        <f t="shared" ref="BB35" si="339">BB31/BB34</f>
        <v>#DIV/0!</v>
      </c>
      <c r="BC35" s="20" t="e">
        <f t="shared" ref="BC35" si="340">BC31/BC34</f>
        <v>#DIV/0!</v>
      </c>
      <c r="BD35" s="20" t="e">
        <f t="shared" ref="BD35" si="341">BD31/BD34</f>
        <v>#DIV/0!</v>
      </c>
      <c r="BE35" s="20" t="e">
        <f t="shared" ref="BE35" si="342">BE31/BE34</f>
        <v>#DIV/0!</v>
      </c>
      <c r="BF35" s="20" t="e">
        <f t="shared" ref="BF35" si="343">BF31/BF34</f>
        <v>#DIV/0!</v>
      </c>
      <c r="BG35" s="20" t="e">
        <f t="shared" ref="BG35" si="344">BG31/BG34</f>
        <v>#DIV/0!</v>
      </c>
      <c r="BH35" s="20" t="e">
        <f t="shared" ref="BH35" si="345">BH31/BH34</f>
        <v>#DIV/0!</v>
      </c>
      <c r="BI35" s="20">
        <f t="shared" ref="BI35" si="346">BI31/BI34</f>
        <v>0.53482143731455822</v>
      </c>
      <c r="BJ35" s="20">
        <f t="shared" ref="BJ35" si="347">BJ31/BJ34</f>
        <v>0.85981812726252016</v>
      </c>
      <c r="BK35" s="20">
        <f t="shared" ref="BK35" si="348">BK31/BK34</f>
        <v>0.73462574546957138</v>
      </c>
      <c r="BL35" s="20">
        <f t="shared" ref="BL35" si="349">BL31/BL34</f>
        <v>0.46012482662968102</v>
      </c>
      <c r="BM35" s="20">
        <f t="shared" ref="BM35" si="350">BM31/BM34</f>
        <v>0.48378272502023595</v>
      </c>
      <c r="BN35" s="20">
        <f t="shared" ref="BN35" si="351">BN31/BN34</f>
        <v>0.60008954116865232</v>
      </c>
      <c r="BO35" s="20">
        <f t="shared" ref="BO35" si="352">BO31/BO34</f>
        <v>0.52904158516880684</v>
      </c>
      <c r="BP35" s="20">
        <f t="shared" ref="BP35" si="353">BP31/BP34</f>
        <v>0.69297796002050227</v>
      </c>
      <c r="BQ35" s="20">
        <f t="shared" ref="BQ35" si="354">BQ31/BQ34</f>
        <v>0.51480999267637728</v>
      </c>
      <c r="BR35" s="20">
        <f t="shared" ref="BR35" si="355">BR31/BR34</f>
        <v>0.48221080669710809</v>
      </c>
      <c r="BS35" s="20">
        <f t="shared" ref="BS35" si="356">BS31/BS34</f>
        <v>0.4454043810266986</v>
      </c>
      <c r="BT35" s="20">
        <f t="shared" ref="BT35" si="357">BT31/BT34</f>
        <v>0.49781493211558764</v>
      </c>
      <c r="BU35" s="20" t="e">
        <f t="shared" ref="BU35" si="358">BU31/BU34</f>
        <v>#DIV/0!</v>
      </c>
      <c r="BV35" s="20" t="e">
        <f t="shared" ref="BV35" si="359">BV31/BV34</f>
        <v>#DIV/0!</v>
      </c>
      <c r="BW35" s="20" t="e">
        <f t="shared" ref="BW35" si="360">BW31/BW34</f>
        <v>#DIV/0!</v>
      </c>
    </row>
    <row r="36" spans="2:77" s="20" customFormat="1" x14ac:dyDescent="0.35">
      <c r="B36" s="20" t="s">
        <v>1240</v>
      </c>
      <c r="G36" s="45" t="e">
        <f t="shared" ref="G36:Z36" si="361">G32/G34</f>
        <v>#DIV/0!</v>
      </c>
      <c r="H36" s="20" t="e">
        <f t="shared" si="361"/>
        <v>#DIV/0!</v>
      </c>
      <c r="I36" s="20" t="e">
        <f t="shared" si="361"/>
        <v>#DIV/0!</v>
      </c>
      <c r="J36" s="20" t="e">
        <f t="shared" si="361"/>
        <v>#DIV/0!</v>
      </c>
      <c r="K36" s="45" t="e">
        <f t="shared" si="361"/>
        <v>#DIV/0!</v>
      </c>
      <c r="L36" s="20" t="e">
        <f t="shared" si="361"/>
        <v>#DIV/0!</v>
      </c>
      <c r="M36" s="20" t="e">
        <f t="shared" si="361"/>
        <v>#DIV/0!</v>
      </c>
      <c r="N36" s="20" t="e">
        <f t="shared" si="361"/>
        <v>#DIV/0!</v>
      </c>
      <c r="O36" s="45" t="e">
        <f t="shared" si="361"/>
        <v>#DIV/0!</v>
      </c>
      <c r="P36" s="20" t="e">
        <f t="shared" si="361"/>
        <v>#DIV/0!</v>
      </c>
      <c r="Q36" s="20" t="e">
        <f t="shared" si="361"/>
        <v>#DIV/0!</v>
      </c>
      <c r="R36" s="20" t="e">
        <f t="shared" si="361"/>
        <v>#DIV/0!</v>
      </c>
      <c r="S36" s="45" t="e">
        <f t="shared" si="361"/>
        <v>#DIV/0!</v>
      </c>
      <c r="T36" s="20" t="e">
        <f t="shared" si="361"/>
        <v>#DIV/0!</v>
      </c>
      <c r="U36" s="20" t="e">
        <f t="shared" si="361"/>
        <v>#DIV/0!</v>
      </c>
      <c r="V36" s="20" t="e">
        <f t="shared" si="361"/>
        <v>#DIV/0!</v>
      </c>
      <c r="W36" s="45">
        <f t="shared" si="361"/>
        <v>0.14923442633386833</v>
      </c>
      <c r="X36" s="20">
        <f t="shared" si="361"/>
        <v>0.1317340253473625</v>
      </c>
      <c r="Y36" s="20">
        <f t="shared" si="361"/>
        <v>5.9935521688159438E-2</v>
      </c>
      <c r="Z36" s="20" t="e">
        <f t="shared" si="361"/>
        <v>#DIV/0!</v>
      </c>
      <c r="AA36" s="45">
        <f t="shared" ref="AA36:AT36" si="362">AA32/AA34</f>
        <v>0.17154811715481172</v>
      </c>
      <c r="AB36" s="20">
        <f t="shared" si="362"/>
        <v>0.10866141732283464</v>
      </c>
      <c r="AC36" s="20">
        <f t="shared" si="362"/>
        <v>0.10613993336506425</v>
      </c>
      <c r="AD36" s="20" t="e">
        <f t="shared" si="362"/>
        <v>#DIV/0!</v>
      </c>
      <c r="AE36" s="45">
        <f t="shared" si="362"/>
        <v>0.15037593984962405</v>
      </c>
      <c r="AF36" s="20">
        <f t="shared" si="362"/>
        <v>0.23194168323392975</v>
      </c>
      <c r="AG36" s="20">
        <f t="shared" si="362"/>
        <v>0.1988370767301334</v>
      </c>
      <c r="AH36" s="20" t="e">
        <f t="shared" si="362"/>
        <v>#DIV/0!</v>
      </c>
      <c r="AI36" s="45">
        <f t="shared" si="362"/>
        <v>0.29290595822504573</v>
      </c>
      <c r="AJ36" s="20">
        <f t="shared" si="362"/>
        <v>0.23908680381334671</v>
      </c>
      <c r="AK36" s="20">
        <f t="shared" si="362"/>
        <v>0.22628480046521771</v>
      </c>
      <c r="AL36" s="20" t="e">
        <f t="shared" si="362"/>
        <v>#DIV/0!</v>
      </c>
      <c r="AM36" s="45">
        <f t="shared" si="362"/>
        <v>0.24792066538707613</v>
      </c>
      <c r="AN36" s="20">
        <f t="shared" si="362"/>
        <v>0.2236329278374867</v>
      </c>
      <c r="AO36" s="20">
        <f t="shared" si="362"/>
        <v>0.2391628600727137</v>
      </c>
      <c r="AP36" s="20" t="e">
        <f t="shared" si="362"/>
        <v>#DIV/0!</v>
      </c>
      <c r="AQ36" s="45">
        <f t="shared" si="362"/>
        <v>0.20965322131252948</v>
      </c>
      <c r="AR36" s="20">
        <f t="shared" si="362"/>
        <v>0.2299113411160589</v>
      </c>
      <c r="AS36" s="20" t="e">
        <f t="shared" si="362"/>
        <v>#DIV/0!</v>
      </c>
      <c r="AT36" s="20" t="e">
        <f t="shared" si="362"/>
        <v>#DIV/0!</v>
      </c>
      <c r="BA36" s="20" t="e">
        <f t="shared" ref="BA36:BB36" si="363">BA32/BA34</f>
        <v>#DIV/0!</v>
      </c>
      <c r="BB36" s="20" t="e">
        <f t="shared" si="363"/>
        <v>#DIV/0!</v>
      </c>
      <c r="BC36" s="20" t="e">
        <f t="shared" ref="BC36:BD36" si="364">BC32/BC34</f>
        <v>#DIV/0!</v>
      </c>
      <c r="BD36" s="20" t="e">
        <f t="shared" si="364"/>
        <v>#DIV/0!</v>
      </c>
      <c r="BE36" s="20" t="e">
        <f t="shared" ref="BE36:BF36" si="365">BE32/BE34</f>
        <v>#DIV/0!</v>
      </c>
      <c r="BF36" s="20" t="e">
        <f t="shared" si="365"/>
        <v>#DIV/0!</v>
      </c>
      <c r="BG36" s="20" t="e">
        <f t="shared" ref="BG36:BH36" si="366">BG32/BG34</f>
        <v>#DIV/0!</v>
      </c>
      <c r="BH36" s="20" t="e">
        <f t="shared" si="366"/>
        <v>#DIV/0!</v>
      </c>
      <c r="BI36" s="20">
        <f t="shared" ref="BI36:BM36" si="367">BI32/BI34</f>
        <v>0</v>
      </c>
      <c r="BJ36" s="20">
        <f t="shared" si="367"/>
        <v>0</v>
      </c>
      <c r="BK36" s="20">
        <f t="shared" si="367"/>
        <v>0</v>
      </c>
      <c r="BL36" s="20">
        <f t="shared" si="367"/>
        <v>0.14916475839462526</v>
      </c>
      <c r="BM36" s="20">
        <f t="shared" si="367"/>
        <v>7.8722449811852377E-2</v>
      </c>
      <c r="BN36" s="20">
        <f t="shared" ref="BN36:BW36" si="368">BN32/BN34</f>
        <v>0.15217641610186783</v>
      </c>
      <c r="BO36" s="20">
        <f t="shared" si="368"/>
        <v>0.17237860362275703</v>
      </c>
      <c r="BP36" s="20">
        <f t="shared" si="368"/>
        <v>8.1869437584455529E-2</v>
      </c>
      <c r="BQ36" s="20">
        <f t="shared" si="368"/>
        <v>0.121205956546505</v>
      </c>
      <c r="BR36" s="20">
        <f t="shared" si="368"/>
        <v>0.21125063419583967</v>
      </c>
      <c r="BS36" s="20">
        <f t="shared" si="368"/>
        <v>0.25721345893019715</v>
      </c>
      <c r="BT36" s="20">
        <f t="shared" si="368"/>
        <v>0.22274189192506935</v>
      </c>
      <c r="BU36" s="20" t="e">
        <f t="shared" si="368"/>
        <v>#DIV/0!</v>
      </c>
      <c r="BV36" s="20" t="e">
        <f t="shared" si="368"/>
        <v>#DIV/0!</v>
      </c>
      <c r="BW36" s="20" t="e">
        <f t="shared" si="368"/>
        <v>#DIV/0!</v>
      </c>
    </row>
    <row r="37" spans="2:77" s="20" customFormat="1" x14ac:dyDescent="0.35">
      <c r="B37" s="20" t="s">
        <v>1241</v>
      </c>
      <c r="G37" s="45" t="e">
        <f t="shared" ref="G37:Z37" si="369">G33/G34</f>
        <v>#DIV/0!</v>
      </c>
      <c r="H37" s="20" t="e">
        <f t="shared" si="369"/>
        <v>#DIV/0!</v>
      </c>
      <c r="I37" s="20" t="e">
        <f t="shared" si="369"/>
        <v>#DIV/0!</v>
      </c>
      <c r="J37" s="20" t="e">
        <f t="shared" si="369"/>
        <v>#DIV/0!</v>
      </c>
      <c r="K37" s="45" t="e">
        <f t="shared" si="369"/>
        <v>#DIV/0!</v>
      </c>
      <c r="L37" s="20" t="e">
        <f t="shared" si="369"/>
        <v>#DIV/0!</v>
      </c>
      <c r="M37" s="20" t="e">
        <f t="shared" si="369"/>
        <v>#DIV/0!</v>
      </c>
      <c r="N37" s="20" t="e">
        <f t="shared" si="369"/>
        <v>#DIV/0!</v>
      </c>
      <c r="O37" s="45" t="e">
        <f t="shared" si="369"/>
        <v>#DIV/0!</v>
      </c>
      <c r="P37" s="20" t="e">
        <f t="shared" si="369"/>
        <v>#DIV/0!</v>
      </c>
      <c r="Q37" s="20" t="e">
        <f t="shared" si="369"/>
        <v>#DIV/0!</v>
      </c>
      <c r="R37" s="20" t="e">
        <f t="shared" si="369"/>
        <v>#DIV/0!</v>
      </c>
      <c r="S37" s="45" t="e">
        <f t="shared" si="369"/>
        <v>#DIV/0!</v>
      </c>
      <c r="T37" s="20" t="e">
        <f t="shared" si="369"/>
        <v>#DIV/0!</v>
      </c>
      <c r="U37" s="20" t="e">
        <f t="shared" si="369"/>
        <v>#DIV/0!</v>
      </c>
      <c r="V37" s="20" t="e">
        <f t="shared" si="369"/>
        <v>#DIV/0!</v>
      </c>
      <c r="W37" s="45">
        <f t="shared" si="369"/>
        <v>0.30967383654599595</v>
      </c>
      <c r="X37" s="20">
        <f t="shared" si="369"/>
        <v>0.30691981547291997</v>
      </c>
      <c r="Y37" s="20">
        <f t="shared" si="369"/>
        <v>0.18786635404454866</v>
      </c>
      <c r="Z37" s="20" t="e">
        <f t="shared" si="369"/>
        <v>#DIV/0!</v>
      </c>
      <c r="AA37" s="45">
        <f t="shared" ref="AA37:AT37" si="370">AA33/AA34</f>
        <v>0.31534904206122</v>
      </c>
      <c r="AB37" s="20">
        <f t="shared" si="370"/>
        <v>0.34330708661417325</v>
      </c>
      <c r="AC37" s="20">
        <f t="shared" si="370"/>
        <v>0.3977471045533873</v>
      </c>
      <c r="AD37" s="20" t="e">
        <f t="shared" si="370"/>
        <v>#DIV/0!</v>
      </c>
      <c r="AE37" s="45">
        <f t="shared" si="370"/>
        <v>0.38713450292397661</v>
      </c>
      <c r="AF37" s="20">
        <f t="shared" si="370"/>
        <v>0.256129887342611</v>
      </c>
      <c r="AG37" s="20">
        <f t="shared" si="370"/>
        <v>0.32060198381028387</v>
      </c>
      <c r="AH37" s="20" t="e">
        <f t="shared" si="370"/>
        <v>#DIV/0!</v>
      </c>
      <c r="AI37" s="45">
        <f t="shared" si="370"/>
        <v>0.28125902396765812</v>
      </c>
      <c r="AJ37" s="20">
        <f t="shared" si="370"/>
        <v>0.32563973908680383</v>
      </c>
      <c r="AK37" s="20">
        <f t="shared" si="370"/>
        <v>0.30747982845097044</v>
      </c>
      <c r="AL37" s="20" t="e">
        <f t="shared" si="370"/>
        <v>#DIV/0!</v>
      </c>
      <c r="AM37" s="45">
        <f t="shared" si="370"/>
        <v>0.28641501386223073</v>
      </c>
      <c r="AN37" s="20">
        <f t="shared" si="370"/>
        <v>0.20863351836541869</v>
      </c>
      <c r="AO37" s="20">
        <f t="shared" si="370"/>
        <v>0.2837233149995339</v>
      </c>
      <c r="AP37" s="20" t="e">
        <f t="shared" si="370"/>
        <v>#DIV/0!</v>
      </c>
      <c r="AQ37" s="45">
        <f t="shared" si="370"/>
        <v>0.30824295940674695</v>
      </c>
      <c r="AR37" s="20">
        <f t="shared" si="370"/>
        <v>0.31548120511894734</v>
      </c>
      <c r="AS37" s="20" t="e">
        <f t="shared" si="370"/>
        <v>#DIV/0!</v>
      </c>
      <c r="AT37" s="20" t="e">
        <f t="shared" si="370"/>
        <v>#DIV/0!</v>
      </c>
      <c r="BA37" s="20" t="e">
        <f t="shared" ref="BA37:BB37" si="371">BA33/BA34</f>
        <v>#DIV/0!</v>
      </c>
      <c r="BB37" s="20" t="e">
        <f t="shared" si="371"/>
        <v>#DIV/0!</v>
      </c>
      <c r="BC37" s="20" t="e">
        <f t="shared" ref="BC37:BD37" si="372">BC33/BC34</f>
        <v>#DIV/0!</v>
      </c>
      <c r="BD37" s="20" t="e">
        <f t="shared" si="372"/>
        <v>#DIV/0!</v>
      </c>
      <c r="BE37" s="20" t="e">
        <f t="shared" ref="BE37:BF37" si="373">BE33/BE34</f>
        <v>#DIV/0!</v>
      </c>
      <c r="BF37" s="20" t="e">
        <f t="shared" si="373"/>
        <v>#DIV/0!</v>
      </c>
      <c r="BG37" s="20" t="e">
        <f t="shared" ref="BG37:BH37" si="374">BG33/BG34</f>
        <v>#DIV/0!</v>
      </c>
      <c r="BH37" s="20" t="e">
        <f t="shared" si="374"/>
        <v>#DIV/0!</v>
      </c>
      <c r="BI37" s="20">
        <f t="shared" ref="BI37:BM37" si="375">BI33/BI34</f>
        <v>0.46517856268544172</v>
      </c>
      <c r="BJ37" s="20">
        <f t="shared" si="375"/>
        <v>0.14018187273747992</v>
      </c>
      <c r="BK37" s="20">
        <f t="shared" si="375"/>
        <v>0.26537425453042862</v>
      </c>
      <c r="BL37" s="20">
        <f t="shared" si="375"/>
        <v>0.39071041497569375</v>
      </c>
      <c r="BM37" s="20">
        <f t="shared" si="375"/>
        <v>0.43749482516791172</v>
      </c>
      <c r="BN37" s="20">
        <f t="shared" ref="BN37:BW37" si="376">BN33/BN34</f>
        <v>0.24773404272947994</v>
      </c>
      <c r="BO37" s="20">
        <f t="shared" si="376"/>
        <v>0.29857981120843607</v>
      </c>
      <c r="BP37" s="20">
        <f t="shared" si="376"/>
        <v>0.22515260239504217</v>
      </c>
      <c r="BQ37" s="20">
        <f t="shared" si="376"/>
        <v>0.36398405077711776</v>
      </c>
      <c r="BR37" s="20">
        <f t="shared" si="376"/>
        <v>0.30653855910705224</v>
      </c>
      <c r="BS37" s="20">
        <f t="shared" si="376"/>
        <v>0.29738216004310425</v>
      </c>
      <c r="BT37" s="20">
        <f t="shared" si="376"/>
        <v>0.27944317595934298</v>
      </c>
      <c r="BU37" s="20" t="e">
        <f t="shared" si="376"/>
        <v>#DIV/0!</v>
      </c>
      <c r="BV37" s="20" t="e">
        <f t="shared" si="376"/>
        <v>#DIV/0!</v>
      </c>
      <c r="BW37" s="20" t="e">
        <f t="shared" si="376"/>
        <v>#DIV/0!</v>
      </c>
    </row>
    <row r="38" spans="2:77" s="18" customFormat="1" x14ac:dyDescent="0.35">
      <c r="B38" s="9" t="s">
        <v>30</v>
      </c>
      <c r="C38" s="48"/>
      <c r="D38" s="48"/>
      <c r="E38" s="48"/>
      <c r="F38" s="48"/>
      <c r="G38" s="49"/>
      <c r="H38" s="48"/>
      <c r="I38" s="48"/>
      <c r="J38" s="48"/>
      <c r="K38" s="49"/>
      <c r="L38" s="48"/>
      <c r="M38" s="48"/>
      <c r="N38" s="48"/>
      <c r="O38" s="49"/>
      <c r="P38" s="48"/>
      <c r="Q38" s="48"/>
      <c r="R38" s="48"/>
      <c r="S38" s="49"/>
      <c r="T38" s="48"/>
      <c r="U38" s="48"/>
      <c r="V38" s="48"/>
      <c r="W38" s="49"/>
      <c r="X38" s="48"/>
      <c r="Y38" s="48"/>
      <c r="Z38" s="48"/>
      <c r="AA38" s="49"/>
      <c r="AB38" s="48"/>
      <c r="AC38" s="48"/>
      <c r="AD38" s="48"/>
      <c r="AE38" s="49"/>
      <c r="AF38" s="48"/>
      <c r="AG38" s="48"/>
      <c r="AH38" s="48"/>
      <c r="AI38" s="49"/>
      <c r="AJ38" s="48"/>
      <c r="AK38" s="48"/>
      <c r="AL38" s="48"/>
      <c r="AM38" s="49"/>
      <c r="AN38" s="48"/>
      <c r="AO38" s="48"/>
      <c r="AP38" s="48"/>
      <c r="AQ38" s="49"/>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c r="BP38" s="48"/>
      <c r="BQ38" s="48"/>
      <c r="BR38" s="48"/>
      <c r="BS38" s="48"/>
      <c r="BT38" s="48"/>
      <c r="BU38" s="48"/>
      <c r="BV38" s="48"/>
      <c r="BW38" s="48"/>
      <c r="BX38" s="48"/>
      <c r="BY38" s="48"/>
    </row>
    <row r="39" spans="2:77" s="16" customFormat="1" x14ac:dyDescent="0.35">
      <c r="B39" s="16" t="s">
        <v>21</v>
      </c>
      <c r="C39" s="23"/>
      <c r="D39" s="23"/>
      <c r="E39" s="23"/>
      <c r="F39" s="23"/>
      <c r="G39" s="38"/>
      <c r="H39" s="23"/>
      <c r="I39" s="23"/>
      <c r="J39" s="23"/>
      <c r="K39" s="38"/>
      <c r="L39" s="23"/>
      <c r="M39" s="23"/>
      <c r="N39" s="23"/>
      <c r="O39" s="38"/>
      <c r="P39" s="23"/>
      <c r="Q39" s="23"/>
      <c r="R39" s="23"/>
      <c r="S39" s="38"/>
      <c r="T39" s="23"/>
      <c r="U39" s="23"/>
      <c r="V39" s="23"/>
      <c r="W39" s="38">
        <v>3408.7510000000002</v>
      </c>
      <c r="X39" s="23">
        <v>4002.2310000000002</v>
      </c>
      <c r="Y39" s="23">
        <v>6824</v>
      </c>
      <c r="Z39" s="23">
        <f>BP39-Y39-X39-W39</f>
        <v>7226.018</v>
      </c>
      <c r="AA39" s="38">
        <v>4541</v>
      </c>
      <c r="AB39" s="23">
        <v>6350</v>
      </c>
      <c r="AC39" s="23">
        <v>6303</v>
      </c>
      <c r="AD39" s="23">
        <f>BQ39-AC39-AB39-AA39</f>
        <v>7384</v>
      </c>
      <c r="AE39" s="38">
        <v>5985</v>
      </c>
      <c r="AF39" s="23">
        <v>6036</v>
      </c>
      <c r="AG39" s="23">
        <v>8771</v>
      </c>
      <c r="AH39" s="23">
        <f>BR39-AG39-AF39-AE39</f>
        <v>10744</v>
      </c>
      <c r="AI39" s="38">
        <v>10389</v>
      </c>
      <c r="AJ39" s="23">
        <v>11958</v>
      </c>
      <c r="AK39" s="23">
        <v>13757</v>
      </c>
      <c r="AL39" s="23">
        <f>BS39-AK39-AJ39-AI39</f>
        <v>17719</v>
      </c>
      <c r="AM39" s="38">
        <v>18756</v>
      </c>
      <c r="AN39" s="23">
        <v>16934</v>
      </c>
      <c r="AO39" s="23">
        <v>21454</v>
      </c>
      <c r="AP39" s="23">
        <f>BT39-AO39-AN39-AM39</f>
        <v>24318</v>
      </c>
      <c r="AQ39" s="38">
        <v>23329</v>
      </c>
      <c r="AR39" s="23">
        <v>24927</v>
      </c>
      <c r="AS39" s="23"/>
      <c r="AT39" s="23"/>
      <c r="AU39" s="23"/>
      <c r="AV39" s="23"/>
      <c r="AW39" s="23"/>
      <c r="AX39" s="23"/>
      <c r="AY39" s="23"/>
      <c r="AZ39" s="23"/>
      <c r="BA39" s="23"/>
      <c r="BB39" s="23"/>
      <c r="BC39" s="23"/>
      <c r="BD39" s="23"/>
      <c r="BE39" s="23"/>
      <c r="BF39" s="23"/>
      <c r="BG39" s="23"/>
      <c r="BH39" s="23"/>
      <c r="BI39" s="23">
        <v>204.24199999999999</v>
      </c>
      <c r="BJ39" s="23">
        <v>413.25599999999997</v>
      </c>
      <c r="BK39" s="23">
        <v>2013.4960000000001</v>
      </c>
      <c r="BL39" s="23">
        <v>3198.3560000000002</v>
      </c>
      <c r="BM39" s="23">
        <v>4046.0250000000001</v>
      </c>
      <c r="BN39" s="23">
        <f t="shared" ref="BN39:BS40" si="377">+BN22+BN17+BN12</f>
        <v>7000</v>
      </c>
      <c r="BO39" s="23">
        <f t="shared" si="377"/>
        <v>11758</v>
      </c>
      <c r="BP39" s="23">
        <f t="shared" si="377"/>
        <v>21461</v>
      </c>
      <c r="BQ39" s="23">
        <f t="shared" si="377"/>
        <v>24578</v>
      </c>
      <c r="BR39" s="23">
        <f t="shared" si="377"/>
        <v>31536</v>
      </c>
      <c r="BS39" s="23">
        <f t="shared" si="377"/>
        <v>53823</v>
      </c>
      <c r="BT39" s="23">
        <v>81462</v>
      </c>
      <c r="BU39" s="23"/>
      <c r="BV39" s="23"/>
      <c r="BW39" s="23"/>
      <c r="BX39" s="23"/>
      <c r="BY39" s="23"/>
    </row>
    <row r="40" spans="2:77" s="10" customFormat="1" x14ac:dyDescent="0.35">
      <c r="B40" s="10" t="s">
        <v>22</v>
      </c>
      <c r="C40" s="22"/>
      <c r="D40" s="22"/>
      <c r="E40" s="22"/>
      <c r="F40" s="22"/>
      <c r="G40" s="37"/>
      <c r="H40" s="22"/>
      <c r="I40" s="22"/>
      <c r="J40" s="22"/>
      <c r="K40" s="37"/>
      <c r="L40" s="22"/>
      <c r="M40" s="22"/>
      <c r="N40" s="22"/>
      <c r="O40" s="37"/>
      <c r="P40" s="22"/>
      <c r="Q40" s="22"/>
      <c r="R40" s="22"/>
      <c r="S40" s="37"/>
      <c r="T40" s="22"/>
      <c r="U40" s="22"/>
      <c r="V40" s="22"/>
      <c r="W40" s="37">
        <v>2952.2249999999999</v>
      </c>
      <c r="X40" s="22">
        <v>3383.3009999999999</v>
      </c>
      <c r="Y40" s="22">
        <v>5300</v>
      </c>
      <c r="Z40" s="22">
        <f>BP40-Y40-X40-W40</f>
        <v>5783.3700000000008</v>
      </c>
      <c r="AA40" s="37">
        <v>3975</v>
      </c>
      <c r="AB40" s="22">
        <v>5429</v>
      </c>
      <c r="AC40" s="22">
        <v>5112</v>
      </c>
      <c r="AD40" s="22">
        <f>BQ40-AC40-AB40-AA40</f>
        <v>5993</v>
      </c>
      <c r="AE40" s="37">
        <v>4751</v>
      </c>
      <c r="AF40" s="22">
        <v>4769</v>
      </c>
      <c r="AG40" s="22">
        <v>6708</v>
      </c>
      <c r="AH40" s="25">
        <f>BR40-AG40-AF40-AE40</f>
        <v>8678</v>
      </c>
      <c r="AI40" s="37">
        <v>8174</v>
      </c>
      <c r="AJ40" s="22">
        <v>9074</v>
      </c>
      <c r="AK40" s="22">
        <v>10097</v>
      </c>
      <c r="AL40" s="22">
        <f>BS40-AK40-AJ40-AI40</f>
        <v>12872</v>
      </c>
      <c r="AM40" s="37">
        <v>13296</v>
      </c>
      <c r="AN40" s="22">
        <v>12700</v>
      </c>
      <c r="AO40" s="22">
        <v>16072</v>
      </c>
      <c r="AP40" s="22">
        <f>BT40-AO40-AN40-AM40</f>
        <v>18541</v>
      </c>
      <c r="AQ40" s="37">
        <v>18818</v>
      </c>
      <c r="AR40" s="22">
        <v>20394</v>
      </c>
      <c r="AS40" s="22"/>
      <c r="AT40" s="22"/>
      <c r="AU40" s="22"/>
      <c r="AV40" s="22"/>
      <c r="AW40" s="22"/>
      <c r="AX40" s="22"/>
      <c r="AY40" s="22"/>
      <c r="AZ40" s="22"/>
      <c r="BA40" s="22"/>
      <c r="BB40" s="22"/>
      <c r="BC40" s="22"/>
      <c r="BD40" s="22"/>
      <c r="BE40" s="22"/>
      <c r="BF40" s="22"/>
      <c r="BG40" s="22"/>
      <c r="BH40" s="22"/>
      <c r="BI40" s="22">
        <v>142.64699999999999</v>
      </c>
      <c r="BJ40" s="22">
        <v>383.18900000000002</v>
      </c>
      <c r="BK40" s="22">
        <v>1483.3209999999999</v>
      </c>
      <c r="BL40" s="22">
        <v>2145.7489999999998</v>
      </c>
      <c r="BM40" s="22">
        <v>3122.5219999999999</v>
      </c>
      <c r="BN40" s="22">
        <f t="shared" si="377"/>
        <v>5400</v>
      </c>
      <c r="BO40" s="22">
        <f t="shared" si="377"/>
        <v>9536.5380000000005</v>
      </c>
      <c r="BP40" s="22">
        <f t="shared" si="377"/>
        <v>17418.896000000001</v>
      </c>
      <c r="BQ40" s="22">
        <f t="shared" si="377"/>
        <v>20509</v>
      </c>
      <c r="BR40" s="22">
        <f t="shared" si="377"/>
        <v>24906</v>
      </c>
      <c r="BS40" s="22">
        <f t="shared" si="377"/>
        <v>40217</v>
      </c>
      <c r="BT40" s="22">
        <v>60609</v>
      </c>
      <c r="BU40" s="22"/>
      <c r="BV40" s="22"/>
      <c r="BW40" s="22"/>
      <c r="BX40" s="22"/>
      <c r="BY40" s="22"/>
    </row>
    <row r="41" spans="2:77" s="16" customFormat="1" x14ac:dyDescent="0.35">
      <c r="B41" s="16" t="s">
        <v>31</v>
      </c>
      <c r="C41" s="23"/>
      <c r="D41" s="23"/>
      <c r="E41" s="23"/>
      <c r="F41" s="23"/>
      <c r="G41" s="38">
        <f t="shared" ref="G41:Z41" si="378">G39-G40</f>
        <v>0</v>
      </c>
      <c r="H41" s="23">
        <f t="shared" si="378"/>
        <v>0</v>
      </c>
      <c r="I41" s="23">
        <f t="shared" si="378"/>
        <v>0</v>
      </c>
      <c r="J41" s="23">
        <f t="shared" si="378"/>
        <v>0</v>
      </c>
      <c r="K41" s="38">
        <f t="shared" si="378"/>
        <v>0</v>
      </c>
      <c r="L41" s="23">
        <f t="shared" si="378"/>
        <v>0</v>
      </c>
      <c r="M41" s="23">
        <f t="shared" si="378"/>
        <v>0</v>
      </c>
      <c r="N41" s="23">
        <f t="shared" si="378"/>
        <v>0</v>
      </c>
      <c r="O41" s="38">
        <f t="shared" si="378"/>
        <v>0</v>
      </c>
      <c r="P41" s="23">
        <f t="shared" si="378"/>
        <v>0</v>
      </c>
      <c r="Q41" s="23">
        <f t="shared" si="378"/>
        <v>0</v>
      </c>
      <c r="R41" s="23">
        <f t="shared" si="378"/>
        <v>0</v>
      </c>
      <c r="S41" s="38">
        <f t="shared" si="378"/>
        <v>0</v>
      </c>
      <c r="T41" s="23">
        <f t="shared" si="378"/>
        <v>0</v>
      </c>
      <c r="U41" s="23">
        <f t="shared" si="378"/>
        <v>0</v>
      </c>
      <c r="V41" s="23">
        <f t="shared" si="378"/>
        <v>0</v>
      </c>
      <c r="W41" s="38">
        <f t="shared" si="378"/>
        <v>456.52600000000029</v>
      </c>
      <c r="X41" s="23">
        <f t="shared" si="378"/>
        <v>618.93000000000029</v>
      </c>
      <c r="Y41" s="23">
        <f t="shared" si="378"/>
        <v>1524</v>
      </c>
      <c r="Z41" s="23">
        <f t="shared" si="378"/>
        <v>1442.6479999999992</v>
      </c>
      <c r="AA41" s="38">
        <f t="shared" ref="AA41:AT41" si="379">AA39-AA40</f>
        <v>566</v>
      </c>
      <c r="AB41" s="23">
        <f t="shared" si="379"/>
        <v>921</v>
      </c>
      <c r="AC41" s="23">
        <f t="shared" si="379"/>
        <v>1191</v>
      </c>
      <c r="AD41" s="23">
        <f t="shared" si="379"/>
        <v>1391</v>
      </c>
      <c r="AE41" s="38">
        <f t="shared" si="379"/>
        <v>1234</v>
      </c>
      <c r="AF41" s="23">
        <f t="shared" si="379"/>
        <v>1267</v>
      </c>
      <c r="AG41" s="23">
        <f t="shared" si="379"/>
        <v>2063</v>
      </c>
      <c r="AH41" s="23">
        <f t="shared" si="379"/>
        <v>2066</v>
      </c>
      <c r="AI41" s="38">
        <f t="shared" si="379"/>
        <v>2215</v>
      </c>
      <c r="AJ41" s="23">
        <f t="shared" si="379"/>
        <v>2884</v>
      </c>
      <c r="AK41" s="23">
        <f t="shared" si="379"/>
        <v>3660</v>
      </c>
      <c r="AL41" s="23">
        <f t="shared" si="379"/>
        <v>4847</v>
      </c>
      <c r="AM41" s="38">
        <f t="shared" si="379"/>
        <v>5460</v>
      </c>
      <c r="AN41" s="23">
        <f t="shared" si="379"/>
        <v>4234</v>
      </c>
      <c r="AO41" s="23">
        <f t="shared" si="379"/>
        <v>5382</v>
      </c>
      <c r="AP41" s="23">
        <f t="shared" si="379"/>
        <v>5777</v>
      </c>
      <c r="AQ41" s="38">
        <f t="shared" si="379"/>
        <v>4511</v>
      </c>
      <c r="AR41" s="23">
        <f t="shared" si="379"/>
        <v>4533</v>
      </c>
      <c r="AS41" s="23">
        <f t="shared" si="379"/>
        <v>0</v>
      </c>
      <c r="AT41" s="23">
        <f t="shared" si="379"/>
        <v>0</v>
      </c>
      <c r="AU41" s="23"/>
      <c r="AV41" s="23"/>
      <c r="AW41" s="23"/>
      <c r="AX41" s="23"/>
      <c r="AY41" s="23"/>
      <c r="AZ41" s="23"/>
      <c r="BA41" s="23">
        <f t="shared" ref="BA41" si="380">BA39-BA40</f>
        <v>0</v>
      </c>
      <c r="BB41" s="23">
        <f t="shared" ref="BB41" si="381">BB39-BB40</f>
        <v>0</v>
      </c>
      <c r="BC41" s="23">
        <f t="shared" ref="BC41" si="382">BC39-BC40</f>
        <v>0</v>
      </c>
      <c r="BD41" s="23">
        <f t="shared" ref="BD41" si="383">BD39-BD40</f>
        <v>0</v>
      </c>
      <c r="BE41" s="23">
        <f t="shared" ref="BE41" si="384">BE39-BE40</f>
        <v>0</v>
      </c>
      <c r="BF41" s="23">
        <f t="shared" ref="BF41" si="385">BF39-BF40</f>
        <v>0</v>
      </c>
      <c r="BG41" s="23">
        <f t="shared" ref="BG41" si="386">BG39-BG40</f>
        <v>0</v>
      </c>
      <c r="BH41" s="23">
        <f t="shared" ref="BH41" si="387">BH39-BH40</f>
        <v>0</v>
      </c>
      <c r="BI41" s="23">
        <f t="shared" ref="BI41" si="388">BI39-BI40</f>
        <v>61.594999999999999</v>
      </c>
      <c r="BJ41" s="23">
        <f t="shared" ref="BJ41" si="389">BJ39-BJ40</f>
        <v>30.06699999999995</v>
      </c>
      <c r="BK41" s="23">
        <f t="shared" ref="BK41" si="390">BK39-BK40</f>
        <v>530.17500000000018</v>
      </c>
      <c r="BL41" s="23">
        <f t="shared" ref="BL41" si="391">BL39-BL40</f>
        <v>1052.6070000000004</v>
      </c>
      <c r="BM41" s="23">
        <f t="shared" ref="BM41" si="392">BM39-BM40</f>
        <v>923.50300000000016</v>
      </c>
      <c r="BN41" s="23">
        <f t="shared" ref="BN41:BS41" si="393">BN39-BN40</f>
        <v>1600</v>
      </c>
      <c r="BO41" s="23">
        <f t="shared" si="393"/>
        <v>2221.4619999999995</v>
      </c>
      <c r="BP41" s="23">
        <f t="shared" si="393"/>
        <v>4042.1039999999994</v>
      </c>
      <c r="BQ41" s="23">
        <f t="shared" si="393"/>
        <v>4069</v>
      </c>
      <c r="BR41" s="23">
        <f t="shared" si="393"/>
        <v>6630</v>
      </c>
      <c r="BS41" s="23">
        <f t="shared" si="393"/>
        <v>13606</v>
      </c>
      <c r="BT41" s="23">
        <f t="shared" ref="BT41" si="394">BT39-BT40</f>
        <v>20853</v>
      </c>
      <c r="BU41" s="23">
        <f t="shared" ref="BU41" si="395">BU39-BU40</f>
        <v>0</v>
      </c>
      <c r="BV41" s="23">
        <f t="shared" ref="BV41" si="396">BV39-BV40</f>
        <v>0</v>
      </c>
      <c r="BW41" s="23">
        <f t="shared" ref="BW41" si="397">BW39-BW40</f>
        <v>0</v>
      </c>
      <c r="BX41" s="23"/>
      <c r="BY41" s="23"/>
    </row>
    <row r="42" spans="2:77" s="13" customFormat="1" x14ac:dyDescent="0.35">
      <c r="B42" s="12" t="s">
        <v>32</v>
      </c>
      <c r="C42" s="27"/>
      <c r="D42" s="27"/>
      <c r="E42" s="27"/>
      <c r="F42" s="27"/>
      <c r="G42" s="42"/>
      <c r="H42" s="27"/>
      <c r="I42" s="27"/>
      <c r="J42" s="27"/>
      <c r="K42" s="42"/>
      <c r="L42" s="27"/>
      <c r="M42" s="27"/>
      <c r="N42" s="27"/>
      <c r="O42" s="42"/>
      <c r="P42" s="27"/>
      <c r="Q42" s="27"/>
      <c r="R42" s="27"/>
      <c r="S42" s="42"/>
      <c r="T42" s="27"/>
      <c r="U42" s="27"/>
      <c r="V42" s="27"/>
      <c r="W42" s="42"/>
      <c r="X42" s="27"/>
      <c r="Y42" s="27"/>
      <c r="Z42" s="27"/>
      <c r="AA42" s="42"/>
      <c r="AB42" s="27"/>
      <c r="AC42" s="27"/>
      <c r="AD42" s="27"/>
      <c r="AE42" s="42"/>
      <c r="AF42" s="27"/>
      <c r="AG42" s="27"/>
      <c r="AH42" s="27"/>
      <c r="AI42" s="42"/>
      <c r="AJ42" s="27"/>
      <c r="AK42" s="27"/>
      <c r="AL42" s="27"/>
      <c r="AM42" s="42"/>
      <c r="AN42" s="27"/>
      <c r="AO42" s="27"/>
      <c r="AP42" s="27"/>
      <c r="AQ42" s="42"/>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row>
    <row r="43" spans="2:77" x14ac:dyDescent="0.35">
      <c r="B43" t="s">
        <v>33</v>
      </c>
      <c r="C43" s="7"/>
      <c r="D43" s="7"/>
      <c r="E43" s="7"/>
      <c r="F43" s="7"/>
      <c r="G43" s="36"/>
      <c r="H43" s="7"/>
      <c r="I43" s="7"/>
      <c r="J43" s="7"/>
      <c r="K43" s="36"/>
      <c r="L43" s="7"/>
      <c r="M43" s="7"/>
      <c r="N43" s="7"/>
      <c r="O43" s="36"/>
      <c r="P43" s="7"/>
      <c r="Q43" s="7"/>
      <c r="R43" s="7"/>
      <c r="S43" s="36"/>
      <c r="T43" s="7"/>
      <c r="U43" s="7"/>
      <c r="V43" s="7"/>
      <c r="W43" s="36">
        <v>367.096</v>
      </c>
      <c r="X43" s="7">
        <v>386.12900000000002</v>
      </c>
      <c r="Y43" s="7">
        <v>351</v>
      </c>
      <c r="Z43" s="7">
        <f>BP43-Y43-X43-W43</f>
        <v>355.77499999999998</v>
      </c>
      <c r="AA43" s="36">
        <v>340</v>
      </c>
      <c r="AB43" s="7">
        <v>324</v>
      </c>
      <c r="AC43" s="7">
        <v>334</v>
      </c>
      <c r="AD43" s="7">
        <f>BQ43-AC43-AB43-AA43</f>
        <v>345</v>
      </c>
      <c r="AE43" s="36">
        <v>324</v>
      </c>
      <c r="AF43" s="7">
        <v>279</v>
      </c>
      <c r="AG43" s="7">
        <v>366</v>
      </c>
      <c r="AH43" s="7">
        <f>BR43-AG43-AF43-AE43</f>
        <v>522</v>
      </c>
      <c r="AI43" s="36">
        <v>666</v>
      </c>
      <c r="AJ43" s="7">
        <v>576</v>
      </c>
      <c r="AK43" s="7">
        <v>611</v>
      </c>
      <c r="AL43" s="7">
        <f>BS43-AK43-AJ43-AI43</f>
        <v>740</v>
      </c>
      <c r="AM43" s="36">
        <v>865</v>
      </c>
      <c r="AN43" s="7">
        <v>667</v>
      </c>
      <c r="AO43" s="7">
        <v>733</v>
      </c>
      <c r="AP43" s="7">
        <f>BT43-AO43-AN43-AM43</f>
        <v>810</v>
      </c>
      <c r="AQ43" s="36">
        <v>771</v>
      </c>
      <c r="AR43" s="7">
        <v>943</v>
      </c>
      <c r="AS43" s="7"/>
      <c r="AT43" s="7"/>
      <c r="AU43" s="7"/>
      <c r="AV43" s="7"/>
      <c r="AW43" s="7"/>
      <c r="AX43" s="7"/>
      <c r="AY43" s="7"/>
      <c r="AZ43" s="7"/>
      <c r="BA43" s="7"/>
      <c r="BB43" s="7"/>
      <c r="BC43" s="7"/>
      <c r="BD43" s="7"/>
      <c r="BE43" s="7"/>
      <c r="BF43" s="7"/>
      <c r="BG43" s="7"/>
      <c r="BH43" s="7"/>
      <c r="BI43" s="7">
        <v>208.98099999999999</v>
      </c>
      <c r="BJ43" s="7">
        <v>273.97800000000001</v>
      </c>
      <c r="BK43" s="7">
        <v>231.976</v>
      </c>
      <c r="BL43" s="7">
        <v>464.7</v>
      </c>
      <c r="BM43" s="7">
        <v>717.9</v>
      </c>
      <c r="BN43" s="7">
        <v>834.40800000000002</v>
      </c>
      <c r="BO43" s="7">
        <v>1378</v>
      </c>
      <c r="BP43" s="7">
        <v>1460</v>
      </c>
      <c r="BQ43" s="7">
        <v>1343</v>
      </c>
      <c r="BR43" s="7">
        <v>1491</v>
      </c>
      <c r="BS43" s="7">
        <v>2593</v>
      </c>
      <c r="BT43" s="7">
        <v>3075</v>
      </c>
      <c r="BU43" s="7"/>
      <c r="BV43" s="7"/>
      <c r="BW43" s="7"/>
      <c r="BX43" s="7"/>
      <c r="BY43" s="7"/>
    </row>
    <row r="44" spans="2:77" x14ac:dyDescent="0.35">
      <c r="B44" t="s">
        <v>34</v>
      </c>
      <c r="C44" s="7"/>
      <c r="D44" s="7"/>
      <c r="E44" s="7"/>
      <c r="F44" s="7"/>
      <c r="G44" s="36"/>
      <c r="H44" s="7"/>
      <c r="I44" s="7"/>
      <c r="J44" s="7"/>
      <c r="K44" s="36"/>
      <c r="L44" s="7"/>
      <c r="M44" s="7"/>
      <c r="N44" s="7"/>
      <c r="O44" s="36"/>
      <c r="P44" s="7"/>
      <c r="Q44" s="7"/>
      <c r="R44" s="7"/>
      <c r="S44" s="36"/>
      <c r="T44" s="7"/>
      <c r="U44" s="7"/>
      <c r="V44" s="7"/>
      <c r="W44" s="36">
        <v>686.404</v>
      </c>
      <c r="X44" s="7">
        <v>750.75900000000001</v>
      </c>
      <c r="Y44" s="7">
        <v>730</v>
      </c>
      <c r="Z44" s="7">
        <f>BP44-Y44-X44-W44</f>
        <v>667.83699999999999</v>
      </c>
      <c r="AA44" s="36">
        <v>704</v>
      </c>
      <c r="AB44" s="7">
        <v>647</v>
      </c>
      <c r="AC44" s="7">
        <v>596</v>
      </c>
      <c r="AD44" s="7">
        <f>BQ44-AC44-AB44-AA44</f>
        <v>699</v>
      </c>
      <c r="AE44" s="36">
        <v>627</v>
      </c>
      <c r="AF44" s="7">
        <v>661</v>
      </c>
      <c r="AG44" s="7">
        <v>888</v>
      </c>
      <c r="AH44" s="7">
        <f>BR44-AG44-AF44-AE44</f>
        <v>969</v>
      </c>
      <c r="AI44" s="36">
        <v>1056</v>
      </c>
      <c r="AJ44" s="7">
        <v>973</v>
      </c>
      <c r="AK44" s="7">
        <v>994</v>
      </c>
      <c r="AL44" s="7">
        <f>BS44-AK44-AJ44-AI44</f>
        <v>1494</v>
      </c>
      <c r="AM44" s="36">
        <v>992</v>
      </c>
      <c r="AN44" s="7">
        <v>961</v>
      </c>
      <c r="AO44" s="7">
        <v>961</v>
      </c>
      <c r="AP44" s="7">
        <f>BT44-AO44-AN44-AM44</f>
        <v>1032</v>
      </c>
      <c r="AQ44" s="36">
        <v>1076</v>
      </c>
      <c r="AR44" s="7">
        <v>1191</v>
      </c>
      <c r="AS44" s="7"/>
      <c r="AT44" s="7"/>
      <c r="AU44" s="7"/>
      <c r="AV44" s="7"/>
      <c r="AW44" s="7"/>
      <c r="AX44" s="7"/>
      <c r="AY44" s="7"/>
      <c r="AZ44" s="7"/>
      <c r="BA44" s="7"/>
      <c r="BB44" s="7"/>
      <c r="BC44" s="7"/>
      <c r="BD44" s="7"/>
      <c r="BE44" s="7"/>
      <c r="BF44" s="7"/>
      <c r="BG44" s="7"/>
      <c r="BH44" s="7"/>
      <c r="BI44" s="7">
        <v>104.102</v>
      </c>
      <c r="BJ44" s="7">
        <v>150.37200000000001</v>
      </c>
      <c r="BK44" s="7">
        <v>285.56900000000002</v>
      </c>
      <c r="BL44" s="7">
        <v>603.66</v>
      </c>
      <c r="BM44" s="7">
        <v>922.23199999999997</v>
      </c>
      <c r="BN44" s="7">
        <v>1432.1890000000001</v>
      </c>
      <c r="BO44" s="7">
        <v>2477</v>
      </c>
      <c r="BP44" s="7">
        <v>2835</v>
      </c>
      <c r="BQ44" s="7">
        <v>2646</v>
      </c>
      <c r="BR44" s="7">
        <v>3145</v>
      </c>
      <c r="BS44" s="7">
        <v>4517</v>
      </c>
      <c r="BT44" s="7">
        <v>3946</v>
      </c>
      <c r="BU44" s="7"/>
      <c r="BV44" s="7"/>
      <c r="BW44" s="7"/>
      <c r="BX44" s="7"/>
      <c r="BY44" s="7"/>
    </row>
    <row r="45" spans="2:77" s="10" customFormat="1" x14ac:dyDescent="0.35">
      <c r="B45" s="10" t="s">
        <v>35</v>
      </c>
      <c r="C45" s="22"/>
      <c r="D45" s="22"/>
      <c r="E45" s="22"/>
      <c r="F45" s="22"/>
      <c r="G45" s="37"/>
      <c r="H45" s="22"/>
      <c r="I45" s="22"/>
      <c r="J45" s="22"/>
      <c r="K45" s="37"/>
      <c r="L45" s="22"/>
      <c r="M45" s="22"/>
      <c r="N45" s="22"/>
      <c r="O45" s="37"/>
      <c r="P45" s="22"/>
      <c r="Q45" s="22"/>
      <c r="R45" s="22"/>
      <c r="S45" s="37"/>
      <c r="T45" s="22"/>
      <c r="U45" s="22"/>
      <c r="V45" s="22"/>
      <c r="W45" s="37">
        <v>0</v>
      </c>
      <c r="X45" s="22">
        <v>103.434</v>
      </c>
      <c r="Y45" s="22">
        <v>27</v>
      </c>
      <c r="Z45" s="7">
        <f>BP45-Y45-X45-W45</f>
        <v>4.5660000000000025</v>
      </c>
      <c r="AA45" s="37">
        <v>44</v>
      </c>
      <c r="AB45" s="22">
        <v>117</v>
      </c>
      <c r="AC45" s="22">
        <v>0</v>
      </c>
      <c r="AD45" s="7">
        <f>BQ45-AC45-AB45-AA45</f>
        <v>-12</v>
      </c>
      <c r="AE45" s="37">
        <v>0</v>
      </c>
      <c r="AF45" s="22">
        <v>0</v>
      </c>
      <c r="AG45" s="22">
        <v>0</v>
      </c>
      <c r="AH45" s="7">
        <f>BR45-AG45-AF45-AE45</f>
        <v>0</v>
      </c>
      <c r="AI45" s="37">
        <v>-101</v>
      </c>
      <c r="AJ45" s="22">
        <v>23</v>
      </c>
      <c r="AK45" s="22">
        <v>51</v>
      </c>
      <c r="AL45" s="7">
        <f>BS45-AK45-AJ45-AI45</f>
        <v>0</v>
      </c>
      <c r="AM45" s="37">
        <v>0</v>
      </c>
      <c r="AN45" s="22">
        <v>142</v>
      </c>
      <c r="AO45" s="22">
        <v>0</v>
      </c>
      <c r="AP45" s="7">
        <f>BT45-AO45-AN45-AM45</f>
        <v>34</v>
      </c>
      <c r="AQ45" s="37">
        <v>0</v>
      </c>
      <c r="AR45" s="22">
        <v>0</v>
      </c>
      <c r="AS45" s="22"/>
      <c r="AT45" s="22"/>
      <c r="AU45" s="22"/>
      <c r="AV45" s="22"/>
      <c r="AW45" s="22"/>
      <c r="AX45" s="22"/>
      <c r="AY45" s="22"/>
      <c r="AZ45" s="22"/>
      <c r="BA45" s="22"/>
      <c r="BB45" s="22"/>
      <c r="BC45" s="22"/>
      <c r="BD45" s="22"/>
      <c r="BE45" s="22"/>
      <c r="BF45" s="22"/>
      <c r="BG45" s="22"/>
      <c r="BH45" s="22"/>
      <c r="BI45" s="22">
        <v>0</v>
      </c>
      <c r="BJ45" s="22">
        <v>0</v>
      </c>
      <c r="BK45" s="22">
        <v>0</v>
      </c>
      <c r="BL45" s="22">
        <v>0</v>
      </c>
      <c r="BM45" s="22">
        <v>0</v>
      </c>
      <c r="BN45" s="22">
        <v>0</v>
      </c>
      <c r="BO45" s="22">
        <v>0</v>
      </c>
      <c r="BP45" s="22">
        <v>135</v>
      </c>
      <c r="BQ45" s="22">
        <v>149</v>
      </c>
      <c r="BR45" s="22">
        <v>0</v>
      </c>
      <c r="BS45" s="22">
        <v>-27</v>
      </c>
      <c r="BT45" s="22">
        <v>176</v>
      </c>
      <c r="BU45" s="22"/>
      <c r="BV45" s="22"/>
      <c r="BW45" s="22"/>
      <c r="BX45" s="22"/>
      <c r="BY45" s="22"/>
    </row>
    <row r="46" spans="2:77" s="14" customFormat="1" x14ac:dyDescent="0.35">
      <c r="B46" s="14" t="s">
        <v>36</v>
      </c>
      <c r="C46" s="28"/>
      <c r="D46" s="28"/>
      <c r="E46" s="28"/>
      <c r="F46" s="28"/>
      <c r="G46" s="43">
        <f t="shared" ref="G46:Z46" si="398">SUM(G43:G45)</f>
        <v>0</v>
      </c>
      <c r="H46" s="28">
        <f t="shared" si="398"/>
        <v>0</v>
      </c>
      <c r="I46" s="28">
        <f t="shared" si="398"/>
        <v>0</v>
      </c>
      <c r="J46" s="28">
        <f t="shared" si="398"/>
        <v>0</v>
      </c>
      <c r="K46" s="43">
        <f t="shared" si="398"/>
        <v>0</v>
      </c>
      <c r="L46" s="28">
        <f t="shared" si="398"/>
        <v>0</v>
      </c>
      <c r="M46" s="28">
        <f t="shared" si="398"/>
        <v>0</v>
      </c>
      <c r="N46" s="28">
        <f t="shared" si="398"/>
        <v>0</v>
      </c>
      <c r="O46" s="43">
        <f t="shared" si="398"/>
        <v>0</v>
      </c>
      <c r="P46" s="28">
        <f t="shared" si="398"/>
        <v>0</v>
      </c>
      <c r="Q46" s="28">
        <f t="shared" si="398"/>
        <v>0</v>
      </c>
      <c r="R46" s="28">
        <f t="shared" si="398"/>
        <v>0</v>
      </c>
      <c r="S46" s="43">
        <f t="shared" si="398"/>
        <v>0</v>
      </c>
      <c r="T46" s="28">
        <f t="shared" si="398"/>
        <v>0</v>
      </c>
      <c r="U46" s="28">
        <f t="shared" si="398"/>
        <v>0</v>
      </c>
      <c r="V46" s="28">
        <f t="shared" si="398"/>
        <v>0</v>
      </c>
      <c r="W46" s="43">
        <f t="shared" si="398"/>
        <v>1053.5</v>
      </c>
      <c r="X46" s="28">
        <f t="shared" si="398"/>
        <v>1240.3219999999999</v>
      </c>
      <c r="Y46" s="28">
        <f t="shared" si="398"/>
        <v>1108</v>
      </c>
      <c r="Z46" s="28">
        <f t="shared" si="398"/>
        <v>1028.1779999999999</v>
      </c>
      <c r="AA46" s="43">
        <f t="shared" ref="AA46:AT46" si="399">SUM(AA43:AA45)</f>
        <v>1088</v>
      </c>
      <c r="AB46" s="28">
        <f t="shared" si="399"/>
        <v>1088</v>
      </c>
      <c r="AC46" s="28">
        <f t="shared" si="399"/>
        <v>930</v>
      </c>
      <c r="AD46" s="28">
        <f t="shared" si="399"/>
        <v>1032</v>
      </c>
      <c r="AE46" s="43">
        <f t="shared" si="399"/>
        <v>951</v>
      </c>
      <c r="AF46" s="28">
        <f t="shared" si="399"/>
        <v>940</v>
      </c>
      <c r="AG46" s="28">
        <f t="shared" si="399"/>
        <v>1254</v>
      </c>
      <c r="AH46" s="28">
        <f t="shared" si="399"/>
        <v>1491</v>
      </c>
      <c r="AI46" s="43">
        <f t="shared" si="399"/>
        <v>1621</v>
      </c>
      <c r="AJ46" s="28">
        <f t="shared" si="399"/>
        <v>1572</v>
      </c>
      <c r="AK46" s="28">
        <f t="shared" si="399"/>
        <v>1656</v>
      </c>
      <c r="AL46" s="28">
        <f t="shared" si="399"/>
        <v>2234</v>
      </c>
      <c r="AM46" s="43">
        <f t="shared" si="399"/>
        <v>1857</v>
      </c>
      <c r="AN46" s="28">
        <f t="shared" si="399"/>
        <v>1770</v>
      </c>
      <c r="AO46" s="28">
        <f t="shared" si="399"/>
        <v>1694</v>
      </c>
      <c r="AP46" s="28">
        <f t="shared" si="399"/>
        <v>1876</v>
      </c>
      <c r="AQ46" s="43">
        <f t="shared" si="399"/>
        <v>1847</v>
      </c>
      <c r="AR46" s="28">
        <f t="shared" si="399"/>
        <v>2134</v>
      </c>
      <c r="AS46" s="28">
        <f t="shared" si="399"/>
        <v>0</v>
      </c>
      <c r="AT46" s="28">
        <f t="shared" si="399"/>
        <v>0</v>
      </c>
      <c r="AU46" s="28"/>
      <c r="AV46" s="28"/>
      <c r="AW46" s="28"/>
      <c r="AX46" s="28"/>
      <c r="AY46" s="28"/>
      <c r="AZ46" s="28"/>
      <c r="BA46" s="28">
        <f t="shared" ref="BA46" si="400">SUM(BA43:BA45)</f>
        <v>0</v>
      </c>
      <c r="BB46" s="28">
        <f t="shared" ref="BB46" si="401">SUM(BB43:BB45)</f>
        <v>0</v>
      </c>
      <c r="BC46" s="28">
        <f t="shared" ref="BC46" si="402">SUM(BC43:BC45)</f>
        <v>0</v>
      </c>
      <c r="BD46" s="28">
        <f t="shared" ref="BD46" si="403">SUM(BD43:BD45)</f>
        <v>0</v>
      </c>
      <c r="BE46" s="28">
        <f t="shared" ref="BE46" si="404">SUM(BE43:BE45)</f>
        <v>0</v>
      </c>
      <c r="BF46" s="28">
        <f t="shared" ref="BF46" si="405">SUM(BF43:BF45)</f>
        <v>0</v>
      </c>
      <c r="BG46" s="28">
        <f t="shared" ref="BG46" si="406">SUM(BG43:BG45)</f>
        <v>0</v>
      </c>
      <c r="BH46" s="28">
        <f t="shared" ref="BH46" si="407">SUM(BH43:BH45)</f>
        <v>0</v>
      </c>
      <c r="BI46" s="28">
        <f t="shared" ref="BI46" si="408">SUM(BI43:BI45)</f>
        <v>313.08299999999997</v>
      </c>
      <c r="BJ46" s="28">
        <f t="shared" ref="BJ46" si="409">SUM(BJ43:BJ45)</f>
        <v>424.35</v>
      </c>
      <c r="BK46" s="28">
        <f t="shared" ref="BK46" si="410">SUM(BK43:BK45)</f>
        <v>517.54500000000007</v>
      </c>
      <c r="BL46" s="28">
        <f t="shared" ref="BL46" si="411">SUM(BL43:BL45)</f>
        <v>1068.3599999999999</v>
      </c>
      <c r="BM46" s="28">
        <f t="shared" ref="BM46" si="412">SUM(BM43:BM45)</f>
        <v>1640.1320000000001</v>
      </c>
      <c r="BN46" s="28">
        <f t="shared" ref="BN46:BS46" si="413">SUM(BN43:BN45)</f>
        <v>2266.5970000000002</v>
      </c>
      <c r="BO46" s="28">
        <f t="shared" si="413"/>
        <v>3855</v>
      </c>
      <c r="BP46" s="28">
        <f t="shared" si="413"/>
        <v>4430</v>
      </c>
      <c r="BQ46" s="28">
        <f t="shared" si="413"/>
        <v>4138</v>
      </c>
      <c r="BR46" s="28">
        <f t="shared" si="413"/>
        <v>4636</v>
      </c>
      <c r="BS46" s="28">
        <f t="shared" si="413"/>
        <v>7083</v>
      </c>
      <c r="BT46" s="28">
        <f t="shared" ref="BT46" si="414">SUM(BT43:BT45)</f>
        <v>7197</v>
      </c>
      <c r="BU46" s="28">
        <f t="shared" ref="BU46" si="415">SUM(BU43:BU45)</f>
        <v>0</v>
      </c>
      <c r="BV46" s="28">
        <f t="shared" ref="BV46" si="416">SUM(BV43:BV45)</f>
        <v>0</v>
      </c>
      <c r="BW46" s="28">
        <f t="shared" ref="BW46" si="417">SUM(BW43:BW45)</f>
        <v>0</v>
      </c>
      <c r="BX46" s="28"/>
      <c r="BY46" s="28"/>
    </row>
    <row r="47" spans="2:77" x14ac:dyDescent="0.35">
      <c r="B47" t="s">
        <v>37</v>
      </c>
      <c r="C47" s="7"/>
      <c r="D47" s="7"/>
      <c r="E47" s="7"/>
      <c r="F47" s="7"/>
      <c r="G47" s="36">
        <f t="shared" ref="G47:Z47" si="418">G41-G46</f>
        <v>0</v>
      </c>
      <c r="H47" s="7">
        <f t="shared" si="418"/>
        <v>0</v>
      </c>
      <c r="I47" s="7">
        <f t="shared" si="418"/>
        <v>0</v>
      </c>
      <c r="J47" s="7">
        <f t="shared" si="418"/>
        <v>0</v>
      </c>
      <c r="K47" s="36">
        <f t="shared" si="418"/>
        <v>0</v>
      </c>
      <c r="L47" s="7">
        <f t="shared" si="418"/>
        <v>0</v>
      </c>
      <c r="M47" s="7">
        <f t="shared" si="418"/>
        <v>0</v>
      </c>
      <c r="N47" s="7">
        <f t="shared" si="418"/>
        <v>0</v>
      </c>
      <c r="O47" s="36">
        <f t="shared" si="418"/>
        <v>0</v>
      </c>
      <c r="P47" s="7">
        <f t="shared" si="418"/>
        <v>0</v>
      </c>
      <c r="Q47" s="7">
        <f t="shared" si="418"/>
        <v>0</v>
      </c>
      <c r="R47" s="7">
        <f t="shared" si="418"/>
        <v>0</v>
      </c>
      <c r="S47" s="36">
        <f t="shared" si="418"/>
        <v>0</v>
      </c>
      <c r="T47" s="7">
        <f t="shared" si="418"/>
        <v>0</v>
      </c>
      <c r="U47" s="7">
        <f t="shared" si="418"/>
        <v>0</v>
      </c>
      <c r="V47" s="7">
        <f t="shared" si="418"/>
        <v>0</v>
      </c>
      <c r="W47" s="36">
        <f t="shared" si="418"/>
        <v>-596.97399999999971</v>
      </c>
      <c r="X47" s="7">
        <f t="shared" si="418"/>
        <v>-621.3919999999996</v>
      </c>
      <c r="Y47" s="7">
        <f t="shared" si="418"/>
        <v>416</v>
      </c>
      <c r="Z47" s="7">
        <f t="shared" si="418"/>
        <v>414.46999999999935</v>
      </c>
      <c r="AA47" s="36">
        <f t="shared" ref="AA47:AT47" si="419">AA41-AA46</f>
        <v>-522</v>
      </c>
      <c r="AB47" s="7">
        <f t="shared" si="419"/>
        <v>-167</v>
      </c>
      <c r="AC47" s="7">
        <f t="shared" si="419"/>
        <v>261</v>
      </c>
      <c r="AD47" s="7">
        <f t="shared" si="419"/>
        <v>359</v>
      </c>
      <c r="AE47" s="36">
        <f t="shared" si="419"/>
        <v>283</v>
      </c>
      <c r="AF47" s="7">
        <f t="shared" si="419"/>
        <v>327</v>
      </c>
      <c r="AG47" s="7">
        <f t="shared" si="419"/>
        <v>809</v>
      </c>
      <c r="AH47" s="7">
        <f t="shared" si="419"/>
        <v>575</v>
      </c>
      <c r="AI47" s="36">
        <f t="shared" si="419"/>
        <v>594</v>
      </c>
      <c r="AJ47" s="7">
        <f t="shared" si="419"/>
        <v>1312</v>
      </c>
      <c r="AK47" s="7">
        <f t="shared" si="419"/>
        <v>2004</v>
      </c>
      <c r="AL47" s="7">
        <f t="shared" si="419"/>
        <v>2613</v>
      </c>
      <c r="AM47" s="36">
        <f t="shared" si="419"/>
        <v>3603</v>
      </c>
      <c r="AN47" s="7">
        <f t="shared" si="419"/>
        <v>2464</v>
      </c>
      <c r="AO47" s="7">
        <f t="shared" si="419"/>
        <v>3688</v>
      </c>
      <c r="AP47" s="7">
        <f t="shared" si="419"/>
        <v>3901</v>
      </c>
      <c r="AQ47" s="36">
        <f t="shared" si="419"/>
        <v>2664</v>
      </c>
      <c r="AR47" s="7">
        <f t="shared" si="419"/>
        <v>2399</v>
      </c>
      <c r="AS47" s="7">
        <f t="shared" si="419"/>
        <v>0</v>
      </c>
      <c r="AT47" s="7">
        <f t="shared" si="419"/>
        <v>0</v>
      </c>
      <c r="AU47" s="7"/>
      <c r="AV47" s="7"/>
      <c r="AW47" s="7"/>
      <c r="AX47" s="7"/>
      <c r="AY47" s="7"/>
      <c r="AZ47" s="7"/>
      <c r="BA47" s="7">
        <f t="shared" ref="BA47" si="420">BA41-BA46</f>
        <v>0</v>
      </c>
      <c r="BB47" s="7">
        <f t="shared" ref="BB47" si="421">BB41-BB46</f>
        <v>0</v>
      </c>
      <c r="BC47" s="7">
        <f t="shared" ref="BC47" si="422">BC41-BC46</f>
        <v>0</v>
      </c>
      <c r="BD47" s="7">
        <f t="shared" ref="BD47" si="423">BD41-BD46</f>
        <v>0</v>
      </c>
      <c r="BE47" s="7">
        <f t="shared" ref="BE47" si="424">BE41-BE46</f>
        <v>0</v>
      </c>
      <c r="BF47" s="7">
        <f t="shared" ref="BF47" si="425">BF41-BF46</f>
        <v>0</v>
      </c>
      <c r="BG47" s="7">
        <f t="shared" ref="BG47" si="426">BG41-BG46</f>
        <v>0</v>
      </c>
      <c r="BH47" s="7">
        <f t="shared" ref="BH47" si="427">BH41-BH46</f>
        <v>0</v>
      </c>
      <c r="BI47" s="7">
        <f t="shared" ref="BI47" si="428">BI41-BI46</f>
        <v>-251.48799999999997</v>
      </c>
      <c r="BJ47" s="7">
        <f t="shared" ref="BJ47" si="429">BJ41-BJ46</f>
        <v>-394.28300000000007</v>
      </c>
      <c r="BK47" s="7">
        <v>-61.283000000000001</v>
      </c>
      <c r="BL47" s="7">
        <v>-186.68899999999999</v>
      </c>
      <c r="BM47" s="7">
        <f t="shared" ref="BM47" si="430">BM41-BM46</f>
        <v>-716.62899999999991</v>
      </c>
      <c r="BN47" s="7">
        <f t="shared" ref="BN47:BS47" si="431">BN41-BN46</f>
        <v>-666.59700000000021</v>
      </c>
      <c r="BO47" s="7">
        <f t="shared" si="431"/>
        <v>-1633.5380000000005</v>
      </c>
      <c r="BP47" s="7">
        <f t="shared" si="431"/>
        <v>-387.89600000000064</v>
      </c>
      <c r="BQ47" s="7">
        <f t="shared" si="431"/>
        <v>-69</v>
      </c>
      <c r="BR47" s="7">
        <f t="shared" si="431"/>
        <v>1994</v>
      </c>
      <c r="BS47" s="7">
        <f t="shared" si="431"/>
        <v>6523</v>
      </c>
      <c r="BT47" s="7">
        <f t="shared" ref="BT47" si="432">BT41-BT46</f>
        <v>13656</v>
      </c>
      <c r="BU47" s="7">
        <f t="shared" ref="BU47" si="433">BU41-BU46</f>
        <v>0</v>
      </c>
      <c r="BV47" s="7">
        <f t="shared" ref="BV47" si="434">BV41-BV46</f>
        <v>0</v>
      </c>
      <c r="BW47" s="7">
        <f t="shared" ref="BW47" si="435">BW41-BW46</f>
        <v>0</v>
      </c>
      <c r="BX47" s="7"/>
      <c r="BY47" s="7"/>
    </row>
    <row r="48" spans="2:77" x14ac:dyDescent="0.35">
      <c r="B48" t="s">
        <v>38</v>
      </c>
      <c r="C48" s="7"/>
      <c r="D48" s="7"/>
      <c r="E48" s="7"/>
      <c r="F48" s="7"/>
      <c r="G48" s="36"/>
      <c r="H48" s="7"/>
      <c r="I48" s="7"/>
      <c r="J48" s="7"/>
      <c r="K48" s="36"/>
      <c r="L48" s="7"/>
      <c r="M48" s="7"/>
      <c r="N48" s="7"/>
      <c r="O48" s="36"/>
      <c r="P48" s="7"/>
      <c r="Q48" s="7"/>
      <c r="R48" s="7"/>
      <c r="S48" s="36"/>
      <c r="T48" s="7"/>
      <c r="U48" s="7"/>
      <c r="V48" s="7"/>
      <c r="W48" s="36">
        <v>5.2140000000000004</v>
      </c>
      <c r="X48" s="7">
        <v>5.0640000000000001</v>
      </c>
      <c r="Y48" s="7">
        <v>7</v>
      </c>
      <c r="Z48" s="7">
        <f>BP48-Y48-X48-W48</f>
        <v>6.7219999999999995</v>
      </c>
      <c r="AA48" s="36">
        <v>9</v>
      </c>
      <c r="AB48" s="7">
        <v>10</v>
      </c>
      <c r="AC48" s="7">
        <v>15</v>
      </c>
      <c r="AD48" s="7">
        <f>BQ48-AC48-AB48-AA48</f>
        <v>10</v>
      </c>
      <c r="AE48" s="36">
        <v>10</v>
      </c>
      <c r="AF48" s="7">
        <v>8</v>
      </c>
      <c r="AG48" s="7">
        <v>6</v>
      </c>
      <c r="AH48" s="7">
        <f>BR48-AG48-AF48-AE48</f>
        <v>6</v>
      </c>
      <c r="AI48" s="36">
        <v>10</v>
      </c>
      <c r="AJ48" s="7">
        <v>11</v>
      </c>
      <c r="AK48" s="7">
        <v>10</v>
      </c>
      <c r="AL48" s="7">
        <f>BS48-AK48-AJ48-AI48</f>
        <v>25</v>
      </c>
      <c r="AM48" s="36">
        <v>28</v>
      </c>
      <c r="AN48" s="7">
        <v>26</v>
      </c>
      <c r="AO48" s="7">
        <v>86</v>
      </c>
      <c r="AP48" s="7">
        <f>BT48-AO48-AN48-AM48</f>
        <v>157</v>
      </c>
      <c r="AQ48" s="36">
        <v>213</v>
      </c>
      <c r="AR48" s="7">
        <v>238</v>
      </c>
      <c r="AS48" s="7"/>
      <c r="AT48" s="7"/>
      <c r="AU48" s="7"/>
      <c r="AV48" s="7"/>
      <c r="AW48" s="7"/>
      <c r="AX48" s="7"/>
      <c r="AY48" s="7"/>
      <c r="AZ48" s="7"/>
      <c r="BA48" s="7"/>
      <c r="BB48" s="7"/>
      <c r="BC48" s="7"/>
      <c r="BD48" s="7"/>
      <c r="BE48" s="7"/>
      <c r="BF48" s="7"/>
      <c r="BG48" s="7"/>
      <c r="BH48" s="7"/>
      <c r="BI48" s="7">
        <v>0.255</v>
      </c>
      <c r="BJ48" s="7">
        <v>0.28799999999999998</v>
      </c>
      <c r="BK48" s="7">
        <v>0.189</v>
      </c>
      <c r="BL48" s="7">
        <v>1.1259999999999999</v>
      </c>
      <c r="BM48" s="7">
        <v>1.508</v>
      </c>
      <c r="BN48" s="7">
        <v>8.5299999999999994</v>
      </c>
      <c r="BO48" s="7">
        <v>19</v>
      </c>
      <c r="BP48" s="7">
        <v>24</v>
      </c>
      <c r="BQ48" s="7">
        <v>44</v>
      </c>
      <c r="BR48" s="7">
        <v>30</v>
      </c>
      <c r="BS48" s="7">
        <v>56</v>
      </c>
      <c r="BT48" s="7">
        <v>297</v>
      </c>
      <c r="BU48" s="7"/>
      <c r="BV48" s="7"/>
      <c r="BW48" s="7"/>
      <c r="BX48" s="7"/>
      <c r="BY48" s="7"/>
    </row>
    <row r="49" spans="2:77" x14ac:dyDescent="0.35">
      <c r="B49" t="s">
        <v>39</v>
      </c>
      <c r="C49" s="7"/>
      <c r="D49" s="7"/>
      <c r="E49" s="7"/>
      <c r="F49" s="7"/>
      <c r="G49" s="36"/>
      <c r="H49" s="7"/>
      <c r="I49" s="7"/>
      <c r="J49" s="7"/>
      <c r="K49" s="36"/>
      <c r="L49" s="7"/>
      <c r="M49" s="7"/>
      <c r="N49" s="7"/>
      <c r="O49" s="36"/>
      <c r="P49" s="7"/>
      <c r="Q49" s="7"/>
      <c r="R49" s="7"/>
      <c r="S49" s="36"/>
      <c r="T49" s="7"/>
      <c r="U49" s="7"/>
      <c r="V49" s="7"/>
      <c r="W49" s="36">
        <v>-149.54599999999999</v>
      </c>
      <c r="X49" s="7">
        <v>-163.58199999999999</v>
      </c>
      <c r="Y49" s="7">
        <v>-175</v>
      </c>
      <c r="Z49" s="7">
        <f>BP49-Y49-X49-W49</f>
        <v>-174.87200000000001</v>
      </c>
      <c r="AA49" s="36">
        <v>-158</v>
      </c>
      <c r="AB49" s="7">
        <v>-172</v>
      </c>
      <c r="AC49" s="7">
        <v>-185</v>
      </c>
      <c r="AD49" s="7">
        <f>BQ49-AC49-AB49-AA49</f>
        <v>-170</v>
      </c>
      <c r="AE49" s="36">
        <v>-169</v>
      </c>
      <c r="AF49" s="7">
        <v>-170</v>
      </c>
      <c r="AG49" s="7">
        <v>-163</v>
      </c>
      <c r="AH49" s="7">
        <f>BR49-AG49-AF49-AE49</f>
        <v>-246</v>
      </c>
      <c r="AI49" s="36">
        <v>-99</v>
      </c>
      <c r="AJ49" s="7">
        <v>-75</v>
      </c>
      <c r="AK49" s="7">
        <v>-126</v>
      </c>
      <c r="AL49" s="7">
        <f>BS49-AK49-AJ49-AI49</f>
        <v>-71</v>
      </c>
      <c r="AM49" s="36">
        <v>-61</v>
      </c>
      <c r="AN49" s="7">
        <v>-44</v>
      </c>
      <c r="AO49" s="7">
        <v>-53</v>
      </c>
      <c r="AP49" s="7">
        <f>BT49-AO49-AN49-AM49</f>
        <v>-33</v>
      </c>
      <c r="AQ49" s="36">
        <v>-29</v>
      </c>
      <c r="AR49" s="7">
        <v>-28</v>
      </c>
      <c r="AS49" s="7"/>
      <c r="AT49" s="7"/>
      <c r="AU49" s="7"/>
      <c r="AV49" s="7"/>
      <c r="AW49" s="7"/>
      <c r="AX49" s="7"/>
      <c r="AY49" s="7"/>
      <c r="AZ49" s="7"/>
      <c r="BA49" s="7"/>
      <c r="BB49" s="7"/>
      <c r="BC49" s="7"/>
      <c r="BD49" s="7"/>
      <c r="BE49" s="7"/>
      <c r="BF49" s="7"/>
      <c r="BG49" s="7"/>
      <c r="BH49" s="7"/>
      <c r="BI49" s="7">
        <v>-4.2999999999999997E-2</v>
      </c>
      <c r="BJ49" s="7">
        <v>-0.254</v>
      </c>
      <c r="BK49" s="7">
        <v>-32.933999999999997</v>
      </c>
      <c r="BL49" s="7">
        <v>-100.886</v>
      </c>
      <c r="BM49" s="7">
        <v>-118.851</v>
      </c>
      <c r="BN49" s="7">
        <v>-198.81</v>
      </c>
      <c r="BO49" s="7">
        <v>-471</v>
      </c>
      <c r="BP49" s="7">
        <v>-663</v>
      </c>
      <c r="BQ49" s="7">
        <v>-685</v>
      </c>
      <c r="BR49" s="7">
        <v>-748</v>
      </c>
      <c r="BS49" s="7">
        <v>-371</v>
      </c>
      <c r="BT49" s="7">
        <v>-191</v>
      </c>
      <c r="BU49" s="7"/>
      <c r="BV49" s="7"/>
      <c r="BW49" s="7"/>
      <c r="BX49" s="7"/>
      <c r="BY49" s="7"/>
    </row>
    <row r="50" spans="2:77" s="10" customFormat="1" x14ac:dyDescent="0.35">
      <c r="B50" s="10" t="s">
        <v>40</v>
      </c>
      <c r="C50" s="22"/>
      <c r="D50" s="22"/>
      <c r="E50" s="22"/>
      <c r="F50" s="22"/>
      <c r="G50" s="37"/>
      <c r="H50" s="22"/>
      <c r="I50" s="22"/>
      <c r="J50" s="22"/>
      <c r="K50" s="37"/>
      <c r="L50" s="22"/>
      <c r="M50" s="22"/>
      <c r="N50" s="22"/>
      <c r="O50" s="37"/>
      <c r="P50" s="22"/>
      <c r="Q50" s="22"/>
      <c r="R50" s="22"/>
      <c r="S50" s="37"/>
      <c r="T50" s="22"/>
      <c r="U50" s="22"/>
      <c r="V50" s="22"/>
      <c r="W50" s="37">
        <v>-37.716000000000001</v>
      </c>
      <c r="X50" s="22">
        <v>50.911000000000001</v>
      </c>
      <c r="Y50" s="22">
        <v>23</v>
      </c>
      <c r="Z50" s="22">
        <f>BP50-Y50-X50-W50</f>
        <v>-14.195</v>
      </c>
      <c r="AA50" s="37">
        <v>26</v>
      </c>
      <c r="AB50" s="22">
        <v>-41</v>
      </c>
      <c r="AC50" s="22">
        <v>85</v>
      </c>
      <c r="AD50" s="22">
        <f>BQ50-AC50-AB50-AA50</f>
        <v>-25</v>
      </c>
      <c r="AE50" s="37">
        <v>-54</v>
      </c>
      <c r="AF50" s="22">
        <v>-15</v>
      </c>
      <c r="AG50" s="22">
        <v>-97</v>
      </c>
      <c r="AH50" s="22">
        <f>BR50-AG50-AF50-AE50</f>
        <v>44</v>
      </c>
      <c r="AI50" s="37">
        <v>28</v>
      </c>
      <c r="AJ50" s="22">
        <v>45</v>
      </c>
      <c r="AK50" s="22">
        <v>-6</v>
      </c>
      <c r="AL50" s="22">
        <f>BS50-AK50-AJ50-AI50</f>
        <v>68</v>
      </c>
      <c r="AM50" s="37">
        <v>56</v>
      </c>
      <c r="AN50" s="22">
        <v>28</v>
      </c>
      <c r="AO50" s="22">
        <v>-85</v>
      </c>
      <c r="AP50" s="22">
        <f>BT50-AO50-AN50-AM50</f>
        <v>-42</v>
      </c>
      <c r="AQ50" s="37">
        <v>-48</v>
      </c>
      <c r="AR50" s="22">
        <v>328</v>
      </c>
      <c r="AS50" s="22"/>
      <c r="AT50" s="22"/>
      <c r="AU50" s="22"/>
      <c r="AV50" s="22"/>
      <c r="AW50" s="22"/>
      <c r="AX50" s="22"/>
      <c r="AY50" s="22"/>
      <c r="AZ50" s="22"/>
      <c r="BA50" s="22"/>
      <c r="BB50" s="22"/>
      <c r="BC50" s="22"/>
      <c r="BD50" s="22"/>
      <c r="BE50" s="22"/>
      <c r="BF50" s="22"/>
      <c r="BG50" s="22"/>
      <c r="BH50" s="22"/>
      <c r="BI50" s="22">
        <v>-2.6459999999999999</v>
      </c>
      <c r="BJ50" s="22">
        <v>-1.8280000000000001</v>
      </c>
      <c r="BK50" s="22">
        <v>22.602</v>
      </c>
      <c r="BL50" s="22">
        <v>1.8129999999999999</v>
      </c>
      <c r="BM50" s="22">
        <v>-41.652000000000001</v>
      </c>
      <c r="BN50" s="22">
        <v>111.27200000000001</v>
      </c>
      <c r="BO50" s="22">
        <v>-125</v>
      </c>
      <c r="BP50" s="22">
        <v>22</v>
      </c>
      <c r="BQ50" s="22">
        <v>45</v>
      </c>
      <c r="BR50" s="22">
        <v>-122</v>
      </c>
      <c r="BS50" s="22">
        <v>135</v>
      </c>
      <c r="BT50" s="22">
        <v>-43</v>
      </c>
      <c r="BU50" s="22"/>
      <c r="BV50" s="22"/>
      <c r="BW50" s="22"/>
      <c r="BX50" s="22"/>
      <c r="BY50" s="22"/>
    </row>
    <row r="51" spans="2:77" x14ac:dyDescent="0.35">
      <c r="B51" t="s">
        <v>41</v>
      </c>
      <c r="C51" s="7"/>
      <c r="D51" s="7"/>
      <c r="E51" s="7"/>
      <c r="F51" s="7"/>
      <c r="G51" s="36">
        <f t="shared" ref="G51" si="436">SUM(G47:G50)</f>
        <v>0</v>
      </c>
      <c r="H51" s="7">
        <f t="shared" ref="H51" si="437">SUM(H47:H50)</f>
        <v>0</v>
      </c>
      <c r="I51" s="7">
        <f t="shared" ref="I51" si="438">SUM(I47:I50)</f>
        <v>0</v>
      </c>
      <c r="J51" s="7">
        <f t="shared" ref="J51" si="439">SUM(J47:J50)</f>
        <v>0</v>
      </c>
      <c r="K51" s="36">
        <f t="shared" ref="K51" si="440">SUM(K47:K50)</f>
        <v>0</v>
      </c>
      <c r="L51" s="7">
        <f t="shared" ref="L51" si="441">SUM(L47:L50)</f>
        <v>0</v>
      </c>
      <c r="M51" s="7">
        <f t="shared" ref="M51" si="442">SUM(M47:M50)</f>
        <v>0</v>
      </c>
      <c r="N51" s="7">
        <f t="shared" ref="N51" si="443">SUM(N47:N50)</f>
        <v>0</v>
      </c>
      <c r="O51" s="36">
        <f t="shared" ref="O51" si="444">SUM(O47:O50)</f>
        <v>0</v>
      </c>
      <c r="P51" s="7">
        <f t="shared" ref="P51" si="445">SUM(P47:P50)</f>
        <v>0</v>
      </c>
      <c r="Q51" s="7">
        <f t="shared" ref="Q51" si="446">SUM(Q47:Q50)</f>
        <v>0</v>
      </c>
      <c r="R51" s="7">
        <f t="shared" ref="R51" si="447">SUM(R47:R50)</f>
        <v>0</v>
      </c>
      <c r="S51" s="36">
        <f t="shared" ref="S51:W51" si="448">SUM(S47:S50)</f>
        <v>0</v>
      </c>
      <c r="T51" s="7">
        <f t="shared" si="448"/>
        <v>0</v>
      </c>
      <c r="U51" s="7">
        <f t="shared" si="448"/>
        <v>0</v>
      </c>
      <c r="V51" s="7">
        <f t="shared" si="448"/>
        <v>0</v>
      </c>
      <c r="W51" s="36">
        <f t="shared" si="448"/>
        <v>-779.02199999999959</v>
      </c>
      <c r="X51" s="7">
        <f t="shared" ref="X51:Z51" si="449">SUM(X47:X50)</f>
        <v>-728.99899999999957</v>
      </c>
      <c r="Y51" s="7">
        <f t="shared" si="449"/>
        <v>271</v>
      </c>
      <c r="Z51" s="7">
        <f t="shared" si="449"/>
        <v>232.12499999999932</v>
      </c>
      <c r="AA51" s="36">
        <f t="shared" ref="AA51" si="450">SUM(AA47:AA50)</f>
        <v>-645</v>
      </c>
      <c r="AB51" s="7">
        <f t="shared" ref="AB51" si="451">SUM(AB47:AB50)</f>
        <v>-370</v>
      </c>
      <c r="AC51" s="7">
        <f t="shared" ref="AC51" si="452">SUM(AC47:AC50)</f>
        <v>176</v>
      </c>
      <c r="AD51" s="7">
        <f t="shared" ref="AD51" si="453">SUM(AD47:AD50)</f>
        <v>174</v>
      </c>
      <c r="AE51" s="36">
        <f t="shared" ref="AE51" si="454">SUM(AE47:AE50)</f>
        <v>70</v>
      </c>
      <c r="AF51" s="7">
        <f t="shared" ref="AF51" si="455">SUM(AF47:AF50)</f>
        <v>150</v>
      </c>
      <c r="AG51" s="7">
        <f t="shared" ref="AG51" si="456">SUM(AG47:AG50)</f>
        <v>555</v>
      </c>
      <c r="AH51" s="7">
        <f t="shared" ref="AH51" si="457">SUM(AH47:AH50)</f>
        <v>379</v>
      </c>
      <c r="AI51" s="36">
        <f t="shared" ref="AI51" si="458">SUM(AI47:AI50)</f>
        <v>533</v>
      </c>
      <c r="AJ51" s="7">
        <f t="shared" ref="AJ51" si="459">SUM(AJ47:AJ50)</f>
        <v>1293</v>
      </c>
      <c r="AK51" s="7">
        <f t="shared" ref="AK51" si="460">SUM(AK47:AK50)</f>
        <v>1882</v>
      </c>
      <c r="AL51" s="7">
        <f t="shared" ref="AL51" si="461">SUM(AL47:AL50)</f>
        <v>2635</v>
      </c>
      <c r="AM51" s="36">
        <f t="shared" ref="AM51" si="462">SUM(AM47:AM50)</f>
        <v>3626</v>
      </c>
      <c r="AN51" s="7">
        <f t="shared" ref="AN51" si="463">SUM(AN47:AN50)</f>
        <v>2474</v>
      </c>
      <c r="AO51" s="7">
        <f t="shared" ref="AO51" si="464">SUM(AO47:AO50)</f>
        <v>3636</v>
      </c>
      <c r="AP51" s="7">
        <f t="shared" ref="AP51" si="465">SUM(AP47:AP50)</f>
        <v>3983</v>
      </c>
      <c r="AQ51" s="36">
        <f t="shared" ref="AQ51" si="466">SUM(AQ47:AQ50)</f>
        <v>2800</v>
      </c>
      <c r="AR51" s="7">
        <f t="shared" ref="AR51" si="467">SUM(AR47:AR50)</f>
        <v>2937</v>
      </c>
      <c r="AS51" s="7">
        <f t="shared" ref="AS51" si="468">SUM(AS47:AS50)</f>
        <v>0</v>
      </c>
      <c r="AT51" s="7">
        <f t="shared" ref="AT51" si="469">SUM(AT47:AT50)</f>
        <v>0</v>
      </c>
      <c r="AU51" s="7"/>
      <c r="AV51" s="7"/>
      <c r="AW51" s="7"/>
      <c r="AX51" s="7"/>
      <c r="AY51" s="7"/>
      <c r="AZ51" s="7"/>
      <c r="BA51" s="7">
        <f t="shared" ref="BA51" si="470">SUM(BA47:BA50)</f>
        <v>0</v>
      </c>
      <c r="BB51" s="7">
        <f t="shared" ref="BB51" si="471">SUM(BB47:BB50)</f>
        <v>0</v>
      </c>
      <c r="BC51" s="7">
        <f t="shared" ref="BC51" si="472">SUM(BC47:BC50)</f>
        <v>0</v>
      </c>
      <c r="BD51" s="7">
        <f t="shared" ref="BD51" si="473">SUM(BD47:BD50)</f>
        <v>0</v>
      </c>
      <c r="BE51" s="7">
        <f t="shared" ref="BE51" si="474">SUM(BE47:BE50)</f>
        <v>0</v>
      </c>
      <c r="BF51" s="7">
        <f t="shared" ref="BF51" si="475">SUM(BF47:BF50)</f>
        <v>0</v>
      </c>
      <c r="BG51" s="7">
        <f t="shared" ref="BG51" si="476">SUM(BG47:BG50)</f>
        <v>0</v>
      </c>
      <c r="BH51" s="7">
        <f t="shared" ref="BH51" si="477">SUM(BH47:BH50)</f>
        <v>0</v>
      </c>
      <c r="BI51" s="7">
        <f t="shared" ref="BI51" si="478">SUM(BI47:BI50)</f>
        <v>-253.92199999999997</v>
      </c>
      <c r="BJ51" s="7">
        <f t="shared" ref="BJ51" si="479">SUM(BJ47:BJ50)</f>
        <v>-396.07700000000006</v>
      </c>
      <c r="BK51" s="7">
        <f t="shared" ref="BK51" si="480">SUM(BK47:BK50)</f>
        <v>-71.425999999999988</v>
      </c>
      <c r="BL51" s="7">
        <f t="shared" ref="BL51" si="481">SUM(BL47:BL50)</f>
        <v>-284.63599999999997</v>
      </c>
      <c r="BM51" s="7">
        <f t="shared" ref="BM51" si="482">SUM(BM47:BM50)</f>
        <v>-875.62399999999991</v>
      </c>
      <c r="BN51" s="7">
        <f t="shared" ref="BN51:BS51" si="483">SUM(BN47:BN50)</f>
        <v>-745.60500000000013</v>
      </c>
      <c r="BO51" s="7">
        <f t="shared" si="483"/>
        <v>-2210.5380000000005</v>
      </c>
      <c r="BP51" s="7">
        <f t="shared" si="483"/>
        <v>-1004.8960000000006</v>
      </c>
      <c r="BQ51" s="7">
        <f t="shared" si="483"/>
        <v>-665</v>
      </c>
      <c r="BR51" s="7">
        <f t="shared" si="483"/>
        <v>1154</v>
      </c>
      <c r="BS51" s="7">
        <f t="shared" si="483"/>
        <v>6343</v>
      </c>
      <c r="BT51" s="7">
        <f t="shared" ref="BT51" si="484">SUM(BT47:BT50)</f>
        <v>13719</v>
      </c>
      <c r="BU51" s="7">
        <f t="shared" ref="BU51" si="485">SUM(BU47:BU50)</f>
        <v>0</v>
      </c>
      <c r="BV51" s="7">
        <f t="shared" ref="BV51" si="486">SUM(BV47:BV50)</f>
        <v>0</v>
      </c>
      <c r="BW51" s="7">
        <f t="shared" ref="BW51" si="487">SUM(BW47:BW50)</f>
        <v>0</v>
      </c>
      <c r="BX51" s="7"/>
      <c r="BY51" s="7"/>
    </row>
    <row r="52" spans="2:77" s="10" customFormat="1" x14ac:dyDescent="0.35">
      <c r="B52" s="10" t="s">
        <v>42</v>
      </c>
      <c r="C52" s="22"/>
      <c r="D52" s="22"/>
      <c r="E52" s="22"/>
      <c r="F52" s="22"/>
      <c r="G52" s="37"/>
      <c r="H52" s="22"/>
      <c r="I52" s="22"/>
      <c r="J52" s="22"/>
      <c r="K52" s="37"/>
      <c r="L52" s="22"/>
      <c r="M52" s="22"/>
      <c r="N52" s="22"/>
      <c r="O52" s="37"/>
      <c r="P52" s="22"/>
      <c r="Q52" s="22"/>
      <c r="R52" s="22"/>
      <c r="S52" s="37"/>
      <c r="T52" s="22"/>
      <c r="U52" s="22"/>
      <c r="V52" s="22"/>
      <c r="W52" s="37">
        <v>5.6050000000000004</v>
      </c>
      <c r="X52" s="22">
        <v>13.707000000000001</v>
      </c>
      <c r="Y52" s="22">
        <v>17</v>
      </c>
      <c r="Z52" s="22">
        <f>BP52-Y52-X52-W52</f>
        <v>21.687999999999999</v>
      </c>
      <c r="AA52" s="37">
        <v>23</v>
      </c>
      <c r="AB52" s="22">
        <v>19</v>
      </c>
      <c r="AC52" s="22">
        <v>26</v>
      </c>
      <c r="AD52" s="22">
        <f>BQ52-AC52-AB52-AA52</f>
        <v>42</v>
      </c>
      <c r="AE52" s="37">
        <v>2</v>
      </c>
      <c r="AF52" s="22">
        <v>21</v>
      </c>
      <c r="AG52" s="22">
        <v>186</v>
      </c>
      <c r="AH52" s="22">
        <f>BR52-AG52-AF52-AE52</f>
        <v>83</v>
      </c>
      <c r="AI52" s="37">
        <v>69</v>
      </c>
      <c r="AJ52" s="22">
        <v>115</v>
      </c>
      <c r="AK52" s="22">
        <v>223</v>
      </c>
      <c r="AL52" s="22">
        <f>BS52-AK52-AJ52-AI52</f>
        <v>292</v>
      </c>
      <c r="AM52" s="37">
        <v>346</v>
      </c>
      <c r="AN52" s="22">
        <v>205</v>
      </c>
      <c r="AO52" s="22">
        <v>305</v>
      </c>
      <c r="AP52" s="22">
        <f>BT52-AO52-AN52-AM52</f>
        <v>276</v>
      </c>
      <c r="AQ52" s="37">
        <v>261</v>
      </c>
      <c r="AR52" s="22">
        <v>323</v>
      </c>
      <c r="AS52" s="22"/>
      <c r="AT52" s="22"/>
      <c r="AU52" s="22"/>
      <c r="AV52" s="22"/>
      <c r="AW52" s="22"/>
      <c r="AX52" s="22"/>
      <c r="AY52" s="22"/>
      <c r="AZ52" s="22"/>
      <c r="BA52" s="22"/>
      <c r="BB52" s="22"/>
      <c r="BC52" s="22"/>
      <c r="BD52" s="22"/>
      <c r="BE52" s="22"/>
      <c r="BF52" s="22"/>
      <c r="BG52" s="22"/>
      <c r="BH52" s="22"/>
      <c r="BI52" s="22">
        <v>0.48899999999999999</v>
      </c>
      <c r="BJ52" s="22">
        <v>0.13600000000000001</v>
      </c>
      <c r="BK52" s="22">
        <v>2.5880000000000001</v>
      </c>
      <c r="BL52" s="22">
        <v>9.4039999999999999</v>
      </c>
      <c r="BM52" s="22">
        <v>13.039</v>
      </c>
      <c r="BN52" s="22">
        <v>26.698</v>
      </c>
      <c r="BO52" s="22">
        <v>32</v>
      </c>
      <c r="BP52" s="22">
        <v>58</v>
      </c>
      <c r="BQ52" s="22">
        <v>110</v>
      </c>
      <c r="BR52" s="22">
        <v>292</v>
      </c>
      <c r="BS52" s="22">
        <v>699</v>
      </c>
      <c r="BT52" s="22">
        <v>1132</v>
      </c>
      <c r="BU52" s="22"/>
      <c r="BV52" s="22"/>
      <c r="BW52" s="22"/>
      <c r="BX52" s="22"/>
      <c r="BY52" s="22"/>
    </row>
    <row r="53" spans="2:77" x14ac:dyDescent="0.35">
      <c r="B53" t="s">
        <v>43</v>
      </c>
      <c r="C53" s="7"/>
      <c r="D53" s="7"/>
      <c r="E53" s="7"/>
      <c r="F53" s="7"/>
      <c r="G53" s="36">
        <f t="shared" ref="G53:Z53" si="488">G51-G52</f>
        <v>0</v>
      </c>
      <c r="H53" s="7">
        <f t="shared" si="488"/>
        <v>0</v>
      </c>
      <c r="I53" s="7">
        <f t="shared" si="488"/>
        <v>0</v>
      </c>
      <c r="J53" s="7">
        <f t="shared" si="488"/>
        <v>0</v>
      </c>
      <c r="K53" s="36">
        <f t="shared" si="488"/>
        <v>0</v>
      </c>
      <c r="L53" s="7">
        <f t="shared" si="488"/>
        <v>0</v>
      </c>
      <c r="M53" s="7">
        <f t="shared" si="488"/>
        <v>0</v>
      </c>
      <c r="N53" s="7">
        <f t="shared" si="488"/>
        <v>0</v>
      </c>
      <c r="O53" s="36">
        <f t="shared" si="488"/>
        <v>0</v>
      </c>
      <c r="P53" s="7">
        <f t="shared" si="488"/>
        <v>0</v>
      </c>
      <c r="Q53" s="7">
        <f t="shared" si="488"/>
        <v>0</v>
      </c>
      <c r="R53" s="7">
        <f t="shared" si="488"/>
        <v>0</v>
      </c>
      <c r="S53" s="36">
        <f t="shared" si="488"/>
        <v>0</v>
      </c>
      <c r="T53" s="7">
        <f t="shared" si="488"/>
        <v>0</v>
      </c>
      <c r="U53" s="7">
        <f t="shared" si="488"/>
        <v>0</v>
      </c>
      <c r="V53" s="7">
        <f t="shared" si="488"/>
        <v>0</v>
      </c>
      <c r="W53" s="36">
        <f t="shared" si="488"/>
        <v>-784.62699999999961</v>
      </c>
      <c r="X53" s="7">
        <f t="shared" si="488"/>
        <v>-742.70599999999956</v>
      </c>
      <c r="Y53" s="7">
        <f t="shared" si="488"/>
        <v>254</v>
      </c>
      <c r="Z53" s="7">
        <f t="shared" si="488"/>
        <v>210.43699999999933</v>
      </c>
      <c r="AA53" s="36">
        <f t="shared" ref="AA53:AT53" si="489">AA51-AA52</f>
        <v>-668</v>
      </c>
      <c r="AB53" s="7">
        <f t="shared" si="489"/>
        <v>-389</v>
      </c>
      <c r="AC53" s="7">
        <f t="shared" si="489"/>
        <v>150</v>
      </c>
      <c r="AD53" s="7">
        <f t="shared" si="489"/>
        <v>132</v>
      </c>
      <c r="AE53" s="36">
        <f t="shared" si="489"/>
        <v>68</v>
      </c>
      <c r="AF53" s="7">
        <f t="shared" si="489"/>
        <v>129</v>
      </c>
      <c r="AG53" s="7">
        <f t="shared" si="489"/>
        <v>369</v>
      </c>
      <c r="AH53" s="7">
        <f t="shared" si="489"/>
        <v>296</v>
      </c>
      <c r="AI53" s="36">
        <f t="shared" si="489"/>
        <v>464</v>
      </c>
      <c r="AJ53" s="7">
        <f t="shared" si="489"/>
        <v>1178</v>
      </c>
      <c r="AK53" s="7">
        <f t="shared" si="489"/>
        <v>1659</v>
      </c>
      <c r="AL53" s="7">
        <f t="shared" si="489"/>
        <v>2343</v>
      </c>
      <c r="AM53" s="36">
        <f t="shared" si="489"/>
        <v>3280</v>
      </c>
      <c r="AN53" s="7">
        <f t="shared" si="489"/>
        <v>2269</v>
      </c>
      <c r="AO53" s="7">
        <f t="shared" si="489"/>
        <v>3331</v>
      </c>
      <c r="AP53" s="7">
        <f t="shared" si="489"/>
        <v>3707</v>
      </c>
      <c r="AQ53" s="36">
        <f t="shared" si="489"/>
        <v>2539</v>
      </c>
      <c r="AR53" s="7">
        <f t="shared" si="489"/>
        <v>2614</v>
      </c>
      <c r="AS53" s="7">
        <f t="shared" si="489"/>
        <v>0</v>
      </c>
      <c r="AT53" s="7">
        <f t="shared" si="489"/>
        <v>0</v>
      </c>
      <c r="AU53" s="7"/>
      <c r="AV53" s="7"/>
      <c r="AW53" s="7"/>
      <c r="AX53" s="7"/>
      <c r="AY53" s="7"/>
      <c r="AZ53" s="7"/>
      <c r="BA53" s="7">
        <f t="shared" ref="BA53" si="490">BA51-BA52</f>
        <v>0</v>
      </c>
      <c r="BB53" s="7">
        <f t="shared" ref="BB53" si="491">BB51-BB52</f>
        <v>0</v>
      </c>
      <c r="BC53" s="7">
        <f t="shared" ref="BC53" si="492">BC51-BC52</f>
        <v>0</v>
      </c>
      <c r="BD53" s="7">
        <f t="shared" ref="BD53" si="493">BD51-BD52</f>
        <v>0</v>
      </c>
      <c r="BE53" s="7">
        <f t="shared" ref="BE53" si="494">BE51-BE52</f>
        <v>0</v>
      </c>
      <c r="BF53" s="7">
        <f t="shared" ref="BF53" si="495">BF51-BF52</f>
        <v>0</v>
      </c>
      <c r="BG53" s="7">
        <f t="shared" ref="BG53" si="496">BG51-BG52</f>
        <v>0</v>
      </c>
      <c r="BH53" s="7">
        <f t="shared" ref="BH53" si="497">BH51-BH52</f>
        <v>0</v>
      </c>
      <c r="BI53" s="7">
        <f t="shared" ref="BI53" si="498">BI51-BI52</f>
        <v>-254.41099999999997</v>
      </c>
      <c r="BJ53" s="7">
        <f t="shared" ref="BJ53" si="499">BJ51-BJ52</f>
        <v>-396.21300000000008</v>
      </c>
      <c r="BK53" s="7">
        <f t="shared" ref="BK53" si="500">BK51-BK52</f>
        <v>-74.013999999999982</v>
      </c>
      <c r="BL53" s="7">
        <f t="shared" ref="BL53" si="501">BL51-BL52</f>
        <v>-294.03999999999996</v>
      </c>
      <c r="BM53" s="7">
        <f t="shared" ref="BM53" si="502">BM51-BM52</f>
        <v>-888.6629999999999</v>
      </c>
      <c r="BN53" s="7">
        <f t="shared" ref="BN53:BS53" si="503">BN51-BN52</f>
        <v>-772.30300000000011</v>
      </c>
      <c r="BO53" s="7">
        <f t="shared" si="503"/>
        <v>-2242.5380000000005</v>
      </c>
      <c r="BP53" s="7">
        <f t="shared" si="503"/>
        <v>-1062.8960000000006</v>
      </c>
      <c r="BQ53" s="7">
        <f t="shared" si="503"/>
        <v>-775</v>
      </c>
      <c r="BR53" s="7">
        <f t="shared" si="503"/>
        <v>862</v>
      </c>
      <c r="BS53" s="7">
        <f t="shared" si="503"/>
        <v>5644</v>
      </c>
      <c r="BT53" s="7">
        <f t="shared" ref="BT53" si="504">BT51-BT52</f>
        <v>12587</v>
      </c>
      <c r="BU53" s="7">
        <f t="shared" ref="BU53" si="505">BU51-BU52</f>
        <v>0</v>
      </c>
      <c r="BV53" s="7">
        <f t="shared" ref="BV53" si="506">BV51-BV52</f>
        <v>0</v>
      </c>
      <c r="BW53" s="7">
        <f t="shared" ref="BW53" si="507">BW51-BW52</f>
        <v>0</v>
      </c>
      <c r="BX53" s="7"/>
      <c r="BY53" s="7"/>
    </row>
    <row r="54" spans="2:77" s="10" customFormat="1" x14ac:dyDescent="0.35">
      <c r="B54" s="10" t="s">
        <v>44</v>
      </c>
      <c r="C54" s="22"/>
      <c r="D54" s="22"/>
      <c r="E54" s="22"/>
      <c r="F54" s="22"/>
      <c r="G54" s="37"/>
      <c r="H54" s="22"/>
      <c r="I54" s="22"/>
      <c r="J54" s="22"/>
      <c r="K54" s="37"/>
      <c r="L54" s="22"/>
      <c r="M54" s="22"/>
      <c r="N54" s="22"/>
      <c r="O54" s="37"/>
      <c r="P54" s="22"/>
      <c r="Q54" s="22"/>
      <c r="R54" s="22"/>
      <c r="S54" s="37"/>
      <c r="T54" s="22"/>
      <c r="U54" s="22"/>
      <c r="V54" s="22"/>
      <c r="W54" s="37">
        <v>-75.075999999999993</v>
      </c>
      <c r="X54" s="22">
        <v>-25.167000000000002</v>
      </c>
      <c r="Y54" s="22">
        <v>-57</v>
      </c>
      <c r="Z54" s="22">
        <f>BP54-Y54-X54-W54</f>
        <v>70.242999999999995</v>
      </c>
      <c r="AA54" s="37">
        <v>34</v>
      </c>
      <c r="AB54" s="22">
        <v>19</v>
      </c>
      <c r="AC54" s="22">
        <v>7</v>
      </c>
      <c r="AD54" s="22">
        <f>BQ54-AC54-AB54-AA54</f>
        <v>27</v>
      </c>
      <c r="AE54" s="37">
        <v>52</v>
      </c>
      <c r="AF54" s="22">
        <v>25</v>
      </c>
      <c r="AG54" s="22">
        <v>38</v>
      </c>
      <c r="AH54" s="22">
        <f>BR54-AG54-AF54-AE54</f>
        <v>26</v>
      </c>
      <c r="AI54" s="37">
        <v>26</v>
      </c>
      <c r="AJ54" s="22">
        <v>36</v>
      </c>
      <c r="AK54" s="22">
        <v>41</v>
      </c>
      <c r="AL54" s="22">
        <f>BS54-AK54-AJ54-AI54</f>
        <v>22</v>
      </c>
      <c r="AM54" s="37">
        <v>-38</v>
      </c>
      <c r="AN54" s="22">
        <v>10</v>
      </c>
      <c r="AO54" s="22">
        <v>39</v>
      </c>
      <c r="AP54" s="22">
        <f>BT54-AO54-AN54-AM54</f>
        <v>20</v>
      </c>
      <c r="AQ54" s="37">
        <v>26</v>
      </c>
      <c r="AR54" s="22">
        <v>-89</v>
      </c>
      <c r="AS54" s="22"/>
      <c r="AT54" s="22"/>
      <c r="AU54" s="22"/>
      <c r="AV54" s="22"/>
      <c r="AW54" s="22"/>
      <c r="AX54" s="22"/>
      <c r="AY54" s="22"/>
      <c r="AZ54" s="22"/>
      <c r="BA54" s="22"/>
      <c r="BB54" s="22"/>
      <c r="BC54" s="22"/>
      <c r="BD54" s="22"/>
      <c r="BE54" s="22"/>
      <c r="BF54" s="22"/>
      <c r="BG54" s="22"/>
      <c r="BH54" s="22"/>
      <c r="BI54" s="22">
        <v>0</v>
      </c>
      <c r="BJ54" s="22">
        <v>0</v>
      </c>
      <c r="BK54" s="22">
        <v>0</v>
      </c>
      <c r="BL54" s="22">
        <v>0</v>
      </c>
      <c r="BM54" s="22">
        <v>0</v>
      </c>
      <c r="BN54" s="22">
        <v>-98.132000000000005</v>
      </c>
      <c r="BO54" s="22">
        <v>-279</v>
      </c>
      <c r="BP54" s="22">
        <v>-87</v>
      </c>
      <c r="BQ54" s="22">
        <v>87</v>
      </c>
      <c r="BR54" s="22">
        <v>141</v>
      </c>
      <c r="BS54" s="22">
        <v>125</v>
      </c>
      <c r="BT54" s="22">
        <v>31</v>
      </c>
      <c r="BU54" s="22"/>
      <c r="BV54" s="22"/>
      <c r="BW54" s="22"/>
      <c r="BX54" s="22"/>
      <c r="BY54" s="22"/>
    </row>
    <row r="55" spans="2:77" s="16" customFormat="1" x14ac:dyDescent="0.35">
      <c r="B55" s="16" t="s">
        <v>45</v>
      </c>
      <c r="C55" s="23"/>
      <c r="D55" s="23"/>
      <c r="E55" s="23"/>
      <c r="F55" s="23"/>
      <c r="G55" s="38">
        <f t="shared" ref="G55:Z55" si="508">G53-G54</f>
        <v>0</v>
      </c>
      <c r="H55" s="23">
        <f t="shared" si="508"/>
        <v>0</v>
      </c>
      <c r="I55" s="23">
        <f t="shared" si="508"/>
        <v>0</v>
      </c>
      <c r="J55" s="23">
        <f t="shared" si="508"/>
        <v>0</v>
      </c>
      <c r="K55" s="38">
        <f t="shared" si="508"/>
        <v>0</v>
      </c>
      <c r="L55" s="23">
        <f t="shared" si="508"/>
        <v>0</v>
      </c>
      <c r="M55" s="23">
        <f t="shared" si="508"/>
        <v>0</v>
      </c>
      <c r="N55" s="23">
        <f t="shared" si="508"/>
        <v>0</v>
      </c>
      <c r="O55" s="38">
        <f t="shared" si="508"/>
        <v>0</v>
      </c>
      <c r="P55" s="23">
        <f t="shared" si="508"/>
        <v>0</v>
      </c>
      <c r="Q55" s="23">
        <f t="shared" si="508"/>
        <v>0</v>
      </c>
      <c r="R55" s="23">
        <f t="shared" si="508"/>
        <v>0</v>
      </c>
      <c r="S55" s="38">
        <f t="shared" si="508"/>
        <v>0</v>
      </c>
      <c r="T55" s="23">
        <f t="shared" si="508"/>
        <v>0</v>
      </c>
      <c r="U55" s="23">
        <f t="shared" si="508"/>
        <v>0</v>
      </c>
      <c r="V55" s="23">
        <f t="shared" si="508"/>
        <v>0</v>
      </c>
      <c r="W55" s="38">
        <f t="shared" si="508"/>
        <v>-709.55099999999959</v>
      </c>
      <c r="X55" s="23">
        <f t="shared" si="508"/>
        <v>-717.53899999999953</v>
      </c>
      <c r="Y55" s="23">
        <f t="shared" si="508"/>
        <v>311</v>
      </c>
      <c r="Z55" s="23">
        <f t="shared" si="508"/>
        <v>140.19399999999933</v>
      </c>
      <c r="AA55" s="38">
        <f t="shared" ref="AA55:AT55" si="509">AA53-AA54</f>
        <v>-702</v>
      </c>
      <c r="AB55" s="23">
        <f t="shared" si="509"/>
        <v>-408</v>
      </c>
      <c r="AC55" s="23">
        <f t="shared" si="509"/>
        <v>143</v>
      </c>
      <c r="AD55" s="23">
        <f t="shared" si="509"/>
        <v>105</v>
      </c>
      <c r="AE55" s="38">
        <f t="shared" si="509"/>
        <v>16</v>
      </c>
      <c r="AF55" s="23">
        <f t="shared" si="509"/>
        <v>104</v>
      </c>
      <c r="AG55" s="23">
        <f t="shared" si="509"/>
        <v>331</v>
      </c>
      <c r="AH55" s="23">
        <f t="shared" si="509"/>
        <v>270</v>
      </c>
      <c r="AI55" s="38">
        <f t="shared" si="509"/>
        <v>438</v>
      </c>
      <c r="AJ55" s="23">
        <f t="shared" si="509"/>
        <v>1142</v>
      </c>
      <c r="AK55" s="23">
        <f t="shared" si="509"/>
        <v>1618</v>
      </c>
      <c r="AL55" s="23">
        <f t="shared" si="509"/>
        <v>2321</v>
      </c>
      <c r="AM55" s="38">
        <f t="shared" si="509"/>
        <v>3318</v>
      </c>
      <c r="AN55" s="23">
        <f t="shared" si="509"/>
        <v>2259</v>
      </c>
      <c r="AO55" s="23">
        <f t="shared" si="509"/>
        <v>3292</v>
      </c>
      <c r="AP55" s="23">
        <f t="shared" si="509"/>
        <v>3687</v>
      </c>
      <c r="AQ55" s="38">
        <f t="shared" si="509"/>
        <v>2513</v>
      </c>
      <c r="AR55" s="23">
        <f t="shared" si="509"/>
        <v>2703</v>
      </c>
      <c r="AS55" s="23">
        <f t="shared" si="509"/>
        <v>0</v>
      </c>
      <c r="AT55" s="23">
        <f t="shared" si="509"/>
        <v>0</v>
      </c>
      <c r="AU55" s="23"/>
      <c r="AV55" s="23"/>
      <c r="AW55" s="23"/>
      <c r="AX55" s="23"/>
      <c r="AY55" s="23"/>
      <c r="AZ55" s="23"/>
      <c r="BA55" s="23">
        <f t="shared" ref="BA55" si="510">BA53-BA54</f>
        <v>0</v>
      </c>
      <c r="BB55" s="23">
        <f t="shared" ref="BB55" si="511">BB53-BB54</f>
        <v>0</v>
      </c>
      <c r="BC55" s="23">
        <f t="shared" ref="BC55" si="512">BC53-BC54</f>
        <v>0</v>
      </c>
      <c r="BD55" s="23">
        <f t="shared" ref="BD55" si="513">BD53-BD54</f>
        <v>0</v>
      </c>
      <c r="BE55" s="23">
        <f t="shared" ref="BE55" si="514">BE53-BE54</f>
        <v>0</v>
      </c>
      <c r="BF55" s="23">
        <f t="shared" ref="BF55" si="515">BF53-BF54</f>
        <v>0</v>
      </c>
      <c r="BG55" s="23">
        <f t="shared" ref="BG55" si="516">BG53-BG54</f>
        <v>0</v>
      </c>
      <c r="BH55" s="23">
        <f t="shared" ref="BH55" si="517">BH53-BH54</f>
        <v>0</v>
      </c>
      <c r="BI55" s="23">
        <f t="shared" ref="BI55" si="518">BI53-BI54</f>
        <v>-254.41099999999997</v>
      </c>
      <c r="BJ55" s="23">
        <f t="shared" ref="BJ55" si="519">BJ53-BJ54</f>
        <v>-396.21300000000008</v>
      </c>
      <c r="BK55" s="23">
        <f t="shared" ref="BK55" si="520">BK53-BK54</f>
        <v>-74.013999999999982</v>
      </c>
      <c r="BL55" s="23">
        <f t="shared" ref="BL55" si="521">BL53-BL54</f>
        <v>-294.03999999999996</v>
      </c>
      <c r="BM55" s="23">
        <f t="shared" ref="BM55" si="522">BM53-BM54</f>
        <v>-888.6629999999999</v>
      </c>
      <c r="BN55" s="23">
        <f t="shared" ref="BN55:BS55" si="523">BN53-BN54</f>
        <v>-674.17100000000005</v>
      </c>
      <c r="BO55" s="23">
        <f t="shared" si="523"/>
        <v>-1963.5380000000005</v>
      </c>
      <c r="BP55" s="23">
        <f t="shared" si="523"/>
        <v>-975.89600000000064</v>
      </c>
      <c r="BQ55" s="23">
        <f t="shared" si="523"/>
        <v>-862</v>
      </c>
      <c r="BR55" s="23">
        <f t="shared" si="523"/>
        <v>721</v>
      </c>
      <c r="BS55" s="23">
        <f t="shared" si="523"/>
        <v>5519</v>
      </c>
      <c r="BT55" s="23">
        <f t="shared" ref="BT55" si="524">BT53-BT54</f>
        <v>12556</v>
      </c>
      <c r="BU55" s="23">
        <f t="shared" ref="BU55" si="525">BU53-BU54</f>
        <v>0</v>
      </c>
      <c r="BV55" s="23">
        <f t="shared" ref="BV55" si="526">BV53-BV54</f>
        <v>0</v>
      </c>
      <c r="BW55" s="23">
        <f t="shared" ref="BW55" si="527">BW53-BW54</f>
        <v>0</v>
      </c>
      <c r="BX55" s="23"/>
      <c r="BY55" s="23"/>
    </row>
    <row r="56" spans="2:77" s="15" customFormat="1" x14ac:dyDescent="0.35">
      <c r="B56" s="15" t="s">
        <v>46</v>
      </c>
      <c r="G56" s="47" t="e">
        <f t="shared" ref="G56:Z56" si="528">G55/G58</f>
        <v>#DIV/0!</v>
      </c>
      <c r="H56" s="15" t="e">
        <f t="shared" si="528"/>
        <v>#DIV/0!</v>
      </c>
      <c r="I56" s="15" t="e">
        <f t="shared" si="528"/>
        <v>#DIV/0!</v>
      </c>
      <c r="J56" s="15" t="e">
        <f t="shared" si="528"/>
        <v>#DIV/0!</v>
      </c>
      <c r="K56" s="47" t="e">
        <f t="shared" si="528"/>
        <v>#DIV/0!</v>
      </c>
      <c r="L56" s="15" t="e">
        <f t="shared" si="528"/>
        <v>#DIV/0!</v>
      </c>
      <c r="M56" s="15" t="e">
        <f t="shared" si="528"/>
        <v>#DIV/0!</v>
      </c>
      <c r="N56" s="15" t="e">
        <f t="shared" si="528"/>
        <v>#DIV/0!</v>
      </c>
      <c r="O56" s="47" t="e">
        <f t="shared" si="528"/>
        <v>#DIV/0!</v>
      </c>
      <c r="P56" s="15" t="e">
        <f t="shared" si="528"/>
        <v>#DIV/0!</v>
      </c>
      <c r="Q56" s="15" t="e">
        <f t="shared" si="528"/>
        <v>#DIV/0!</v>
      </c>
      <c r="R56" s="15" t="e">
        <f t="shared" si="528"/>
        <v>#DIV/0!</v>
      </c>
      <c r="S56" s="47" t="e">
        <f t="shared" si="528"/>
        <v>#DIV/0!</v>
      </c>
      <c r="T56" s="15" t="e">
        <f t="shared" si="528"/>
        <v>#DIV/0!</v>
      </c>
      <c r="U56" s="15" t="e">
        <f t="shared" si="528"/>
        <v>#DIV/0!</v>
      </c>
      <c r="V56" s="15" t="e">
        <f t="shared" si="528"/>
        <v>#DIV/0!</v>
      </c>
      <c r="W56" s="47">
        <f t="shared" si="528"/>
        <v>-0.27990177514792886</v>
      </c>
      <c r="X56" s="15">
        <f t="shared" si="528"/>
        <v>-0.27025951035781526</v>
      </c>
      <c r="Y56" s="15">
        <f t="shared" si="528"/>
        <v>0.12124756335282651</v>
      </c>
      <c r="Z56" s="15">
        <f t="shared" si="528"/>
        <v>5.4656530214424695E-2</v>
      </c>
      <c r="AA56" s="47">
        <f t="shared" ref="AA56:AT56" si="529">AA55/AA58</f>
        <v>-0.27052023121387281</v>
      </c>
      <c r="AB56" s="15">
        <f t="shared" si="529"/>
        <v>-0.1536723163841808</v>
      </c>
      <c r="AC56" s="15">
        <f t="shared" si="529"/>
        <v>5.3140096618357488E-2</v>
      </c>
      <c r="AD56" s="15">
        <f t="shared" si="529"/>
        <v>3.9458850056369787E-2</v>
      </c>
      <c r="AE56" s="47">
        <f t="shared" si="529"/>
        <v>5.8287795992714025E-3</v>
      </c>
      <c r="AF56" s="15">
        <f t="shared" si="529"/>
        <v>3.7356321839080463E-2</v>
      </c>
      <c r="AG56" s="15">
        <f t="shared" si="529"/>
        <v>0.11775168979011028</v>
      </c>
      <c r="AH56" s="15">
        <f t="shared" si="529"/>
        <v>9.6463022508038579E-2</v>
      </c>
      <c r="AI56" s="47">
        <f t="shared" si="529"/>
        <v>0.15192507804370448</v>
      </c>
      <c r="AJ56" s="15">
        <f t="shared" si="529"/>
        <v>0.39203570202540339</v>
      </c>
      <c r="AK56" s="15">
        <f t="shared" si="529"/>
        <v>0.54059472101570327</v>
      </c>
      <c r="AL56" s="15">
        <f t="shared" si="529"/>
        <v>0.78465179175118327</v>
      </c>
      <c r="AM56" s="47">
        <f t="shared" si="529"/>
        <v>1.0692877860135352</v>
      </c>
      <c r="AN56" s="15">
        <f t="shared" si="529"/>
        <v>0.72613307618129219</v>
      </c>
      <c r="AO56" s="15">
        <f t="shared" si="529"/>
        <v>1.0464081373172283</v>
      </c>
      <c r="AP56" s="15">
        <f t="shared" si="529"/>
        <v>1.1779552715654953</v>
      </c>
      <c r="AQ56" s="47">
        <f t="shared" si="529"/>
        <v>0.79374605180037905</v>
      </c>
      <c r="AR56" s="15">
        <f t="shared" si="529"/>
        <v>0.85241248817407755</v>
      </c>
      <c r="AS56" s="15" t="e">
        <f t="shared" si="529"/>
        <v>#DIV/0!</v>
      </c>
      <c r="AT56" s="15" t="e">
        <f t="shared" si="529"/>
        <v>#DIV/0!</v>
      </c>
      <c r="BA56" s="15" t="e">
        <f t="shared" ref="BA56" si="530">BA55/BA58</f>
        <v>#DIV/0!</v>
      </c>
      <c r="BB56" s="15" t="e">
        <f t="shared" ref="BB56" si="531">BB55/BB58</f>
        <v>#DIV/0!</v>
      </c>
      <c r="BC56" s="15" t="e">
        <f t="shared" ref="BC56" si="532">BC55/BC58</f>
        <v>#DIV/0!</v>
      </c>
      <c r="BD56" s="15" t="e">
        <f t="shared" ref="BD56" si="533">BD55/BD58</f>
        <v>#DIV/0!</v>
      </c>
      <c r="BE56" s="15" t="e">
        <f t="shared" ref="BE56" si="534">BE55/BE58</f>
        <v>#DIV/0!</v>
      </c>
      <c r="BF56" s="15" t="e">
        <f t="shared" ref="BF56" si="535">BF55/BF58</f>
        <v>#DIV/0!</v>
      </c>
      <c r="BG56" s="15" t="e">
        <f t="shared" ref="BG56" si="536">BG55/BG58</f>
        <v>#DIV/0!</v>
      </c>
      <c r="BH56" s="15" t="e">
        <f t="shared" ref="BH56" si="537">BH55/BH58</f>
        <v>#DIV/0!</v>
      </c>
      <c r="BI56" s="15">
        <f t="shared" ref="BI56" si="538">BI55/BI58</f>
        <v>-0.1696073333333333</v>
      </c>
      <c r="BJ56" s="15">
        <f t="shared" ref="BJ56" si="539">BJ55/BJ58</f>
        <v>-0.24686168224299071</v>
      </c>
      <c r="BK56" s="15">
        <f t="shared" ref="BK56" si="540">BK55/BK58</f>
        <v>-4.131824944244869E-2</v>
      </c>
      <c r="BL56" s="15">
        <f t="shared" ref="BL56" si="541">BL55/BL58</f>
        <v>-0.15740183128712021</v>
      </c>
      <c r="BM56" s="15">
        <f t="shared" ref="BM56" si="542">BM55/BM58</f>
        <v>-0.46211603563126935</v>
      </c>
      <c r="BN56" s="15">
        <f t="shared" ref="BN56:BS56" si="543">BN55/BN58</f>
        <v>-0.31165737479081729</v>
      </c>
      <c r="BO56" s="15">
        <f t="shared" si="543"/>
        <v>-0.78856947791164678</v>
      </c>
      <c r="BP56" s="15">
        <f t="shared" si="543"/>
        <v>-0.38046627680311917</v>
      </c>
      <c r="BQ56" s="15">
        <f t="shared" si="543"/>
        <v>-0.32393836903419765</v>
      </c>
      <c r="BR56" s="15">
        <f t="shared" si="543"/>
        <v>0.25759199714183639</v>
      </c>
      <c r="BS56" s="15">
        <f t="shared" si="543"/>
        <v>1.8657876943881</v>
      </c>
      <c r="BT56" s="15">
        <f t="shared" ref="BT56" si="544">BT55/BT58</f>
        <v>4.0115015974440897</v>
      </c>
      <c r="BU56" s="15" t="e">
        <f t="shared" ref="BU56" si="545">BU55/BU58</f>
        <v>#DIV/0!</v>
      </c>
      <c r="BV56" s="15" t="e">
        <f t="shared" ref="BV56" si="546">BV55/BV58</f>
        <v>#DIV/0!</v>
      </c>
      <c r="BW56" s="15" t="e">
        <f t="shared" ref="BW56" si="547">BW55/BW58</f>
        <v>#DIV/0!</v>
      </c>
    </row>
    <row r="57" spans="2:77" s="15" customFormat="1" x14ac:dyDescent="0.35">
      <c r="B57" s="15" t="s">
        <v>47</v>
      </c>
      <c r="G57" s="47" t="e">
        <f t="shared" ref="G57:Z57" si="548">G55/G59</f>
        <v>#DIV/0!</v>
      </c>
      <c r="H57" s="15" t="e">
        <f t="shared" si="548"/>
        <v>#DIV/0!</v>
      </c>
      <c r="I57" s="15" t="e">
        <f t="shared" si="548"/>
        <v>#DIV/0!</v>
      </c>
      <c r="J57" s="15" t="e">
        <f t="shared" si="548"/>
        <v>#DIV/0!</v>
      </c>
      <c r="K57" s="47" t="e">
        <f t="shared" si="548"/>
        <v>#DIV/0!</v>
      </c>
      <c r="L57" s="15" t="e">
        <f t="shared" si="548"/>
        <v>#DIV/0!</v>
      </c>
      <c r="M57" s="15" t="e">
        <f t="shared" si="548"/>
        <v>#DIV/0!</v>
      </c>
      <c r="N57" s="15" t="e">
        <f t="shared" si="548"/>
        <v>#DIV/0!</v>
      </c>
      <c r="O57" s="47" t="e">
        <f t="shared" si="548"/>
        <v>#DIV/0!</v>
      </c>
      <c r="P57" s="15" t="e">
        <f t="shared" si="548"/>
        <v>#DIV/0!</v>
      </c>
      <c r="Q57" s="15" t="e">
        <f t="shared" si="548"/>
        <v>#DIV/0!</v>
      </c>
      <c r="R57" s="15" t="e">
        <f t="shared" si="548"/>
        <v>#DIV/0!</v>
      </c>
      <c r="S57" s="47" t="e">
        <f t="shared" si="548"/>
        <v>#DIV/0!</v>
      </c>
      <c r="T57" s="15" t="e">
        <f t="shared" si="548"/>
        <v>#DIV/0!</v>
      </c>
      <c r="U57" s="15" t="e">
        <f t="shared" si="548"/>
        <v>#DIV/0!</v>
      </c>
      <c r="V57" s="15" t="e">
        <f t="shared" si="548"/>
        <v>#DIV/0!</v>
      </c>
      <c r="W57" s="47">
        <f t="shared" si="548"/>
        <v>-0.27990177514792886</v>
      </c>
      <c r="X57" s="15">
        <f t="shared" si="548"/>
        <v>-0.27025951035781526</v>
      </c>
      <c r="Y57" s="15">
        <f t="shared" si="548"/>
        <v>0.11647940074906367</v>
      </c>
      <c r="Z57" s="15">
        <f t="shared" si="548"/>
        <v>5.4656530214424695E-2</v>
      </c>
      <c r="AA57" s="47">
        <f t="shared" ref="AA57:AT57" si="549">AA55/AA59</f>
        <v>-0.27052023121387281</v>
      </c>
      <c r="AB57" s="15">
        <f t="shared" si="549"/>
        <v>-0.1536723163841808</v>
      </c>
      <c r="AC57" s="15">
        <f t="shared" si="549"/>
        <v>5.1699204627621113E-2</v>
      </c>
      <c r="AD57" s="15">
        <f t="shared" si="549"/>
        <v>3.9458850056369787E-2</v>
      </c>
      <c r="AE57" s="47">
        <f t="shared" si="549"/>
        <v>5.3655264922870555E-3</v>
      </c>
      <c r="AF57" s="15">
        <f t="shared" si="549"/>
        <v>3.3462033462033462E-2</v>
      </c>
      <c r="AG57" s="15">
        <f t="shared" si="549"/>
        <v>9.9849170437405738E-2</v>
      </c>
      <c r="AH57" s="15">
        <f t="shared" si="549"/>
        <v>8.3102493074792241E-2</v>
      </c>
      <c r="AI57" s="47">
        <f t="shared" si="549"/>
        <v>0.12886142983230361</v>
      </c>
      <c r="AJ57" s="15">
        <f t="shared" si="549"/>
        <v>0.34018468871015789</v>
      </c>
      <c r="AK57" s="15">
        <f t="shared" si="549"/>
        <v>0.48026120510537251</v>
      </c>
      <c r="AL57" s="15">
        <f t="shared" si="549"/>
        <v>0.68526719811042225</v>
      </c>
      <c r="AM57" s="47">
        <f t="shared" si="549"/>
        <v>0.95564516129032262</v>
      </c>
      <c r="AN57" s="15">
        <f t="shared" si="549"/>
        <v>0.65213625866050806</v>
      </c>
      <c r="AO57" s="15">
        <f t="shared" si="549"/>
        <v>0.94925028835063441</v>
      </c>
      <c r="AP57" s="15">
        <f t="shared" si="549"/>
        <v>1.0610071942446042</v>
      </c>
      <c r="AQ57" s="47">
        <f t="shared" si="549"/>
        <v>0.7246251441753172</v>
      </c>
      <c r="AR57" s="15">
        <f t="shared" si="549"/>
        <v>0.77717078780908566</v>
      </c>
      <c r="AS57" s="15" t="e">
        <f t="shared" si="549"/>
        <v>#DIV/0!</v>
      </c>
      <c r="AT57" s="15" t="e">
        <f t="shared" si="549"/>
        <v>#DIV/0!</v>
      </c>
    </row>
    <row r="58" spans="2:77" s="7" customFormat="1" x14ac:dyDescent="0.35">
      <c r="B58" s="7" t="s">
        <v>48</v>
      </c>
      <c r="G58" s="36"/>
      <c r="K58" s="36"/>
      <c r="O58" s="36"/>
      <c r="S58" s="36"/>
      <c r="W58" s="36">
        <f>169*5*3</f>
        <v>2535</v>
      </c>
      <c r="X58" s="7">
        <f>177*5*3</f>
        <v>2655</v>
      </c>
      <c r="Y58" s="7">
        <f>171*5*3</f>
        <v>2565</v>
      </c>
      <c r="Z58" s="7">
        <f>171*5*3</f>
        <v>2565</v>
      </c>
      <c r="AA58" s="36">
        <f>173*5*3</f>
        <v>2595</v>
      </c>
      <c r="AB58" s="7">
        <f>177*5*3</f>
        <v>2655</v>
      </c>
      <c r="AC58" s="7">
        <f>+AC60*3</f>
        <v>2691</v>
      </c>
      <c r="AD58" s="7">
        <f>887*3</f>
        <v>2661</v>
      </c>
      <c r="AE58" s="36">
        <f>915*3</f>
        <v>2745</v>
      </c>
      <c r="AF58" s="7">
        <f>928*3</f>
        <v>2784</v>
      </c>
      <c r="AG58" s="7">
        <f>937*3</f>
        <v>2811</v>
      </c>
      <c r="AH58" s="7">
        <f>933*3</f>
        <v>2799</v>
      </c>
      <c r="AI58" s="36">
        <f>961*3</f>
        <v>2883</v>
      </c>
      <c r="AJ58" s="7">
        <f>971*3</f>
        <v>2913</v>
      </c>
      <c r="AK58" s="7">
        <v>2993</v>
      </c>
      <c r="AL58" s="7">
        <f>986*3</f>
        <v>2958</v>
      </c>
      <c r="AM58" s="36">
        <v>3103</v>
      </c>
      <c r="AN58" s="7">
        <v>3111</v>
      </c>
      <c r="AO58" s="7">
        <v>3146</v>
      </c>
      <c r="AP58" s="7">
        <v>3130</v>
      </c>
      <c r="AQ58" s="36">
        <v>3166</v>
      </c>
      <c r="AR58" s="7">
        <v>3171</v>
      </c>
      <c r="BI58" s="7">
        <f>100*5*3</f>
        <v>1500</v>
      </c>
      <c r="BJ58" s="7">
        <f>107*5*3</f>
        <v>1605</v>
      </c>
      <c r="BK58" s="7">
        <f>119.421*5*3</f>
        <v>1791.3150000000001</v>
      </c>
      <c r="BL58" s="7">
        <f>124.539*5*3</f>
        <v>1868.085</v>
      </c>
      <c r="BM58" s="7">
        <f>128.202*5*3</f>
        <v>1923.03</v>
      </c>
      <c r="BN58" s="7">
        <f>144.212*5*3</f>
        <v>2163.1799999999998</v>
      </c>
      <c r="BO58" s="7">
        <f>166*5*3</f>
        <v>2490</v>
      </c>
      <c r="BP58" s="7">
        <f>171*5*3</f>
        <v>2565</v>
      </c>
      <c r="BQ58" s="7">
        <f>887*3</f>
        <v>2661</v>
      </c>
      <c r="BR58" s="7">
        <f>933*3</f>
        <v>2799</v>
      </c>
      <c r="BS58" s="7">
        <f>986*3</f>
        <v>2958</v>
      </c>
      <c r="BT58" s="7">
        <v>3130</v>
      </c>
    </row>
    <row r="59" spans="2:77" s="7" customFormat="1" x14ac:dyDescent="0.35">
      <c r="B59" s="7" t="s">
        <v>49</v>
      </c>
      <c r="G59" s="36"/>
      <c r="K59" s="36"/>
      <c r="O59" s="36"/>
      <c r="S59" s="36"/>
      <c r="W59" s="36">
        <f>169*5*3</f>
        <v>2535</v>
      </c>
      <c r="X59" s="7">
        <f>177*5*3</f>
        <v>2655</v>
      </c>
      <c r="Y59" s="7">
        <f>178*5*3</f>
        <v>2670</v>
      </c>
      <c r="Z59" s="7">
        <f>171*5*3</f>
        <v>2565</v>
      </c>
      <c r="AA59" s="36">
        <f>173*5*3</f>
        <v>2595</v>
      </c>
      <c r="AB59" s="7">
        <f>177*5*3</f>
        <v>2655</v>
      </c>
      <c r="AC59" s="7">
        <f>+AC61*3</f>
        <v>2766</v>
      </c>
      <c r="AD59" s="7">
        <f>887*3</f>
        <v>2661</v>
      </c>
      <c r="AE59" s="36">
        <f>994*3</f>
        <v>2982</v>
      </c>
      <c r="AF59" s="7">
        <f>1036*3</f>
        <v>3108</v>
      </c>
      <c r="AG59" s="7">
        <f>1105*3</f>
        <v>3315</v>
      </c>
      <c r="AH59" s="7">
        <f>1083*3</f>
        <v>3249</v>
      </c>
      <c r="AI59" s="36">
        <f>1133*3</f>
        <v>3399</v>
      </c>
      <c r="AJ59" s="7">
        <f>1119*3</f>
        <v>3357</v>
      </c>
      <c r="AK59" s="7">
        <v>3369</v>
      </c>
      <c r="AL59" s="7">
        <f>1129*3</f>
        <v>3387</v>
      </c>
      <c r="AM59" s="36">
        <v>3472</v>
      </c>
      <c r="AN59" s="7">
        <v>3464</v>
      </c>
      <c r="AO59" s="7">
        <v>3468</v>
      </c>
      <c r="AP59" s="7">
        <v>3475</v>
      </c>
      <c r="AQ59" s="36">
        <v>3468</v>
      </c>
      <c r="AR59" s="7">
        <v>3478</v>
      </c>
    </row>
    <row r="60" spans="2:77" s="7" customFormat="1" x14ac:dyDescent="0.35">
      <c r="B60" s="7" t="s">
        <v>1255</v>
      </c>
      <c r="G60" s="36"/>
      <c r="K60" s="36"/>
      <c r="O60" s="36"/>
      <c r="S60" s="36"/>
      <c r="W60" s="36">
        <v>169.14599999999999</v>
      </c>
      <c r="X60" s="7">
        <v>176.654</v>
      </c>
      <c r="Y60" s="7">
        <v>171</v>
      </c>
      <c r="Z60" s="7">
        <v>171</v>
      </c>
      <c r="AA60" s="36">
        <v>173</v>
      </c>
      <c r="AB60" s="7">
        <v>177</v>
      </c>
      <c r="AC60" s="7">
        <v>897</v>
      </c>
      <c r="AE60" s="36">
        <v>915</v>
      </c>
      <c r="AF60" s="7">
        <v>928</v>
      </c>
      <c r="AG60" s="7">
        <v>937</v>
      </c>
      <c r="AI60" s="36">
        <v>961</v>
      </c>
      <c r="AJ60" s="7">
        <v>971</v>
      </c>
      <c r="AM60" s="36"/>
      <c r="AQ60" s="36"/>
      <c r="BI60" s="7">
        <v>100.38800000000001</v>
      </c>
      <c r="BJ60" s="7">
        <v>107</v>
      </c>
      <c r="BK60" s="7">
        <v>119</v>
      </c>
      <c r="BL60" s="7">
        <v>125</v>
      </c>
      <c r="BM60" s="7">
        <v>128</v>
      </c>
      <c r="BN60" s="7">
        <v>144</v>
      </c>
      <c r="BO60" s="7">
        <v>166</v>
      </c>
      <c r="BP60" s="7">
        <v>171</v>
      </c>
      <c r="BQ60" s="7">
        <v>887</v>
      </c>
      <c r="BR60" s="7">
        <v>933</v>
      </c>
      <c r="BS60" s="7">
        <v>986</v>
      </c>
      <c r="BT60" s="7">
        <v>3130</v>
      </c>
    </row>
    <row r="61" spans="2:77" s="7" customFormat="1" x14ac:dyDescent="0.35">
      <c r="B61" s="7" t="s">
        <v>1256</v>
      </c>
      <c r="G61" s="36"/>
      <c r="K61" s="36"/>
      <c r="O61" s="36"/>
      <c r="S61" s="36"/>
      <c r="W61" s="36">
        <v>169.14599999999999</v>
      </c>
      <c r="X61" s="7">
        <v>176.654</v>
      </c>
      <c r="Y61" s="7">
        <v>178</v>
      </c>
      <c r="Z61" s="7">
        <v>171</v>
      </c>
      <c r="AA61" s="36">
        <v>173</v>
      </c>
      <c r="AB61" s="7">
        <v>177</v>
      </c>
      <c r="AC61" s="7">
        <v>922</v>
      </c>
      <c r="AE61" s="36">
        <v>994</v>
      </c>
      <c r="AF61" s="7">
        <v>1036</v>
      </c>
      <c r="AG61" s="7">
        <v>1105</v>
      </c>
      <c r="AI61" s="36">
        <v>1133</v>
      </c>
      <c r="AJ61" s="7">
        <v>1119</v>
      </c>
      <c r="AM61" s="36"/>
      <c r="AQ61" s="36"/>
    </row>
    <row r="62" spans="2:77" x14ac:dyDescent="0.35">
      <c r="G62" s="32"/>
      <c r="K62" s="32"/>
      <c r="O62" s="32"/>
    </row>
    <row r="63" spans="2:77" x14ac:dyDescent="0.35">
      <c r="G63" s="32"/>
      <c r="K63" s="32"/>
      <c r="O63" s="32"/>
    </row>
    <row r="64" spans="2:77" s="8" customFormat="1" x14ac:dyDescent="0.35">
      <c r="B64" s="9" t="s">
        <v>1257</v>
      </c>
      <c r="G64" s="44"/>
      <c r="K64" s="44"/>
      <c r="O64" s="44"/>
      <c r="S64" s="44"/>
      <c r="W64" s="44"/>
      <c r="AA64" s="44"/>
      <c r="AE64" s="44"/>
      <c r="AI64" s="44"/>
      <c r="AM64" s="44"/>
      <c r="AQ64" s="44"/>
    </row>
    <row r="65" spans="2:75" s="13" customFormat="1" x14ac:dyDescent="0.35">
      <c r="B65" s="12" t="s">
        <v>50</v>
      </c>
      <c r="G65" s="35"/>
      <c r="K65" s="35"/>
      <c r="O65" s="35"/>
      <c r="S65" s="35"/>
      <c r="W65" s="35"/>
      <c r="AA65" s="35"/>
      <c r="AE65" s="35"/>
      <c r="AI65" s="35"/>
      <c r="AM65" s="35"/>
      <c r="AQ65" s="35"/>
    </row>
    <row r="66" spans="2:75" s="7" customFormat="1" x14ac:dyDescent="0.35">
      <c r="B66" s="7" t="s">
        <v>51</v>
      </c>
      <c r="G66" s="36"/>
      <c r="K66" s="36"/>
      <c r="O66" s="36"/>
      <c r="S66" s="36"/>
      <c r="W66" s="36">
        <v>2665.6729999999998</v>
      </c>
      <c r="X66" s="7">
        <v>2236.424</v>
      </c>
      <c r="Y66" s="7">
        <v>2967.5039999999999</v>
      </c>
      <c r="Z66" s="7">
        <v>3686</v>
      </c>
      <c r="AA66" s="36">
        <v>2198.1689999999999</v>
      </c>
      <c r="AB66" s="7">
        <v>4954.74</v>
      </c>
      <c r="AC66" s="7">
        <v>5338</v>
      </c>
      <c r="AD66" s="7">
        <v>6268</v>
      </c>
      <c r="AE66" s="36">
        <v>8080</v>
      </c>
      <c r="AF66" s="7">
        <v>8615</v>
      </c>
      <c r="AG66" s="7">
        <v>14531</v>
      </c>
      <c r="AH66" s="7">
        <v>19384</v>
      </c>
      <c r="AI66" s="36">
        <v>17141</v>
      </c>
      <c r="AJ66" s="7">
        <v>16229</v>
      </c>
      <c r="AK66" s="7">
        <v>16065</v>
      </c>
      <c r="AL66" s="7">
        <v>17576</v>
      </c>
      <c r="AM66" s="36">
        <v>17505</v>
      </c>
      <c r="AN66" s="7">
        <v>18324</v>
      </c>
      <c r="AO66" s="7">
        <v>19532</v>
      </c>
      <c r="AP66" s="7">
        <v>16253</v>
      </c>
      <c r="AQ66" s="36">
        <v>16048</v>
      </c>
      <c r="AR66" s="7">
        <v>15296</v>
      </c>
      <c r="BJ66" s="7">
        <v>201.89</v>
      </c>
      <c r="BK66" s="7">
        <v>845.88900000000001</v>
      </c>
      <c r="BL66" s="7">
        <v>1905.713</v>
      </c>
      <c r="BM66" s="7">
        <v>1196.9079999999999</v>
      </c>
      <c r="BN66" s="7">
        <v>3393.2159999999999</v>
      </c>
      <c r="BO66" s="7">
        <v>3367.9140000000002</v>
      </c>
      <c r="BP66" s="7">
        <v>3686</v>
      </c>
      <c r="BQ66" s="7">
        <v>6268</v>
      </c>
      <c r="BR66" s="7">
        <v>19384</v>
      </c>
      <c r="BS66" s="7">
        <v>17576</v>
      </c>
      <c r="BT66" s="7">
        <v>16253</v>
      </c>
    </row>
    <row r="67" spans="2:75" s="7" customFormat="1" x14ac:dyDescent="0.35">
      <c r="B67" s="7" t="s">
        <v>52</v>
      </c>
      <c r="G67" s="36"/>
      <c r="K67" s="36"/>
      <c r="O67" s="36"/>
      <c r="S67" s="36"/>
      <c r="W67" s="36">
        <v>0</v>
      </c>
      <c r="X67" s="7">
        <v>0</v>
      </c>
      <c r="Y67" s="7">
        <v>0</v>
      </c>
      <c r="Z67" s="7">
        <v>0</v>
      </c>
      <c r="AA67" s="36">
        <v>0</v>
      </c>
      <c r="AB67" s="7">
        <v>0</v>
      </c>
      <c r="AC67" s="7">
        <v>0</v>
      </c>
      <c r="AD67" s="7">
        <v>0</v>
      </c>
      <c r="AE67" s="36">
        <v>0</v>
      </c>
      <c r="AF67" s="7">
        <v>0</v>
      </c>
      <c r="AG67" s="7">
        <v>0</v>
      </c>
      <c r="AH67" s="7">
        <v>0</v>
      </c>
      <c r="AI67" s="36">
        <v>0</v>
      </c>
      <c r="AJ67" s="7">
        <v>0</v>
      </c>
      <c r="AK67" s="7">
        <v>30</v>
      </c>
      <c r="AL67" s="7">
        <v>131</v>
      </c>
      <c r="AM67" s="36">
        <v>508</v>
      </c>
      <c r="AN67" s="7">
        <v>591</v>
      </c>
      <c r="AO67" s="7">
        <v>1575</v>
      </c>
      <c r="AP67" s="7">
        <v>5932</v>
      </c>
      <c r="AQ67" s="36">
        <v>6354</v>
      </c>
      <c r="AR67" s="7">
        <v>7779</v>
      </c>
      <c r="BJ67" s="7">
        <v>0</v>
      </c>
      <c r="BK67" s="7">
        <v>0</v>
      </c>
      <c r="BL67" s="7">
        <v>0</v>
      </c>
      <c r="BM67" s="7">
        <v>0</v>
      </c>
      <c r="BN67" s="7">
        <v>0</v>
      </c>
      <c r="BO67" s="7">
        <v>0</v>
      </c>
      <c r="BP67" s="7">
        <v>0</v>
      </c>
      <c r="BQ67" s="7">
        <v>0</v>
      </c>
      <c r="BR67" s="7">
        <v>0</v>
      </c>
      <c r="BS67" s="7">
        <v>131</v>
      </c>
      <c r="BT67" s="7">
        <v>5932</v>
      </c>
    </row>
    <row r="68" spans="2:75" s="7" customFormat="1" x14ac:dyDescent="0.35">
      <c r="B68" s="7" t="s">
        <v>53</v>
      </c>
      <c r="G68" s="36"/>
      <c r="K68" s="36"/>
      <c r="O68" s="36"/>
      <c r="S68" s="36"/>
      <c r="W68" s="36">
        <v>120.194</v>
      </c>
      <c r="X68" s="7">
        <v>146.822</v>
      </c>
      <c r="Y68" s="7">
        <v>158.62700000000001</v>
      </c>
      <c r="Z68" s="7">
        <v>193</v>
      </c>
      <c r="AA68" s="36">
        <v>130.94999999999999</v>
      </c>
      <c r="AB68" s="7">
        <v>128.006</v>
      </c>
      <c r="AC68" s="7">
        <v>233</v>
      </c>
      <c r="AD68" s="7">
        <v>246</v>
      </c>
      <c r="AE68" s="36">
        <v>0</v>
      </c>
      <c r="AF68" s="7">
        <v>0</v>
      </c>
      <c r="AG68" s="7">
        <v>0</v>
      </c>
      <c r="AH68" s="7">
        <v>0</v>
      </c>
      <c r="AI68" s="36">
        <v>0</v>
      </c>
      <c r="AJ68" s="7">
        <v>0</v>
      </c>
      <c r="AK68" s="7">
        <v>0</v>
      </c>
      <c r="AL68" s="7">
        <v>0</v>
      </c>
      <c r="AM68" s="36">
        <v>0</v>
      </c>
      <c r="AN68" s="7">
        <v>0</v>
      </c>
      <c r="AO68" s="7">
        <v>0</v>
      </c>
      <c r="AP68" s="7">
        <v>0</v>
      </c>
      <c r="AQ68" s="36">
        <v>0</v>
      </c>
      <c r="AR68" s="7">
        <v>0</v>
      </c>
      <c r="BJ68" s="7">
        <v>19.094000000000001</v>
      </c>
      <c r="BK68" s="7">
        <v>3.012</v>
      </c>
      <c r="BL68" s="7">
        <v>17.946999999999999</v>
      </c>
      <c r="BM68" s="7">
        <v>22.628</v>
      </c>
      <c r="BN68" s="7">
        <v>105.51900000000001</v>
      </c>
      <c r="BO68" s="7">
        <v>155.32300000000001</v>
      </c>
      <c r="BP68" s="7">
        <v>193</v>
      </c>
      <c r="BQ68" s="7">
        <v>246</v>
      </c>
      <c r="BR68" s="7">
        <v>0</v>
      </c>
      <c r="BS68" s="7">
        <v>0</v>
      </c>
      <c r="BT68" s="7">
        <v>0</v>
      </c>
    </row>
    <row r="69" spans="2:75" s="7" customFormat="1" x14ac:dyDescent="0.35">
      <c r="B69" s="7" t="s">
        <v>54</v>
      </c>
      <c r="G69" s="36"/>
      <c r="K69" s="36"/>
      <c r="O69" s="36"/>
      <c r="S69" s="36"/>
      <c r="W69" s="36">
        <v>652.84799999999996</v>
      </c>
      <c r="X69" s="7">
        <v>569.87400000000002</v>
      </c>
      <c r="Y69" s="7">
        <v>1155.001</v>
      </c>
      <c r="Z69" s="7">
        <v>949</v>
      </c>
      <c r="AA69" s="36">
        <v>1046.9449999999999</v>
      </c>
      <c r="AB69" s="7">
        <v>1147.0999999999999</v>
      </c>
      <c r="AC69" s="7">
        <v>1128</v>
      </c>
      <c r="AD69" s="7">
        <v>1324</v>
      </c>
      <c r="AE69" s="36">
        <v>1274</v>
      </c>
      <c r="AF69" s="7">
        <v>1485</v>
      </c>
      <c r="AG69" s="7">
        <v>1757</v>
      </c>
      <c r="AH69" s="7">
        <v>1886</v>
      </c>
      <c r="AI69" s="36">
        <v>1890</v>
      </c>
      <c r="AJ69" s="7">
        <v>2129</v>
      </c>
      <c r="AK69" s="7">
        <v>1962</v>
      </c>
      <c r="AL69" s="7">
        <v>1913</v>
      </c>
      <c r="AM69" s="36">
        <v>2311</v>
      </c>
      <c r="AN69" s="7">
        <v>2081</v>
      </c>
      <c r="AO69" s="7">
        <v>2192</v>
      </c>
      <c r="AP69" s="7">
        <v>2952</v>
      </c>
      <c r="AQ69" s="36">
        <v>2993</v>
      </c>
      <c r="AR69" s="7">
        <v>3447</v>
      </c>
      <c r="BJ69" s="7">
        <v>26.841999999999999</v>
      </c>
      <c r="BK69" s="7">
        <v>49.109000000000002</v>
      </c>
      <c r="BL69" s="7">
        <v>226.60400000000001</v>
      </c>
      <c r="BM69" s="7">
        <v>168.965</v>
      </c>
      <c r="BN69" s="7">
        <v>499.142</v>
      </c>
      <c r="BO69" s="7">
        <v>515.38099999999997</v>
      </c>
      <c r="BP69" s="7">
        <v>949</v>
      </c>
      <c r="BQ69" s="7">
        <v>1324</v>
      </c>
      <c r="BR69" s="7">
        <v>1886</v>
      </c>
      <c r="BS69" s="7">
        <v>1913</v>
      </c>
      <c r="BT69" s="7">
        <v>2952</v>
      </c>
    </row>
    <row r="70" spans="2:75" s="7" customFormat="1" x14ac:dyDescent="0.35">
      <c r="B70" s="7" t="s">
        <v>55</v>
      </c>
      <c r="G70" s="36"/>
      <c r="K70" s="36"/>
      <c r="O70" s="36"/>
      <c r="S70" s="36"/>
      <c r="W70" s="36">
        <v>2565.826</v>
      </c>
      <c r="X70" s="7">
        <v>3324.643</v>
      </c>
      <c r="Y70" s="7">
        <v>3314.127</v>
      </c>
      <c r="Z70" s="7">
        <v>3113</v>
      </c>
      <c r="AA70" s="36">
        <v>3836.85</v>
      </c>
      <c r="AB70" s="7">
        <v>3382.3580000000002</v>
      </c>
      <c r="AC70" s="7">
        <v>3581</v>
      </c>
      <c r="AD70" s="7">
        <v>3552</v>
      </c>
      <c r="AE70" s="36">
        <v>4494</v>
      </c>
      <c r="AF70" s="7">
        <v>4018</v>
      </c>
      <c r="AG70" s="7">
        <v>4218</v>
      </c>
      <c r="AH70" s="7">
        <v>4101</v>
      </c>
      <c r="AI70" s="36">
        <v>4132</v>
      </c>
      <c r="AJ70" s="7">
        <v>4733</v>
      </c>
      <c r="AK70" s="7">
        <v>5199</v>
      </c>
      <c r="AL70" s="7">
        <v>5757</v>
      </c>
      <c r="AM70" s="36">
        <v>6691</v>
      </c>
      <c r="AN70" s="7">
        <v>8108</v>
      </c>
      <c r="AO70" s="7">
        <v>10327</v>
      </c>
      <c r="AP70" s="7">
        <v>12839</v>
      </c>
      <c r="AQ70" s="36">
        <v>14375</v>
      </c>
      <c r="AR70" s="7">
        <v>14356</v>
      </c>
      <c r="BJ70" s="7">
        <v>268.50400000000002</v>
      </c>
      <c r="BK70" s="7">
        <v>340.35500000000002</v>
      </c>
      <c r="BL70" s="7">
        <v>953.67499999999995</v>
      </c>
      <c r="BM70" s="7">
        <v>1277.838</v>
      </c>
      <c r="BN70" s="7">
        <v>2067.4540000000002</v>
      </c>
      <c r="BO70" s="7">
        <v>2263.5369999999998</v>
      </c>
      <c r="BP70" s="7">
        <v>3113</v>
      </c>
      <c r="BQ70" s="7">
        <v>3552</v>
      </c>
      <c r="BR70" s="7">
        <v>4101</v>
      </c>
      <c r="BS70" s="7">
        <v>5757</v>
      </c>
      <c r="BT70" s="7">
        <v>12839</v>
      </c>
    </row>
    <row r="71" spans="2:75" s="22" customFormat="1" x14ac:dyDescent="0.35">
      <c r="B71" s="22" t="s">
        <v>56</v>
      </c>
      <c r="G71" s="37"/>
      <c r="K71" s="37"/>
      <c r="O71" s="37"/>
      <c r="S71" s="37"/>
      <c r="W71" s="37">
        <v>379.37900000000002</v>
      </c>
      <c r="X71" s="22">
        <v>422.03399999999999</v>
      </c>
      <c r="Y71" s="22">
        <v>325.23200000000003</v>
      </c>
      <c r="Z71" s="22">
        <v>366</v>
      </c>
      <c r="AA71" s="37">
        <v>464.90800000000002</v>
      </c>
      <c r="AB71" s="22">
        <v>569.74800000000005</v>
      </c>
      <c r="AC71" s="22">
        <v>660</v>
      </c>
      <c r="AD71" s="22">
        <v>713</v>
      </c>
      <c r="AE71" s="37">
        <v>1045</v>
      </c>
      <c r="AF71" s="22">
        <v>1218</v>
      </c>
      <c r="AG71" s="22">
        <v>1238</v>
      </c>
      <c r="AH71" s="22">
        <v>1346</v>
      </c>
      <c r="AI71" s="37">
        <v>1542</v>
      </c>
      <c r="AJ71" s="22">
        <v>1602</v>
      </c>
      <c r="AK71" s="22">
        <v>1746</v>
      </c>
      <c r="AL71" s="22">
        <v>1723</v>
      </c>
      <c r="AM71" s="37">
        <v>2035</v>
      </c>
      <c r="AN71" s="22">
        <v>2118</v>
      </c>
      <c r="AO71" s="22">
        <v>2364</v>
      </c>
      <c r="AP71" s="22">
        <v>2941</v>
      </c>
      <c r="AQ71" s="37">
        <v>3227</v>
      </c>
      <c r="AR71" s="22">
        <v>2997</v>
      </c>
      <c r="BJ71" s="22">
        <v>8.4380000000000006</v>
      </c>
      <c r="BK71" s="22">
        <v>27.574000000000002</v>
      </c>
      <c r="BL71" s="22">
        <v>76.134</v>
      </c>
      <c r="BM71" s="22">
        <v>125.229</v>
      </c>
      <c r="BN71" s="22">
        <v>194.465</v>
      </c>
      <c r="BO71" s="22">
        <v>268.36500000000001</v>
      </c>
      <c r="BP71" s="22">
        <v>366</v>
      </c>
      <c r="BQ71" s="22">
        <v>713</v>
      </c>
      <c r="BR71" s="22">
        <v>1346</v>
      </c>
      <c r="BS71" s="22">
        <v>1723</v>
      </c>
      <c r="BT71" s="22">
        <v>2941</v>
      </c>
    </row>
    <row r="72" spans="2:75" s="7" customFormat="1" x14ac:dyDescent="0.35">
      <c r="B72" s="7" t="s">
        <v>57</v>
      </c>
      <c r="G72" s="36">
        <f t="shared" ref="G72" si="550">SUM(G66:G71)</f>
        <v>0</v>
      </c>
      <c r="H72" s="7">
        <f t="shared" ref="H72" si="551">SUM(H66:H71)</f>
        <v>0</v>
      </c>
      <c r="I72" s="7">
        <f t="shared" ref="I72" si="552">SUM(I66:I71)</f>
        <v>0</v>
      </c>
      <c r="J72" s="7">
        <f t="shared" ref="J72" si="553">SUM(J66:J71)</f>
        <v>0</v>
      </c>
      <c r="K72" s="36">
        <f t="shared" ref="K72" si="554">SUM(K66:K71)</f>
        <v>0</v>
      </c>
      <c r="L72" s="7">
        <f t="shared" ref="L72" si="555">SUM(L66:L71)</f>
        <v>0</v>
      </c>
      <c r="M72" s="7">
        <f t="shared" ref="M72" si="556">SUM(M66:M71)</f>
        <v>0</v>
      </c>
      <c r="N72" s="7">
        <f t="shared" ref="N72" si="557">SUM(N66:N71)</f>
        <v>0</v>
      </c>
      <c r="O72" s="36">
        <f t="shared" ref="O72" si="558">SUM(O66:O71)</f>
        <v>0</v>
      </c>
      <c r="P72" s="7">
        <f t="shared" ref="P72" si="559">SUM(P66:P71)</f>
        <v>0</v>
      </c>
      <c r="Q72" s="7">
        <f t="shared" ref="Q72" si="560">SUM(Q66:Q71)</f>
        <v>0</v>
      </c>
      <c r="R72" s="7">
        <f t="shared" ref="R72" si="561">SUM(R66:R71)</f>
        <v>0</v>
      </c>
      <c r="S72" s="36">
        <f t="shared" ref="S72:W72" si="562">SUM(S66:S71)</f>
        <v>0</v>
      </c>
      <c r="T72" s="7">
        <f t="shared" si="562"/>
        <v>0</v>
      </c>
      <c r="U72" s="7">
        <f t="shared" si="562"/>
        <v>0</v>
      </c>
      <c r="V72" s="7">
        <f t="shared" si="562"/>
        <v>0</v>
      </c>
      <c r="W72" s="36">
        <f t="shared" si="562"/>
        <v>6383.9199999999992</v>
      </c>
      <c r="X72" s="7">
        <f t="shared" ref="X72:Z72" si="563">SUM(X66:X71)</f>
        <v>6699.7969999999996</v>
      </c>
      <c r="Y72" s="7">
        <f t="shared" si="563"/>
        <v>7920.491</v>
      </c>
      <c r="Z72" s="7">
        <f t="shared" si="563"/>
        <v>8307</v>
      </c>
      <c r="AA72" s="36">
        <f t="shared" ref="AA72" si="564">SUM(AA66:AA71)</f>
        <v>7677.8219999999992</v>
      </c>
      <c r="AB72" s="7">
        <f t="shared" ref="AB72" si="565">SUM(AB66:AB71)</f>
        <v>10181.951999999999</v>
      </c>
      <c r="AC72" s="7">
        <f t="shared" ref="AC72" si="566">SUM(AC66:AC71)</f>
        <v>10940</v>
      </c>
      <c r="AD72" s="7">
        <f t="shared" ref="AD72" si="567">SUM(AD66:AD71)</f>
        <v>12103</v>
      </c>
      <c r="AE72" s="36">
        <f t="shared" ref="AE72" si="568">SUM(AE66:AE71)</f>
        <v>14893</v>
      </c>
      <c r="AF72" s="7">
        <f t="shared" ref="AF72" si="569">SUM(AF66:AF71)</f>
        <v>15336</v>
      </c>
      <c r="AG72" s="7">
        <f t="shared" ref="AG72" si="570">SUM(AG66:AG71)</f>
        <v>21744</v>
      </c>
      <c r="AH72" s="7">
        <f t="shared" ref="AH72" si="571">SUM(AH66:AH71)</f>
        <v>26717</v>
      </c>
      <c r="AI72" s="36">
        <f t="shared" ref="AI72" si="572">SUM(AI66:AI71)</f>
        <v>24705</v>
      </c>
      <c r="AJ72" s="7">
        <f t="shared" ref="AJ72" si="573">SUM(AJ66:AJ71)</f>
        <v>24693</v>
      </c>
      <c r="AK72" s="7">
        <f t="shared" ref="AK72" si="574">SUM(AK66:AK71)</f>
        <v>25002</v>
      </c>
      <c r="AL72" s="7">
        <f t="shared" ref="AL72" si="575">SUM(AL66:AL71)</f>
        <v>27100</v>
      </c>
      <c r="AM72" s="36">
        <f t="shared" ref="AM72" si="576">SUM(AM66:AM71)</f>
        <v>29050</v>
      </c>
      <c r="AN72" s="7">
        <f t="shared" ref="AN72" si="577">SUM(AN66:AN71)</f>
        <v>31222</v>
      </c>
      <c r="AO72" s="7">
        <f t="shared" ref="AO72" si="578">SUM(AO66:AO71)</f>
        <v>35990</v>
      </c>
      <c r="AP72" s="7">
        <f t="shared" ref="AP72" si="579">SUM(AP66:AP71)</f>
        <v>40917</v>
      </c>
      <c r="AQ72" s="36">
        <f t="shared" ref="AQ72" si="580">SUM(AQ66:AQ71)</f>
        <v>42997</v>
      </c>
      <c r="AR72" s="7">
        <f t="shared" ref="AR72" si="581">SUM(AR66:AR71)</f>
        <v>43875</v>
      </c>
      <c r="AS72" s="7">
        <f t="shared" ref="AS72" si="582">SUM(AS66:AS71)</f>
        <v>0</v>
      </c>
      <c r="AT72" s="7">
        <f t="shared" ref="AT72" si="583">SUM(AT66:AT71)</f>
        <v>0</v>
      </c>
      <c r="AU72" s="7">
        <f t="shared" ref="AU72" si="584">SUM(AU66:AU71)</f>
        <v>0</v>
      </c>
      <c r="BA72" s="7">
        <f t="shared" ref="BA72" si="585">SUM(BA66:BA71)</f>
        <v>0</v>
      </c>
      <c r="BB72" s="7">
        <f t="shared" ref="BB72" si="586">SUM(BB66:BB71)</f>
        <v>0</v>
      </c>
      <c r="BC72" s="7">
        <f t="shared" ref="BC72" si="587">SUM(BC66:BC71)</f>
        <v>0</v>
      </c>
      <c r="BD72" s="7">
        <f t="shared" ref="BD72" si="588">SUM(BD66:BD71)</f>
        <v>0</v>
      </c>
      <c r="BE72" s="7">
        <f t="shared" ref="BE72" si="589">SUM(BE66:BE71)</f>
        <v>0</v>
      </c>
      <c r="BF72" s="7">
        <f t="shared" ref="BF72" si="590">SUM(BF66:BF71)</f>
        <v>0</v>
      </c>
      <c r="BG72" s="7">
        <f t="shared" ref="BG72" si="591">SUM(BG66:BG71)</f>
        <v>0</v>
      </c>
      <c r="BH72" s="7">
        <f t="shared" ref="BH72" si="592">SUM(BH66:BH71)</f>
        <v>0</v>
      </c>
      <c r="BI72" s="7">
        <f t="shared" ref="BI72" si="593">SUM(BI66:BI71)</f>
        <v>0</v>
      </c>
      <c r="BJ72" s="7">
        <f t="shared" ref="BJ72" si="594">SUM(BJ66:BJ71)</f>
        <v>524.76799999999992</v>
      </c>
      <c r="BK72" s="7">
        <f t="shared" ref="BK72" si="595">SUM(BK66:BK71)</f>
        <v>1265.9390000000001</v>
      </c>
      <c r="BL72" s="7">
        <f t="shared" ref="BL72" si="596">SUM(BL66:BL71)</f>
        <v>3180.0729999999994</v>
      </c>
      <c r="BM72" s="7">
        <f t="shared" ref="BM72:BT72" si="597">SUM(BM66:BM71)</f>
        <v>2791.5679999999998</v>
      </c>
      <c r="BN72" s="7">
        <f t="shared" si="597"/>
        <v>6259.7960000000003</v>
      </c>
      <c r="BO72" s="7">
        <f t="shared" si="597"/>
        <v>6570.5199999999995</v>
      </c>
      <c r="BP72" s="7">
        <f t="shared" si="597"/>
        <v>8307</v>
      </c>
      <c r="BQ72" s="7">
        <f t="shared" si="597"/>
        <v>12103</v>
      </c>
      <c r="BR72" s="7">
        <f t="shared" si="597"/>
        <v>26717</v>
      </c>
      <c r="BS72" s="7">
        <f t="shared" si="597"/>
        <v>27100</v>
      </c>
      <c r="BT72" s="7">
        <f t="shared" si="597"/>
        <v>40917</v>
      </c>
      <c r="BU72" s="7">
        <f t="shared" ref="BU72" si="598">SUM(BU66:BU71)</f>
        <v>0</v>
      </c>
      <c r="BV72" s="7">
        <f t="shared" ref="BV72" si="599">SUM(BV66:BV71)</f>
        <v>0</v>
      </c>
      <c r="BW72" s="7">
        <f t="shared" ref="BW72" si="600">SUM(BW66:BW71)</f>
        <v>0</v>
      </c>
    </row>
    <row r="73" spans="2:75" s="30" customFormat="1" x14ac:dyDescent="0.35">
      <c r="B73" s="30" t="s">
        <v>1233</v>
      </c>
      <c r="G73" s="46"/>
      <c r="K73" s="46"/>
      <c r="O73" s="46"/>
      <c r="S73" s="46"/>
      <c r="W73" s="46"/>
      <c r="AA73" s="46"/>
      <c r="AE73" s="46"/>
      <c r="AI73" s="46"/>
      <c r="AM73" s="46"/>
      <c r="AQ73" s="46"/>
    </row>
    <row r="74" spans="2:75" s="7" customFormat="1" x14ac:dyDescent="0.35">
      <c r="B74" s="7" t="s">
        <v>58</v>
      </c>
      <c r="G74" s="36"/>
      <c r="K74" s="36"/>
      <c r="O74" s="36"/>
      <c r="S74" s="36"/>
      <c r="W74" s="36">
        <v>2315.1239999999998</v>
      </c>
      <c r="X74" s="7">
        <v>2282.047</v>
      </c>
      <c r="Y74" s="7">
        <v>2186.1370000000002</v>
      </c>
      <c r="Z74" s="7">
        <v>2090</v>
      </c>
      <c r="AA74" s="36">
        <v>1972.502</v>
      </c>
      <c r="AB74" s="7">
        <v>2069.54</v>
      </c>
      <c r="AC74" s="7">
        <v>2253</v>
      </c>
      <c r="AD74" s="7">
        <v>2447</v>
      </c>
      <c r="AE74" s="36">
        <v>2527</v>
      </c>
      <c r="AF74" s="7">
        <v>2524</v>
      </c>
      <c r="AG74" s="7">
        <v>2742</v>
      </c>
      <c r="AH74" s="7">
        <v>3091</v>
      </c>
      <c r="AI74" s="36">
        <v>3396</v>
      </c>
      <c r="AJ74" s="7">
        <v>3748</v>
      </c>
      <c r="AK74" s="7">
        <v>4167</v>
      </c>
      <c r="AL74" s="7">
        <v>4511</v>
      </c>
      <c r="AM74" s="36">
        <v>4745</v>
      </c>
      <c r="AN74" s="7">
        <v>4782</v>
      </c>
      <c r="AO74" s="7">
        <v>4824</v>
      </c>
      <c r="AP74" s="7">
        <v>5035</v>
      </c>
      <c r="AQ74" s="36">
        <v>5473</v>
      </c>
      <c r="AR74" s="7">
        <v>5935</v>
      </c>
      <c r="BJ74" s="7">
        <v>10.071</v>
      </c>
      <c r="BK74" s="7">
        <v>382.42500000000001</v>
      </c>
      <c r="BL74" s="7">
        <v>766.74400000000003</v>
      </c>
      <c r="BM74" s="7">
        <v>1791.403</v>
      </c>
      <c r="BN74" s="7">
        <v>3134.08</v>
      </c>
      <c r="BO74" s="7">
        <v>4116.6040000000003</v>
      </c>
      <c r="BP74" s="7">
        <v>2090</v>
      </c>
      <c r="BQ74" s="7">
        <v>2447</v>
      </c>
      <c r="BR74" s="7">
        <v>3091</v>
      </c>
      <c r="BS74" s="7">
        <v>4511</v>
      </c>
      <c r="BT74" s="7">
        <v>5035</v>
      </c>
    </row>
    <row r="75" spans="2:75" s="7" customFormat="1" x14ac:dyDescent="0.35">
      <c r="B75" s="7" t="s">
        <v>59</v>
      </c>
      <c r="G75" s="36"/>
      <c r="K75" s="36"/>
      <c r="O75" s="36"/>
      <c r="S75" s="36"/>
      <c r="W75" s="36">
        <v>6346.3739999999998</v>
      </c>
      <c r="X75" s="7">
        <v>6340.0309999999999</v>
      </c>
      <c r="Y75" s="7">
        <v>6301.5370000000003</v>
      </c>
      <c r="Z75" s="7">
        <v>6271</v>
      </c>
      <c r="AA75" s="36">
        <v>6241.6369999999997</v>
      </c>
      <c r="AB75" s="7">
        <v>6200.7039999999997</v>
      </c>
      <c r="AC75" s="7">
        <v>6168</v>
      </c>
      <c r="AD75" s="7">
        <v>6138</v>
      </c>
      <c r="AE75" s="36">
        <v>6106</v>
      </c>
      <c r="AF75" s="7">
        <v>6069</v>
      </c>
      <c r="AG75" s="7">
        <v>6025</v>
      </c>
      <c r="AH75" s="7">
        <v>5979</v>
      </c>
      <c r="AI75" s="36">
        <v>5933</v>
      </c>
      <c r="AJ75" s="7">
        <v>5883</v>
      </c>
      <c r="AK75" s="7">
        <v>5821</v>
      </c>
      <c r="AL75" s="7">
        <v>5765</v>
      </c>
      <c r="AM75" s="36">
        <v>5686</v>
      </c>
      <c r="AN75" s="7">
        <v>5624</v>
      </c>
      <c r="AO75" s="7">
        <v>5562</v>
      </c>
      <c r="AP75" s="7">
        <v>5489</v>
      </c>
      <c r="AQ75" s="36">
        <v>5427</v>
      </c>
      <c r="AR75" s="7">
        <v>5365</v>
      </c>
      <c r="BJ75" s="7">
        <v>0</v>
      </c>
      <c r="BK75" s="7">
        <v>0</v>
      </c>
      <c r="BL75" s="7">
        <v>0</v>
      </c>
      <c r="BM75" s="7">
        <v>0</v>
      </c>
      <c r="BN75" s="7">
        <v>5919.88</v>
      </c>
      <c r="BO75" s="7">
        <v>6347.49</v>
      </c>
      <c r="BP75" s="7">
        <v>6271</v>
      </c>
      <c r="BQ75" s="7">
        <v>6138</v>
      </c>
      <c r="BR75" s="7">
        <v>5979</v>
      </c>
      <c r="BS75" s="7">
        <v>5765</v>
      </c>
      <c r="BT75" s="7">
        <v>5489</v>
      </c>
    </row>
    <row r="76" spans="2:75" s="7" customFormat="1" x14ac:dyDescent="0.35">
      <c r="B76" s="7" t="s">
        <v>60</v>
      </c>
      <c r="G76" s="36"/>
      <c r="K76" s="36"/>
      <c r="O76" s="36"/>
      <c r="S76" s="36"/>
      <c r="W76" s="36">
        <v>10519.226000000001</v>
      </c>
      <c r="X76" s="7">
        <v>10969.348</v>
      </c>
      <c r="Y76" s="7">
        <v>11246.295</v>
      </c>
      <c r="Z76" s="7">
        <v>11330</v>
      </c>
      <c r="AA76" s="36">
        <v>9850.9290000000001</v>
      </c>
      <c r="AB76" s="7">
        <v>10082.458000000001</v>
      </c>
      <c r="AC76" s="7">
        <v>10190</v>
      </c>
      <c r="AD76" s="7">
        <v>10396</v>
      </c>
      <c r="AE76" s="36">
        <v>10638</v>
      </c>
      <c r="AF76" s="7">
        <v>11009</v>
      </c>
      <c r="AG76" s="7">
        <v>11848</v>
      </c>
      <c r="AH76" s="7">
        <v>12747</v>
      </c>
      <c r="AI76" s="36">
        <v>13868</v>
      </c>
      <c r="AJ76" s="7">
        <v>15665</v>
      </c>
      <c r="AK76" s="7">
        <v>17298</v>
      </c>
      <c r="AL76" s="7">
        <v>18884</v>
      </c>
      <c r="AM76" s="36">
        <v>20027</v>
      </c>
      <c r="AN76" s="7">
        <v>21093</v>
      </c>
      <c r="AO76" s="7">
        <v>21926</v>
      </c>
      <c r="AP76" s="7">
        <v>23548</v>
      </c>
      <c r="AQ76" s="36">
        <v>24969</v>
      </c>
      <c r="AR76" s="7">
        <v>26389</v>
      </c>
      <c r="BJ76" s="7">
        <v>552.22900000000004</v>
      </c>
      <c r="BK76" s="7">
        <v>738.49400000000003</v>
      </c>
      <c r="BL76" s="7">
        <v>1829.2670000000001</v>
      </c>
      <c r="BM76" s="7">
        <v>3403.3339999999998</v>
      </c>
      <c r="BN76" s="7">
        <v>5982.9570000000003</v>
      </c>
      <c r="BO76" s="7">
        <v>10027.522000000001</v>
      </c>
      <c r="BP76" s="7">
        <v>11330</v>
      </c>
      <c r="BQ76" s="7">
        <v>10396</v>
      </c>
      <c r="BR76" s="7">
        <v>12747</v>
      </c>
      <c r="BS76" s="7">
        <v>18884</v>
      </c>
      <c r="BT76" s="7">
        <v>23548</v>
      </c>
    </row>
    <row r="77" spans="2:75" s="7" customFormat="1" x14ac:dyDescent="0.35">
      <c r="B77" s="7" t="s">
        <v>61</v>
      </c>
      <c r="G77" s="36"/>
      <c r="K77" s="36"/>
      <c r="O77" s="36"/>
      <c r="S77" s="36"/>
      <c r="W77" s="36">
        <v>0</v>
      </c>
      <c r="X77" s="7">
        <v>0</v>
      </c>
      <c r="Y77" s="7">
        <v>0</v>
      </c>
      <c r="Z77" s="7">
        <v>0</v>
      </c>
      <c r="AA77" s="36">
        <v>1253.0127</v>
      </c>
      <c r="AB77" s="7">
        <v>1248.277</v>
      </c>
      <c r="AC77" s="7">
        <v>1234</v>
      </c>
      <c r="AD77" s="7">
        <v>1218</v>
      </c>
      <c r="AE77" s="36">
        <v>1197</v>
      </c>
      <c r="AF77" s="7">
        <v>1274</v>
      </c>
      <c r="AG77" s="7">
        <v>1375</v>
      </c>
      <c r="AH77" s="7">
        <v>1558</v>
      </c>
      <c r="AI77" s="36">
        <v>1647</v>
      </c>
      <c r="AJ77" s="7">
        <v>1734</v>
      </c>
      <c r="AK77" s="7">
        <v>1962</v>
      </c>
      <c r="AL77" s="7">
        <v>2016</v>
      </c>
      <c r="AM77" s="36">
        <v>2181</v>
      </c>
      <c r="AN77" s="7">
        <v>2185</v>
      </c>
      <c r="AO77" s="7">
        <v>2251</v>
      </c>
      <c r="AP77" s="7">
        <v>2563</v>
      </c>
      <c r="AQ77" s="36">
        <v>2800</v>
      </c>
      <c r="AR77" s="7">
        <v>3352</v>
      </c>
      <c r="BJ77" s="7">
        <v>0</v>
      </c>
      <c r="BK77" s="7">
        <v>0</v>
      </c>
      <c r="BL77" s="7">
        <v>0</v>
      </c>
      <c r="BM77" s="7">
        <v>0</v>
      </c>
      <c r="BN77" s="7">
        <v>0</v>
      </c>
      <c r="BO77" s="7">
        <v>0</v>
      </c>
      <c r="BP77" s="7">
        <v>0</v>
      </c>
      <c r="BQ77" s="7">
        <v>1218</v>
      </c>
      <c r="BR77" s="7">
        <v>1558</v>
      </c>
      <c r="BS77" s="7">
        <v>2016</v>
      </c>
      <c r="BT77" s="7">
        <v>2563</v>
      </c>
    </row>
    <row r="78" spans="2:75" s="7" customFormat="1" x14ac:dyDescent="0.35">
      <c r="B78" s="7" t="s">
        <v>62</v>
      </c>
      <c r="G78" s="36"/>
      <c r="K78" s="36"/>
      <c r="O78" s="36"/>
      <c r="S78" s="36"/>
      <c r="W78" s="36">
        <v>0</v>
      </c>
      <c r="X78" s="7">
        <v>0</v>
      </c>
      <c r="Y78" s="7">
        <v>0</v>
      </c>
      <c r="Z78" s="7">
        <v>0</v>
      </c>
      <c r="AA78" s="36">
        <v>0</v>
      </c>
      <c r="AB78" s="7">
        <v>0</v>
      </c>
      <c r="AC78" s="7">
        <v>0</v>
      </c>
      <c r="AD78" s="7">
        <v>339</v>
      </c>
      <c r="AE78" s="36">
        <v>0</v>
      </c>
      <c r="AF78" s="7">
        <v>0</v>
      </c>
      <c r="AG78" s="7">
        <v>0</v>
      </c>
      <c r="AH78" s="7">
        <v>0</v>
      </c>
      <c r="AI78" s="36">
        <v>1331</v>
      </c>
      <c r="AJ78" s="7">
        <v>1311</v>
      </c>
      <c r="AK78" s="7">
        <v>1260</v>
      </c>
      <c r="AL78" s="7">
        <v>1260</v>
      </c>
      <c r="AM78" s="36">
        <v>1261</v>
      </c>
      <c r="AN78" s="7">
        <v>218</v>
      </c>
      <c r="AO78" s="7">
        <v>218</v>
      </c>
      <c r="AP78" s="7">
        <v>184</v>
      </c>
      <c r="AQ78" s="36">
        <v>184</v>
      </c>
      <c r="AR78" s="7">
        <v>184</v>
      </c>
      <c r="BJ78" s="7">
        <v>0</v>
      </c>
      <c r="BK78" s="7">
        <v>0</v>
      </c>
      <c r="BL78" s="7">
        <v>0</v>
      </c>
      <c r="BM78" s="7">
        <v>0</v>
      </c>
      <c r="BN78" s="7">
        <v>0</v>
      </c>
      <c r="BO78" s="7">
        <v>0</v>
      </c>
      <c r="BP78" s="7">
        <v>282</v>
      </c>
      <c r="BQ78" s="7">
        <v>339</v>
      </c>
      <c r="BR78" s="7">
        <v>0</v>
      </c>
      <c r="BS78" s="7">
        <v>1260</v>
      </c>
      <c r="BT78" s="7">
        <v>184</v>
      </c>
    </row>
    <row r="79" spans="2:75" s="7" customFormat="1" x14ac:dyDescent="0.35">
      <c r="B79" s="7" t="s">
        <v>63</v>
      </c>
      <c r="G79" s="36"/>
      <c r="K79" s="36"/>
      <c r="O79" s="36"/>
      <c r="S79" s="36"/>
      <c r="W79" s="36">
        <v>346.428</v>
      </c>
      <c r="X79" s="7">
        <v>300.40600000000001</v>
      </c>
      <c r="Y79" s="7">
        <v>291.476</v>
      </c>
      <c r="Z79" s="7">
        <v>282</v>
      </c>
      <c r="AA79" s="36">
        <v>273.56799999999998</v>
      </c>
      <c r="AB79" s="7">
        <v>327.358</v>
      </c>
      <c r="AC79" s="7">
        <v>351</v>
      </c>
      <c r="AD79" s="7">
        <v>198</v>
      </c>
      <c r="AE79" s="36">
        <v>323</v>
      </c>
      <c r="AF79" s="7">
        <v>312</v>
      </c>
      <c r="AG79" s="7">
        <v>318</v>
      </c>
      <c r="AH79" s="7">
        <v>313</v>
      </c>
      <c r="AI79" s="36">
        <v>299</v>
      </c>
      <c r="AJ79" s="7">
        <v>283</v>
      </c>
      <c r="AK79" s="7">
        <v>269</v>
      </c>
      <c r="AL79" s="7">
        <v>257</v>
      </c>
      <c r="AM79" s="36">
        <v>254</v>
      </c>
      <c r="AN79" s="7">
        <v>241</v>
      </c>
      <c r="AO79" s="7">
        <v>228</v>
      </c>
      <c r="AP79" s="7">
        <v>215</v>
      </c>
      <c r="AQ79" s="36">
        <v>204</v>
      </c>
      <c r="AR79" s="7">
        <v>202</v>
      </c>
      <c r="BJ79" s="7">
        <v>0</v>
      </c>
      <c r="BK79" s="7">
        <v>0</v>
      </c>
      <c r="BL79" s="7">
        <v>0</v>
      </c>
      <c r="BM79" s="7">
        <v>0</v>
      </c>
      <c r="BN79" s="7">
        <v>376.14499999999998</v>
      </c>
      <c r="BO79" s="7">
        <v>361.50200000000001</v>
      </c>
      <c r="BP79" s="7">
        <v>68</v>
      </c>
      <c r="BQ79" s="7">
        <v>198</v>
      </c>
      <c r="BR79" s="7">
        <v>313</v>
      </c>
      <c r="BS79" s="7">
        <v>257</v>
      </c>
      <c r="BT79" s="7">
        <v>215</v>
      </c>
    </row>
    <row r="80" spans="2:75" s="7" customFormat="1" x14ac:dyDescent="0.35">
      <c r="B80" s="7" t="s">
        <v>64</v>
      </c>
      <c r="G80" s="36"/>
      <c r="K80" s="36"/>
      <c r="O80" s="36"/>
      <c r="S80" s="36"/>
      <c r="W80" s="36">
        <v>61.283999999999999</v>
      </c>
      <c r="X80" s="7">
        <v>64.284000000000006</v>
      </c>
      <c r="Y80" s="7">
        <v>65.225999999999999</v>
      </c>
      <c r="Z80" s="7">
        <v>68</v>
      </c>
      <c r="AA80" s="36">
        <v>74.311999999999998</v>
      </c>
      <c r="AB80" s="7">
        <v>153.47499999999999</v>
      </c>
      <c r="AC80" s="7">
        <v>186</v>
      </c>
      <c r="AD80" s="7">
        <v>393</v>
      </c>
      <c r="AE80" s="36">
        <v>193</v>
      </c>
      <c r="AF80" s="7">
        <v>196</v>
      </c>
      <c r="AG80" s="7">
        <v>203</v>
      </c>
      <c r="AH80" s="7">
        <v>207</v>
      </c>
      <c r="AI80" s="36">
        <v>206</v>
      </c>
      <c r="AJ80" s="7">
        <v>203</v>
      </c>
      <c r="AK80" s="7">
        <v>201</v>
      </c>
      <c r="AL80" s="7">
        <v>200</v>
      </c>
      <c r="AM80" s="36">
        <v>200</v>
      </c>
      <c r="AN80" s="7">
        <v>196</v>
      </c>
      <c r="AO80" s="7">
        <v>191</v>
      </c>
      <c r="AP80" s="7">
        <v>194</v>
      </c>
      <c r="AQ80" s="36">
        <v>195</v>
      </c>
      <c r="AR80" s="7">
        <v>263</v>
      </c>
      <c r="BJ80" s="7">
        <v>0</v>
      </c>
      <c r="BK80" s="7">
        <v>0</v>
      </c>
      <c r="BL80" s="7">
        <v>0</v>
      </c>
      <c r="BM80" s="7">
        <v>0</v>
      </c>
      <c r="BN80" s="7">
        <v>0</v>
      </c>
      <c r="BO80" s="7">
        <v>60.237000000000002</v>
      </c>
      <c r="BP80" s="7">
        <v>422</v>
      </c>
      <c r="BQ80" s="7">
        <v>393</v>
      </c>
      <c r="BR80" s="7">
        <v>207</v>
      </c>
      <c r="BS80" s="7">
        <v>200</v>
      </c>
      <c r="BT80" s="7">
        <v>194</v>
      </c>
    </row>
    <row r="81" spans="2:75" s="7" customFormat="1" x14ac:dyDescent="0.35">
      <c r="B81" s="7" t="s">
        <v>65</v>
      </c>
      <c r="G81" s="36"/>
      <c r="K81" s="36"/>
      <c r="O81" s="36"/>
      <c r="S81" s="36"/>
      <c r="W81" s="36">
        <v>433.84100000000001</v>
      </c>
      <c r="X81" s="7">
        <v>399.92</v>
      </c>
      <c r="Y81" s="7">
        <v>396.83499999999998</v>
      </c>
      <c r="Z81" s="7">
        <v>398</v>
      </c>
      <c r="AA81" s="36">
        <v>353.67899999999997</v>
      </c>
      <c r="AB81" s="7">
        <v>365.54700000000003</v>
      </c>
      <c r="AC81" s="7">
        <v>255</v>
      </c>
      <c r="AD81" s="7">
        <v>269</v>
      </c>
      <c r="AE81" s="36">
        <v>0</v>
      </c>
      <c r="AF81" s="7">
        <v>0</v>
      </c>
      <c r="AG81" s="7">
        <v>0</v>
      </c>
      <c r="AH81" s="7">
        <v>0</v>
      </c>
      <c r="AI81" s="36">
        <v>0</v>
      </c>
      <c r="AJ81" s="7">
        <v>0</v>
      </c>
      <c r="AK81" s="7">
        <v>0</v>
      </c>
      <c r="AL81" s="7">
        <v>0</v>
      </c>
      <c r="AM81" s="36">
        <v>0</v>
      </c>
      <c r="AN81" s="7">
        <v>0</v>
      </c>
      <c r="AO81" s="7">
        <v>0</v>
      </c>
      <c r="AP81" s="7">
        <v>0</v>
      </c>
      <c r="AQ81" s="36">
        <v>0</v>
      </c>
      <c r="AR81" s="7">
        <v>0</v>
      </c>
      <c r="BJ81" s="7">
        <v>5.1589999999999998</v>
      </c>
      <c r="BK81" s="7">
        <v>6.4349999999999996</v>
      </c>
      <c r="BL81" s="7">
        <v>11.374000000000001</v>
      </c>
      <c r="BM81" s="7">
        <v>31.521999999999998</v>
      </c>
      <c r="BN81" s="7">
        <v>268.16500000000002</v>
      </c>
      <c r="BO81" s="7">
        <v>441.72199999999998</v>
      </c>
      <c r="BP81" s="7">
        <v>398</v>
      </c>
      <c r="BQ81" s="7">
        <v>269</v>
      </c>
      <c r="BR81" s="7">
        <v>0</v>
      </c>
      <c r="BS81" s="7">
        <v>0</v>
      </c>
      <c r="BT81" s="7">
        <v>0</v>
      </c>
    </row>
    <row r="82" spans="2:75" s="22" customFormat="1" x14ac:dyDescent="0.35">
      <c r="B82" s="22" t="s">
        <v>66</v>
      </c>
      <c r="G82" s="37"/>
      <c r="K82" s="37"/>
      <c r="O82" s="37"/>
      <c r="S82" s="37"/>
      <c r="W82" s="37">
        <f>415.478+449.754</f>
        <v>865.23199999999997</v>
      </c>
      <c r="X82" s="22">
        <f>419.254+434.841</f>
        <v>854.09500000000003</v>
      </c>
      <c r="Y82" s="22">
        <f>431.819+422.897</f>
        <v>854.71600000000001</v>
      </c>
      <c r="Z82" s="22">
        <f>572+422</f>
        <v>994</v>
      </c>
      <c r="AA82" s="37">
        <f>801.867+413.181</f>
        <v>1215.048</v>
      </c>
      <c r="AB82" s="22">
        <f>842.978+400.308</f>
        <v>1243.2860000000001</v>
      </c>
      <c r="AC82" s="22">
        <f>820+398</f>
        <v>1218</v>
      </c>
      <c r="AD82" s="22">
        <v>808</v>
      </c>
      <c r="AE82" s="37">
        <v>1373</v>
      </c>
      <c r="AF82" s="22">
        <v>1415</v>
      </c>
      <c r="AG82" s="22">
        <v>1436</v>
      </c>
      <c r="AH82" s="22">
        <v>1536</v>
      </c>
      <c r="AI82" s="37">
        <v>1587</v>
      </c>
      <c r="AJ82" s="22">
        <v>1626</v>
      </c>
      <c r="AK82" s="22">
        <v>1854</v>
      </c>
      <c r="AL82" s="22">
        <v>2138</v>
      </c>
      <c r="AM82" s="37">
        <v>2634</v>
      </c>
      <c r="AN82" s="22">
        <v>2952</v>
      </c>
      <c r="AO82" s="22">
        <v>3236</v>
      </c>
      <c r="AP82" s="22">
        <v>4193</v>
      </c>
      <c r="AQ82" s="37">
        <v>4584</v>
      </c>
      <c r="AR82" s="22">
        <v>5026</v>
      </c>
      <c r="BJ82" s="22">
        <v>21.963000000000001</v>
      </c>
      <c r="BK82" s="22">
        <v>23.637</v>
      </c>
      <c r="BL82" s="22">
        <v>43.209000000000003</v>
      </c>
      <c r="BM82" s="22">
        <v>74.632999999999996</v>
      </c>
      <c r="BN82" s="22">
        <f>216.751+506.302</f>
        <v>723.053</v>
      </c>
      <c r="BO82" s="22">
        <f>273.123+456.652</f>
        <v>729.77499999999998</v>
      </c>
      <c r="BP82" s="22">
        <v>572</v>
      </c>
      <c r="BQ82" s="22">
        <v>808</v>
      </c>
      <c r="BR82" s="22">
        <v>1536</v>
      </c>
      <c r="BS82" s="22">
        <v>2138</v>
      </c>
      <c r="BT82" s="22">
        <v>4193</v>
      </c>
    </row>
    <row r="83" spans="2:75" s="28" customFormat="1" x14ac:dyDescent="0.35">
      <c r="B83" s="28" t="s">
        <v>1229</v>
      </c>
      <c r="G83" s="43">
        <f t="shared" ref="G83:Z83" si="601">SUM(G74:G82)</f>
        <v>0</v>
      </c>
      <c r="H83" s="28">
        <f t="shared" si="601"/>
        <v>0</v>
      </c>
      <c r="I83" s="28">
        <f t="shared" si="601"/>
        <v>0</v>
      </c>
      <c r="J83" s="28">
        <f t="shared" si="601"/>
        <v>0</v>
      </c>
      <c r="K83" s="43">
        <f t="shared" si="601"/>
        <v>0</v>
      </c>
      <c r="L83" s="28">
        <f t="shared" si="601"/>
        <v>0</v>
      </c>
      <c r="M83" s="28">
        <f t="shared" si="601"/>
        <v>0</v>
      </c>
      <c r="N83" s="28">
        <f t="shared" si="601"/>
        <v>0</v>
      </c>
      <c r="O83" s="43">
        <f t="shared" si="601"/>
        <v>0</v>
      </c>
      <c r="P83" s="28">
        <f t="shared" si="601"/>
        <v>0</v>
      </c>
      <c r="Q83" s="28">
        <f t="shared" si="601"/>
        <v>0</v>
      </c>
      <c r="R83" s="28">
        <f t="shared" si="601"/>
        <v>0</v>
      </c>
      <c r="S83" s="43">
        <f t="shared" si="601"/>
        <v>0</v>
      </c>
      <c r="T83" s="28">
        <f t="shared" si="601"/>
        <v>0</v>
      </c>
      <c r="U83" s="28">
        <f t="shared" si="601"/>
        <v>0</v>
      </c>
      <c r="V83" s="28">
        <f t="shared" si="601"/>
        <v>0</v>
      </c>
      <c r="W83" s="43">
        <f t="shared" si="601"/>
        <v>20887.509000000002</v>
      </c>
      <c r="X83" s="28">
        <f t="shared" si="601"/>
        <v>21210.130999999998</v>
      </c>
      <c r="Y83" s="28">
        <f t="shared" si="601"/>
        <v>21342.221999999998</v>
      </c>
      <c r="Z83" s="28">
        <f t="shared" si="601"/>
        <v>21433</v>
      </c>
      <c r="AA83" s="43">
        <f t="shared" ref="AA83:AU83" si="602">SUM(AA74:AA82)</f>
        <v>21234.687699999999</v>
      </c>
      <c r="AB83" s="28">
        <f t="shared" si="602"/>
        <v>21690.644999999997</v>
      </c>
      <c r="AC83" s="28">
        <f t="shared" si="602"/>
        <v>21855</v>
      </c>
      <c r="AD83" s="28">
        <f t="shared" si="602"/>
        <v>22206</v>
      </c>
      <c r="AE83" s="43">
        <f t="shared" si="602"/>
        <v>22357</v>
      </c>
      <c r="AF83" s="28">
        <f t="shared" si="602"/>
        <v>22799</v>
      </c>
      <c r="AG83" s="28">
        <f t="shared" si="602"/>
        <v>23947</v>
      </c>
      <c r="AH83" s="28">
        <f t="shared" si="602"/>
        <v>25431</v>
      </c>
      <c r="AI83" s="43">
        <f t="shared" si="602"/>
        <v>28267</v>
      </c>
      <c r="AJ83" s="28">
        <f t="shared" si="602"/>
        <v>30453</v>
      </c>
      <c r="AK83" s="28">
        <f t="shared" si="602"/>
        <v>32832</v>
      </c>
      <c r="AL83" s="28">
        <f t="shared" si="602"/>
        <v>35031</v>
      </c>
      <c r="AM83" s="43">
        <f t="shared" si="602"/>
        <v>36988</v>
      </c>
      <c r="AN83" s="28">
        <f t="shared" si="602"/>
        <v>37291</v>
      </c>
      <c r="AO83" s="28">
        <f t="shared" si="602"/>
        <v>38436</v>
      </c>
      <c r="AP83" s="28">
        <f t="shared" si="602"/>
        <v>41421</v>
      </c>
      <c r="AQ83" s="43">
        <f t="shared" si="602"/>
        <v>43836</v>
      </c>
      <c r="AR83" s="28">
        <f t="shared" si="602"/>
        <v>46716</v>
      </c>
      <c r="AS83" s="28">
        <f t="shared" si="602"/>
        <v>0</v>
      </c>
      <c r="AT83" s="28">
        <f t="shared" si="602"/>
        <v>0</v>
      </c>
      <c r="AU83" s="28">
        <f t="shared" si="602"/>
        <v>0</v>
      </c>
      <c r="BA83" s="28">
        <f t="shared" ref="BA83" si="603">SUM(BA74:BA82)</f>
        <v>0</v>
      </c>
      <c r="BB83" s="28">
        <f t="shared" ref="BB83" si="604">SUM(BB74:BB82)</f>
        <v>0</v>
      </c>
      <c r="BC83" s="28">
        <f t="shared" ref="BC83" si="605">SUM(BC74:BC82)</f>
        <v>0</v>
      </c>
      <c r="BD83" s="28">
        <f t="shared" ref="BD83" si="606">SUM(BD74:BD82)</f>
        <v>0</v>
      </c>
      <c r="BE83" s="28">
        <f t="shared" ref="BE83" si="607">SUM(BE74:BE82)</f>
        <v>0</v>
      </c>
      <c r="BF83" s="28">
        <f t="shared" ref="BF83" si="608">SUM(BF74:BF82)</f>
        <v>0</v>
      </c>
      <c r="BG83" s="28">
        <f t="shared" ref="BG83" si="609">SUM(BG74:BG82)</f>
        <v>0</v>
      </c>
      <c r="BH83" s="28">
        <f t="shared" ref="BH83" si="610">SUM(BH74:BH82)</f>
        <v>0</v>
      </c>
      <c r="BI83" s="28">
        <f t="shared" ref="BI83" si="611">SUM(BI74:BI82)</f>
        <v>0</v>
      </c>
      <c r="BJ83" s="28">
        <f t="shared" ref="BJ83" si="612">SUM(BJ74:BJ82)</f>
        <v>589.42200000000003</v>
      </c>
      <c r="BK83" s="28">
        <f t="shared" ref="BK83" si="613">SUM(BK74:BK82)</f>
        <v>1150.991</v>
      </c>
      <c r="BL83" s="28">
        <f t="shared" ref="BL83" si="614">SUM(BL74:BL82)</f>
        <v>2650.5939999999996</v>
      </c>
      <c r="BM83" s="28">
        <f t="shared" ref="BM83" si="615">SUM(BM74:BM82)</f>
        <v>5300.8919999999998</v>
      </c>
      <c r="BN83" s="28">
        <f t="shared" ref="BN83" si="616">SUM(BN74:BN82)</f>
        <v>16404.280000000002</v>
      </c>
      <c r="BO83" s="28">
        <f t="shared" ref="BO83" si="617">SUM(BO74:BO82)</f>
        <v>22084.852000000006</v>
      </c>
      <c r="BP83" s="28">
        <f t="shared" ref="BP83" si="618">SUM(BP74:BP82)</f>
        <v>21433</v>
      </c>
      <c r="BQ83" s="28">
        <f t="shared" ref="BQ83" si="619">SUM(BQ74:BQ82)</f>
        <v>22206</v>
      </c>
      <c r="BR83" s="28">
        <f t="shared" ref="BR83" si="620">SUM(BR74:BR82)</f>
        <v>25431</v>
      </c>
      <c r="BS83" s="28">
        <f t="shared" ref="BS83" si="621">SUM(BS74:BS82)</f>
        <v>35031</v>
      </c>
      <c r="BT83" s="28">
        <f t="shared" ref="BT83" si="622">SUM(BT74:BT82)</f>
        <v>41421</v>
      </c>
      <c r="BU83" s="28">
        <f t="shared" ref="BU83" si="623">SUM(BU74:BU82)</f>
        <v>0</v>
      </c>
      <c r="BV83" s="28">
        <f t="shared" ref="BV83" si="624">SUM(BV74:BV82)</f>
        <v>0</v>
      </c>
      <c r="BW83" s="28">
        <f t="shared" ref="BW83" si="625">SUM(BW74:BW82)</f>
        <v>0</v>
      </c>
    </row>
    <row r="84" spans="2:75" s="23" customFormat="1" x14ac:dyDescent="0.35">
      <c r="B84" s="23" t="s">
        <v>67</v>
      </c>
      <c r="G84" s="38">
        <f t="shared" ref="G84:Z84" si="626">G83+G72</f>
        <v>0</v>
      </c>
      <c r="H84" s="23">
        <f t="shared" si="626"/>
        <v>0</v>
      </c>
      <c r="I84" s="23">
        <f t="shared" si="626"/>
        <v>0</v>
      </c>
      <c r="J84" s="23">
        <f t="shared" si="626"/>
        <v>0</v>
      </c>
      <c r="K84" s="38">
        <f t="shared" si="626"/>
        <v>0</v>
      </c>
      <c r="L84" s="23">
        <f t="shared" si="626"/>
        <v>0</v>
      </c>
      <c r="M84" s="23">
        <f t="shared" si="626"/>
        <v>0</v>
      </c>
      <c r="N84" s="23">
        <f t="shared" si="626"/>
        <v>0</v>
      </c>
      <c r="O84" s="38">
        <f t="shared" si="626"/>
        <v>0</v>
      </c>
      <c r="P84" s="23">
        <f t="shared" si="626"/>
        <v>0</v>
      </c>
      <c r="Q84" s="23">
        <f t="shared" si="626"/>
        <v>0</v>
      </c>
      <c r="R84" s="23">
        <f t="shared" si="626"/>
        <v>0</v>
      </c>
      <c r="S84" s="38">
        <f t="shared" si="626"/>
        <v>0</v>
      </c>
      <c r="T84" s="23">
        <f t="shared" si="626"/>
        <v>0</v>
      </c>
      <c r="U84" s="23">
        <f t="shared" si="626"/>
        <v>0</v>
      </c>
      <c r="V84" s="23">
        <f t="shared" si="626"/>
        <v>0</v>
      </c>
      <c r="W84" s="38">
        <f t="shared" si="626"/>
        <v>27271.429</v>
      </c>
      <c r="X84" s="23">
        <f t="shared" si="626"/>
        <v>27909.927999999996</v>
      </c>
      <c r="Y84" s="23">
        <f t="shared" si="626"/>
        <v>29262.712999999996</v>
      </c>
      <c r="Z84" s="23">
        <f t="shared" si="626"/>
        <v>29740</v>
      </c>
      <c r="AA84" s="38">
        <f t="shared" ref="AA84:AU84" si="627">AA83+AA72</f>
        <v>28912.509699999999</v>
      </c>
      <c r="AB84" s="23">
        <f t="shared" si="627"/>
        <v>31872.596999999994</v>
      </c>
      <c r="AC84" s="23">
        <f t="shared" si="627"/>
        <v>32795</v>
      </c>
      <c r="AD84" s="23">
        <f t="shared" si="627"/>
        <v>34309</v>
      </c>
      <c r="AE84" s="38">
        <f t="shared" si="627"/>
        <v>37250</v>
      </c>
      <c r="AF84" s="23">
        <f t="shared" si="627"/>
        <v>38135</v>
      </c>
      <c r="AG84" s="23">
        <f t="shared" si="627"/>
        <v>45691</v>
      </c>
      <c r="AH84" s="23">
        <f t="shared" si="627"/>
        <v>52148</v>
      </c>
      <c r="AI84" s="38">
        <f t="shared" si="627"/>
        <v>52972</v>
      </c>
      <c r="AJ84" s="23">
        <f t="shared" si="627"/>
        <v>55146</v>
      </c>
      <c r="AK84" s="23">
        <f t="shared" si="627"/>
        <v>57834</v>
      </c>
      <c r="AL84" s="23">
        <f t="shared" si="627"/>
        <v>62131</v>
      </c>
      <c r="AM84" s="38">
        <f t="shared" si="627"/>
        <v>66038</v>
      </c>
      <c r="AN84" s="23">
        <f t="shared" si="627"/>
        <v>68513</v>
      </c>
      <c r="AO84" s="23">
        <f t="shared" si="627"/>
        <v>74426</v>
      </c>
      <c r="AP84" s="23">
        <f t="shared" si="627"/>
        <v>82338</v>
      </c>
      <c r="AQ84" s="38">
        <f t="shared" si="627"/>
        <v>86833</v>
      </c>
      <c r="AR84" s="23">
        <f t="shared" si="627"/>
        <v>90591</v>
      </c>
      <c r="AS84" s="23">
        <f t="shared" si="627"/>
        <v>0</v>
      </c>
      <c r="AT84" s="23">
        <f t="shared" si="627"/>
        <v>0</v>
      </c>
      <c r="AU84" s="23">
        <f t="shared" si="627"/>
        <v>0</v>
      </c>
      <c r="BA84" s="23">
        <f t="shared" ref="BA84" si="628">BA83+BA72</f>
        <v>0</v>
      </c>
      <c r="BB84" s="23">
        <f t="shared" ref="BB84" si="629">BB83+BB72</f>
        <v>0</v>
      </c>
      <c r="BC84" s="23">
        <f t="shared" ref="BC84" si="630">BC83+BC72</f>
        <v>0</v>
      </c>
      <c r="BD84" s="23">
        <f t="shared" ref="BD84" si="631">BD83+BD72</f>
        <v>0</v>
      </c>
      <c r="BE84" s="23">
        <f t="shared" ref="BE84" si="632">BE83+BE72</f>
        <v>0</v>
      </c>
      <c r="BF84" s="23">
        <f t="shared" ref="BF84" si="633">BF83+BF72</f>
        <v>0</v>
      </c>
      <c r="BG84" s="23">
        <f t="shared" ref="BG84" si="634">BG83+BG72</f>
        <v>0</v>
      </c>
      <c r="BH84" s="23">
        <f t="shared" ref="BH84" si="635">BH83+BH72</f>
        <v>0</v>
      </c>
      <c r="BI84" s="23">
        <f t="shared" ref="BI84" si="636">BI83+BI72</f>
        <v>0</v>
      </c>
      <c r="BJ84" s="23">
        <f t="shared" ref="BJ84" si="637">BJ83+BJ72</f>
        <v>1114.19</v>
      </c>
      <c r="BK84" s="23">
        <f t="shared" ref="BK84" si="638">BK83+BK72</f>
        <v>2416.9300000000003</v>
      </c>
      <c r="BL84" s="23">
        <f t="shared" ref="BL84" si="639">BL83+BL72</f>
        <v>5830.6669999999995</v>
      </c>
      <c r="BM84" s="23">
        <f t="shared" ref="BM84" si="640">BM83+BM72</f>
        <v>8092.4599999999991</v>
      </c>
      <c r="BN84" s="23">
        <f t="shared" ref="BN84" si="641">BN83+BN72</f>
        <v>22664.076000000001</v>
      </c>
      <c r="BO84" s="23">
        <f t="shared" ref="BO84" si="642">BO83+BO72</f>
        <v>28655.372000000007</v>
      </c>
      <c r="BP84" s="23">
        <f t="shared" ref="BP84" si="643">BP83+BP72</f>
        <v>29740</v>
      </c>
      <c r="BQ84" s="23">
        <f t="shared" ref="BQ84" si="644">BQ83+BQ72</f>
        <v>34309</v>
      </c>
      <c r="BR84" s="23">
        <f t="shared" ref="BR84" si="645">BR83+BR72</f>
        <v>52148</v>
      </c>
      <c r="BS84" s="23">
        <f t="shared" ref="BS84" si="646">BS83+BS72</f>
        <v>62131</v>
      </c>
      <c r="BT84" s="23">
        <f t="shared" ref="BT84" si="647">BT83+BT72</f>
        <v>82338</v>
      </c>
      <c r="BU84" s="23">
        <f t="shared" ref="BU84" si="648">BU83+BU72</f>
        <v>0</v>
      </c>
      <c r="BV84" s="23">
        <f t="shared" ref="BV84" si="649">BV83+BV72</f>
        <v>0</v>
      </c>
      <c r="BW84" s="23">
        <f t="shared" ref="BW84" si="650">BW83+BW72</f>
        <v>0</v>
      </c>
    </row>
    <row r="85" spans="2:75" s="27" customFormat="1" x14ac:dyDescent="0.35">
      <c r="B85" s="30" t="s">
        <v>1231</v>
      </c>
      <c r="G85" s="42"/>
      <c r="K85" s="42"/>
      <c r="O85" s="42"/>
      <c r="S85" s="42"/>
      <c r="W85" s="42"/>
      <c r="AA85" s="42"/>
      <c r="AE85" s="42"/>
      <c r="AI85" s="42"/>
      <c r="AM85" s="42"/>
      <c r="AQ85" s="42"/>
    </row>
    <row r="86" spans="2:75" s="7" customFormat="1" x14ac:dyDescent="0.35">
      <c r="B86" s="7" t="s">
        <v>68</v>
      </c>
      <c r="G86" s="36"/>
      <c r="K86" s="36"/>
      <c r="O86" s="36"/>
      <c r="S86" s="36"/>
      <c r="W86" s="36">
        <v>2603.498</v>
      </c>
      <c r="X86" s="7">
        <v>3030.4929999999999</v>
      </c>
      <c r="Y86" s="7">
        <v>3596.9839999999999</v>
      </c>
      <c r="Z86" s="7">
        <v>3405</v>
      </c>
      <c r="AA86" s="36">
        <v>3248.8270000000002</v>
      </c>
      <c r="AB86" s="7">
        <v>3133.587</v>
      </c>
      <c r="AC86" s="7">
        <v>3468</v>
      </c>
      <c r="AD86" s="7">
        <v>3771</v>
      </c>
      <c r="AE86" s="36">
        <v>3970</v>
      </c>
      <c r="AF86" s="7">
        <v>3638</v>
      </c>
      <c r="AG86" s="7">
        <v>4958</v>
      </c>
      <c r="AH86" s="7">
        <v>6051</v>
      </c>
      <c r="AI86" s="36">
        <v>6648</v>
      </c>
      <c r="AJ86" s="7">
        <v>7558</v>
      </c>
      <c r="AK86" s="7">
        <v>8260</v>
      </c>
      <c r="AL86" s="7">
        <v>10025</v>
      </c>
      <c r="AM86" s="36">
        <v>11171</v>
      </c>
      <c r="AN86" s="7">
        <v>11212</v>
      </c>
      <c r="AO86" s="7">
        <v>13897</v>
      </c>
      <c r="AP86" s="7">
        <v>15255</v>
      </c>
      <c r="AQ86" s="36">
        <v>15904</v>
      </c>
      <c r="AR86" s="7">
        <v>15273</v>
      </c>
      <c r="BJ86" s="7">
        <v>303.38200000000001</v>
      </c>
      <c r="BK86" s="7">
        <v>303.96899999999999</v>
      </c>
      <c r="BL86" s="7">
        <v>777.94600000000003</v>
      </c>
      <c r="BM86" s="7">
        <v>916.14800000000002</v>
      </c>
      <c r="BN86" s="7">
        <v>1860.3409999999999</v>
      </c>
      <c r="BO86" s="7">
        <v>2390.25</v>
      </c>
      <c r="BP86" s="7">
        <v>3405</v>
      </c>
      <c r="BQ86" s="7">
        <v>3771</v>
      </c>
      <c r="BR86" s="7">
        <v>6051</v>
      </c>
      <c r="BS86" s="7">
        <v>10025</v>
      </c>
      <c r="BT86" s="7">
        <v>15255</v>
      </c>
    </row>
    <row r="87" spans="2:75" s="7" customFormat="1" x14ac:dyDescent="0.35">
      <c r="B87" s="7" t="s">
        <v>69</v>
      </c>
      <c r="G87" s="36"/>
      <c r="K87" s="36"/>
      <c r="O87" s="36"/>
      <c r="S87" s="36"/>
      <c r="W87" s="36">
        <v>1898.431</v>
      </c>
      <c r="X87" s="7">
        <v>1814.979</v>
      </c>
      <c r="Y87" s="7">
        <v>1990.095</v>
      </c>
      <c r="Z87" s="7">
        <v>2094</v>
      </c>
      <c r="AA87" s="36">
        <v>2276.951</v>
      </c>
      <c r="AB87" s="7">
        <v>2622.9430000000002</v>
      </c>
      <c r="AC87" s="7">
        <v>2497</v>
      </c>
      <c r="AD87" s="7">
        <v>2905</v>
      </c>
      <c r="AE87" s="36">
        <v>2825</v>
      </c>
      <c r="AF87" s="7">
        <v>3110</v>
      </c>
      <c r="AG87" s="7">
        <v>3252</v>
      </c>
      <c r="AH87" s="7">
        <v>3855</v>
      </c>
      <c r="AI87" s="36">
        <v>4073</v>
      </c>
      <c r="AJ87" s="7">
        <v>4778</v>
      </c>
      <c r="AK87" s="7">
        <v>5443</v>
      </c>
      <c r="AL87" s="7">
        <v>5719</v>
      </c>
      <c r="AM87" s="36">
        <v>5906</v>
      </c>
      <c r="AN87" s="7">
        <v>6037</v>
      </c>
      <c r="AO87" s="7">
        <v>6246</v>
      </c>
      <c r="AP87" s="7">
        <v>7142</v>
      </c>
      <c r="AQ87" s="36">
        <v>7321</v>
      </c>
      <c r="AR87" s="7">
        <v>7658</v>
      </c>
      <c r="BJ87" s="7">
        <v>39.798000000000002</v>
      </c>
      <c r="BK87" s="7">
        <v>108.252</v>
      </c>
      <c r="BL87" s="7">
        <v>268.88299999999998</v>
      </c>
      <c r="BM87" s="7">
        <v>422.798</v>
      </c>
      <c r="BN87" s="7">
        <v>1210.028</v>
      </c>
      <c r="BO87" s="7">
        <v>1731.366</v>
      </c>
      <c r="BP87" s="7">
        <v>2094</v>
      </c>
      <c r="BQ87" s="7">
        <v>2905</v>
      </c>
      <c r="BR87" s="7">
        <v>3855</v>
      </c>
      <c r="BS87" s="7">
        <v>5719</v>
      </c>
      <c r="BT87" s="7">
        <v>7142</v>
      </c>
    </row>
    <row r="88" spans="2:75" s="7" customFormat="1" x14ac:dyDescent="0.35">
      <c r="B88" s="7" t="s">
        <v>70</v>
      </c>
      <c r="G88" s="36"/>
      <c r="K88" s="36"/>
      <c r="O88" s="36"/>
      <c r="S88" s="36"/>
      <c r="W88" s="36">
        <v>536.46500000000003</v>
      </c>
      <c r="X88" s="7">
        <v>576.32100000000003</v>
      </c>
      <c r="Y88" s="7">
        <v>570.91999999999996</v>
      </c>
      <c r="Z88" s="7">
        <v>630</v>
      </c>
      <c r="AA88" s="36">
        <v>762.81</v>
      </c>
      <c r="AB88" s="7">
        <v>883.29300000000001</v>
      </c>
      <c r="AC88" s="7">
        <v>1045</v>
      </c>
      <c r="AD88" s="7">
        <v>1163</v>
      </c>
      <c r="AE88" s="36">
        <v>1186</v>
      </c>
      <c r="AF88" s="7">
        <v>1130</v>
      </c>
      <c r="AG88" s="7">
        <v>1258</v>
      </c>
      <c r="AH88" s="7">
        <v>1458</v>
      </c>
      <c r="AI88" s="36">
        <v>1592</v>
      </c>
      <c r="AJ88" s="7">
        <v>1693</v>
      </c>
      <c r="AK88" s="7">
        <v>1801</v>
      </c>
      <c r="AL88" s="7">
        <v>1447</v>
      </c>
      <c r="AM88" s="36">
        <v>1594</v>
      </c>
      <c r="AN88" s="7">
        <v>1858</v>
      </c>
      <c r="AO88" s="7">
        <v>1928</v>
      </c>
      <c r="AP88" s="7">
        <v>1747</v>
      </c>
      <c r="AQ88" s="36">
        <v>1750</v>
      </c>
      <c r="AR88" s="7">
        <v>2176</v>
      </c>
      <c r="BJ88" s="7">
        <v>1.905</v>
      </c>
      <c r="BK88" s="7">
        <v>91.882000000000005</v>
      </c>
      <c r="BL88" s="7">
        <v>191.65100000000001</v>
      </c>
      <c r="BM88" s="7">
        <v>423.96100000000001</v>
      </c>
      <c r="BN88" s="7">
        <v>763.12599999999998</v>
      </c>
      <c r="BO88" s="7">
        <v>1015.253</v>
      </c>
      <c r="BP88" s="7">
        <v>630</v>
      </c>
      <c r="BQ88" s="7">
        <v>1163</v>
      </c>
      <c r="BR88" s="7">
        <v>1458</v>
      </c>
      <c r="BS88" s="7">
        <v>1447</v>
      </c>
      <c r="BT88" s="7">
        <v>1747</v>
      </c>
    </row>
    <row r="89" spans="2:75" s="7" customFormat="1" x14ac:dyDescent="0.35">
      <c r="B89" s="7" t="s">
        <v>71</v>
      </c>
      <c r="G89" s="36"/>
      <c r="K89" s="36"/>
      <c r="O89" s="36"/>
      <c r="S89" s="36"/>
      <c r="W89" s="36">
        <v>629.11199999999997</v>
      </c>
      <c r="X89" s="7">
        <v>674.255</v>
      </c>
      <c r="Y89" s="7">
        <v>604.91899999999998</v>
      </c>
      <c r="Z89" s="7">
        <v>503</v>
      </c>
      <c r="AA89" s="36">
        <v>480.22500000000002</v>
      </c>
      <c r="AB89" s="7">
        <v>526.75800000000004</v>
      </c>
      <c r="AC89" s="7">
        <v>441</v>
      </c>
      <c r="AD89" s="7">
        <v>317</v>
      </c>
      <c r="AE89" s="36">
        <v>0</v>
      </c>
      <c r="AF89" s="7">
        <v>0</v>
      </c>
      <c r="AG89" s="7">
        <v>0</v>
      </c>
      <c r="AH89" s="7">
        <v>0</v>
      </c>
      <c r="AI89" s="36">
        <v>0</v>
      </c>
      <c r="AJ89" s="7">
        <v>0</v>
      </c>
      <c r="AK89" s="7">
        <v>0</v>
      </c>
      <c r="AL89" s="7">
        <v>0</v>
      </c>
      <c r="AM89" s="36">
        <v>0</v>
      </c>
      <c r="AN89" s="7">
        <v>0</v>
      </c>
      <c r="AO89" s="7">
        <v>0</v>
      </c>
      <c r="AP89" s="7">
        <v>0</v>
      </c>
      <c r="AQ89" s="36">
        <v>0</v>
      </c>
      <c r="AR89" s="7">
        <v>0</v>
      </c>
      <c r="BJ89" s="7">
        <v>0</v>
      </c>
      <c r="BK89" s="7">
        <v>0</v>
      </c>
      <c r="BL89" s="7">
        <v>0</v>
      </c>
      <c r="BM89" s="7">
        <v>136.83099999999999</v>
      </c>
      <c r="BN89" s="7">
        <v>179.50399999999999</v>
      </c>
      <c r="BO89" s="7">
        <v>787.33299999999997</v>
      </c>
      <c r="BP89" s="7">
        <v>503</v>
      </c>
      <c r="BQ89" s="7">
        <v>317</v>
      </c>
      <c r="BR89" s="7">
        <v>0</v>
      </c>
      <c r="BS89" s="7">
        <v>0</v>
      </c>
      <c r="BT89" s="7">
        <v>0</v>
      </c>
    </row>
    <row r="90" spans="2:75" s="7" customFormat="1" x14ac:dyDescent="0.35">
      <c r="B90" s="7" t="s">
        <v>72</v>
      </c>
      <c r="G90" s="36"/>
      <c r="K90" s="36"/>
      <c r="O90" s="36"/>
      <c r="S90" s="36"/>
      <c r="W90" s="36">
        <v>984.82299999999998</v>
      </c>
      <c r="X90" s="7">
        <v>942.12900000000002</v>
      </c>
      <c r="Y90" s="7">
        <v>905.83799999999997</v>
      </c>
      <c r="Z90" s="7">
        <v>793</v>
      </c>
      <c r="AA90" s="36">
        <v>768.27599999999995</v>
      </c>
      <c r="AB90" s="7">
        <v>631.10699999999997</v>
      </c>
      <c r="AC90" s="7">
        <v>665</v>
      </c>
      <c r="AD90" s="7">
        <v>726</v>
      </c>
      <c r="AE90" s="36">
        <v>788</v>
      </c>
      <c r="AF90" s="7">
        <v>713</v>
      </c>
      <c r="AG90" s="7">
        <v>708</v>
      </c>
      <c r="AH90" s="7">
        <v>752</v>
      </c>
      <c r="AI90" s="36">
        <v>745</v>
      </c>
      <c r="AJ90" s="7">
        <v>812</v>
      </c>
      <c r="AK90" s="7">
        <v>831</v>
      </c>
      <c r="AL90" s="7">
        <v>925</v>
      </c>
      <c r="AM90" s="36">
        <v>1125</v>
      </c>
      <c r="AN90" s="7">
        <v>1182</v>
      </c>
      <c r="AO90" s="7">
        <v>1083</v>
      </c>
      <c r="AP90" s="7">
        <v>1063</v>
      </c>
      <c r="AQ90" s="36">
        <v>1057</v>
      </c>
      <c r="AR90" s="7">
        <v>1026</v>
      </c>
      <c r="BJ90" s="7">
        <v>138.517</v>
      </c>
      <c r="BK90" s="7">
        <v>163.15299999999999</v>
      </c>
      <c r="BL90" s="7">
        <v>257.58699999999999</v>
      </c>
      <c r="BM90" s="7">
        <v>283.37099999999998</v>
      </c>
      <c r="BN90" s="7">
        <v>663.85900000000004</v>
      </c>
      <c r="BO90" s="7">
        <v>853.91899999999998</v>
      </c>
      <c r="BP90" s="7">
        <v>793</v>
      </c>
      <c r="BQ90" s="7">
        <v>726</v>
      </c>
      <c r="BR90" s="7">
        <v>752</v>
      </c>
      <c r="BS90" s="7">
        <v>925</v>
      </c>
      <c r="BT90" s="7">
        <v>1063</v>
      </c>
    </row>
    <row r="91" spans="2:75" s="22" customFormat="1" x14ac:dyDescent="0.35">
      <c r="B91" s="22" t="s">
        <v>73</v>
      </c>
      <c r="G91" s="37"/>
      <c r="K91" s="37"/>
      <c r="O91" s="37"/>
      <c r="S91" s="37"/>
      <c r="W91" s="37">
        <f>1915.53+82.5</f>
        <v>1998.03</v>
      </c>
      <c r="X91" s="22">
        <f>2020.685+82.5</f>
        <v>2103.1849999999999</v>
      </c>
      <c r="Y91" s="22">
        <v>2106.538</v>
      </c>
      <c r="Z91" s="22">
        <v>2568</v>
      </c>
      <c r="AA91" s="37">
        <v>1705.711</v>
      </c>
      <c r="AB91" s="22">
        <v>1791.085</v>
      </c>
      <c r="AC91" s="22">
        <v>2030</v>
      </c>
      <c r="AD91" s="22">
        <v>1785</v>
      </c>
      <c r="AE91" s="37">
        <v>3217</v>
      </c>
      <c r="AF91" s="22">
        <v>3679</v>
      </c>
      <c r="AG91" s="22">
        <v>3126</v>
      </c>
      <c r="AH91" s="22">
        <v>2132</v>
      </c>
      <c r="AI91" s="37">
        <v>1819</v>
      </c>
      <c r="AJ91" s="22">
        <v>1530</v>
      </c>
      <c r="AK91" s="22">
        <v>1716</v>
      </c>
      <c r="AL91" s="22">
        <v>1589</v>
      </c>
      <c r="AM91" s="37">
        <v>1659</v>
      </c>
      <c r="AN91" s="22">
        <v>1532</v>
      </c>
      <c r="AO91" s="22">
        <v>1457</v>
      </c>
      <c r="AP91" s="22">
        <v>1502</v>
      </c>
      <c r="AQ91" s="37">
        <v>1404</v>
      </c>
      <c r="AR91" s="22">
        <v>1459</v>
      </c>
      <c r="BJ91" s="22">
        <f>50.841+4.365</f>
        <v>55.206000000000003</v>
      </c>
      <c r="BK91" s="22">
        <f>7.722+0.182</f>
        <v>7.9040000000000008</v>
      </c>
      <c r="BL91" s="22">
        <v>611.09900000000005</v>
      </c>
      <c r="BM91" s="22">
        <v>633.16600000000005</v>
      </c>
      <c r="BN91" s="22">
        <f>984.211+165.936</f>
        <v>1150.1469999999999</v>
      </c>
      <c r="BO91" s="22">
        <f>796.549+100</f>
        <v>896.54899999999998</v>
      </c>
      <c r="BP91" s="22">
        <v>2568</v>
      </c>
      <c r="BQ91" s="22">
        <v>1785</v>
      </c>
      <c r="BR91" s="22">
        <v>2132</v>
      </c>
      <c r="BS91" s="22">
        <v>1589</v>
      </c>
      <c r="BT91" s="22">
        <v>1502</v>
      </c>
    </row>
    <row r="92" spans="2:75" s="7" customFormat="1" x14ac:dyDescent="0.35">
      <c r="B92" s="7" t="s">
        <v>74</v>
      </c>
      <c r="G92" s="36">
        <f t="shared" ref="G92:Z92" si="651">SUM(G86:G91)</f>
        <v>0</v>
      </c>
      <c r="H92" s="7">
        <f t="shared" si="651"/>
        <v>0</v>
      </c>
      <c r="I92" s="7">
        <f t="shared" si="651"/>
        <v>0</v>
      </c>
      <c r="J92" s="7">
        <f t="shared" si="651"/>
        <v>0</v>
      </c>
      <c r="K92" s="36">
        <f t="shared" si="651"/>
        <v>0</v>
      </c>
      <c r="L92" s="7">
        <f t="shared" si="651"/>
        <v>0</v>
      </c>
      <c r="M92" s="7">
        <f t="shared" si="651"/>
        <v>0</v>
      </c>
      <c r="N92" s="7">
        <f t="shared" si="651"/>
        <v>0</v>
      </c>
      <c r="O92" s="36">
        <f t="shared" si="651"/>
        <v>0</v>
      </c>
      <c r="P92" s="7">
        <f t="shared" si="651"/>
        <v>0</v>
      </c>
      <c r="Q92" s="7">
        <f t="shared" si="651"/>
        <v>0</v>
      </c>
      <c r="R92" s="7">
        <f t="shared" si="651"/>
        <v>0</v>
      </c>
      <c r="S92" s="36">
        <f t="shared" si="651"/>
        <v>0</v>
      </c>
      <c r="T92" s="7">
        <f t="shared" si="651"/>
        <v>0</v>
      </c>
      <c r="U92" s="7">
        <f t="shared" si="651"/>
        <v>0</v>
      </c>
      <c r="V92" s="7">
        <f t="shared" si="651"/>
        <v>0</v>
      </c>
      <c r="W92" s="36">
        <f t="shared" si="651"/>
        <v>8650.3590000000004</v>
      </c>
      <c r="X92" s="7">
        <f t="shared" si="651"/>
        <v>9141.3619999999992</v>
      </c>
      <c r="Y92" s="7">
        <f t="shared" si="651"/>
        <v>9775.2939999999999</v>
      </c>
      <c r="Z92" s="7">
        <f t="shared" si="651"/>
        <v>9993</v>
      </c>
      <c r="AA92" s="36">
        <f t="shared" ref="AA92:AU92" si="652">SUM(AA86:AA91)</f>
        <v>9242.7999999999993</v>
      </c>
      <c r="AB92" s="7">
        <f t="shared" si="652"/>
        <v>9588.773000000001</v>
      </c>
      <c r="AC92" s="7">
        <f t="shared" si="652"/>
        <v>10146</v>
      </c>
      <c r="AD92" s="7">
        <f t="shared" si="652"/>
        <v>10667</v>
      </c>
      <c r="AE92" s="36">
        <f t="shared" si="652"/>
        <v>11986</v>
      </c>
      <c r="AF92" s="7">
        <f t="shared" si="652"/>
        <v>12270</v>
      </c>
      <c r="AG92" s="7">
        <f t="shared" si="652"/>
        <v>13302</v>
      </c>
      <c r="AH92" s="7">
        <f t="shared" si="652"/>
        <v>14248</v>
      </c>
      <c r="AI92" s="36">
        <f t="shared" si="652"/>
        <v>14877</v>
      </c>
      <c r="AJ92" s="7">
        <f t="shared" si="652"/>
        <v>16371</v>
      </c>
      <c r="AK92" s="7">
        <f t="shared" si="652"/>
        <v>18051</v>
      </c>
      <c r="AL92" s="7">
        <f t="shared" si="652"/>
        <v>19705</v>
      </c>
      <c r="AM92" s="36">
        <f t="shared" si="652"/>
        <v>21455</v>
      </c>
      <c r="AN92" s="7">
        <f t="shared" si="652"/>
        <v>21821</v>
      </c>
      <c r="AO92" s="7">
        <f t="shared" si="652"/>
        <v>24611</v>
      </c>
      <c r="AP92" s="7">
        <f t="shared" si="652"/>
        <v>26709</v>
      </c>
      <c r="AQ92" s="36">
        <f t="shared" si="652"/>
        <v>27436</v>
      </c>
      <c r="AR92" s="7">
        <f t="shared" si="652"/>
        <v>27592</v>
      </c>
      <c r="AS92" s="7">
        <f t="shared" si="652"/>
        <v>0</v>
      </c>
      <c r="AT92" s="7">
        <f t="shared" si="652"/>
        <v>0</v>
      </c>
      <c r="AU92" s="7">
        <f t="shared" si="652"/>
        <v>0</v>
      </c>
      <c r="BA92" s="7">
        <f t="shared" ref="BA92" si="653">SUM(BA86:BA91)</f>
        <v>0</v>
      </c>
      <c r="BB92" s="7">
        <f t="shared" ref="BB92" si="654">SUM(BB86:BB91)</f>
        <v>0</v>
      </c>
      <c r="BC92" s="7">
        <f t="shared" ref="BC92" si="655">SUM(BC86:BC91)</f>
        <v>0</v>
      </c>
      <c r="BD92" s="7">
        <f t="shared" ref="BD92" si="656">SUM(BD86:BD91)</f>
        <v>0</v>
      </c>
      <c r="BE92" s="7">
        <f t="shared" ref="BE92" si="657">SUM(BE86:BE91)</f>
        <v>0</v>
      </c>
      <c r="BF92" s="7">
        <f t="shared" ref="BF92" si="658">SUM(BF86:BF91)</f>
        <v>0</v>
      </c>
      <c r="BG92" s="7">
        <f t="shared" ref="BG92" si="659">SUM(BG86:BG91)</f>
        <v>0</v>
      </c>
      <c r="BH92" s="7">
        <f t="shared" ref="BH92" si="660">SUM(BH86:BH91)</f>
        <v>0</v>
      </c>
      <c r="BI92" s="7">
        <f t="shared" ref="BI92" si="661">SUM(BI86:BI91)</f>
        <v>0</v>
      </c>
      <c r="BJ92" s="7">
        <f t="shared" ref="BJ92" si="662">SUM(BJ86:BJ91)</f>
        <v>538.80799999999999</v>
      </c>
      <c r="BK92" s="7">
        <f t="shared" ref="BK92" si="663">SUM(BK86:BK91)</f>
        <v>675.16</v>
      </c>
      <c r="BL92" s="7">
        <f t="shared" ref="BL92" si="664">SUM(BL86:BL91)</f>
        <v>2107.1660000000002</v>
      </c>
      <c r="BM92" s="7">
        <f t="shared" ref="BM92:BT92" si="665">SUM(BM86:BM91)</f>
        <v>2816.2750000000001</v>
      </c>
      <c r="BN92" s="7">
        <f t="shared" si="665"/>
        <v>5827.0050000000001</v>
      </c>
      <c r="BO92" s="7">
        <f t="shared" si="665"/>
        <v>7674.6699999999992</v>
      </c>
      <c r="BP92" s="7">
        <f t="shared" si="665"/>
        <v>9993</v>
      </c>
      <c r="BQ92" s="7">
        <f t="shared" si="665"/>
        <v>10667</v>
      </c>
      <c r="BR92" s="7">
        <f t="shared" si="665"/>
        <v>14248</v>
      </c>
      <c r="BS92" s="7">
        <f t="shared" si="665"/>
        <v>19705</v>
      </c>
      <c r="BT92" s="7">
        <f t="shared" si="665"/>
        <v>26709</v>
      </c>
      <c r="BU92" s="7">
        <f t="shared" ref="BU92" si="666">SUM(BU86:BU91)</f>
        <v>0</v>
      </c>
      <c r="BV92" s="7">
        <f t="shared" ref="BV92" si="667">SUM(BV86:BV91)</f>
        <v>0</v>
      </c>
      <c r="BW92" s="7">
        <f t="shared" ref="BW92" si="668">SUM(BW86:BW91)</f>
        <v>0</v>
      </c>
    </row>
    <row r="93" spans="2:75" s="30" customFormat="1" x14ac:dyDescent="0.35">
      <c r="B93" s="30" t="s">
        <v>1232</v>
      </c>
      <c r="G93" s="46"/>
      <c r="K93" s="46"/>
      <c r="O93" s="46"/>
      <c r="S93" s="46"/>
      <c r="W93" s="46"/>
      <c r="AA93" s="46"/>
      <c r="AE93" s="46"/>
      <c r="AI93" s="46"/>
      <c r="AM93" s="46"/>
      <c r="AQ93" s="46"/>
    </row>
    <row r="94" spans="2:75" s="7" customFormat="1" x14ac:dyDescent="0.35">
      <c r="B94" s="7" t="s">
        <v>75</v>
      </c>
      <c r="G94" s="36"/>
      <c r="K94" s="36"/>
      <c r="O94" s="36"/>
      <c r="S94" s="36"/>
      <c r="W94" s="36">
        <v>8761.0709999999999</v>
      </c>
      <c r="X94" s="7">
        <v>9510.6959999999999</v>
      </c>
      <c r="Y94" s="7">
        <v>9669.8790000000008</v>
      </c>
      <c r="Z94" s="7">
        <v>9404</v>
      </c>
      <c r="AA94" s="36">
        <v>9787.9500000000007</v>
      </c>
      <c r="AB94" s="7">
        <v>11234.401</v>
      </c>
      <c r="AC94" s="7">
        <v>11313</v>
      </c>
      <c r="AD94" s="7">
        <v>11634</v>
      </c>
      <c r="AE94" s="36">
        <v>10666</v>
      </c>
      <c r="AF94" s="7">
        <v>10416</v>
      </c>
      <c r="AG94" s="7">
        <v>10559</v>
      </c>
      <c r="AH94" s="7">
        <v>9556</v>
      </c>
      <c r="AI94" s="36">
        <v>9053</v>
      </c>
      <c r="AJ94" s="7">
        <v>7871</v>
      </c>
      <c r="AK94" s="7">
        <v>6438</v>
      </c>
      <c r="AL94" s="7">
        <v>5245</v>
      </c>
      <c r="AM94" s="36">
        <v>3153</v>
      </c>
      <c r="AN94" s="7">
        <v>2898</v>
      </c>
      <c r="AO94" s="7">
        <v>2096</v>
      </c>
      <c r="AP94" s="7">
        <v>1597</v>
      </c>
      <c r="AQ94" s="36">
        <v>1272</v>
      </c>
      <c r="AR94" s="7">
        <v>872</v>
      </c>
      <c r="BJ94" s="7">
        <v>401.495</v>
      </c>
      <c r="BK94" s="7">
        <v>12.855</v>
      </c>
      <c r="BL94" s="7">
        <v>1818.7850000000001</v>
      </c>
      <c r="BM94" s="7">
        <v>2040.375</v>
      </c>
      <c r="BN94" s="7">
        <v>5860.049</v>
      </c>
      <c r="BO94" s="7">
        <v>9415.7000000000007</v>
      </c>
      <c r="BP94" s="7">
        <v>9404</v>
      </c>
      <c r="BQ94" s="7">
        <v>11634</v>
      </c>
      <c r="BR94" s="7">
        <v>9556</v>
      </c>
      <c r="BS94" s="7">
        <v>5245</v>
      </c>
      <c r="BT94" s="7">
        <v>1597</v>
      </c>
    </row>
    <row r="95" spans="2:75" s="7" customFormat="1" x14ac:dyDescent="0.35">
      <c r="B95" s="7" t="s">
        <v>70</v>
      </c>
      <c r="G95" s="36"/>
      <c r="K95" s="36"/>
      <c r="O95" s="36"/>
      <c r="S95" s="36"/>
      <c r="W95" s="36">
        <v>818.25</v>
      </c>
      <c r="X95" s="7">
        <v>795.82</v>
      </c>
      <c r="Y95" s="7">
        <v>950.12599999999998</v>
      </c>
      <c r="Z95" s="7">
        <v>991</v>
      </c>
      <c r="AA95" s="36">
        <v>1157.3430000000001</v>
      </c>
      <c r="AB95" s="7">
        <v>1182.0419999999999</v>
      </c>
      <c r="AC95" s="7">
        <v>1140</v>
      </c>
      <c r="AD95" s="7">
        <v>1207</v>
      </c>
      <c r="AE95" s="36">
        <v>1199</v>
      </c>
      <c r="AF95" s="7">
        <v>1198</v>
      </c>
      <c r="AG95" s="7">
        <v>1233</v>
      </c>
      <c r="AH95" s="7">
        <v>1284</v>
      </c>
      <c r="AI95" s="36">
        <v>1294</v>
      </c>
      <c r="AJ95" s="7">
        <v>1318</v>
      </c>
      <c r="AK95" s="7">
        <v>1635</v>
      </c>
      <c r="AL95" s="7">
        <v>2052</v>
      </c>
      <c r="AM95" s="36">
        <v>2185</v>
      </c>
      <c r="AN95" s="7">
        <v>2210</v>
      </c>
      <c r="AO95" s="7">
        <v>2265</v>
      </c>
      <c r="AP95" s="7">
        <v>2804</v>
      </c>
      <c r="AQ95" s="36">
        <v>2911</v>
      </c>
      <c r="AR95" s="7">
        <v>3021</v>
      </c>
      <c r="BJ95" s="7">
        <v>3.06</v>
      </c>
      <c r="BK95" s="7">
        <v>181.18</v>
      </c>
      <c r="BL95" s="7">
        <v>292.27100000000002</v>
      </c>
      <c r="BM95" s="7">
        <v>446.10500000000002</v>
      </c>
      <c r="BN95" s="7">
        <v>851.79</v>
      </c>
      <c r="BO95" s="7">
        <v>1177.799</v>
      </c>
      <c r="BP95" s="7">
        <v>991</v>
      </c>
      <c r="BQ95" s="7">
        <v>1207</v>
      </c>
      <c r="BR95" s="7">
        <v>1284</v>
      </c>
      <c r="BS95" s="7">
        <v>2052</v>
      </c>
      <c r="BT95" s="7">
        <v>2804</v>
      </c>
    </row>
    <row r="96" spans="2:75" s="7" customFormat="1" x14ac:dyDescent="0.35">
      <c r="B96" s="7" t="s">
        <v>71</v>
      </c>
      <c r="G96" s="36"/>
      <c r="K96" s="36"/>
      <c r="O96" s="36"/>
      <c r="S96" s="36"/>
      <c r="W96" s="36">
        <v>756.8</v>
      </c>
      <c r="X96" s="7">
        <v>584.85699999999997</v>
      </c>
      <c r="Y96" s="7">
        <v>455.762</v>
      </c>
      <c r="Z96" s="7">
        <v>329</v>
      </c>
      <c r="AA96" s="36">
        <v>211.39</v>
      </c>
      <c r="AB96" s="7">
        <v>61.2</v>
      </c>
      <c r="AC96" s="7">
        <v>38</v>
      </c>
      <c r="AD96" s="7">
        <v>36</v>
      </c>
      <c r="AE96" s="36">
        <v>0</v>
      </c>
      <c r="AF96" s="7">
        <v>0</v>
      </c>
      <c r="AG96" s="7">
        <v>0</v>
      </c>
      <c r="AH96" s="7">
        <v>0</v>
      </c>
      <c r="AI96" s="36">
        <v>0</v>
      </c>
      <c r="AJ96" s="7">
        <v>0</v>
      </c>
      <c r="AK96" s="7">
        <v>0</v>
      </c>
      <c r="AL96" s="7">
        <v>0</v>
      </c>
      <c r="AM96" s="36">
        <v>0</v>
      </c>
      <c r="AN96" s="7">
        <v>0</v>
      </c>
      <c r="AO96" s="7">
        <v>0</v>
      </c>
      <c r="AP96" s="7">
        <v>0</v>
      </c>
      <c r="AQ96" s="36">
        <v>0</v>
      </c>
      <c r="AR96" s="7">
        <v>0</v>
      </c>
      <c r="BJ96" s="7">
        <v>0</v>
      </c>
      <c r="BK96" s="7">
        <v>236.29900000000001</v>
      </c>
      <c r="BL96" s="7">
        <v>487.87900000000002</v>
      </c>
      <c r="BM96" s="7">
        <v>1293.741</v>
      </c>
      <c r="BN96" s="7">
        <v>2210.4229999999998</v>
      </c>
      <c r="BO96" s="7">
        <v>2309.2220000000002</v>
      </c>
      <c r="BP96" s="7">
        <v>329</v>
      </c>
      <c r="BQ96" s="7">
        <v>36</v>
      </c>
      <c r="BR96" s="7">
        <v>0</v>
      </c>
      <c r="BS96" s="7">
        <v>0</v>
      </c>
      <c r="BT96" s="7">
        <v>0</v>
      </c>
    </row>
    <row r="97" spans="2:75" s="22" customFormat="1" x14ac:dyDescent="0.35">
      <c r="B97" s="22" t="s">
        <v>76</v>
      </c>
      <c r="G97" s="37"/>
      <c r="K97" s="37"/>
      <c r="O97" s="37"/>
      <c r="S97" s="37"/>
      <c r="W97" s="37">
        <f>2561.886+0.1+2.556</f>
        <v>2564.5419999999999</v>
      </c>
      <c r="X97" s="22">
        <f>2607.458+2.594+0.1</f>
        <v>2610.152</v>
      </c>
      <c r="Y97" s="22">
        <f>0.1+2.634+2555.319</f>
        <v>2558.0529999999999</v>
      </c>
      <c r="Z97" s="22">
        <v>2710</v>
      </c>
      <c r="AA97" s="37">
        <v>2475.1350000000002</v>
      </c>
      <c r="AB97" s="22">
        <v>2655.72</v>
      </c>
      <c r="AC97" s="22">
        <v>2676</v>
      </c>
      <c r="AD97" s="22">
        <v>2655</v>
      </c>
      <c r="AE97" s="37">
        <v>2667</v>
      </c>
      <c r="AF97" s="22">
        <v>2870</v>
      </c>
      <c r="AG97" s="22">
        <v>3049</v>
      </c>
      <c r="AH97" s="22">
        <v>3330</v>
      </c>
      <c r="AI97" s="37">
        <v>3283</v>
      </c>
      <c r="AJ97" s="22">
        <v>3336</v>
      </c>
      <c r="AK97" s="22">
        <v>3486</v>
      </c>
      <c r="AL97" s="22">
        <v>3546</v>
      </c>
      <c r="AM97" s="37">
        <v>3839</v>
      </c>
      <c r="AN97" s="22">
        <v>3926</v>
      </c>
      <c r="AO97" s="22">
        <v>4330</v>
      </c>
      <c r="AP97" s="22">
        <v>5330</v>
      </c>
      <c r="AQ97" s="37">
        <v>5979</v>
      </c>
      <c r="AR97" s="22">
        <v>6924</v>
      </c>
      <c r="BJ97" s="22">
        <f>25.17+9.965</f>
        <v>35.135000000000005</v>
      </c>
      <c r="BK97" s="22">
        <f>58.197+586.119</f>
        <v>644.31600000000003</v>
      </c>
      <c r="BL97" s="22">
        <v>154.66</v>
      </c>
      <c r="BM97" s="22">
        <v>364.976</v>
      </c>
      <c r="BN97" s="22">
        <f>1891.449+99.164+10.287</f>
        <v>2000.9</v>
      </c>
      <c r="BO97" s="22">
        <f>2442.97+0.1+2.519</f>
        <v>2445.5889999999995</v>
      </c>
      <c r="BP97" s="22">
        <v>2710</v>
      </c>
      <c r="BQ97" s="22">
        <v>2655</v>
      </c>
      <c r="BR97" s="22">
        <v>3330</v>
      </c>
      <c r="BS97" s="22">
        <v>3546</v>
      </c>
      <c r="BT97" s="22">
        <v>5330</v>
      </c>
    </row>
    <row r="98" spans="2:75" s="28" customFormat="1" x14ac:dyDescent="0.35">
      <c r="B98" s="28" t="s">
        <v>1230</v>
      </c>
      <c r="G98" s="43">
        <f t="shared" ref="G98:Z98" si="669">SUM(G94:G97)</f>
        <v>0</v>
      </c>
      <c r="H98" s="28">
        <f t="shared" si="669"/>
        <v>0</v>
      </c>
      <c r="I98" s="28">
        <f t="shared" si="669"/>
        <v>0</v>
      </c>
      <c r="J98" s="28">
        <f t="shared" si="669"/>
        <v>0</v>
      </c>
      <c r="K98" s="43">
        <f t="shared" si="669"/>
        <v>0</v>
      </c>
      <c r="L98" s="28">
        <f t="shared" si="669"/>
        <v>0</v>
      </c>
      <c r="M98" s="28">
        <f t="shared" si="669"/>
        <v>0</v>
      </c>
      <c r="N98" s="28">
        <f t="shared" si="669"/>
        <v>0</v>
      </c>
      <c r="O98" s="43">
        <f t="shared" si="669"/>
        <v>0</v>
      </c>
      <c r="P98" s="28">
        <f t="shared" si="669"/>
        <v>0</v>
      </c>
      <c r="Q98" s="28">
        <f t="shared" si="669"/>
        <v>0</v>
      </c>
      <c r="R98" s="28">
        <f t="shared" si="669"/>
        <v>0</v>
      </c>
      <c r="S98" s="43">
        <f t="shared" si="669"/>
        <v>0</v>
      </c>
      <c r="T98" s="28">
        <f t="shared" si="669"/>
        <v>0</v>
      </c>
      <c r="U98" s="28">
        <f t="shared" si="669"/>
        <v>0</v>
      </c>
      <c r="V98" s="28">
        <f t="shared" si="669"/>
        <v>0</v>
      </c>
      <c r="W98" s="43">
        <f t="shared" si="669"/>
        <v>12900.662999999999</v>
      </c>
      <c r="X98" s="28">
        <f t="shared" si="669"/>
        <v>13501.525</v>
      </c>
      <c r="Y98" s="28">
        <f t="shared" si="669"/>
        <v>13633.820000000002</v>
      </c>
      <c r="Z98" s="28">
        <f t="shared" si="669"/>
        <v>13434</v>
      </c>
      <c r="AA98" s="43">
        <f t="shared" ref="AA98:AU98" si="670">SUM(AA94:AA97)</f>
        <v>13631.818000000001</v>
      </c>
      <c r="AB98" s="28">
        <f t="shared" si="670"/>
        <v>15133.362999999999</v>
      </c>
      <c r="AC98" s="28">
        <f t="shared" si="670"/>
        <v>15167</v>
      </c>
      <c r="AD98" s="28">
        <f t="shared" si="670"/>
        <v>15532</v>
      </c>
      <c r="AE98" s="43">
        <f t="shared" si="670"/>
        <v>14532</v>
      </c>
      <c r="AF98" s="28">
        <f t="shared" si="670"/>
        <v>14484</v>
      </c>
      <c r="AG98" s="28">
        <f t="shared" si="670"/>
        <v>14841</v>
      </c>
      <c r="AH98" s="28">
        <f t="shared" si="670"/>
        <v>14170</v>
      </c>
      <c r="AI98" s="43">
        <f t="shared" si="670"/>
        <v>13630</v>
      </c>
      <c r="AJ98" s="28">
        <f t="shared" si="670"/>
        <v>12525</v>
      </c>
      <c r="AK98" s="28">
        <f t="shared" si="670"/>
        <v>11559</v>
      </c>
      <c r="AL98" s="28">
        <f t="shared" si="670"/>
        <v>10843</v>
      </c>
      <c r="AM98" s="43">
        <f t="shared" si="670"/>
        <v>9177</v>
      </c>
      <c r="AN98" s="28">
        <f t="shared" si="670"/>
        <v>9034</v>
      </c>
      <c r="AO98" s="28">
        <f t="shared" si="670"/>
        <v>8691</v>
      </c>
      <c r="AP98" s="28">
        <f t="shared" si="670"/>
        <v>9731</v>
      </c>
      <c r="AQ98" s="43">
        <f t="shared" si="670"/>
        <v>10162</v>
      </c>
      <c r="AR98" s="28">
        <f t="shared" si="670"/>
        <v>10817</v>
      </c>
      <c r="AS98" s="28">
        <f t="shared" si="670"/>
        <v>0</v>
      </c>
      <c r="AT98" s="28">
        <f t="shared" si="670"/>
        <v>0</v>
      </c>
      <c r="AU98" s="28">
        <f t="shared" si="670"/>
        <v>0</v>
      </c>
      <c r="BA98" s="28">
        <f t="shared" ref="BA98" si="671">SUM(BA94:BA97)</f>
        <v>0</v>
      </c>
      <c r="BB98" s="28">
        <f t="shared" ref="BB98" si="672">SUM(BB94:BB97)</f>
        <v>0</v>
      </c>
      <c r="BC98" s="28">
        <f t="shared" ref="BC98" si="673">SUM(BC94:BC97)</f>
        <v>0</v>
      </c>
      <c r="BD98" s="28">
        <f t="shared" ref="BD98" si="674">SUM(BD94:BD97)</f>
        <v>0</v>
      </c>
      <c r="BE98" s="28">
        <f t="shared" ref="BE98" si="675">SUM(BE94:BE97)</f>
        <v>0</v>
      </c>
      <c r="BF98" s="28">
        <f t="shared" ref="BF98" si="676">SUM(BF94:BF97)</f>
        <v>0</v>
      </c>
      <c r="BG98" s="28">
        <f t="shared" ref="BG98" si="677">SUM(BG94:BG97)</f>
        <v>0</v>
      </c>
      <c r="BH98" s="28">
        <f t="shared" ref="BH98" si="678">SUM(BH94:BH97)</f>
        <v>0</v>
      </c>
      <c r="BI98" s="28">
        <f t="shared" ref="BI98" si="679">SUM(BI94:BI97)</f>
        <v>0</v>
      </c>
      <c r="BJ98" s="28">
        <f t="shared" ref="BJ98" si="680">SUM(BJ94:BJ97)</f>
        <v>439.69</v>
      </c>
      <c r="BK98" s="28">
        <f t="shared" ref="BK98" si="681">SUM(BK94:BK97)</f>
        <v>1074.6500000000001</v>
      </c>
      <c r="BL98" s="28">
        <f t="shared" ref="BL98" si="682">SUM(BL94:BL97)</f>
        <v>2753.5949999999998</v>
      </c>
      <c r="BM98" s="28">
        <f t="shared" ref="BM98" si="683">SUM(BM94:BM97)</f>
        <v>4145.1970000000001</v>
      </c>
      <c r="BN98" s="28">
        <f t="shared" ref="BN98" si="684">SUM(BN94:BN97)</f>
        <v>10923.161999999998</v>
      </c>
      <c r="BO98" s="28">
        <f t="shared" ref="BO98" si="685">SUM(BO94:BO97)</f>
        <v>15348.31</v>
      </c>
      <c r="BP98" s="28">
        <f t="shared" ref="BP98" si="686">SUM(BP94:BP97)</f>
        <v>13434</v>
      </c>
      <c r="BQ98" s="28">
        <f t="shared" ref="BQ98" si="687">SUM(BQ94:BQ97)</f>
        <v>15532</v>
      </c>
      <c r="BR98" s="28">
        <f t="shared" ref="BR98" si="688">SUM(BR94:BR97)</f>
        <v>14170</v>
      </c>
      <c r="BS98" s="28">
        <f t="shared" ref="BS98" si="689">SUM(BS94:BS97)</f>
        <v>10843</v>
      </c>
      <c r="BT98" s="28">
        <f t="shared" ref="BT98" si="690">SUM(BT94:BT97)</f>
        <v>9731</v>
      </c>
      <c r="BU98" s="28">
        <f t="shared" ref="BU98" si="691">SUM(BU94:BU97)</f>
        <v>0</v>
      </c>
      <c r="BV98" s="28">
        <f t="shared" ref="BV98" si="692">SUM(BV94:BV97)</f>
        <v>0</v>
      </c>
      <c r="BW98" s="28">
        <f t="shared" ref="BW98" si="693">SUM(BW94:BW97)</f>
        <v>0</v>
      </c>
    </row>
    <row r="99" spans="2:75" s="23" customFormat="1" x14ac:dyDescent="0.35">
      <c r="B99" s="23" t="s">
        <v>77</v>
      </c>
      <c r="G99" s="38">
        <f t="shared" ref="G99:Z99" si="694">G98+G92</f>
        <v>0</v>
      </c>
      <c r="H99" s="23">
        <f t="shared" si="694"/>
        <v>0</v>
      </c>
      <c r="I99" s="23">
        <f t="shared" si="694"/>
        <v>0</v>
      </c>
      <c r="J99" s="23">
        <f t="shared" si="694"/>
        <v>0</v>
      </c>
      <c r="K99" s="38">
        <f t="shared" si="694"/>
        <v>0</v>
      </c>
      <c r="L99" s="23">
        <f t="shared" si="694"/>
        <v>0</v>
      </c>
      <c r="M99" s="23">
        <f t="shared" si="694"/>
        <v>0</v>
      </c>
      <c r="N99" s="23">
        <f t="shared" si="694"/>
        <v>0</v>
      </c>
      <c r="O99" s="38">
        <f t="shared" si="694"/>
        <v>0</v>
      </c>
      <c r="P99" s="23">
        <f t="shared" si="694"/>
        <v>0</v>
      </c>
      <c r="Q99" s="23">
        <f t="shared" si="694"/>
        <v>0</v>
      </c>
      <c r="R99" s="23">
        <f t="shared" si="694"/>
        <v>0</v>
      </c>
      <c r="S99" s="38">
        <f t="shared" si="694"/>
        <v>0</v>
      </c>
      <c r="T99" s="23">
        <f t="shared" si="694"/>
        <v>0</v>
      </c>
      <c r="U99" s="23">
        <f t="shared" si="694"/>
        <v>0</v>
      </c>
      <c r="V99" s="23">
        <f t="shared" si="694"/>
        <v>0</v>
      </c>
      <c r="W99" s="38">
        <f t="shared" si="694"/>
        <v>21551.021999999997</v>
      </c>
      <c r="X99" s="23">
        <f t="shared" si="694"/>
        <v>22642.886999999999</v>
      </c>
      <c r="Y99" s="23">
        <f t="shared" si="694"/>
        <v>23409.114000000001</v>
      </c>
      <c r="Z99" s="23">
        <f t="shared" si="694"/>
        <v>23427</v>
      </c>
      <c r="AA99" s="38">
        <f t="shared" ref="AA99:AU99" si="695">AA98+AA92</f>
        <v>22874.618000000002</v>
      </c>
      <c r="AB99" s="23">
        <f t="shared" si="695"/>
        <v>24722.135999999999</v>
      </c>
      <c r="AC99" s="23">
        <f t="shared" si="695"/>
        <v>25313</v>
      </c>
      <c r="AD99" s="23">
        <f t="shared" si="695"/>
        <v>26199</v>
      </c>
      <c r="AE99" s="38">
        <f t="shared" si="695"/>
        <v>26518</v>
      </c>
      <c r="AF99" s="23">
        <f t="shared" si="695"/>
        <v>26754</v>
      </c>
      <c r="AG99" s="23">
        <f t="shared" si="695"/>
        <v>28143</v>
      </c>
      <c r="AH99" s="23">
        <f t="shared" si="695"/>
        <v>28418</v>
      </c>
      <c r="AI99" s="38">
        <f t="shared" si="695"/>
        <v>28507</v>
      </c>
      <c r="AJ99" s="23">
        <f t="shared" si="695"/>
        <v>28896</v>
      </c>
      <c r="AK99" s="23">
        <f t="shared" si="695"/>
        <v>29610</v>
      </c>
      <c r="AL99" s="23">
        <f t="shared" si="695"/>
        <v>30548</v>
      </c>
      <c r="AM99" s="38">
        <f>AM98+AM92</f>
        <v>30632</v>
      </c>
      <c r="AN99" s="23">
        <f t="shared" si="695"/>
        <v>30855</v>
      </c>
      <c r="AO99" s="23">
        <f t="shared" si="695"/>
        <v>33302</v>
      </c>
      <c r="AP99" s="23">
        <f t="shared" si="695"/>
        <v>36440</v>
      </c>
      <c r="AQ99" s="38">
        <f t="shared" si="695"/>
        <v>37598</v>
      </c>
      <c r="AR99" s="23">
        <f t="shared" si="695"/>
        <v>38409</v>
      </c>
      <c r="AS99" s="23">
        <f t="shared" si="695"/>
        <v>0</v>
      </c>
      <c r="AT99" s="23">
        <f t="shared" si="695"/>
        <v>0</v>
      </c>
      <c r="AU99" s="23">
        <f t="shared" si="695"/>
        <v>0</v>
      </c>
      <c r="BA99" s="23">
        <f t="shared" ref="BA99" si="696">BA98+BA92</f>
        <v>0</v>
      </c>
      <c r="BB99" s="23">
        <f t="shared" ref="BB99" si="697">BB98+BB92</f>
        <v>0</v>
      </c>
      <c r="BC99" s="23">
        <f t="shared" ref="BC99" si="698">BC98+BC92</f>
        <v>0</v>
      </c>
      <c r="BD99" s="23">
        <f t="shared" ref="BD99" si="699">BD98+BD92</f>
        <v>0</v>
      </c>
      <c r="BE99" s="23">
        <f t="shared" ref="BE99" si="700">BE98+BE92</f>
        <v>0</v>
      </c>
      <c r="BF99" s="23">
        <f t="shared" ref="BF99" si="701">BF98+BF92</f>
        <v>0</v>
      </c>
      <c r="BG99" s="23">
        <f t="shared" ref="BG99" si="702">BG98+BG92</f>
        <v>0</v>
      </c>
      <c r="BH99" s="23">
        <f t="shared" ref="BH99" si="703">BH98+BH92</f>
        <v>0</v>
      </c>
      <c r="BI99" s="23">
        <f t="shared" ref="BI99" si="704">BI98+BI92</f>
        <v>0</v>
      </c>
      <c r="BJ99" s="23">
        <f t="shared" ref="BJ99" si="705">BJ98+BJ92</f>
        <v>978.49800000000005</v>
      </c>
      <c r="BK99" s="23">
        <f t="shared" ref="BK99" si="706">BK98+BK92</f>
        <v>1749.81</v>
      </c>
      <c r="BL99" s="23">
        <f t="shared" ref="BL99" si="707">BL98+BL92</f>
        <v>4860.7610000000004</v>
      </c>
      <c r="BM99" s="23">
        <f t="shared" ref="BM99" si="708">BM98+BM92</f>
        <v>6961.4719999999998</v>
      </c>
      <c r="BN99" s="23">
        <f t="shared" ref="BN99" si="709">BN98+BN92</f>
        <v>16750.166999999998</v>
      </c>
      <c r="BO99" s="23">
        <f t="shared" ref="BO99" si="710">BO98+BO92</f>
        <v>23022.98</v>
      </c>
      <c r="BP99" s="23">
        <f t="shared" ref="BP99" si="711">BP98+BP92</f>
        <v>23427</v>
      </c>
      <c r="BQ99" s="23">
        <f t="shared" ref="BQ99" si="712">BQ98+BQ92</f>
        <v>26199</v>
      </c>
      <c r="BR99" s="23">
        <f t="shared" ref="BR99" si="713">BR98+BR92</f>
        <v>28418</v>
      </c>
      <c r="BS99" s="23">
        <f t="shared" ref="BS99" si="714">BS98+BS92</f>
        <v>30548</v>
      </c>
      <c r="BT99" s="23">
        <f t="shared" ref="BT99" si="715">BT98+BT92</f>
        <v>36440</v>
      </c>
      <c r="BU99" s="23">
        <f t="shared" ref="BU99" si="716">BU98+BU92</f>
        <v>0</v>
      </c>
      <c r="BV99" s="23">
        <f t="shared" ref="BV99" si="717">BV98+BV92</f>
        <v>0</v>
      </c>
      <c r="BW99" s="23">
        <f t="shared" ref="BW99" si="718">BW98+BW92</f>
        <v>0</v>
      </c>
    </row>
    <row r="100" spans="2:75" s="7" customFormat="1" x14ac:dyDescent="0.35">
      <c r="B100" s="7" t="s">
        <v>78</v>
      </c>
      <c r="G100" s="36"/>
      <c r="K100" s="36"/>
      <c r="O100" s="36"/>
      <c r="S100" s="36"/>
      <c r="W100" s="36">
        <v>405.83499999999998</v>
      </c>
      <c r="X100" s="7">
        <v>539.53599999999994</v>
      </c>
      <c r="Y100" s="7">
        <v>551.26400000000001</v>
      </c>
      <c r="Z100" s="7">
        <v>556</v>
      </c>
      <c r="AA100" s="36">
        <v>570.28399999999999</v>
      </c>
      <c r="AB100" s="7">
        <v>580.22699999999998</v>
      </c>
      <c r="AC100" s="7">
        <v>600</v>
      </c>
      <c r="AD100" s="7">
        <v>643</v>
      </c>
      <c r="AE100" s="36">
        <v>632</v>
      </c>
      <c r="AF100" s="7">
        <v>613</v>
      </c>
      <c r="AG100" s="7">
        <v>608</v>
      </c>
      <c r="AH100" s="7">
        <v>604</v>
      </c>
      <c r="AI100" s="36">
        <v>601</v>
      </c>
      <c r="AJ100" s="7">
        <v>605</v>
      </c>
      <c r="AK100" s="7">
        <v>605</v>
      </c>
      <c r="AL100" s="7">
        <v>568</v>
      </c>
      <c r="AM100" s="36">
        <v>459</v>
      </c>
      <c r="AN100" s="7">
        <v>421</v>
      </c>
      <c r="AO100" s="7">
        <v>421</v>
      </c>
      <c r="AP100" s="7">
        <v>409</v>
      </c>
      <c r="AQ100" s="36">
        <v>407</v>
      </c>
      <c r="AR100" s="7">
        <v>288</v>
      </c>
      <c r="BJ100" s="7">
        <v>0</v>
      </c>
      <c r="BK100" s="7">
        <v>0</v>
      </c>
      <c r="BL100" s="7">
        <v>0</v>
      </c>
      <c r="BM100" s="7">
        <v>0</v>
      </c>
      <c r="BN100" s="7">
        <v>367.03899999999999</v>
      </c>
      <c r="BO100" s="7">
        <v>397.73399999999998</v>
      </c>
      <c r="BP100" s="7">
        <v>556</v>
      </c>
      <c r="BQ100" s="7">
        <v>643</v>
      </c>
      <c r="BR100" s="7">
        <v>604</v>
      </c>
      <c r="BS100" s="7">
        <v>568</v>
      </c>
      <c r="BT100" s="7">
        <v>409</v>
      </c>
    </row>
    <row r="101" spans="2:75" s="7" customFormat="1" x14ac:dyDescent="0.35">
      <c r="B101" s="7" t="s">
        <v>79</v>
      </c>
      <c r="G101" s="36"/>
      <c r="K101" s="36"/>
      <c r="O101" s="36"/>
      <c r="S101" s="36"/>
      <c r="W101" s="36">
        <v>0.2</v>
      </c>
      <c r="X101" s="7">
        <v>0</v>
      </c>
      <c r="Y101" s="7">
        <v>0</v>
      </c>
      <c r="Z101" s="7">
        <v>0</v>
      </c>
      <c r="AA101" s="36">
        <v>0</v>
      </c>
      <c r="AB101" s="7">
        <v>0</v>
      </c>
      <c r="AC101" s="7">
        <v>0</v>
      </c>
      <c r="AD101" s="7">
        <v>0</v>
      </c>
      <c r="AE101" s="36">
        <v>60</v>
      </c>
      <c r="AF101" s="7">
        <v>44</v>
      </c>
      <c r="AG101" s="7">
        <v>48</v>
      </c>
      <c r="AH101" s="7">
        <v>51</v>
      </c>
      <c r="AI101" s="36">
        <v>0</v>
      </c>
      <c r="AJ101" s="7">
        <v>0</v>
      </c>
      <c r="AK101" s="7">
        <v>0</v>
      </c>
      <c r="AL101" s="7">
        <v>0</v>
      </c>
      <c r="AM101" s="36">
        <v>0</v>
      </c>
      <c r="AN101" s="7">
        <v>0</v>
      </c>
      <c r="AO101" s="7">
        <v>0</v>
      </c>
      <c r="AP101" s="7">
        <v>0</v>
      </c>
      <c r="AQ101" s="36">
        <v>0</v>
      </c>
      <c r="AR101" s="7">
        <v>0</v>
      </c>
      <c r="BJ101" s="7">
        <v>0</v>
      </c>
      <c r="BK101" s="7">
        <v>0</v>
      </c>
      <c r="BL101" s="7">
        <v>58.195999999999998</v>
      </c>
      <c r="BM101" s="7">
        <v>42.045000000000002</v>
      </c>
      <c r="BN101" s="7">
        <v>8.7840000000000007</v>
      </c>
      <c r="BO101" s="7">
        <v>7.0000000000000007E-2</v>
      </c>
      <c r="BP101" s="7">
        <v>0</v>
      </c>
      <c r="BQ101" s="7">
        <v>0</v>
      </c>
      <c r="BR101" s="7">
        <v>51</v>
      </c>
      <c r="BS101" s="7">
        <v>0</v>
      </c>
      <c r="BT101" s="7">
        <v>0</v>
      </c>
    </row>
    <row r="102" spans="2:75" s="27" customFormat="1" x14ac:dyDescent="0.35">
      <c r="B102" s="30" t="s">
        <v>80</v>
      </c>
      <c r="G102" s="42"/>
      <c r="K102" s="42"/>
      <c r="O102" s="42"/>
      <c r="S102" s="42"/>
      <c r="W102" s="42"/>
      <c r="AA102" s="42"/>
      <c r="AE102" s="42"/>
      <c r="AI102" s="42"/>
      <c r="AM102" s="42"/>
      <c r="AQ102" s="42"/>
    </row>
    <row r="103" spans="2:75" s="7" customFormat="1" x14ac:dyDescent="0.35">
      <c r="B103" s="7" t="s">
        <v>81</v>
      </c>
      <c r="G103" s="36"/>
      <c r="K103" s="36"/>
      <c r="O103" s="36"/>
      <c r="S103" s="36"/>
      <c r="W103" s="36">
        <v>0</v>
      </c>
      <c r="X103" s="7">
        <v>0</v>
      </c>
      <c r="Y103" s="7">
        <v>0</v>
      </c>
      <c r="Z103" s="7">
        <v>0</v>
      </c>
      <c r="AA103" s="36">
        <v>0</v>
      </c>
      <c r="AB103" s="7">
        <v>0</v>
      </c>
      <c r="AC103" s="7">
        <v>0</v>
      </c>
      <c r="AD103" s="7">
        <v>0</v>
      </c>
      <c r="AE103" s="36">
        <v>0</v>
      </c>
      <c r="AF103" s="7">
        <v>0</v>
      </c>
      <c r="AG103" s="7">
        <v>0</v>
      </c>
      <c r="AH103" s="7">
        <v>0</v>
      </c>
      <c r="AI103" s="36">
        <v>0</v>
      </c>
      <c r="AJ103" s="7">
        <v>0</v>
      </c>
      <c r="AK103" s="7">
        <v>0</v>
      </c>
      <c r="AL103" s="7">
        <v>0</v>
      </c>
      <c r="AM103" s="36">
        <v>0</v>
      </c>
      <c r="AN103" s="7">
        <v>0</v>
      </c>
      <c r="AO103" s="7">
        <v>0</v>
      </c>
      <c r="AP103" s="7">
        <v>0</v>
      </c>
      <c r="AQ103" s="36">
        <v>0</v>
      </c>
      <c r="AR103" s="7">
        <v>0</v>
      </c>
      <c r="BJ103" s="7">
        <v>0</v>
      </c>
      <c r="BK103" s="7">
        <v>0</v>
      </c>
      <c r="BL103" s="7">
        <v>0</v>
      </c>
      <c r="BM103" s="7">
        <v>0</v>
      </c>
      <c r="BN103" s="7">
        <v>0</v>
      </c>
      <c r="BO103" s="7">
        <v>0</v>
      </c>
      <c r="BP103" s="7">
        <v>0</v>
      </c>
      <c r="BQ103" s="7">
        <v>0</v>
      </c>
      <c r="BR103" s="7">
        <v>0</v>
      </c>
      <c r="BS103" s="7">
        <v>0</v>
      </c>
      <c r="BT103" s="7">
        <v>0</v>
      </c>
    </row>
    <row r="104" spans="2:75" s="7" customFormat="1" x14ac:dyDescent="0.35">
      <c r="B104" s="7" t="s">
        <v>82</v>
      </c>
      <c r="G104" s="36"/>
      <c r="K104" s="36"/>
      <c r="O104" s="36"/>
      <c r="S104" s="36"/>
      <c r="W104" s="36">
        <v>0.17</v>
      </c>
      <c r="X104" s="7">
        <v>0.17</v>
      </c>
      <c r="Y104" s="7">
        <v>0.17100000000000001</v>
      </c>
      <c r="Z104" s="7">
        <v>0</v>
      </c>
      <c r="AA104" s="36">
        <v>0.17399999999999999</v>
      </c>
      <c r="AB104" s="7">
        <v>0.17899999999999999</v>
      </c>
      <c r="AC104" s="7">
        <v>0</v>
      </c>
      <c r="AD104" s="7">
        <v>0</v>
      </c>
      <c r="AE104" s="36">
        <v>0</v>
      </c>
      <c r="AF104" s="7">
        <v>0</v>
      </c>
      <c r="AG104" s="7">
        <v>1</v>
      </c>
      <c r="AH104" s="7">
        <v>1</v>
      </c>
      <c r="AI104" s="36">
        <v>1</v>
      </c>
      <c r="AJ104" s="7">
        <v>1</v>
      </c>
      <c r="AK104" s="7">
        <v>1</v>
      </c>
      <c r="AL104" s="7">
        <v>1</v>
      </c>
      <c r="AM104" s="36">
        <v>1</v>
      </c>
      <c r="AN104" s="7">
        <v>1</v>
      </c>
      <c r="AO104" s="7">
        <v>3</v>
      </c>
      <c r="AP104" s="7">
        <v>3</v>
      </c>
      <c r="AQ104" s="36">
        <v>3</v>
      </c>
      <c r="AR104" s="7">
        <v>3</v>
      </c>
      <c r="BJ104" s="7">
        <v>0.115</v>
      </c>
      <c r="BK104" s="7">
        <v>0.123</v>
      </c>
      <c r="BL104" s="7">
        <v>0.126</v>
      </c>
      <c r="BM104" s="7">
        <v>0.13100000000000001</v>
      </c>
      <c r="BN104" s="7">
        <v>0.161</v>
      </c>
      <c r="BO104" s="7">
        <v>0.16900000000000001</v>
      </c>
      <c r="BP104" s="7">
        <v>0</v>
      </c>
      <c r="BQ104" s="7">
        <v>0</v>
      </c>
      <c r="BR104" s="7">
        <v>1</v>
      </c>
      <c r="BS104" s="7">
        <v>1</v>
      </c>
      <c r="BT104" s="7">
        <v>3</v>
      </c>
    </row>
    <row r="105" spans="2:75" s="7" customFormat="1" x14ac:dyDescent="0.35">
      <c r="B105" s="7" t="s">
        <v>83</v>
      </c>
      <c r="G105" s="36"/>
      <c r="K105" s="36"/>
      <c r="O105" s="36"/>
      <c r="S105" s="36"/>
      <c r="W105" s="36">
        <v>9418.8960000000006</v>
      </c>
      <c r="X105" s="7">
        <v>9656.5370000000003</v>
      </c>
      <c r="Y105" s="7">
        <v>9957.7109999999993</v>
      </c>
      <c r="Z105" s="7">
        <v>10249</v>
      </c>
      <c r="AA105" s="36">
        <v>10563.745999999999</v>
      </c>
      <c r="AB105" s="7">
        <v>12052.458000000001</v>
      </c>
      <c r="AC105" s="7">
        <v>12348</v>
      </c>
      <c r="AD105" s="7">
        <v>12737</v>
      </c>
      <c r="AE105" s="36">
        <v>15390</v>
      </c>
      <c r="AF105" s="7">
        <v>15895</v>
      </c>
      <c r="AG105" s="7">
        <v>21574</v>
      </c>
      <c r="AH105" s="7">
        <v>27260</v>
      </c>
      <c r="AI105" s="36">
        <v>27623</v>
      </c>
      <c r="AJ105" s="7">
        <v>28205</v>
      </c>
      <c r="AK105" s="7">
        <v>28922</v>
      </c>
      <c r="AL105" s="7">
        <v>29803</v>
      </c>
      <c r="AM105" s="36">
        <v>30485</v>
      </c>
      <c r="AN105" s="7">
        <v>30944</v>
      </c>
      <c r="AO105" s="7">
        <v>31592</v>
      </c>
      <c r="AP105" s="7">
        <v>32177</v>
      </c>
      <c r="AQ105" s="36">
        <v>32878</v>
      </c>
      <c r="AR105" s="7">
        <v>33436</v>
      </c>
      <c r="BJ105" s="7">
        <v>1190.191</v>
      </c>
      <c r="BK105" s="7">
        <v>1806.617</v>
      </c>
      <c r="BL105" s="7">
        <v>2345.2660000000001</v>
      </c>
      <c r="BM105" s="7">
        <v>3414.692</v>
      </c>
      <c r="BN105" s="7">
        <v>7773.7269999999999</v>
      </c>
      <c r="BO105" s="7">
        <v>9178.0239999999994</v>
      </c>
      <c r="BP105" s="7">
        <v>10249</v>
      </c>
      <c r="BQ105" s="7">
        <v>12737</v>
      </c>
      <c r="BR105" s="7">
        <v>27260</v>
      </c>
      <c r="BS105" s="7">
        <v>29803</v>
      </c>
      <c r="BT105" s="7">
        <v>32177</v>
      </c>
    </row>
    <row r="106" spans="2:75" s="7" customFormat="1" x14ac:dyDescent="0.35">
      <c r="B106" s="7" t="s">
        <v>84</v>
      </c>
      <c r="G106" s="36"/>
      <c r="K106" s="36"/>
      <c r="O106" s="36"/>
      <c r="S106" s="36"/>
      <c r="W106" s="36">
        <v>82.921000000000006</v>
      </c>
      <c r="X106" s="7">
        <v>18.545000000000002</v>
      </c>
      <c r="Y106" s="7">
        <v>8.7210000000000001</v>
      </c>
      <c r="Z106" s="7">
        <v>-8</v>
      </c>
      <c r="AA106" s="36">
        <v>-35.018999999999998</v>
      </c>
      <c r="AB106" s="7">
        <v>-5.6050000000000004</v>
      </c>
      <c r="AC106" s="7">
        <v>-120</v>
      </c>
      <c r="AD106" s="7">
        <v>-36</v>
      </c>
      <c r="AE106" s="36">
        <v>-113</v>
      </c>
      <c r="AF106" s="7">
        <v>-40</v>
      </c>
      <c r="AG106" s="7">
        <v>125</v>
      </c>
      <c r="AH106" s="7">
        <v>363</v>
      </c>
      <c r="AI106" s="36">
        <v>143</v>
      </c>
      <c r="AJ106" s="7">
        <v>206</v>
      </c>
      <c r="AK106" s="7">
        <v>120</v>
      </c>
      <c r="AL106" s="7">
        <v>54</v>
      </c>
      <c r="AM106" s="36">
        <v>-50</v>
      </c>
      <c r="AN106" s="7">
        <v>-477</v>
      </c>
      <c r="AO106" s="7">
        <v>-942</v>
      </c>
      <c r="AP106" s="7">
        <v>-361</v>
      </c>
      <c r="AQ106" s="36">
        <v>-225</v>
      </c>
      <c r="AR106" s="7">
        <v>-410</v>
      </c>
      <c r="BJ106" s="7">
        <v>0</v>
      </c>
      <c r="BK106" s="7">
        <v>0</v>
      </c>
      <c r="BL106" s="7">
        <v>-2.1999999999999999E-2</v>
      </c>
      <c r="BM106" s="7">
        <v>-3.556</v>
      </c>
      <c r="BN106" s="7">
        <v>-23.74</v>
      </c>
      <c r="BO106" s="7">
        <v>33.347999999999999</v>
      </c>
      <c r="BP106" s="7">
        <v>-8</v>
      </c>
      <c r="BQ106" s="7">
        <v>-36</v>
      </c>
      <c r="BR106" s="7">
        <v>363</v>
      </c>
      <c r="BS106" s="7">
        <v>54</v>
      </c>
      <c r="BT106" s="7">
        <v>-361</v>
      </c>
    </row>
    <row r="107" spans="2:75" s="22" customFormat="1" x14ac:dyDescent="0.35">
      <c r="B107" s="22" t="s">
        <v>85</v>
      </c>
      <c r="G107" s="37"/>
      <c r="K107" s="37"/>
      <c r="O107" s="37"/>
      <c r="S107" s="37"/>
      <c r="W107" s="37">
        <v>-5051.2920000000004</v>
      </c>
      <c r="X107" s="22">
        <v>-5768.8310000000001</v>
      </c>
      <c r="Y107" s="22">
        <v>-5457.3149999999996</v>
      </c>
      <c r="Z107" s="22">
        <v>-5318</v>
      </c>
      <c r="AA107" s="37">
        <v>-5923.3050000000003</v>
      </c>
      <c r="AB107" s="22">
        <v>-6331.6390000000001</v>
      </c>
      <c r="AC107" s="22">
        <v>-6188</v>
      </c>
      <c r="AD107" s="22">
        <v>-6083</v>
      </c>
      <c r="AE107" s="37">
        <v>-6104</v>
      </c>
      <c r="AF107" s="22">
        <v>-6000</v>
      </c>
      <c r="AG107" s="22">
        <v>-5669</v>
      </c>
      <c r="AH107" s="22">
        <v>-5399</v>
      </c>
      <c r="AI107" s="37">
        <v>-4750</v>
      </c>
      <c r="AJ107" s="22">
        <v>-3608</v>
      </c>
      <c r="AK107" s="22">
        <v>-1990</v>
      </c>
      <c r="AL107" s="22">
        <v>331</v>
      </c>
      <c r="AM107" s="37">
        <v>3649</v>
      </c>
      <c r="AN107" s="22">
        <v>5908</v>
      </c>
      <c r="AO107" s="22">
        <v>9198</v>
      </c>
      <c r="AP107" s="22">
        <v>12885</v>
      </c>
      <c r="AQ107" s="37">
        <v>15398</v>
      </c>
      <c r="AR107" s="22">
        <v>18101</v>
      </c>
      <c r="BJ107" s="22">
        <v>-1065.606</v>
      </c>
      <c r="BK107" s="22">
        <v>-1139.6199999999999</v>
      </c>
      <c r="BL107" s="22">
        <v>-1433.66</v>
      </c>
      <c r="BM107" s="22">
        <v>-2322.3229999999999</v>
      </c>
      <c r="BN107" s="22">
        <v>-2997.2370000000001</v>
      </c>
      <c r="BO107" s="22">
        <v>-4974.299</v>
      </c>
      <c r="BP107" s="22">
        <v>-5318</v>
      </c>
      <c r="BQ107" s="22">
        <v>-6083</v>
      </c>
      <c r="BR107" s="22">
        <v>-5399</v>
      </c>
      <c r="BS107" s="22">
        <v>331</v>
      </c>
      <c r="BT107" s="22">
        <v>12885</v>
      </c>
    </row>
    <row r="108" spans="2:75" s="23" customFormat="1" x14ac:dyDescent="0.35">
      <c r="B108" s="23" t="s">
        <v>86</v>
      </c>
      <c r="G108" s="38">
        <f t="shared" ref="G108:AU108" si="719">SUM(G103:G107)</f>
        <v>0</v>
      </c>
      <c r="H108" s="23">
        <f t="shared" si="719"/>
        <v>0</v>
      </c>
      <c r="I108" s="23">
        <f t="shared" si="719"/>
        <v>0</v>
      </c>
      <c r="J108" s="23">
        <f t="shared" si="719"/>
        <v>0</v>
      </c>
      <c r="K108" s="38">
        <f t="shared" si="719"/>
        <v>0</v>
      </c>
      <c r="L108" s="23">
        <f t="shared" si="719"/>
        <v>0</v>
      </c>
      <c r="M108" s="23">
        <f t="shared" si="719"/>
        <v>0</v>
      </c>
      <c r="N108" s="23">
        <f t="shared" si="719"/>
        <v>0</v>
      </c>
      <c r="O108" s="38">
        <f t="shared" si="719"/>
        <v>0</v>
      </c>
      <c r="P108" s="23">
        <f t="shared" si="719"/>
        <v>0</v>
      </c>
      <c r="Q108" s="23">
        <f t="shared" si="719"/>
        <v>0</v>
      </c>
      <c r="R108" s="23">
        <f t="shared" si="719"/>
        <v>0</v>
      </c>
      <c r="S108" s="38">
        <f t="shared" si="719"/>
        <v>0</v>
      </c>
      <c r="T108" s="23">
        <f t="shared" si="719"/>
        <v>0</v>
      </c>
      <c r="U108" s="23">
        <f t="shared" si="719"/>
        <v>0</v>
      </c>
      <c r="V108" s="23">
        <f t="shared" si="719"/>
        <v>0</v>
      </c>
      <c r="W108" s="38">
        <f t="shared" si="719"/>
        <v>4450.6950000000006</v>
      </c>
      <c r="X108" s="23">
        <f t="shared" si="719"/>
        <v>3906.4210000000003</v>
      </c>
      <c r="Y108" s="23">
        <f t="shared" si="719"/>
        <v>4509.2879999999996</v>
      </c>
      <c r="Z108" s="23">
        <f t="shared" si="719"/>
        <v>4923</v>
      </c>
      <c r="AA108" s="38">
        <f t="shared" si="719"/>
        <v>4605.5959999999995</v>
      </c>
      <c r="AB108" s="23">
        <f t="shared" si="719"/>
        <v>5715.3930000000009</v>
      </c>
      <c r="AC108" s="23">
        <f t="shared" si="719"/>
        <v>6040</v>
      </c>
      <c r="AD108" s="23">
        <f t="shared" si="719"/>
        <v>6618</v>
      </c>
      <c r="AE108" s="38">
        <f t="shared" si="719"/>
        <v>9173</v>
      </c>
      <c r="AF108" s="23">
        <f t="shared" si="719"/>
        <v>9855</v>
      </c>
      <c r="AG108" s="23">
        <f t="shared" si="719"/>
        <v>16031</v>
      </c>
      <c r="AH108" s="23">
        <f t="shared" si="719"/>
        <v>22225</v>
      </c>
      <c r="AI108" s="38">
        <f t="shared" si="719"/>
        <v>23017</v>
      </c>
      <c r="AJ108" s="23">
        <f t="shared" si="719"/>
        <v>24804</v>
      </c>
      <c r="AK108" s="23">
        <f t="shared" si="719"/>
        <v>27053</v>
      </c>
      <c r="AL108" s="23">
        <f t="shared" si="719"/>
        <v>30189</v>
      </c>
      <c r="AM108" s="38">
        <f t="shared" si="719"/>
        <v>34085</v>
      </c>
      <c r="AN108" s="23">
        <f t="shared" si="719"/>
        <v>36376</v>
      </c>
      <c r="AO108" s="23">
        <f t="shared" si="719"/>
        <v>39851</v>
      </c>
      <c r="AP108" s="23">
        <f t="shared" si="719"/>
        <v>44704</v>
      </c>
      <c r="AQ108" s="38">
        <f t="shared" si="719"/>
        <v>48054</v>
      </c>
      <c r="AR108" s="23">
        <f t="shared" si="719"/>
        <v>51130</v>
      </c>
      <c r="AS108" s="23">
        <f t="shared" si="719"/>
        <v>0</v>
      </c>
      <c r="AT108" s="23">
        <f t="shared" si="719"/>
        <v>0</v>
      </c>
      <c r="AU108" s="23">
        <f t="shared" si="719"/>
        <v>0</v>
      </c>
      <c r="BA108" s="23">
        <f>SUM(BA103:BA107)</f>
        <v>0</v>
      </c>
      <c r="BB108" s="23">
        <f t="shared" ref="BB108" si="720">SUM(BB103:BB107)</f>
        <v>0</v>
      </c>
      <c r="BC108" s="23">
        <f>SUM(BC103:BC107)</f>
        <v>0</v>
      </c>
      <c r="BD108" s="23">
        <f t="shared" ref="BD108" si="721">SUM(BD103:BD107)</f>
        <v>0</v>
      </c>
      <c r="BE108" s="23">
        <f>SUM(BE103:BE107)</f>
        <v>0</v>
      </c>
      <c r="BF108" s="23">
        <f t="shared" ref="BF108" si="722">SUM(BF103:BF107)</f>
        <v>0</v>
      </c>
      <c r="BG108" s="23">
        <f>SUM(BG103:BG107)</f>
        <v>0</v>
      </c>
      <c r="BH108" s="23">
        <f t="shared" ref="BH108" si="723">SUM(BH103:BH107)</f>
        <v>0</v>
      </c>
      <c r="BI108" s="23">
        <f>SUM(BI103:BI107)</f>
        <v>0</v>
      </c>
      <c r="BJ108" s="23">
        <f t="shared" ref="BJ108:BL108" si="724">SUM(BJ103:BJ107)</f>
        <v>124.70000000000005</v>
      </c>
      <c r="BK108" s="23">
        <f t="shared" si="724"/>
        <v>667.12000000000012</v>
      </c>
      <c r="BL108" s="23">
        <f t="shared" si="724"/>
        <v>911.71000000000026</v>
      </c>
      <c r="BM108" s="23">
        <f t="shared" ref="BM108:BW108" si="725">SUM(BM103:BM107)</f>
        <v>1088.944</v>
      </c>
      <c r="BN108" s="23">
        <f t="shared" si="725"/>
        <v>4752.9110000000001</v>
      </c>
      <c r="BO108" s="23">
        <f t="shared" si="725"/>
        <v>4237.2419999999993</v>
      </c>
      <c r="BP108" s="23">
        <f t="shared" si="725"/>
        <v>4923</v>
      </c>
      <c r="BQ108" s="23">
        <f t="shared" si="725"/>
        <v>6618</v>
      </c>
      <c r="BR108" s="23">
        <f t="shared" si="725"/>
        <v>22225</v>
      </c>
      <c r="BS108" s="23">
        <f t="shared" si="725"/>
        <v>30189</v>
      </c>
      <c r="BT108" s="23">
        <f t="shared" si="725"/>
        <v>44704</v>
      </c>
      <c r="BU108" s="23">
        <f t="shared" si="725"/>
        <v>0</v>
      </c>
      <c r="BV108" s="23">
        <f t="shared" si="725"/>
        <v>0</v>
      </c>
      <c r="BW108" s="23">
        <f t="shared" si="725"/>
        <v>0</v>
      </c>
    </row>
    <row r="109" spans="2:75" s="22" customFormat="1" x14ac:dyDescent="0.35">
      <c r="B109" s="22" t="s">
        <v>87</v>
      </c>
      <c r="G109" s="37"/>
      <c r="K109" s="37"/>
      <c r="O109" s="37"/>
      <c r="S109" s="37"/>
      <c r="W109" s="37">
        <v>863.87599999999998</v>
      </c>
      <c r="X109" s="22">
        <v>821.15599999999995</v>
      </c>
      <c r="Y109" s="22">
        <v>793.46699999999998</v>
      </c>
      <c r="Z109" s="22">
        <v>834</v>
      </c>
      <c r="AA109" s="37">
        <v>862.02599999999995</v>
      </c>
      <c r="AB109" s="22">
        <v>854.84100000000001</v>
      </c>
      <c r="AC109" s="22">
        <v>842</v>
      </c>
      <c r="AD109" s="22">
        <v>849</v>
      </c>
      <c r="AE109" s="37">
        <v>867</v>
      </c>
      <c r="AF109" s="22">
        <v>869</v>
      </c>
      <c r="AG109" s="22">
        <v>861</v>
      </c>
      <c r="AH109" s="22">
        <v>850</v>
      </c>
      <c r="AI109" s="37">
        <v>847</v>
      </c>
      <c r="AJ109" s="22">
        <v>841</v>
      </c>
      <c r="AK109" s="22">
        <v>836</v>
      </c>
      <c r="AL109" s="22">
        <v>826</v>
      </c>
      <c r="AM109" s="37">
        <v>862</v>
      </c>
      <c r="AN109" s="22">
        <v>861</v>
      </c>
      <c r="AO109" s="22">
        <v>852</v>
      </c>
      <c r="AP109" s="22">
        <v>785</v>
      </c>
      <c r="AQ109" s="37">
        <v>774</v>
      </c>
      <c r="AR109" s="22">
        <v>764</v>
      </c>
      <c r="BJ109" s="22">
        <v>0</v>
      </c>
      <c r="BK109" s="22">
        <v>0</v>
      </c>
      <c r="BL109" s="22">
        <v>0</v>
      </c>
      <c r="BM109" s="22">
        <v>0</v>
      </c>
      <c r="BN109" s="22">
        <v>785.17499999999995</v>
      </c>
      <c r="BO109" s="22">
        <v>997.346</v>
      </c>
      <c r="BP109" s="22">
        <v>834</v>
      </c>
      <c r="BQ109" s="22">
        <v>849</v>
      </c>
      <c r="BR109" s="22">
        <v>850</v>
      </c>
      <c r="BS109" s="22">
        <v>826</v>
      </c>
      <c r="BT109" s="22">
        <v>785</v>
      </c>
    </row>
    <row r="110" spans="2:75" s="23" customFormat="1" x14ac:dyDescent="0.35">
      <c r="B110" s="23" t="s">
        <v>88</v>
      </c>
      <c r="G110" s="38">
        <f t="shared" ref="G110:AU110" si="726">SUM(G108:G109)+SUM(G99:G101)</f>
        <v>0</v>
      </c>
      <c r="H110" s="23">
        <f t="shared" si="726"/>
        <v>0</v>
      </c>
      <c r="I110" s="23">
        <f t="shared" si="726"/>
        <v>0</v>
      </c>
      <c r="J110" s="23">
        <f t="shared" si="726"/>
        <v>0</v>
      </c>
      <c r="K110" s="38">
        <f t="shared" si="726"/>
        <v>0</v>
      </c>
      <c r="L110" s="23">
        <f t="shared" si="726"/>
        <v>0</v>
      </c>
      <c r="M110" s="23">
        <f t="shared" si="726"/>
        <v>0</v>
      </c>
      <c r="N110" s="23">
        <f t="shared" si="726"/>
        <v>0</v>
      </c>
      <c r="O110" s="38">
        <f t="shared" si="726"/>
        <v>0</v>
      </c>
      <c r="P110" s="23">
        <f t="shared" si="726"/>
        <v>0</v>
      </c>
      <c r="Q110" s="23">
        <f t="shared" si="726"/>
        <v>0</v>
      </c>
      <c r="R110" s="23">
        <f t="shared" si="726"/>
        <v>0</v>
      </c>
      <c r="S110" s="38">
        <f t="shared" si="726"/>
        <v>0</v>
      </c>
      <c r="T110" s="23">
        <f t="shared" si="726"/>
        <v>0</v>
      </c>
      <c r="U110" s="23">
        <f t="shared" si="726"/>
        <v>0</v>
      </c>
      <c r="V110" s="23">
        <f t="shared" si="726"/>
        <v>0</v>
      </c>
      <c r="W110" s="38">
        <f t="shared" si="726"/>
        <v>27271.627999999997</v>
      </c>
      <c r="X110" s="23">
        <f t="shared" si="726"/>
        <v>27910</v>
      </c>
      <c r="Y110" s="23">
        <f t="shared" si="726"/>
        <v>29263.133000000002</v>
      </c>
      <c r="Z110" s="23">
        <f t="shared" si="726"/>
        <v>29740</v>
      </c>
      <c r="AA110" s="38">
        <f t="shared" si="726"/>
        <v>28912.524000000001</v>
      </c>
      <c r="AB110" s="23">
        <f t="shared" si="726"/>
        <v>31872.596999999998</v>
      </c>
      <c r="AC110" s="23">
        <f t="shared" si="726"/>
        <v>32795</v>
      </c>
      <c r="AD110" s="23">
        <f t="shared" si="726"/>
        <v>34309</v>
      </c>
      <c r="AE110" s="38">
        <f t="shared" si="726"/>
        <v>37250</v>
      </c>
      <c r="AF110" s="23">
        <f t="shared" si="726"/>
        <v>38135</v>
      </c>
      <c r="AG110" s="23">
        <f t="shared" si="726"/>
        <v>45691</v>
      </c>
      <c r="AH110" s="23">
        <f t="shared" si="726"/>
        <v>52148</v>
      </c>
      <c r="AI110" s="38">
        <f t="shared" si="726"/>
        <v>52972</v>
      </c>
      <c r="AJ110" s="23">
        <f t="shared" si="726"/>
        <v>55146</v>
      </c>
      <c r="AK110" s="23">
        <f t="shared" si="726"/>
        <v>58104</v>
      </c>
      <c r="AL110" s="23">
        <f t="shared" si="726"/>
        <v>62131</v>
      </c>
      <c r="AM110" s="38">
        <f t="shared" si="726"/>
        <v>66038</v>
      </c>
      <c r="AN110" s="23">
        <f t="shared" si="726"/>
        <v>68513</v>
      </c>
      <c r="AO110" s="23">
        <f t="shared" si="726"/>
        <v>74426</v>
      </c>
      <c r="AP110" s="23">
        <f t="shared" si="726"/>
        <v>82338</v>
      </c>
      <c r="AQ110" s="38">
        <f t="shared" si="726"/>
        <v>86833</v>
      </c>
      <c r="AR110" s="23">
        <f t="shared" si="726"/>
        <v>90591</v>
      </c>
      <c r="AS110" s="23">
        <f t="shared" si="726"/>
        <v>0</v>
      </c>
      <c r="AT110" s="23">
        <f t="shared" si="726"/>
        <v>0</v>
      </c>
      <c r="AU110" s="23">
        <f t="shared" si="726"/>
        <v>0</v>
      </c>
      <c r="BA110" s="23">
        <f>SUM(BA108:BA109)+SUM(BA99:BA101)</f>
        <v>0</v>
      </c>
      <c r="BB110" s="23">
        <f t="shared" ref="BB110" si="727">SUM(BB108:BB109)+SUM(BB99:BB101)</f>
        <v>0</v>
      </c>
      <c r="BC110" s="23">
        <f>SUM(BC108:BC109)+SUM(BC99:BC101)</f>
        <v>0</v>
      </c>
      <c r="BD110" s="23">
        <f t="shared" ref="BD110" si="728">SUM(BD108:BD109)+SUM(BD99:BD101)</f>
        <v>0</v>
      </c>
      <c r="BE110" s="23">
        <f>SUM(BE108:BE109)+SUM(BE99:BE101)</f>
        <v>0</v>
      </c>
      <c r="BF110" s="23">
        <f t="shared" ref="BF110" si="729">SUM(BF108:BF109)+SUM(BF99:BF101)</f>
        <v>0</v>
      </c>
      <c r="BG110" s="23">
        <f>SUM(BG108:BG109)+SUM(BG99:BG101)</f>
        <v>0</v>
      </c>
      <c r="BH110" s="23">
        <f t="shared" ref="BH110" si="730">SUM(BH108:BH109)+SUM(BH99:BH101)</f>
        <v>0</v>
      </c>
      <c r="BI110" s="23">
        <f>SUM(BI108:BI109)+SUM(BI99:BI101)</f>
        <v>0</v>
      </c>
      <c r="BJ110" s="23">
        <f t="shared" ref="BJ110:BL110" si="731">SUM(BJ108:BJ109)+SUM(BJ99:BJ101)</f>
        <v>1103.1980000000001</v>
      </c>
      <c r="BK110" s="23">
        <f t="shared" si="731"/>
        <v>2416.9300000000003</v>
      </c>
      <c r="BL110" s="23">
        <f t="shared" si="731"/>
        <v>5830.6670000000004</v>
      </c>
      <c r="BM110" s="23">
        <f t="shared" ref="BM110:BW110" si="732">SUM(BM108:BM109)+SUM(BM99:BM101)</f>
        <v>8092.4609999999993</v>
      </c>
      <c r="BN110" s="23">
        <f t="shared" si="732"/>
        <v>22664.075999999997</v>
      </c>
      <c r="BO110" s="23">
        <f t="shared" si="732"/>
        <v>28655.371999999999</v>
      </c>
      <c r="BP110" s="23">
        <f t="shared" si="732"/>
        <v>29740</v>
      </c>
      <c r="BQ110" s="23">
        <f t="shared" si="732"/>
        <v>34309</v>
      </c>
      <c r="BR110" s="23">
        <f t="shared" si="732"/>
        <v>52148</v>
      </c>
      <c r="BS110" s="23">
        <f t="shared" si="732"/>
        <v>62131</v>
      </c>
      <c r="BT110" s="23">
        <f t="shared" si="732"/>
        <v>82338</v>
      </c>
      <c r="BU110" s="23">
        <f t="shared" si="732"/>
        <v>0</v>
      </c>
      <c r="BV110" s="23">
        <f t="shared" si="732"/>
        <v>0</v>
      </c>
      <c r="BW110" s="23">
        <f t="shared" si="732"/>
        <v>0</v>
      </c>
    </row>
    <row r="111" spans="2:75" s="7" customFormat="1" x14ac:dyDescent="0.35">
      <c r="G111" s="36"/>
      <c r="K111" s="36"/>
      <c r="O111" s="36"/>
      <c r="S111" s="36"/>
      <c r="W111" s="36"/>
      <c r="AA111" s="36"/>
      <c r="AE111" s="36"/>
      <c r="AI111" s="36"/>
      <c r="AM111" s="36"/>
      <c r="AQ111" s="36"/>
    </row>
    <row r="112" spans="2:75" s="7" customFormat="1" x14ac:dyDescent="0.35">
      <c r="G112" s="36"/>
      <c r="K112" s="36"/>
      <c r="O112" s="36"/>
      <c r="S112" s="36"/>
      <c r="W112" s="36"/>
      <c r="AA112" s="36"/>
      <c r="AE112" s="36"/>
      <c r="AI112" s="36"/>
      <c r="AM112" s="36"/>
      <c r="AQ112" s="36"/>
    </row>
    <row r="113" spans="2:75" s="7" customFormat="1" x14ac:dyDescent="0.35">
      <c r="G113" s="36"/>
      <c r="K113" s="36"/>
      <c r="O113" s="36"/>
      <c r="S113" s="36"/>
      <c r="W113" s="36"/>
      <c r="AA113" s="36"/>
      <c r="AE113" s="36"/>
      <c r="AI113" s="36"/>
      <c r="AM113" s="36"/>
      <c r="AQ113" s="36"/>
    </row>
    <row r="114" spans="2:75" s="7" customFormat="1" x14ac:dyDescent="0.35">
      <c r="G114" s="36"/>
      <c r="K114" s="36"/>
      <c r="O114" s="36"/>
      <c r="S114" s="36"/>
      <c r="W114" s="36"/>
      <c r="AA114" s="36"/>
      <c r="AE114" s="36"/>
      <c r="AI114" s="36"/>
      <c r="AM114" s="36"/>
      <c r="AQ114" s="36"/>
    </row>
    <row r="115" spans="2:75" s="26" customFormat="1" x14ac:dyDescent="0.35">
      <c r="B115" s="31" t="s">
        <v>1250</v>
      </c>
      <c r="G115" s="41"/>
      <c r="K115" s="41"/>
      <c r="O115" s="41"/>
      <c r="S115" s="41"/>
      <c r="W115" s="41"/>
      <c r="AA115" s="41"/>
      <c r="AE115" s="41"/>
      <c r="AI115" s="41"/>
      <c r="AM115" s="41"/>
      <c r="AQ115" s="41"/>
    </row>
    <row r="116" spans="2:75" s="7" customFormat="1" x14ac:dyDescent="0.35">
      <c r="B116" s="7" t="s">
        <v>89</v>
      </c>
      <c r="G116" s="36"/>
      <c r="K116" s="36"/>
      <c r="O116" s="36"/>
      <c r="S116" s="36"/>
      <c r="W116" s="36">
        <v>-398.37599999999998</v>
      </c>
      <c r="X116" s="7">
        <v>-528.04100000000005</v>
      </c>
      <c r="Y116" s="7">
        <v>863</v>
      </c>
      <c r="Z116" s="7">
        <f>BP116-Y116-X116-W116</f>
        <v>2161.4170000000004</v>
      </c>
      <c r="AA116" s="36">
        <v>-640</v>
      </c>
      <c r="AB116" s="7">
        <f>224-AA116</f>
        <v>864</v>
      </c>
      <c r="AC116" s="7">
        <f>980-AB116-AA116</f>
        <v>756</v>
      </c>
      <c r="AD116" s="7">
        <f>BQ116-AC116-AB116-AA116</f>
        <v>1425</v>
      </c>
      <c r="AE116" s="36">
        <v>-440</v>
      </c>
      <c r="AF116" s="7">
        <f>524-AE116</f>
        <v>964</v>
      </c>
      <c r="AG116" s="7">
        <f>2924-AF116-AE116</f>
        <v>2400</v>
      </c>
      <c r="AH116" s="7">
        <f>BR116-AG116-AF116-AE116</f>
        <v>3019</v>
      </c>
      <c r="AI116" s="36">
        <v>1641</v>
      </c>
      <c r="AJ116" s="7">
        <f>3765-AI116</f>
        <v>2124</v>
      </c>
      <c r="AK116" s="7">
        <f>6912-AJ116-AI116</f>
        <v>3147</v>
      </c>
      <c r="AL116" s="7">
        <f>BS116-AK116-AJ116-AI116</f>
        <v>4585</v>
      </c>
      <c r="AM116" s="36">
        <v>3995</v>
      </c>
      <c r="AN116" s="7">
        <f>6346-AM116</f>
        <v>2351</v>
      </c>
      <c r="AO116" s="7">
        <f>11446-AN116-AM116</f>
        <v>5100</v>
      </c>
      <c r="AP116" s="7">
        <f>BT116-AO116-AN116-AM116</f>
        <v>3278</v>
      </c>
      <c r="AQ116" s="36">
        <v>2513</v>
      </c>
      <c r="AR116" s="7">
        <f>5578-AQ116</f>
        <v>3065</v>
      </c>
      <c r="BM116" s="7">
        <v>-524</v>
      </c>
      <c r="BN116" s="7">
        <v>-123</v>
      </c>
      <c r="BO116" s="7">
        <v>-61</v>
      </c>
      <c r="BP116" s="7">
        <v>2098</v>
      </c>
      <c r="BQ116" s="7">
        <v>2405</v>
      </c>
      <c r="BR116" s="7">
        <v>5943</v>
      </c>
      <c r="BS116" s="7">
        <v>11497</v>
      </c>
      <c r="BT116" s="7">
        <v>14724</v>
      </c>
    </row>
    <row r="117" spans="2:75" s="22" customFormat="1" x14ac:dyDescent="0.35">
      <c r="B117" s="22" t="s">
        <v>90</v>
      </c>
      <c r="G117" s="37"/>
      <c r="K117" s="37"/>
      <c r="O117" s="37"/>
      <c r="S117" s="37"/>
      <c r="W117" s="37">
        <f>-655.662-72.975</f>
        <v>-728.63700000000006</v>
      </c>
      <c r="X117" s="22">
        <f>-1265.475-140.375</f>
        <v>-1405.85</v>
      </c>
      <c r="Y117" s="22">
        <f>-1776-189</f>
        <v>-1965</v>
      </c>
      <c r="Z117" s="22">
        <f>BP117-Y117-X117-W117</f>
        <v>1998.4870000000001</v>
      </c>
      <c r="AA117" s="37">
        <f>-280-25</f>
        <v>-305</v>
      </c>
      <c r="AB117" s="22">
        <f>-530-43-AA117</f>
        <v>-268</v>
      </c>
      <c r="AC117" s="22">
        <f>-915-68-AB117-AA117</f>
        <v>-410</v>
      </c>
      <c r="AD117" s="22">
        <f>BQ117-AC117-AB117-AA117</f>
        <v>-344</v>
      </c>
      <c r="AE117" s="37">
        <f>-455-26</f>
        <v>-481</v>
      </c>
      <c r="AF117" s="22">
        <f>-1001-46-AE117</f>
        <v>-566</v>
      </c>
      <c r="AG117" s="22">
        <f>-2006-62-AF117-AE117</f>
        <v>-1021</v>
      </c>
      <c r="AH117" s="22">
        <f>BR117-AG117-AF117-AE117</f>
        <v>-1089</v>
      </c>
      <c r="AI117" s="37">
        <f>-1348-12</f>
        <v>-1360</v>
      </c>
      <c r="AJ117" s="22">
        <f>-2853-22-1500-AI117</f>
        <v>-3015</v>
      </c>
      <c r="AK117" s="22">
        <f>-4672-28-1500-AJ117-AI117</f>
        <v>-1825</v>
      </c>
      <c r="AL117" s="22">
        <f>BS117-AK117-AJ117-AI117</f>
        <v>-1814</v>
      </c>
      <c r="AM117" s="37">
        <f>-1767-5-9</f>
        <v>-1781</v>
      </c>
      <c r="AN117" s="22">
        <f>-3497-5-AM117</f>
        <v>-1721</v>
      </c>
      <c r="AO117" s="22">
        <f>-5300-5-AN117-AM117</f>
        <v>-1803</v>
      </c>
      <c r="AP117" s="22">
        <f>BT117-AO117-AN117-AM117</f>
        <v>-1858</v>
      </c>
      <c r="AQ117" s="37">
        <f>-2072-1</f>
        <v>-2073</v>
      </c>
      <c r="AR117" s="22">
        <f>-4132-1-AQ117</f>
        <v>-2060</v>
      </c>
      <c r="BM117" s="22">
        <v>-1635</v>
      </c>
      <c r="BN117" s="22">
        <v>-1281</v>
      </c>
      <c r="BO117" s="22">
        <v>-3415</v>
      </c>
      <c r="BP117" s="22">
        <v>-2101</v>
      </c>
      <c r="BQ117" s="22">
        <v>-1327</v>
      </c>
      <c r="BR117" s="22">
        <v>-3157</v>
      </c>
      <c r="BS117" s="22">
        <f>-6482-1500-32</f>
        <v>-8014</v>
      </c>
      <c r="BT117" s="22">
        <f>-7158-5</f>
        <v>-7163</v>
      </c>
    </row>
    <row r="118" spans="2:75" s="23" customFormat="1" x14ac:dyDescent="0.35">
      <c r="B118" s="23" t="s">
        <v>91</v>
      </c>
      <c r="G118" s="38">
        <f t="shared" ref="G118" si="733">SUM(G116:G117)</f>
        <v>0</v>
      </c>
      <c r="H118" s="23">
        <f t="shared" ref="H118" si="734">SUM(H116:H117)</f>
        <v>0</v>
      </c>
      <c r="I118" s="23">
        <f t="shared" ref="I118" si="735">SUM(I116:I117)</f>
        <v>0</v>
      </c>
      <c r="J118" s="23">
        <f t="shared" ref="J118" si="736">SUM(J116:J117)</f>
        <v>0</v>
      </c>
      <c r="K118" s="38">
        <f t="shared" ref="K118" si="737">SUM(K116:K117)</f>
        <v>0</v>
      </c>
      <c r="L118" s="23">
        <f t="shared" ref="L118" si="738">SUM(L116:L117)</f>
        <v>0</v>
      </c>
      <c r="M118" s="23">
        <f t="shared" ref="M118" si="739">SUM(M116:M117)</f>
        <v>0</v>
      </c>
      <c r="N118" s="23">
        <f t="shared" ref="N118" si="740">SUM(N116:N117)</f>
        <v>0</v>
      </c>
      <c r="O118" s="38">
        <f t="shared" ref="O118" si="741">SUM(O116:O117)</f>
        <v>0</v>
      </c>
      <c r="P118" s="23">
        <f t="shared" ref="P118" si="742">SUM(P116:P117)</f>
        <v>0</v>
      </c>
      <c r="Q118" s="23">
        <f t="shared" ref="Q118" si="743">SUM(Q116:Q117)</f>
        <v>0</v>
      </c>
      <c r="R118" s="23">
        <f t="shared" ref="R118" si="744">SUM(R116:R117)</f>
        <v>0</v>
      </c>
      <c r="S118" s="38">
        <f t="shared" ref="S118:W118" si="745">SUM(S116:S117)</f>
        <v>0</v>
      </c>
      <c r="T118" s="23">
        <f t="shared" si="745"/>
        <v>0</v>
      </c>
      <c r="U118" s="23">
        <f t="shared" si="745"/>
        <v>0</v>
      </c>
      <c r="V118" s="23">
        <f t="shared" si="745"/>
        <v>0</v>
      </c>
      <c r="W118" s="38">
        <f t="shared" si="745"/>
        <v>-1127.0129999999999</v>
      </c>
      <c r="X118" s="23">
        <f t="shared" ref="X118:Z118" si="746">SUM(X116:X117)</f>
        <v>-1933.8910000000001</v>
      </c>
      <c r="Y118" s="23">
        <f t="shared" si="746"/>
        <v>-1102</v>
      </c>
      <c r="Z118" s="23">
        <f t="shared" si="746"/>
        <v>4159.9040000000005</v>
      </c>
      <c r="AA118" s="38">
        <f t="shared" ref="AA118" si="747">SUM(AA116:AA117)</f>
        <v>-945</v>
      </c>
      <c r="AB118" s="23">
        <f t="shared" ref="AB118" si="748">SUM(AB116:AB117)</f>
        <v>596</v>
      </c>
      <c r="AC118" s="23">
        <f t="shared" ref="AC118" si="749">SUM(AC116:AC117)</f>
        <v>346</v>
      </c>
      <c r="AD118" s="23">
        <f t="shared" ref="AD118" si="750">SUM(AD116:AD117)</f>
        <v>1081</v>
      </c>
      <c r="AE118" s="38">
        <f t="shared" ref="AE118" si="751">SUM(AE116:AE117)</f>
        <v>-921</v>
      </c>
      <c r="AF118" s="23">
        <f t="shared" ref="AF118" si="752">SUM(AF116:AF117)</f>
        <v>398</v>
      </c>
      <c r="AG118" s="23">
        <f t="shared" ref="AG118" si="753">SUM(AG116:AG117)</f>
        <v>1379</v>
      </c>
      <c r="AH118" s="23">
        <f t="shared" ref="AH118" si="754">SUM(AH116:AH117)</f>
        <v>1930</v>
      </c>
      <c r="AI118" s="38">
        <f t="shared" ref="AI118" si="755">SUM(AI116:AI117)</f>
        <v>281</v>
      </c>
      <c r="AJ118" s="23">
        <f t="shared" ref="AJ118" si="756">SUM(AJ116:AJ117)</f>
        <v>-891</v>
      </c>
      <c r="AK118" s="23">
        <f t="shared" ref="AK118" si="757">SUM(AK116:AK117)</f>
        <v>1322</v>
      </c>
      <c r="AL118" s="23">
        <f t="shared" ref="AL118" si="758">SUM(AL116:AL117)</f>
        <v>2771</v>
      </c>
      <c r="AM118" s="38">
        <f t="shared" ref="AM118" si="759">SUM(AM116:AM117)</f>
        <v>2214</v>
      </c>
      <c r="AN118" s="23">
        <f t="shared" ref="AN118" si="760">SUM(AN116:AN117)</f>
        <v>630</v>
      </c>
      <c r="AO118" s="23">
        <f t="shared" ref="AO118" si="761">SUM(AO116:AO117)</f>
        <v>3297</v>
      </c>
      <c r="AP118" s="23">
        <f t="shared" ref="AP118" si="762">SUM(AP116:AP117)</f>
        <v>1420</v>
      </c>
      <c r="AQ118" s="38">
        <f t="shared" ref="AQ118:AR118" si="763">SUM(AQ116:AQ117)</f>
        <v>440</v>
      </c>
      <c r="AR118" s="23">
        <f t="shared" si="763"/>
        <v>1005</v>
      </c>
      <c r="AS118" s="23">
        <f t="shared" ref="AS118" si="764">SUM(AS116:AS117)</f>
        <v>0</v>
      </c>
      <c r="AT118" s="23">
        <f t="shared" ref="AT118" si="765">SUM(AT116:AT117)</f>
        <v>0</v>
      </c>
      <c r="AU118" s="23">
        <f t="shared" ref="AU118" si="766">SUM(AU116:AU117)</f>
        <v>0</v>
      </c>
      <c r="BA118" s="23">
        <f t="shared" ref="BA118" si="767">SUM(BA116:BA117)</f>
        <v>0</v>
      </c>
      <c r="BB118" s="23">
        <f t="shared" ref="BB118" si="768">SUM(BB116:BB117)</f>
        <v>0</v>
      </c>
      <c r="BC118" s="23">
        <f t="shared" ref="BC118" si="769">SUM(BC116:BC117)</f>
        <v>0</v>
      </c>
      <c r="BD118" s="23">
        <f t="shared" ref="BD118" si="770">SUM(BD116:BD117)</f>
        <v>0</v>
      </c>
      <c r="BE118" s="23">
        <f t="shared" ref="BE118" si="771">SUM(BE116:BE117)</f>
        <v>0</v>
      </c>
      <c r="BF118" s="23">
        <f t="shared" ref="BF118" si="772">SUM(BF116:BF117)</f>
        <v>0</v>
      </c>
      <c r="BG118" s="23">
        <f t="shared" ref="BG118" si="773">SUM(BG116:BG117)</f>
        <v>0</v>
      </c>
      <c r="BH118" s="23">
        <f t="shared" ref="BH118" si="774">SUM(BH116:BH117)</f>
        <v>0</v>
      </c>
      <c r="BI118" s="23">
        <f t="shared" ref="BI118" si="775">SUM(BI116:BI117)</f>
        <v>0</v>
      </c>
      <c r="BJ118" s="23">
        <f t="shared" ref="BJ118" si="776">SUM(BJ116:BJ117)</f>
        <v>0</v>
      </c>
      <c r="BK118" s="23">
        <f t="shared" ref="BK118" si="777">SUM(BK116:BK117)</f>
        <v>0</v>
      </c>
      <c r="BL118" s="23">
        <f t="shared" ref="BL118:BS118" si="778">SUM(BL116:BL117)</f>
        <v>0</v>
      </c>
      <c r="BM118" s="23">
        <f t="shared" si="778"/>
        <v>-2159</v>
      </c>
      <c r="BN118" s="23">
        <f t="shared" si="778"/>
        <v>-1404</v>
      </c>
      <c r="BO118" s="23">
        <f t="shared" si="778"/>
        <v>-3476</v>
      </c>
      <c r="BP118" s="23">
        <f t="shared" si="778"/>
        <v>-3</v>
      </c>
      <c r="BQ118" s="23">
        <f t="shared" si="778"/>
        <v>1078</v>
      </c>
      <c r="BR118" s="23">
        <f t="shared" si="778"/>
        <v>2786</v>
      </c>
      <c r="BS118" s="23">
        <f t="shared" si="778"/>
        <v>3483</v>
      </c>
      <c r="BT118" s="23">
        <f t="shared" ref="BT118" si="779">SUM(BT116:BT117)</f>
        <v>7561</v>
      </c>
      <c r="BU118" s="23">
        <f t="shared" ref="BU118" si="780">SUM(BU116:BU117)</f>
        <v>0</v>
      </c>
      <c r="BV118" s="23">
        <f t="shared" ref="BV118" si="781">SUM(BV116:BV117)</f>
        <v>0</v>
      </c>
      <c r="BW118" s="23">
        <f t="shared" ref="BW118" si="782">SUM(BW116:BW117)</f>
        <v>0</v>
      </c>
    </row>
    <row r="119" spans="2:75" s="7" customFormat="1" x14ac:dyDescent="0.35">
      <c r="S119" s="36"/>
      <c r="W119" s="36"/>
      <c r="AA119" s="36"/>
      <c r="AE119" s="36"/>
      <c r="AI119" s="36"/>
      <c r="AM119" s="36"/>
      <c r="AQ119" s="36"/>
    </row>
    <row r="120" spans="2:75" s="7" customFormat="1" x14ac:dyDescent="0.35">
      <c r="B120" s="7" t="s">
        <v>1246</v>
      </c>
      <c r="S120" s="36"/>
      <c r="W120" s="36">
        <v>0</v>
      </c>
      <c r="X120" s="7">
        <v>0</v>
      </c>
      <c r="Y120" s="7">
        <v>0</v>
      </c>
      <c r="Z120" s="7">
        <f>BP120-Y120-X120-W120</f>
        <v>0</v>
      </c>
      <c r="AA120" s="36">
        <v>0</v>
      </c>
      <c r="AB120" s="7">
        <v>0</v>
      </c>
      <c r="AC120" s="7">
        <v>0</v>
      </c>
      <c r="AD120" s="7">
        <f>BQ120-AC120-AB120-AA120</f>
        <v>848</v>
      </c>
      <c r="AE120" s="36">
        <v>0</v>
      </c>
      <c r="AF120" s="7">
        <v>0</v>
      </c>
      <c r="AG120" s="7">
        <v>0</v>
      </c>
      <c r="AH120" s="7">
        <f>BR120-AG120-AF120-AE120</f>
        <v>12269</v>
      </c>
      <c r="AI120" s="36">
        <v>0</v>
      </c>
      <c r="AJ120" s="7">
        <v>0</v>
      </c>
      <c r="AK120" s="7">
        <v>0</v>
      </c>
      <c r="AL120" s="7">
        <f>BS120-AK120-AJ120-AI120</f>
        <v>0</v>
      </c>
      <c r="AM120" s="36">
        <v>0</v>
      </c>
      <c r="AN120" s="7">
        <v>0</v>
      </c>
      <c r="AO120" s="7">
        <v>0</v>
      </c>
      <c r="AP120" s="7">
        <f>BT120-AO120-AN120-AM120</f>
        <v>0</v>
      </c>
      <c r="AQ120" s="36">
        <v>0</v>
      </c>
      <c r="AR120" s="7">
        <v>0</v>
      </c>
      <c r="BM120" s="7">
        <v>730</v>
      </c>
      <c r="BN120" s="7">
        <v>1701.7339999999999</v>
      </c>
      <c r="BO120" s="7">
        <v>400.17500000000001</v>
      </c>
      <c r="BP120" s="7">
        <v>0</v>
      </c>
      <c r="BQ120" s="7">
        <v>848</v>
      </c>
      <c r="BR120" s="7">
        <v>12269</v>
      </c>
      <c r="BS120" s="7">
        <v>0</v>
      </c>
      <c r="BT120" s="7">
        <v>0</v>
      </c>
    </row>
    <row r="121" spans="2:75" s="7" customFormat="1" x14ac:dyDescent="0.35">
      <c r="B121" s="7" t="s">
        <v>1247</v>
      </c>
      <c r="S121" s="36"/>
      <c r="W121" s="36">
        <v>141.63900000000001</v>
      </c>
      <c r="X121" s="7">
        <f>338.983-W121</f>
        <v>197.34399999999999</v>
      </c>
      <c r="Y121" s="7">
        <f>544-X121-W121</f>
        <v>205.017</v>
      </c>
      <c r="Z121" s="7">
        <f>BP121-Y121-X121-W121</f>
        <v>204.99999999999994</v>
      </c>
      <c r="AA121" s="36">
        <v>208</v>
      </c>
      <c r="AB121" s="7">
        <f>418-AA121</f>
        <v>210</v>
      </c>
      <c r="AC121" s="7">
        <f>617-AB121-AA121</f>
        <v>199</v>
      </c>
      <c r="AD121" s="7">
        <f>BQ121-AC121-AB121-AA121</f>
        <v>281</v>
      </c>
      <c r="AE121" s="36">
        <v>211</v>
      </c>
      <c r="AF121" s="7">
        <f>558-AE121</f>
        <v>347</v>
      </c>
      <c r="AG121" s="7">
        <f>1101-AF121-AE121</f>
        <v>543</v>
      </c>
      <c r="AH121" s="7">
        <f>BR121-AG121-AF121-AE121</f>
        <v>633</v>
      </c>
      <c r="AI121" s="36">
        <v>614</v>
      </c>
      <c r="AJ121" s="7">
        <f>1088-AI121</f>
        <v>474</v>
      </c>
      <c r="AK121" s="7">
        <f>1563-AJ121-AI121</f>
        <v>475</v>
      </c>
      <c r="AL121" s="7">
        <f>BS121-AK121-AJ121-AI121</f>
        <v>558</v>
      </c>
      <c r="AM121" s="36">
        <v>418</v>
      </c>
      <c r="AN121" s="7">
        <f>779-AM121</f>
        <v>361</v>
      </c>
      <c r="AO121" s="7">
        <f>1141-AN121-AM121</f>
        <v>362</v>
      </c>
      <c r="AP121" s="7">
        <f>BT121-AO121-AN121-AM121</f>
        <v>419</v>
      </c>
      <c r="AQ121" s="36">
        <v>418</v>
      </c>
      <c r="AR121" s="7">
        <f>863-AQ121</f>
        <v>445</v>
      </c>
      <c r="BM121" s="7">
        <v>197.999</v>
      </c>
      <c r="BN121" s="7">
        <v>334.22500000000002</v>
      </c>
      <c r="BO121" s="7">
        <v>467</v>
      </c>
      <c r="BP121" s="7">
        <v>749</v>
      </c>
      <c r="BQ121" s="7">
        <v>898</v>
      </c>
      <c r="BR121" s="7">
        <v>1734</v>
      </c>
      <c r="BS121" s="7">
        <v>2121</v>
      </c>
      <c r="BT121" s="7">
        <v>1560</v>
      </c>
    </row>
    <row r="122" spans="2:75" s="7" customFormat="1" x14ac:dyDescent="0.35">
      <c r="B122" s="7" t="s">
        <v>1248</v>
      </c>
      <c r="S122" s="36"/>
      <c r="W122" s="36">
        <v>0</v>
      </c>
      <c r="X122" s="7">
        <v>0</v>
      </c>
      <c r="Y122" s="7">
        <v>0</v>
      </c>
      <c r="Z122" s="7">
        <f>BP122-Y122-X122-W122</f>
        <v>0</v>
      </c>
      <c r="AA122" s="36">
        <v>0</v>
      </c>
      <c r="AB122" s="7">
        <v>0</v>
      </c>
      <c r="AC122" s="7">
        <v>0</v>
      </c>
      <c r="AD122" s="7">
        <f>BQ122-AC122-AB122-AA122</f>
        <v>0</v>
      </c>
      <c r="AE122" s="36">
        <v>0</v>
      </c>
      <c r="AF122" s="7">
        <v>0</v>
      </c>
      <c r="AG122" s="7">
        <v>0</v>
      </c>
      <c r="AH122" s="7">
        <f>BR122-AG122-AF122-AE122</f>
        <v>0</v>
      </c>
      <c r="AI122" s="36">
        <v>0</v>
      </c>
      <c r="AJ122" s="7">
        <v>0</v>
      </c>
      <c r="AK122" s="7">
        <v>0</v>
      </c>
      <c r="AL122" s="7">
        <f>BS122-AK122-AJ122-AI122</f>
        <v>0</v>
      </c>
      <c r="AM122" s="36">
        <v>0</v>
      </c>
      <c r="AN122" s="7">
        <v>0</v>
      </c>
      <c r="AO122" s="7">
        <v>0</v>
      </c>
      <c r="AP122" s="7">
        <f>BT122-AO122-AN122-AM122</f>
        <v>0</v>
      </c>
      <c r="AQ122" s="36">
        <v>0</v>
      </c>
      <c r="AR122" s="7">
        <v>0</v>
      </c>
      <c r="BM122" s="7">
        <v>0</v>
      </c>
      <c r="BN122" s="7">
        <v>0</v>
      </c>
      <c r="BO122" s="7">
        <v>0</v>
      </c>
      <c r="BP122" s="7">
        <v>0</v>
      </c>
      <c r="BQ122" s="7">
        <v>0</v>
      </c>
      <c r="BR122" s="7">
        <v>0</v>
      </c>
      <c r="BS122" s="7">
        <v>0</v>
      </c>
      <c r="BT122" s="7">
        <v>0</v>
      </c>
    </row>
    <row r="123" spans="2:75" s="7" customFormat="1" x14ac:dyDescent="0.35">
      <c r="B123" s="7" t="s">
        <v>1249</v>
      </c>
      <c r="S123" s="36"/>
      <c r="W123" s="36">
        <v>0</v>
      </c>
      <c r="X123" s="7">
        <v>0</v>
      </c>
      <c r="Y123" s="7">
        <v>0</v>
      </c>
      <c r="Z123" s="7">
        <f>BP123-Y123-X123-W123</f>
        <v>0</v>
      </c>
      <c r="AA123" s="36">
        <v>0</v>
      </c>
      <c r="AB123" s="7">
        <v>0</v>
      </c>
      <c r="AC123" s="7">
        <v>0</v>
      </c>
      <c r="AD123" s="7">
        <f>BQ123-AC123-AB123-AA123</f>
        <v>0</v>
      </c>
      <c r="AE123" s="36">
        <v>0</v>
      </c>
      <c r="AF123" s="7">
        <v>0</v>
      </c>
      <c r="AG123" s="7">
        <v>0</v>
      </c>
      <c r="AH123" s="7">
        <f>BR123-AG123-AF123-AE123</f>
        <v>0</v>
      </c>
      <c r="AI123" s="36">
        <v>0</v>
      </c>
      <c r="AJ123" s="7">
        <v>0</v>
      </c>
      <c r="AK123" s="7">
        <v>0</v>
      </c>
      <c r="AL123" s="7">
        <f>BS123-AK123-AJ123-AI123</f>
        <v>0</v>
      </c>
      <c r="AM123" s="36">
        <v>0</v>
      </c>
      <c r="AN123" s="7">
        <v>0</v>
      </c>
      <c r="AO123" s="7">
        <v>0</v>
      </c>
      <c r="AP123" s="7">
        <f>BT123-AO123-AN123-AM123</f>
        <v>0</v>
      </c>
      <c r="AQ123" s="36">
        <v>0</v>
      </c>
      <c r="AR123" s="7">
        <v>0</v>
      </c>
      <c r="BM123" s="7">
        <v>0</v>
      </c>
      <c r="BN123" s="7">
        <v>0</v>
      </c>
      <c r="BO123" s="7">
        <v>0</v>
      </c>
      <c r="BP123" s="7">
        <v>0</v>
      </c>
      <c r="BQ123" s="7">
        <v>0</v>
      </c>
      <c r="BR123" s="7">
        <v>0</v>
      </c>
      <c r="BS123" s="7">
        <v>0</v>
      </c>
      <c r="BT123" s="7">
        <v>0</v>
      </c>
    </row>
    <row r="124" spans="2:75" s="7" customFormat="1" x14ac:dyDescent="0.35">
      <c r="S124" s="36"/>
      <c r="W124" s="36"/>
      <c r="AA124" s="36"/>
      <c r="AE124" s="36"/>
      <c r="AI124" s="36"/>
      <c r="AM124" s="36"/>
      <c r="AQ124" s="36"/>
    </row>
    <row r="125" spans="2:75" s="31" customFormat="1" x14ac:dyDescent="0.35">
      <c r="B125" s="31" t="s">
        <v>1242</v>
      </c>
      <c r="S125" s="50"/>
      <c r="W125" s="50"/>
      <c r="AA125" s="50"/>
      <c r="AE125" s="50"/>
      <c r="AI125" s="50"/>
      <c r="AM125" s="50"/>
      <c r="AQ125" s="50"/>
    </row>
    <row r="126" spans="2:75" s="63" customFormat="1" x14ac:dyDescent="0.35">
      <c r="B126" s="63" t="s">
        <v>1258</v>
      </c>
      <c r="S126" s="64"/>
      <c r="W126" s="64">
        <f t="shared" ref="W126" si="783">W7*W127</f>
        <v>55770</v>
      </c>
      <c r="X126" s="63">
        <f t="shared" ref="X126" si="784">X7*X127</f>
        <v>53949.599999999999</v>
      </c>
      <c r="Y126" s="63">
        <f t="shared" ref="Y126" si="785">Y7*Y127</f>
        <v>53428.95</v>
      </c>
      <c r="Z126" s="63">
        <f t="shared" ref="Z126" si="786">Z7*Z127</f>
        <v>55147.5</v>
      </c>
      <c r="AA126" s="64">
        <f t="shared" ref="AA126" si="787">AA7*AA127</f>
        <v>52081.65</v>
      </c>
      <c r="AB126" s="63">
        <f t="shared" ref="AB126" si="788">AB7*AB127</f>
        <v>41311.800000000003</v>
      </c>
      <c r="AC126" s="63">
        <f t="shared" ref="AC126" si="789">AC7*AC127</f>
        <v>42114.15</v>
      </c>
      <c r="AD126" s="63">
        <f t="shared" ref="AD126" si="790">AD7*AD127</f>
        <v>57450.99</v>
      </c>
      <c r="AE126" s="64">
        <f t="shared" ref="AE126" si="791">AE7*AE127</f>
        <v>114082.20000000001</v>
      </c>
      <c r="AF126" s="63">
        <f t="shared" ref="AF126" si="792">AF7*AF127</f>
        <v>149807.04000000001</v>
      </c>
      <c r="AG126" s="63">
        <f t="shared" ref="AG126" si="793">AG7*AG127</f>
        <v>330770.37</v>
      </c>
      <c r="AH126" s="63">
        <f t="shared" ref="AH126" si="794">AH7*AH127</f>
        <v>474794.37</v>
      </c>
      <c r="AI126" s="64">
        <f t="shared" ref="AI126" si="795">AI7*AI127</f>
        <v>725189.82</v>
      </c>
      <c r="AJ126" s="63">
        <f t="shared" ref="AJ126" si="796">AJ7*AJ127</f>
        <v>732736.02</v>
      </c>
      <c r="AK126" s="63">
        <f t="shared" ref="AK126" si="797">AK7*AK127</f>
        <v>703355</v>
      </c>
      <c r="AL126" s="63">
        <f t="shared" ref="AL126" si="798">AL7*AL127</f>
        <v>991284.96</v>
      </c>
      <c r="AM126" s="64">
        <f t="shared" ref="AM126" si="799">AM7*AM127</f>
        <v>964040.04</v>
      </c>
      <c r="AN126" s="63">
        <f t="shared" ref="AN126" si="800">AN7*AN127</f>
        <v>851636.25</v>
      </c>
      <c r="AO126" s="63">
        <f t="shared" ref="AO126" si="801">AO7*AO127</f>
        <v>879275.54</v>
      </c>
      <c r="AP126" s="63">
        <f t="shared" ref="AP126" si="802">AP7*AP127</f>
        <v>592634.19999999995</v>
      </c>
      <c r="AQ126" s="64">
        <f t="shared" ref="AQ126" si="803">AQ7*AQ127</f>
        <v>550599.05999999994</v>
      </c>
      <c r="AR126" s="63">
        <f t="shared" ref="AR126" si="804">AR7*AR127</f>
        <v>630870.44999999995</v>
      </c>
      <c r="AS126" s="63">
        <f t="shared" ref="AS126" si="805">AS7*AS127</f>
        <v>0</v>
      </c>
      <c r="AT126" s="63">
        <f t="shared" ref="AT126" si="806">AT7*AT127</f>
        <v>0</v>
      </c>
      <c r="AU126" s="63">
        <f t="shared" ref="AU126" si="807">AU7*AU127</f>
        <v>0</v>
      </c>
      <c r="BJ126" s="63">
        <f>BJ7*BJ127</f>
        <v>3338.4</v>
      </c>
      <c r="BK126" s="63">
        <f t="shared" ref="BK126:BS126" si="808">BK7*BK127</f>
        <v>12449.63925</v>
      </c>
      <c r="BL126" s="63">
        <f t="shared" si="808"/>
        <v>27815.785650000002</v>
      </c>
      <c r="BM126" s="63">
        <f t="shared" si="808"/>
        <v>29480.049899999998</v>
      </c>
      <c r="BN126" s="63">
        <f t="shared" si="808"/>
        <v>30241.256399999998</v>
      </c>
      <c r="BO126" s="63">
        <f t="shared" si="808"/>
        <v>52165.5</v>
      </c>
      <c r="BP126" s="63">
        <f t="shared" si="808"/>
        <v>54249.749999999993</v>
      </c>
      <c r="BQ126" s="63">
        <f t="shared" si="808"/>
        <v>48430.2</v>
      </c>
      <c r="BR126" s="63">
        <f t="shared" si="808"/>
        <v>269039.88</v>
      </c>
      <c r="BS126" s="63">
        <f t="shared" si="808"/>
        <v>767985.54</v>
      </c>
      <c r="BT126" s="63">
        <f>BT7*BT127</f>
        <v>823471.7</v>
      </c>
    </row>
    <row r="127" spans="2:75" s="7" customFormat="1" x14ac:dyDescent="0.35">
      <c r="B127" s="7" t="s">
        <v>1</v>
      </c>
      <c r="S127" s="36"/>
      <c r="W127" s="36">
        <f t="shared" ref="W127:AU127" si="809">W58</f>
        <v>2535</v>
      </c>
      <c r="X127" s="7">
        <f t="shared" si="809"/>
        <v>2655</v>
      </c>
      <c r="Y127" s="7">
        <f t="shared" si="809"/>
        <v>2565</v>
      </c>
      <c r="Z127" s="7">
        <f t="shared" si="809"/>
        <v>2565</v>
      </c>
      <c r="AA127" s="36">
        <f t="shared" si="809"/>
        <v>2595</v>
      </c>
      <c r="AB127" s="7">
        <f t="shared" si="809"/>
        <v>2655</v>
      </c>
      <c r="AC127" s="7">
        <f t="shared" si="809"/>
        <v>2691</v>
      </c>
      <c r="AD127" s="7">
        <f t="shared" si="809"/>
        <v>2661</v>
      </c>
      <c r="AE127" s="36">
        <f t="shared" si="809"/>
        <v>2745</v>
      </c>
      <c r="AF127" s="7">
        <f t="shared" si="809"/>
        <v>2784</v>
      </c>
      <c r="AG127" s="7">
        <f t="shared" si="809"/>
        <v>2811</v>
      </c>
      <c r="AH127" s="7">
        <f t="shared" si="809"/>
        <v>2799</v>
      </c>
      <c r="AI127" s="36">
        <f t="shared" si="809"/>
        <v>2883</v>
      </c>
      <c r="AJ127" s="7">
        <f t="shared" si="809"/>
        <v>2913</v>
      </c>
      <c r="AK127" s="7">
        <f t="shared" si="809"/>
        <v>2993</v>
      </c>
      <c r="AL127" s="7">
        <f t="shared" si="809"/>
        <v>2958</v>
      </c>
      <c r="AM127" s="36">
        <f t="shared" si="809"/>
        <v>3103</v>
      </c>
      <c r="AN127" s="7">
        <f t="shared" si="809"/>
        <v>3111</v>
      </c>
      <c r="AO127" s="7">
        <f t="shared" si="809"/>
        <v>3146</v>
      </c>
      <c r="AP127" s="7">
        <f t="shared" si="809"/>
        <v>3130</v>
      </c>
      <c r="AQ127" s="36">
        <f t="shared" si="809"/>
        <v>3166</v>
      </c>
      <c r="AR127" s="7">
        <f t="shared" si="809"/>
        <v>3171</v>
      </c>
      <c r="AS127" s="7">
        <f t="shared" si="809"/>
        <v>0</v>
      </c>
      <c r="AT127" s="7">
        <f t="shared" si="809"/>
        <v>0</v>
      </c>
      <c r="AU127" s="7">
        <f t="shared" si="809"/>
        <v>0</v>
      </c>
      <c r="BJ127" s="7">
        <f>BJ58</f>
        <v>1605</v>
      </c>
      <c r="BK127" s="7">
        <f t="shared" ref="BK127:BS127" si="810">BK58</f>
        <v>1791.3150000000001</v>
      </c>
      <c r="BL127" s="7">
        <f t="shared" si="810"/>
        <v>1868.085</v>
      </c>
      <c r="BM127" s="7">
        <f t="shared" si="810"/>
        <v>1923.03</v>
      </c>
      <c r="BN127" s="7">
        <f t="shared" si="810"/>
        <v>2163.1799999999998</v>
      </c>
      <c r="BO127" s="7">
        <f t="shared" si="810"/>
        <v>2490</v>
      </c>
      <c r="BP127" s="7">
        <f t="shared" si="810"/>
        <v>2565</v>
      </c>
      <c r="BQ127" s="7">
        <f t="shared" si="810"/>
        <v>2661</v>
      </c>
      <c r="BR127" s="7">
        <f t="shared" si="810"/>
        <v>2799</v>
      </c>
      <c r="BS127" s="7">
        <f t="shared" si="810"/>
        <v>2958</v>
      </c>
      <c r="BT127" s="7">
        <f>BT58</f>
        <v>3130</v>
      </c>
    </row>
    <row r="128" spans="2:75" s="58" customFormat="1" x14ac:dyDescent="0.35">
      <c r="B128" s="58" t="s">
        <v>1259</v>
      </c>
      <c r="S128" s="59"/>
      <c r="W128" s="59">
        <f>W126/SUM(T39:W39)</f>
        <v>16.360831283951217</v>
      </c>
      <c r="X128" s="58">
        <f t="shared" ref="X128:AU128" si="811">X126/SUM(U39:X39)</f>
        <v>7.2796830433537689</v>
      </c>
      <c r="Y128" s="58">
        <f t="shared" si="811"/>
        <v>3.7533556417563436</v>
      </c>
      <c r="Z128" s="58">
        <f t="shared" si="811"/>
        <v>2.5696612459810821</v>
      </c>
      <c r="AA128" s="59">
        <f t="shared" si="811"/>
        <v>2.3051863855437524</v>
      </c>
      <c r="AB128" s="58">
        <f t="shared" si="811"/>
        <v>1.6563798638852674</v>
      </c>
      <c r="AC128" s="58">
        <f t="shared" si="811"/>
        <v>1.7245748958907401</v>
      </c>
      <c r="AD128" s="58">
        <f t="shared" si="811"/>
        <v>2.3374965416225892</v>
      </c>
      <c r="AE128" s="59">
        <f t="shared" si="811"/>
        <v>4.3840673276458384</v>
      </c>
      <c r="AF128" s="58">
        <f t="shared" si="811"/>
        <v>5.8272537731445464</v>
      </c>
      <c r="AG128" s="58">
        <f t="shared" si="811"/>
        <v>11.739436754684839</v>
      </c>
      <c r="AH128" s="58">
        <f t="shared" si="811"/>
        <v>15.055630707762557</v>
      </c>
      <c r="AI128" s="59">
        <f t="shared" si="811"/>
        <v>20.177791318864774</v>
      </c>
      <c r="AJ128" s="58">
        <f t="shared" si="811"/>
        <v>17.503607567722518</v>
      </c>
      <c r="AK128" s="58">
        <f t="shared" si="811"/>
        <v>15.013554474043715</v>
      </c>
      <c r="AL128" s="58">
        <f t="shared" si="811"/>
        <v>18.417497352432974</v>
      </c>
      <c r="AM128" s="59">
        <f t="shared" si="811"/>
        <v>15.501528219971057</v>
      </c>
      <c r="AN128" s="58">
        <f t="shared" si="811"/>
        <v>12.67957374266742</v>
      </c>
      <c r="AO128" s="58">
        <f t="shared" si="811"/>
        <v>11.745128301029881</v>
      </c>
      <c r="AP128" s="58">
        <f t="shared" si="811"/>
        <v>7.274977290024796</v>
      </c>
      <c r="AQ128" s="59">
        <f t="shared" si="811"/>
        <v>6.3997101179752418</v>
      </c>
      <c r="AR128" s="58">
        <f t="shared" si="811"/>
        <v>6.7093892244863227</v>
      </c>
      <c r="AS128" s="58">
        <f t="shared" si="811"/>
        <v>0</v>
      </c>
      <c r="AT128" s="58">
        <f t="shared" si="811"/>
        <v>0</v>
      </c>
      <c r="AU128" s="58">
        <f t="shared" si="811"/>
        <v>0</v>
      </c>
      <c r="BJ128" s="58">
        <f>BJ126/BJ39</f>
        <v>8.0782856147279176</v>
      </c>
      <c r="BK128" s="58">
        <f t="shared" ref="BK128:BS128" si="812">BK126/BK39</f>
        <v>6.1830960925673555</v>
      </c>
      <c r="BL128" s="58">
        <f t="shared" si="812"/>
        <v>8.6969010485386864</v>
      </c>
      <c r="BM128" s="58">
        <f t="shared" si="812"/>
        <v>7.2861759133964812</v>
      </c>
      <c r="BN128" s="58">
        <f t="shared" si="812"/>
        <v>4.3201794857142852</v>
      </c>
      <c r="BO128" s="58">
        <f t="shared" si="812"/>
        <v>4.436596359925157</v>
      </c>
      <c r="BP128" s="58">
        <f t="shared" si="812"/>
        <v>2.5278295512790638</v>
      </c>
      <c r="BQ128" s="58">
        <f t="shared" si="812"/>
        <v>1.9704695255919926</v>
      </c>
      <c r="BR128" s="58">
        <f t="shared" si="812"/>
        <v>8.531198630136986</v>
      </c>
      <c r="BS128" s="58">
        <f t="shared" si="812"/>
        <v>14.268724151385097</v>
      </c>
      <c r="BT128" s="58">
        <f>BT126/BT39</f>
        <v>10.108660479732881</v>
      </c>
    </row>
    <row r="129" spans="2:72" s="58" customFormat="1" x14ac:dyDescent="0.35">
      <c r="B129" s="58" t="s">
        <v>1260</v>
      </c>
      <c r="S129" s="59"/>
      <c r="W129" s="59">
        <f>W126/SUM(T55:W55)</f>
        <v>-78.599001340284246</v>
      </c>
      <c r="X129" s="58">
        <f t="shared" ref="X129:AU129" si="813">X126/SUM(U55:X55)</f>
        <v>-37.803922667806532</v>
      </c>
      <c r="Y129" s="58">
        <f t="shared" si="813"/>
        <v>-47.871542617530878</v>
      </c>
      <c r="Z129" s="58">
        <f t="shared" si="813"/>
        <v>-56.509607581135697</v>
      </c>
      <c r="AA129" s="59">
        <f t="shared" si="813"/>
        <v>-53.78418848654146</v>
      </c>
      <c r="AB129" s="58">
        <f t="shared" si="813"/>
        <v>-62.707079170499291</v>
      </c>
      <c r="AC129" s="58">
        <f t="shared" si="813"/>
        <v>-50.935951117916375</v>
      </c>
      <c r="AD129" s="58">
        <f t="shared" si="813"/>
        <v>-66.648480278422269</v>
      </c>
      <c r="AE129" s="59">
        <f t="shared" si="813"/>
        <v>-792.23750000000007</v>
      </c>
      <c r="AF129" s="58">
        <f t="shared" si="813"/>
        <v>407.08434782608697</v>
      </c>
      <c r="AG129" s="58">
        <f t="shared" si="813"/>
        <v>594.91073741007199</v>
      </c>
      <c r="AH129" s="58">
        <f t="shared" si="813"/>
        <v>658.52201109570046</v>
      </c>
      <c r="AI129" s="59">
        <f t="shared" si="813"/>
        <v>634.46178477690285</v>
      </c>
      <c r="AJ129" s="58">
        <f t="shared" si="813"/>
        <v>335.96332874828062</v>
      </c>
      <c r="AK129" s="58">
        <f t="shared" si="813"/>
        <v>202.81286043829297</v>
      </c>
      <c r="AL129" s="58">
        <f t="shared" si="813"/>
        <v>179.61314730929516</v>
      </c>
      <c r="AM129" s="59">
        <f t="shared" si="813"/>
        <v>114.78033575425647</v>
      </c>
      <c r="AN129" s="58">
        <f t="shared" si="813"/>
        <v>89.495192307692307</v>
      </c>
      <c r="AO129" s="58">
        <f t="shared" si="813"/>
        <v>78.576902591599648</v>
      </c>
      <c r="AP129" s="58">
        <f t="shared" si="813"/>
        <v>47.199283211213761</v>
      </c>
      <c r="AQ129" s="59">
        <f t="shared" si="813"/>
        <v>46.855506765381662</v>
      </c>
      <c r="AR129" s="58">
        <f t="shared" si="813"/>
        <v>51.731894218942188</v>
      </c>
      <c r="AS129" s="58">
        <f t="shared" si="813"/>
        <v>0</v>
      </c>
      <c r="AT129" s="58">
        <f t="shared" si="813"/>
        <v>0</v>
      </c>
      <c r="AU129" s="58">
        <f t="shared" si="813"/>
        <v>0</v>
      </c>
      <c r="BJ129" s="58">
        <f>BJ126/BJ55</f>
        <v>-8.4257709868176942</v>
      </c>
      <c r="BK129" s="58">
        <f t="shared" ref="BK129:BS129" si="814">BK126/BK55</f>
        <v>-168.20654538330589</v>
      </c>
      <c r="BL129" s="58">
        <f t="shared" si="814"/>
        <v>-94.598645252346643</v>
      </c>
      <c r="BM129" s="58">
        <f t="shared" si="814"/>
        <v>-33.173486349718623</v>
      </c>
      <c r="BN129" s="58">
        <f t="shared" si="814"/>
        <v>-44.856952316252105</v>
      </c>
      <c r="BO129" s="58">
        <f t="shared" si="814"/>
        <v>-26.567094703540235</v>
      </c>
      <c r="BP129" s="58">
        <f t="shared" si="814"/>
        <v>-55.589683736791578</v>
      </c>
      <c r="BQ129" s="58">
        <f t="shared" si="814"/>
        <v>-56.18352668213457</v>
      </c>
      <c r="BR129" s="58">
        <f t="shared" si="814"/>
        <v>373.14823855755895</v>
      </c>
      <c r="BS129" s="58">
        <f t="shared" si="814"/>
        <v>139.15302409856858</v>
      </c>
      <c r="BT129" s="58">
        <f>BT126/BT55</f>
        <v>65.583920038228726</v>
      </c>
    </row>
    <row r="130" spans="2:72" s="58" customFormat="1" x14ac:dyDescent="0.35">
      <c r="B130" s="58" t="s">
        <v>1261</v>
      </c>
      <c r="S130" s="59"/>
      <c r="W130" s="59">
        <f>W126/SUM(T108:W108)</f>
        <v>12.530627239116585</v>
      </c>
      <c r="X130" s="58">
        <f t="shared" ref="X130:AU130" si="815">X126/SUM(U108:X108)</f>
        <v>6.4555284382794236</v>
      </c>
      <c r="Y130" s="58">
        <f t="shared" si="815"/>
        <v>4.1525938405167429</v>
      </c>
      <c r="Z130" s="58">
        <f t="shared" si="815"/>
        <v>3.1000195397215102</v>
      </c>
      <c r="AA130" s="59">
        <f t="shared" si="815"/>
        <v>2.9024055264330384</v>
      </c>
      <c r="AB130" s="58">
        <f t="shared" si="815"/>
        <v>2.0913896970107793</v>
      </c>
      <c r="AC130" s="58">
        <f t="shared" si="815"/>
        <v>1.9786774932086273</v>
      </c>
      <c r="AD130" s="58">
        <f t="shared" si="815"/>
        <v>2.5001530746196012</v>
      </c>
      <c r="AE130" s="59">
        <f t="shared" si="815"/>
        <v>4.141456923234923</v>
      </c>
      <c r="AF130" s="58">
        <f t="shared" si="815"/>
        <v>4.7278621473205833</v>
      </c>
      <c r="AG130" s="58">
        <f t="shared" si="815"/>
        <v>7.9365206228855243</v>
      </c>
      <c r="AH130" s="58">
        <f t="shared" si="815"/>
        <v>8.2884290552335731</v>
      </c>
      <c r="AI130" s="59">
        <f t="shared" si="815"/>
        <v>10.195560398155438</v>
      </c>
      <c r="AJ130" s="58">
        <f t="shared" si="815"/>
        <v>8.5125645642854657</v>
      </c>
      <c r="AK130" s="58">
        <f t="shared" si="815"/>
        <v>7.2436894303751842</v>
      </c>
      <c r="AL130" s="58">
        <f t="shared" si="815"/>
        <v>9.4351480540247277</v>
      </c>
      <c r="AM130" s="59">
        <f t="shared" si="815"/>
        <v>8.3013152388251203</v>
      </c>
      <c r="AN130" s="58">
        <f t="shared" si="815"/>
        <v>6.6688820936078246</v>
      </c>
      <c r="AO130" s="58">
        <f t="shared" si="815"/>
        <v>6.2581443548444495</v>
      </c>
      <c r="AP130" s="58">
        <f t="shared" si="815"/>
        <v>3.8230518140062957</v>
      </c>
      <c r="AQ130" s="59">
        <f t="shared" si="815"/>
        <v>3.2582717992721242</v>
      </c>
      <c r="AR130" s="58">
        <f t="shared" si="815"/>
        <v>3.4335141151307016</v>
      </c>
      <c r="AS130" s="58">
        <f t="shared" si="815"/>
        <v>0</v>
      </c>
      <c r="AT130" s="58">
        <f t="shared" si="815"/>
        <v>0</v>
      </c>
      <c r="AU130" s="58">
        <f t="shared" si="815"/>
        <v>0</v>
      </c>
      <c r="BJ130" s="58">
        <f>BJ126/BJ108</f>
        <v>26.771451483560536</v>
      </c>
      <c r="BK130" s="58">
        <f t="shared" ref="BK130:BS130" si="816">BK126/BK108</f>
        <v>18.661768872166924</v>
      </c>
      <c r="BL130" s="58">
        <f t="shared" si="816"/>
        <v>30.509466442180074</v>
      </c>
      <c r="BM130" s="58">
        <f t="shared" si="816"/>
        <v>27.072145032251427</v>
      </c>
      <c r="BN130" s="58">
        <f t="shared" si="816"/>
        <v>6.3626809759324336</v>
      </c>
      <c r="BO130" s="58">
        <f t="shared" si="816"/>
        <v>12.311192044258981</v>
      </c>
      <c r="BP130" s="58">
        <f t="shared" si="816"/>
        <v>11.019652650822668</v>
      </c>
      <c r="BQ130" s="58">
        <f t="shared" si="816"/>
        <v>7.3179510426110603</v>
      </c>
      <c r="BR130" s="58">
        <f t="shared" si="816"/>
        <v>12.105281439820022</v>
      </c>
      <c r="BS130" s="58">
        <f t="shared" si="816"/>
        <v>25.439250720461096</v>
      </c>
      <c r="BT130" s="58">
        <f>BT126/BT108</f>
        <v>18.420537312097352</v>
      </c>
    </row>
    <row r="131" spans="2:72" s="58" customFormat="1" x14ac:dyDescent="0.35">
      <c r="B131" s="58" t="s">
        <v>1262</v>
      </c>
      <c r="S131" s="59"/>
      <c r="W131" s="59">
        <f>W126/SUM(T118:W118)</f>
        <v>-49.484788551684858</v>
      </c>
      <c r="X131" s="58">
        <f t="shared" ref="X131:AU131" si="817">X126/SUM(U118:X118)</f>
        <v>-17.625381259915372</v>
      </c>
      <c r="Y131" s="58">
        <f t="shared" si="817"/>
        <v>-12.834538101286984</v>
      </c>
      <c r="Z131" s="58">
        <f t="shared" si="817"/>
        <v>-18382.5</v>
      </c>
      <c r="AA131" s="59">
        <f t="shared" si="817"/>
        <v>290.93780898593894</v>
      </c>
      <c r="AB131" s="58">
        <f t="shared" si="817"/>
        <v>15.250374321127657</v>
      </c>
      <c r="AC131" s="58">
        <f t="shared" si="817"/>
        <v>10.131133651390554</v>
      </c>
      <c r="AD131" s="58">
        <f t="shared" si="817"/>
        <v>53.294053803339516</v>
      </c>
      <c r="AE131" s="59">
        <f t="shared" si="817"/>
        <v>103.52286751361163</v>
      </c>
      <c r="AF131" s="58">
        <f t="shared" si="817"/>
        <v>165.71575221238939</v>
      </c>
      <c r="AG131" s="58">
        <f t="shared" si="817"/>
        <v>170.76425916365514</v>
      </c>
      <c r="AH131" s="58">
        <f t="shared" si="817"/>
        <v>170.42152548456568</v>
      </c>
      <c r="AI131" s="59">
        <f t="shared" si="817"/>
        <v>181.84298395185556</v>
      </c>
      <c r="AJ131" s="58">
        <f t="shared" si="817"/>
        <v>271.48426083734716</v>
      </c>
      <c r="AK131" s="58">
        <f t="shared" si="817"/>
        <v>266.22066616199851</v>
      </c>
      <c r="AL131" s="58">
        <f t="shared" si="817"/>
        <v>284.6066494401378</v>
      </c>
      <c r="AM131" s="59">
        <f t="shared" si="817"/>
        <v>177.99853028064993</v>
      </c>
      <c r="AN131" s="58">
        <f t="shared" si="817"/>
        <v>122.76722646677239</v>
      </c>
      <c r="AO131" s="58">
        <f t="shared" si="817"/>
        <v>98.661977109515263</v>
      </c>
      <c r="AP131" s="58">
        <f t="shared" si="817"/>
        <v>78.380399418066389</v>
      </c>
      <c r="AQ131" s="59">
        <f t="shared" si="817"/>
        <v>95.144126490409533</v>
      </c>
      <c r="AR131" s="58">
        <f t="shared" si="817"/>
        <v>102.38079357351509</v>
      </c>
      <c r="AS131" s="58">
        <f t="shared" si="817"/>
        <v>0</v>
      </c>
      <c r="AT131" s="58">
        <f t="shared" si="817"/>
        <v>0</v>
      </c>
      <c r="AU131" s="58">
        <f t="shared" si="817"/>
        <v>0</v>
      </c>
      <c r="BJ131" s="58" t="e">
        <f>BJ126/BJ118</f>
        <v>#DIV/0!</v>
      </c>
      <c r="BK131" s="58" t="e">
        <f t="shared" ref="BK131:BS131" si="818">BK126/BK118</f>
        <v>#DIV/0!</v>
      </c>
      <c r="BL131" s="58" t="e">
        <f t="shared" si="818"/>
        <v>#DIV/0!</v>
      </c>
      <c r="BM131" s="58">
        <f t="shared" si="818"/>
        <v>-13.654492774432606</v>
      </c>
      <c r="BN131" s="58">
        <f t="shared" si="818"/>
        <v>-21.53935641025641</v>
      </c>
      <c r="BO131" s="58">
        <f>BO126/BO118</f>
        <v>-15.007336018411968</v>
      </c>
      <c r="BP131" s="58">
        <f>BP126/BP118</f>
        <v>-18083.249999999996</v>
      </c>
      <c r="BQ131" s="58">
        <f t="shared" si="818"/>
        <v>44.925974025974021</v>
      </c>
      <c r="BR131" s="58">
        <f t="shared" si="818"/>
        <v>96.568513998564256</v>
      </c>
      <c r="BS131" s="58">
        <f t="shared" si="818"/>
        <v>220.49541774332474</v>
      </c>
      <c r="BT131" s="58">
        <f>BT126/BT118</f>
        <v>108.91042190186482</v>
      </c>
    </row>
    <row r="133" spans="2:72" s="9" customFormat="1" x14ac:dyDescent="0.35">
      <c r="B133" s="9" t="s">
        <v>1263</v>
      </c>
      <c r="S133" s="54"/>
      <c r="W133" s="54"/>
      <c r="AA133" s="54"/>
      <c r="AE133" s="54"/>
      <c r="AI133" s="54"/>
      <c r="AM133" s="54"/>
      <c r="AQ133" s="54"/>
    </row>
    <row r="134" spans="2:72" s="20" customFormat="1" x14ac:dyDescent="0.35">
      <c r="B134" s="20" t="s">
        <v>1264</v>
      </c>
      <c r="S134" s="45"/>
      <c r="W134" s="45" t="e">
        <f>(W39-S39)/ABS(S39)</f>
        <v>#DIV/0!</v>
      </c>
      <c r="X134" s="20" t="e">
        <f t="shared" ref="X134:AU134" si="819">(X39-T39)/ABS(T39)</f>
        <v>#DIV/0!</v>
      </c>
      <c r="Y134" s="20" t="e">
        <f t="shared" si="819"/>
        <v>#DIV/0!</v>
      </c>
      <c r="Z134" s="20" t="e">
        <f t="shared" si="819"/>
        <v>#DIV/0!</v>
      </c>
      <c r="AA134" s="45">
        <f t="shared" si="819"/>
        <v>0.33215949184906723</v>
      </c>
      <c r="AB134" s="20">
        <f t="shared" si="819"/>
        <v>0.58661506544724673</v>
      </c>
      <c r="AC134" s="20">
        <f t="shared" si="819"/>
        <v>-7.6348182883939034E-2</v>
      </c>
      <c r="AD134" s="20">
        <f t="shared" si="819"/>
        <v>2.1862940280525177E-2</v>
      </c>
      <c r="AE134" s="45">
        <f t="shared" si="819"/>
        <v>0.31799163179916318</v>
      </c>
      <c r="AF134" s="20">
        <f t="shared" si="819"/>
        <v>-4.9448818897637796E-2</v>
      </c>
      <c r="AG134" s="20">
        <f t="shared" si="819"/>
        <v>0.39155957480564813</v>
      </c>
      <c r="AH134" s="20">
        <f t="shared" si="819"/>
        <v>0.4550379198266522</v>
      </c>
      <c r="AI134" s="45">
        <f t="shared" si="819"/>
        <v>0.73583959899749374</v>
      </c>
      <c r="AJ134" s="20">
        <f t="shared" si="819"/>
        <v>0.9811133200795229</v>
      </c>
      <c r="AK134" s="20">
        <f t="shared" si="819"/>
        <v>0.56846425721126437</v>
      </c>
      <c r="AL134" s="20">
        <f t="shared" si="819"/>
        <v>0.64919955323901712</v>
      </c>
      <c r="AM134" s="45">
        <f t="shared" si="819"/>
        <v>0.80537106555010107</v>
      </c>
      <c r="AN134" s="20">
        <f t="shared" si="819"/>
        <v>0.41612309750794446</v>
      </c>
      <c r="AO134" s="20">
        <f t="shared" si="819"/>
        <v>0.55949698335392894</v>
      </c>
      <c r="AP134" s="20">
        <f t="shared" si="819"/>
        <v>0.37242508042214573</v>
      </c>
      <c r="AQ134" s="45">
        <f t="shared" si="819"/>
        <v>0.24381531243335466</v>
      </c>
      <c r="AR134" s="20">
        <f t="shared" si="819"/>
        <v>0.47200897602456598</v>
      </c>
      <c r="AS134" s="20">
        <f t="shared" si="819"/>
        <v>-1</v>
      </c>
      <c r="AT134" s="20">
        <f t="shared" si="819"/>
        <v>-1</v>
      </c>
      <c r="AU134" s="20">
        <f t="shared" si="819"/>
        <v>-1</v>
      </c>
      <c r="BJ134" s="20">
        <f>(BJ12-BI12)/ABS(BI12)</f>
        <v>1.5961108717893489</v>
      </c>
      <c r="BK134" s="20">
        <f t="shared" ref="BK134:BS134" si="820">(BK12-BJ12)/ABS(BJ12)</f>
        <v>3.9828415422388956</v>
      </c>
      <c r="BL134" s="20">
        <f t="shared" si="820"/>
        <v>0.564616257960317</v>
      </c>
      <c r="BM134" s="20">
        <f t="shared" si="820"/>
        <v>0.24408812770202859</v>
      </c>
      <c r="BN134" s="20">
        <f t="shared" si="820"/>
        <v>0.6976866713552865</v>
      </c>
      <c r="BO134" s="20">
        <f t="shared" si="820"/>
        <v>0.51802865690442446</v>
      </c>
      <c r="BP134" s="20">
        <f t="shared" si="820"/>
        <v>0.92044393735089725</v>
      </c>
      <c r="BQ134" s="20">
        <f t="shared" si="820"/>
        <v>0.12454766405617067</v>
      </c>
      <c r="BR134" s="20">
        <f t="shared" si="820"/>
        <v>0.30810239661879835</v>
      </c>
      <c r="BS134" s="20">
        <f t="shared" si="820"/>
        <v>0.73417535614627694</v>
      </c>
      <c r="BT134" s="20">
        <f>(BT12-BS12)/ABS(BS12)</f>
        <v>0.51299966124661245</v>
      </c>
    </row>
    <row r="135" spans="2:72" s="20" customFormat="1" x14ac:dyDescent="0.35">
      <c r="B135" s="20" t="s">
        <v>1265</v>
      </c>
      <c r="S135" s="45"/>
      <c r="W135" s="45" t="e">
        <f>(W55-S55)/ABS(S55)</f>
        <v>#DIV/0!</v>
      </c>
      <c r="X135" s="20" t="e">
        <f t="shared" ref="X135:AU135" si="821">(X55-T55)/ABS(T55)</f>
        <v>#DIV/0!</v>
      </c>
      <c r="Y135" s="20" t="e">
        <f t="shared" si="821"/>
        <v>#DIV/0!</v>
      </c>
      <c r="Z135" s="20" t="e">
        <f t="shared" si="821"/>
        <v>#DIV/0!</v>
      </c>
      <c r="AA135" s="45">
        <f t="shared" si="821"/>
        <v>1.0641941171247161E-2</v>
      </c>
      <c r="AB135" s="20">
        <f t="shared" si="821"/>
        <v>0.43138979205311451</v>
      </c>
      <c r="AC135" s="20">
        <f t="shared" si="821"/>
        <v>-0.54019292604501612</v>
      </c>
      <c r="AD135" s="20">
        <f t="shared" si="821"/>
        <v>-0.25103784755410002</v>
      </c>
      <c r="AE135" s="45">
        <f t="shared" si="821"/>
        <v>1.0227920227920229</v>
      </c>
      <c r="AF135" s="20">
        <f t="shared" si="821"/>
        <v>1.2549019607843137</v>
      </c>
      <c r="AG135" s="20">
        <f t="shared" si="821"/>
        <v>1.3146853146853146</v>
      </c>
      <c r="AH135" s="20">
        <f t="shared" si="821"/>
        <v>1.5714285714285714</v>
      </c>
      <c r="AI135" s="45">
        <f t="shared" si="821"/>
        <v>26.375</v>
      </c>
      <c r="AJ135" s="20">
        <f t="shared" si="821"/>
        <v>9.9807692307692299</v>
      </c>
      <c r="AK135" s="20">
        <f t="shared" si="821"/>
        <v>3.8882175226586102</v>
      </c>
      <c r="AL135" s="20">
        <f t="shared" si="821"/>
        <v>7.5962962962962965</v>
      </c>
      <c r="AM135" s="45">
        <f t="shared" si="821"/>
        <v>6.5753424657534243</v>
      </c>
      <c r="AN135" s="20">
        <f t="shared" si="821"/>
        <v>0.97810858143607704</v>
      </c>
      <c r="AO135" s="20">
        <f t="shared" si="821"/>
        <v>1.034610630407911</v>
      </c>
      <c r="AP135" s="20">
        <f t="shared" si="821"/>
        <v>0.58853942266264536</v>
      </c>
      <c r="AQ135" s="45">
        <f t="shared" si="821"/>
        <v>-0.24261603375527427</v>
      </c>
      <c r="AR135" s="20">
        <f t="shared" si="821"/>
        <v>0.19654714475431606</v>
      </c>
      <c r="AS135" s="20">
        <f t="shared" si="821"/>
        <v>-1</v>
      </c>
      <c r="AT135" s="20">
        <f t="shared" si="821"/>
        <v>-1</v>
      </c>
      <c r="AU135" s="20">
        <f t="shared" si="821"/>
        <v>-1</v>
      </c>
      <c r="BJ135" s="20">
        <f>(BJ55-BI55)/ABS(BI55)</f>
        <v>-0.55737369846429641</v>
      </c>
      <c r="BK135" s="20">
        <f t="shared" ref="BK135:BS135" si="822">(BK55-BJ55)/ABS(BJ55)</f>
        <v>0.81319643726985236</v>
      </c>
      <c r="BL135" s="20">
        <f t="shared" si="822"/>
        <v>-2.9727619099089369</v>
      </c>
      <c r="BM135" s="20">
        <f t="shared" si="822"/>
        <v>-2.0222520745476804</v>
      </c>
      <c r="BN135" s="20">
        <f t="shared" si="822"/>
        <v>0.2413648368391616</v>
      </c>
      <c r="BO135" s="20">
        <f t="shared" si="822"/>
        <v>-1.9125221939240939</v>
      </c>
      <c r="BP135" s="20">
        <f t="shared" si="822"/>
        <v>0.50299102945804952</v>
      </c>
      <c r="BQ135" s="20">
        <f t="shared" si="822"/>
        <v>0.11670915753318034</v>
      </c>
      <c r="BR135" s="20">
        <f t="shared" si="822"/>
        <v>1.8364269141531322</v>
      </c>
      <c r="BS135" s="20">
        <f t="shared" si="822"/>
        <v>6.6546463245492369</v>
      </c>
      <c r="BT135" s="20">
        <f>(BT55-BS55)/ABS(BS55)</f>
        <v>1.2750498278673672</v>
      </c>
    </row>
    <row r="136" spans="2:72" s="20" customFormat="1" x14ac:dyDescent="0.35">
      <c r="B136" s="20" t="s">
        <v>1266</v>
      </c>
      <c r="S136" s="45"/>
      <c r="W136" s="45" t="e">
        <f>(W118-S118)/ABS(S118)</f>
        <v>#DIV/0!</v>
      </c>
      <c r="X136" s="20" t="e">
        <f t="shared" ref="X136:AU136" si="823">(X118-T118)/ABS(T118)</f>
        <v>#DIV/0!</v>
      </c>
      <c r="Y136" s="20" t="e">
        <f t="shared" si="823"/>
        <v>#DIV/0!</v>
      </c>
      <c r="Z136" s="20" t="e">
        <f t="shared" si="823"/>
        <v>#DIV/0!</v>
      </c>
      <c r="AA136" s="45">
        <f t="shared" si="823"/>
        <v>0.16150035536413504</v>
      </c>
      <c r="AB136" s="20">
        <f t="shared" si="823"/>
        <v>1.3081869660699594</v>
      </c>
      <c r="AC136" s="20">
        <f t="shared" si="823"/>
        <v>1.3139745916515426</v>
      </c>
      <c r="AD136" s="20">
        <f t="shared" si="823"/>
        <v>-0.74013823395924527</v>
      </c>
      <c r="AE136" s="45">
        <f t="shared" si="823"/>
        <v>2.5396825396825397E-2</v>
      </c>
      <c r="AF136" s="20">
        <f t="shared" si="823"/>
        <v>-0.33221476510067116</v>
      </c>
      <c r="AG136" s="20">
        <f t="shared" si="823"/>
        <v>2.9855491329479769</v>
      </c>
      <c r="AH136" s="20">
        <f t="shared" si="823"/>
        <v>0.78538390379278444</v>
      </c>
      <c r="AI136" s="45">
        <f t="shared" si="823"/>
        <v>1.3051031487513571</v>
      </c>
      <c r="AJ136" s="20">
        <f t="shared" si="823"/>
        <v>-3.2386934673366836</v>
      </c>
      <c r="AK136" s="20">
        <f t="shared" si="823"/>
        <v>-4.1334300217548949E-2</v>
      </c>
      <c r="AL136" s="20">
        <f t="shared" si="823"/>
        <v>0.43575129533678758</v>
      </c>
      <c r="AM136" s="45">
        <f t="shared" si="823"/>
        <v>6.8790035587188614</v>
      </c>
      <c r="AN136" s="20">
        <f t="shared" si="823"/>
        <v>1.707070707070707</v>
      </c>
      <c r="AO136" s="20">
        <f t="shared" si="823"/>
        <v>1.4939485627836611</v>
      </c>
      <c r="AP136" s="20">
        <f t="shared" si="823"/>
        <v>-0.48754962107542404</v>
      </c>
      <c r="AQ136" s="45">
        <f t="shared" si="823"/>
        <v>-0.80126467931345979</v>
      </c>
      <c r="AR136" s="20">
        <f t="shared" si="823"/>
        <v>0.59523809523809523</v>
      </c>
      <c r="AS136" s="20">
        <f t="shared" si="823"/>
        <v>-1</v>
      </c>
      <c r="AT136" s="20">
        <f t="shared" si="823"/>
        <v>-1</v>
      </c>
      <c r="AU136" s="20">
        <f t="shared" si="823"/>
        <v>-1</v>
      </c>
      <c r="BJ136" s="20" t="e">
        <f>(BJ118-BI118)/ABS(BI118)</f>
        <v>#DIV/0!</v>
      </c>
      <c r="BK136" s="20" t="e">
        <f t="shared" ref="BK136:BS136" si="824">(BK118-BJ118)/ABS(BJ118)</f>
        <v>#DIV/0!</v>
      </c>
      <c r="BL136" s="20" t="e">
        <f t="shared" si="824"/>
        <v>#DIV/0!</v>
      </c>
      <c r="BM136" s="20" t="e">
        <f t="shared" si="824"/>
        <v>#DIV/0!</v>
      </c>
      <c r="BN136" s="20">
        <f t="shared" si="824"/>
        <v>0.34969893469198704</v>
      </c>
      <c r="BO136" s="20">
        <f t="shared" si="824"/>
        <v>-1.4757834757834758</v>
      </c>
      <c r="BP136" s="20">
        <f t="shared" si="824"/>
        <v>0.99913693901035672</v>
      </c>
      <c r="BQ136" s="20">
        <f t="shared" si="824"/>
        <v>360.33333333333331</v>
      </c>
      <c r="BR136" s="20">
        <f t="shared" si="824"/>
        <v>1.5844155844155845</v>
      </c>
      <c r="BS136" s="20">
        <f t="shared" si="824"/>
        <v>0.25017946877243358</v>
      </c>
      <c r="BT136" s="20">
        <f>(BT118-BS118)/ABS(BS118)</f>
        <v>1.1708297444731552</v>
      </c>
    </row>
    <row r="137" spans="2:72" x14ac:dyDescent="0.35">
      <c r="AN137" s="20"/>
      <c r="AO137" s="20"/>
      <c r="AP137" s="20"/>
      <c r="AQ137" s="45"/>
      <c r="AR137" s="20"/>
      <c r="AS137" s="20"/>
    </row>
  </sheetData>
  <pageMargins left="0.7" right="0.7" top="0.75" bottom="0.75" header="0.3" footer="0.3"/>
  <pageSetup orientation="portrait"/>
  <ignoredErrors>
    <ignoredError sqref="AP51:AP53 AD51" formula="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65505-1048-4290-906C-3B53965C8491}">
  <dimension ref="B1:CX70"/>
  <sheetViews>
    <sheetView tabSelected="1" zoomScale="85" zoomScaleNormal="85" workbookViewId="0">
      <pane xSplit="2" ySplit="5" topLeftCell="Q21" activePane="bottomRight" state="frozen"/>
      <selection pane="topRight" activeCell="C1" sqref="C1"/>
      <selection pane="bottomLeft" activeCell="A6" sqref="A6"/>
      <selection pane="bottomRight" activeCell="AF57" sqref="AF57"/>
    </sheetView>
  </sheetViews>
  <sheetFormatPr defaultColWidth="10.6328125" defaultRowHeight="14.5" x14ac:dyDescent="0.35"/>
  <sheetData>
    <row r="1" spans="2:102" x14ac:dyDescent="0.35">
      <c r="B1" t="s">
        <v>1269</v>
      </c>
      <c r="K1">
        <f>L1-1</f>
        <v>2015</v>
      </c>
      <c r="L1">
        <f t="shared" ref="L1:Q1" si="0">M1-1</f>
        <v>2016</v>
      </c>
      <c r="M1">
        <f t="shared" si="0"/>
        <v>2017</v>
      </c>
      <c r="N1">
        <f t="shared" si="0"/>
        <v>2018</v>
      </c>
      <c r="O1">
        <f t="shared" si="0"/>
        <v>2019</v>
      </c>
      <c r="P1">
        <f t="shared" si="0"/>
        <v>2020</v>
      </c>
      <c r="Q1">
        <f t="shared" si="0"/>
        <v>2021</v>
      </c>
      <c r="R1">
        <f>S1-1</f>
        <v>2022</v>
      </c>
      <c r="S1">
        <v>2023</v>
      </c>
      <c r="T1">
        <f>S1+1</f>
        <v>2024</v>
      </c>
      <c r="U1">
        <f t="shared" ref="U1:CF1" si="1">T1+1</f>
        <v>2025</v>
      </c>
      <c r="V1">
        <f t="shared" si="1"/>
        <v>2026</v>
      </c>
      <c r="W1">
        <f t="shared" si="1"/>
        <v>2027</v>
      </c>
      <c r="X1">
        <f t="shared" si="1"/>
        <v>2028</v>
      </c>
      <c r="Y1">
        <f t="shared" si="1"/>
        <v>2029</v>
      </c>
      <c r="Z1">
        <f t="shared" si="1"/>
        <v>2030</v>
      </c>
      <c r="AA1">
        <f t="shared" si="1"/>
        <v>2031</v>
      </c>
      <c r="AB1">
        <f t="shared" si="1"/>
        <v>2032</v>
      </c>
      <c r="AC1">
        <f t="shared" si="1"/>
        <v>2033</v>
      </c>
      <c r="AD1">
        <f t="shared" si="1"/>
        <v>2034</v>
      </c>
      <c r="AE1">
        <f t="shared" si="1"/>
        <v>2035</v>
      </c>
      <c r="AF1">
        <f t="shared" si="1"/>
        <v>2036</v>
      </c>
      <c r="AG1">
        <f t="shared" si="1"/>
        <v>2037</v>
      </c>
      <c r="AH1">
        <f t="shared" si="1"/>
        <v>2038</v>
      </c>
      <c r="AI1">
        <f t="shared" si="1"/>
        <v>2039</v>
      </c>
      <c r="AJ1">
        <f t="shared" si="1"/>
        <v>2040</v>
      </c>
      <c r="AK1">
        <f t="shared" si="1"/>
        <v>2041</v>
      </c>
      <c r="AL1">
        <f t="shared" si="1"/>
        <v>2042</v>
      </c>
      <c r="AM1">
        <f t="shared" si="1"/>
        <v>2043</v>
      </c>
      <c r="AN1">
        <f t="shared" si="1"/>
        <v>2044</v>
      </c>
      <c r="AO1">
        <f t="shared" si="1"/>
        <v>2045</v>
      </c>
      <c r="AP1">
        <f t="shared" si="1"/>
        <v>2046</v>
      </c>
      <c r="AQ1">
        <f t="shared" si="1"/>
        <v>2047</v>
      </c>
      <c r="AR1">
        <f t="shared" si="1"/>
        <v>2048</v>
      </c>
      <c r="AS1">
        <f t="shared" si="1"/>
        <v>2049</v>
      </c>
      <c r="AT1">
        <f t="shared" si="1"/>
        <v>2050</v>
      </c>
      <c r="AU1">
        <f t="shared" si="1"/>
        <v>2051</v>
      </c>
      <c r="AV1">
        <f t="shared" si="1"/>
        <v>2052</v>
      </c>
      <c r="AW1">
        <f t="shared" si="1"/>
        <v>2053</v>
      </c>
      <c r="AX1">
        <f t="shared" si="1"/>
        <v>2054</v>
      </c>
      <c r="AY1">
        <f t="shared" si="1"/>
        <v>2055</v>
      </c>
      <c r="AZ1">
        <f t="shared" si="1"/>
        <v>2056</v>
      </c>
      <c r="BA1">
        <f t="shared" si="1"/>
        <v>2057</v>
      </c>
      <c r="BB1">
        <f t="shared" si="1"/>
        <v>2058</v>
      </c>
      <c r="BC1">
        <f t="shared" si="1"/>
        <v>2059</v>
      </c>
      <c r="BD1">
        <f t="shared" si="1"/>
        <v>2060</v>
      </c>
      <c r="BE1">
        <f t="shared" si="1"/>
        <v>2061</v>
      </c>
      <c r="BF1">
        <f t="shared" si="1"/>
        <v>2062</v>
      </c>
      <c r="BG1">
        <f t="shared" si="1"/>
        <v>2063</v>
      </c>
      <c r="BH1">
        <f t="shared" si="1"/>
        <v>2064</v>
      </c>
      <c r="BI1">
        <f t="shared" si="1"/>
        <v>2065</v>
      </c>
      <c r="BJ1">
        <f t="shared" si="1"/>
        <v>2066</v>
      </c>
      <c r="BK1">
        <f t="shared" si="1"/>
        <v>2067</v>
      </c>
      <c r="BL1">
        <f t="shared" si="1"/>
        <v>2068</v>
      </c>
      <c r="BM1">
        <f t="shared" si="1"/>
        <v>2069</v>
      </c>
      <c r="BN1">
        <f t="shared" si="1"/>
        <v>2070</v>
      </c>
      <c r="BO1">
        <f t="shared" si="1"/>
        <v>2071</v>
      </c>
      <c r="BP1">
        <f t="shared" si="1"/>
        <v>2072</v>
      </c>
      <c r="BQ1">
        <f t="shared" si="1"/>
        <v>2073</v>
      </c>
      <c r="BR1">
        <f t="shared" si="1"/>
        <v>2074</v>
      </c>
      <c r="BS1">
        <f t="shared" si="1"/>
        <v>2075</v>
      </c>
      <c r="BT1">
        <f t="shared" si="1"/>
        <v>2076</v>
      </c>
      <c r="BU1">
        <f t="shared" si="1"/>
        <v>2077</v>
      </c>
      <c r="BV1">
        <f t="shared" si="1"/>
        <v>2078</v>
      </c>
      <c r="BW1">
        <f t="shared" si="1"/>
        <v>2079</v>
      </c>
      <c r="BX1">
        <f t="shared" si="1"/>
        <v>2080</v>
      </c>
      <c r="BY1">
        <f t="shared" si="1"/>
        <v>2081</v>
      </c>
      <c r="BZ1">
        <f t="shared" si="1"/>
        <v>2082</v>
      </c>
      <c r="CA1">
        <f t="shared" si="1"/>
        <v>2083</v>
      </c>
      <c r="CB1">
        <f t="shared" si="1"/>
        <v>2084</v>
      </c>
      <c r="CC1">
        <f t="shared" si="1"/>
        <v>2085</v>
      </c>
      <c r="CD1">
        <f t="shared" si="1"/>
        <v>2086</v>
      </c>
      <c r="CE1">
        <f t="shared" si="1"/>
        <v>2087</v>
      </c>
      <c r="CF1">
        <f t="shared" si="1"/>
        <v>2088</v>
      </c>
      <c r="CG1">
        <f t="shared" ref="CG1:CX1" si="2">CF1+1</f>
        <v>2089</v>
      </c>
      <c r="CH1">
        <f t="shared" si="2"/>
        <v>2090</v>
      </c>
      <c r="CI1">
        <f t="shared" si="2"/>
        <v>2091</v>
      </c>
      <c r="CJ1">
        <f t="shared" si="2"/>
        <v>2092</v>
      </c>
      <c r="CK1">
        <f t="shared" si="2"/>
        <v>2093</v>
      </c>
      <c r="CL1">
        <f t="shared" si="2"/>
        <v>2094</v>
      </c>
      <c r="CM1">
        <f t="shared" si="2"/>
        <v>2095</v>
      </c>
      <c r="CN1">
        <f t="shared" si="2"/>
        <v>2096</v>
      </c>
      <c r="CO1">
        <f t="shared" si="2"/>
        <v>2097</v>
      </c>
      <c r="CP1">
        <f t="shared" si="2"/>
        <v>2098</v>
      </c>
      <c r="CQ1">
        <f t="shared" si="2"/>
        <v>2099</v>
      </c>
      <c r="CR1">
        <f t="shared" si="2"/>
        <v>2100</v>
      </c>
      <c r="CS1">
        <f t="shared" si="2"/>
        <v>2101</v>
      </c>
      <c r="CT1">
        <f t="shared" si="2"/>
        <v>2102</v>
      </c>
      <c r="CU1">
        <f t="shared" si="2"/>
        <v>2103</v>
      </c>
      <c r="CV1">
        <f t="shared" si="2"/>
        <v>2104</v>
      </c>
      <c r="CW1">
        <f t="shared" si="2"/>
        <v>2105</v>
      </c>
      <c r="CX1">
        <f t="shared" si="2"/>
        <v>2106</v>
      </c>
    </row>
    <row r="2" spans="2:102" x14ac:dyDescent="0.35">
      <c r="B2" t="s">
        <v>17</v>
      </c>
      <c r="K2" s="11">
        <v>42424</v>
      </c>
      <c r="L2" s="11">
        <v>42795</v>
      </c>
      <c r="M2" s="11">
        <v>43154</v>
      </c>
      <c r="N2" s="11">
        <v>43515</v>
      </c>
      <c r="O2" s="11">
        <v>43874</v>
      </c>
      <c r="P2" s="11">
        <v>44235</v>
      </c>
      <c r="Q2" s="11">
        <v>44599</v>
      </c>
      <c r="R2" s="11">
        <v>44957</v>
      </c>
      <c r="S2" s="11">
        <v>45320</v>
      </c>
    </row>
    <row r="3" spans="2:102" x14ac:dyDescent="0.35">
      <c r="B3" t="s">
        <v>1270</v>
      </c>
      <c r="K3" s="11">
        <f>DATE(YEAR(L3)-1, MONTH(L3), DAY(L3))</f>
        <v>42369</v>
      </c>
      <c r="L3" s="11">
        <f>DATE(YEAR(M3)-1, MONTH(M3), DAY(M3))</f>
        <v>42735</v>
      </c>
      <c r="M3" s="11">
        <f>DATE(YEAR(N3)-1, MONTH(N3), DAY(N3))</f>
        <v>43100</v>
      </c>
      <c r="N3" s="11">
        <f>DATE(YEAR(O3)-1, MONTH(O3), DAY(O3))</f>
        <v>43465</v>
      </c>
      <c r="O3" s="11">
        <f>DATE(YEAR(P3)-1, MONTH(P3), DAY(P3))</f>
        <v>43830</v>
      </c>
      <c r="P3" s="11">
        <f>DATE(YEAR(Q3)-1, MONTH(Q3), DAY(Q3))</f>
        <v>44196</v>
      </c>
      <c r="Q3" s="11">
        <f>DATE(YEAR(R3)-1, MONTH(R3), DAY(R3))</f>
        <v>44561</v>
      </c>
      <c r="R3" s="11">
        <f>DATE(YEAR(S3)-1, MONTH(S3), DAY(S3))</f>
        <v>44926</v>
      </c>
      <c r="S3" s="11">
        <v>45291</v>
      </c>
    </row>
    <row r="7" spans="2:102" s="12" customFormat="1" x14ac:dyDescent="0.35">
      <c r="B7" s="12" t="s">
        <v>1283</v>
      </c>
    </row>
    <row r="8" spans="2:102" s="7" customFormat="1" x14ac:dyDescent="0.35">
      <c r="B8" s="7" t="s">
        <v>21</v>
      </c>
      <c r="N8" s="7">
        <v>19906</v>
      </c>
      <c r="O8" s="7">
        <v>23047</v>
      </c>
      <c r="P8" s="7">
        <v>29542</v>
      </c>
      <c r="Q8" s="7">
        <v>51034</v>
      </c>
      <c r="R8" s="7">
        <v>77553</v>
      </c>
      <c r="S8" s="7">
        <v>90738</v>
      </c>
    </row>
    <row r="9" spans="2:102" s="7" customFormat="1" x14ac:dyDescent="0.35">
      <c r="B9" s="7" t="s">
        <v>31</v>
      </c>
      <c r="N9" s="7">
        <v>3852</v>
      </c>
      <c r="O9" s="7">
        <v>3879</v>
      </c>
      <c r="P9" s="7">
        <v>6612</v>
      </c>
      <c r="Q9" s="7">
        <v>13735</v>
      </c>
      <c r="R9" s="7">
        <v>20565</v>
      </c>
      <c r="S9" s="7">
        <v>16519</v>
      </c>
    </row>
    <row r="10" spans="2:102" s="66" customFormat="1" x14ac:dyDescent="0.35">
      <c r="B10" s="66" t="s">
        <v>29</v>
      </c>
      <c r="G10" s="66" t="e">
        <f>G9/G8</f>
        <v>#DIV/0!</v>
      </c>
      <c r="H10" s="66" t="e">
        <f t="shared" ref="H10:P10" si="3">H9/H8</f>
        <v>#DIV/0!</v>
      </c>
      <c r="I10" s="66" t="e">
        <f t="shared" si="3"/>
        <v>#DIV/0!</v>
      </c>
      <c r="J10" s="66" t="e">
        <f t="shared" si="3"/>
        <v>#DIV/0!</v>
      </c>
      <c r="K10" s="66" t="e">
        <f t="shared" si="3"/>
        <v>#DIV/0!</v>
      </c>
      <c r="L10" s="66" t="e">
        <f t="shared" si="3"/>
        <v>#DIV/0!</v>
      </c>
      <c r="M10" s="66" t="e">
        <f t="shared" si="3"/>
        <v>#DIV/0!</v>
      </c>
      <c r="N10" s="66">
        <f t="shared" si="3"/>
        <v>0.19350949462473627</v>
      </c>
      <c r="O10" s="66">
        <f t="shared" si="3"/>
        <v>0.16830823968412376</v>
      </c>
      <c r="P10" s="66">
        <f t="shared" si="3"/>
        <v>0.22381693859589738</v>
      </c>
      <c r="Q10" s="66">
        <f>Q9/Q8</f>
        <v>0.26913430262178156</v>
      </c>
      <c r="R10" s="66">
        <f>R9/R8</f>
        <v>0.26517349425554138</v>
      </c>
      <c r="S10" s="66">
        <f>S9/S8</f>
        <v>0.1820516211510062</v>
      </c>
    </row>
    <row r="11" spans="2:102" s="12" customFormat="1" x14ac:dyDescent="0.35">
      <c r="B11" s="12" t="s">
        <v>24</v>
      </c>
    </row>
    <row r="12" spans="2:102" s="7" customFormat="1" x14ac:dyDescent="0.35">
      <c r="B12" s="7" t="s">
        <v>21</v>
      </c>
      <c r="N12" s="7">
        <v>1555</v>
      </c>
      <c r="O12" s="7">
        <v>1531</v>
      </c>
      <c r="P12" s="7">
        <v>1994</v>
      </c>
      <c r="Q12" s="7">
        <v>2789</v>
      </c>
      <c r="R12" s="7">
        <v>3909</v>
      </c>
      <c r="S12" s="7">
        <v>6035</v>
      </c>
    </row>
    <row r="13" spans="2:102" s="7" customFormat="1" x14ac:dyDescent="0.35">
      <c r="B13" s="7" t="s">
        <v>31</v>
      </c>
      <c r="N13" s="7">
        <v>190</v>
      </c>
      <c r="O13" s="7">
        <v>190</v>
      </c>
      <c r="P13" s="7">
        <v>18</v>
      </c>
      <c r="Q13" s="7">
        <v>-129</v>
      </c>
      <c r="R13" s="7">
        <v>288</v>
      </c>
      <c r="S13" s="7">
        <v>1141</v>
      </c>
    </row>
    <row r="14" spans="2:102" s="66" customFormat="1" x14ac:dyDescent="0.35">
      <c r="B14" s="66" t="s">
        <v>29</v>
      </c>
      <c r="G14" s="66" t="e">
        <f>G13/G12</f>
        <v>#DIV/0!</v>
      </c>
      <c r="H14" s="66" t="e">
        <f t="shared" ref="H14:P14" si="4">H13/H12</f>
        <v>#DIV/0!</v>
      </c>
      <c r="I14" s="66" t="e">
        <f t="shared" si="4"/>
        <v>#DIV/0!</v>
      </c>
      <c r="J14" s="66" t="e">
        <f t="shared" si="4"/>
        <v>#DIV/0!</v>
      </c>
      <c r="K14" s="66" t="e">
        <f t="shared" si="4"/>
        <v>#DIV/0!</v>
      </c>
      <c r="L14" s="66" t="e">
        <f t="shared" si="4"/>
        <v>#DIV/0!</v>
      </c>
      <c r="M14" s="66" t="e">
        <f t="shared" si="4"/>
        <v>#DIV/0!</v>
      </c>
      <c r="N14" s="66">
        <f t="shared" si="4"/>
        <v>0.12218649517684887</v>
      </c>
      <c r="O14" s="66">
        <f t="shared" si="4"/>
        <v>0.12410189418680601</v>
      </c>
      <c r="P14" s="66">
        <f t="shared" si="4"/>
        <v>9.0270812437311942E-3</v>
      </c>
      <c r="Q14" s="66">
        <f>Q13/Q12</f>
        <v>-4.6253137325206167E-2</v>
      </c>
      <c r="R14" s="66">
        <f>R13/R12</f>
        <v>7.3676132003069841E-2</v>
      </c>
      <c r="S14" s="66">
        <f>S13/S12</f>
        <v>0.18906379453189726</v>
      </c>
    </row>
    <row r="15" spans="2:102" x14ac:dyDescent="0.35">
      <c r="B15" s="65" t="s">
        <v>1279</v>
      </c>
    </row>
    <row r="16" spans="2:102" s="66" customFormat="1" x14ac:dyDescent="0.35">
      <c r="B16" s="66" t="s">
        <v>1280</v>
      </c>
      <c r="G16" s="66" t="e">
        <f>G8/G27</f>
        <v>#DIV/0!</v>
      </c>
      <c r="H16" s="66" t="e">
        <f>H8/H27</f>
        <v>#DIV/0!</v>
      </c>
      <c r="I16" s="66" t="e">
        <f>I8/I27</f>
        <v>#DIV/0!</v>
      </c>
      <c r="J16" s="66" t="e">
        <f>J8/J27</f>
        <v>#DIV/0!</v>
      </c>
      <c r="K16" s="66">
        <f>K8/K27</f>
        <v>0</v>
      </c>
      <c r="L16" s="66">
        <f>L8/L27</f>
        <v>0</v>
      </c>
      <c r="M16" s="66">
        <f>M8/M27</f>
        <v>0</v>
      </c>
      <c r="N16" s="66">
        <f>N8/N27</f>
        <v>0.92754298494944321</v>
      </c>
      <c r="O16" s="66">
        <f>O8/O27</f>
        <v>0.93770851981446823</v>
      </c>
      <c r="P16" s="66">
        <f>P8/P27</f>
        <v>0.93677067478437337</v>
      </c>
      <c r="Q16" s="66">
        <f>Q8/Q27</f>
        <v>0.94818200397599539</v>
      </c>
      <c r="R16" s="66">
        <f>R8/R27</f>
        <v>0.95201443617883186</v>
      </c>
      <c r="S16" s="66">
        <f>S8/S27</f>
        <v>0.93763756419662514</v>
      </c>
    </row>
    <row r="17" spans="2:26" s="66" customFormat="1" x14ac:dyDescent="0.35">
      <c r="B17" s="66" t="s">
        <v>24</v>
      </c>
      <c r="G17" s="66" t="e">
        <f>G12/G27</f>
        <v>#DIV/0!</v>
      </c>
      <c r="H17" s="66" t="e">
        <f>H12/H27</f>
        <v>#DIV/0!</v>
      </c>
      <c r="I17" s="66" t="e">
        <f>I12/I27</f>
        <v>#DIV/0!</v>
      </c>
      <c r="J17" s="66" t="e">
        <f>J12/J27</f>
        <v>#DIV/0!</v>
      </c>
      <c r="K17" s="66">
        <f>K12/K27</f>
        <v>0</v>
      </c>
      <c r="L17" s="66">
        <f>L12/L27</f>
        <v>0</v>
      </c>
      <c r="M17" s="66">
        <f>M12/M27</f>
        <v>0</v>
      </c>
      <c r="N17" s="66">
        <f>N12/N27</f>
        <v>7.2457015050556822E-2</v>
      </c>
      <c r="O17" s="66">
        <f>O12/O27</f>
        <v>6.2291480185531774E-2</v>
      </c>
      <c r="P17" s="66">
        <f>P12/P27</f>
        <v>6.3229325215626589E-2</v>
      </c>
      <c r="Q17" s="66">
        <f>Q12/Q27</f>
        <v>5.1817996024004609E-2</v>
      </c>
      <c r="R17" s="66">
        <f>R12/R27</f>
        <v>4.7985563821168149E-2</v>
      </c>
      <c r="S17" s="66">
        <f>S12/S27</f>
        <v>6.2362435803374909E-2</v>
      </c>
    </row>
    <row r="19" spans="2:26" s="12" customFormat="1" x14ac:dyDescent="0.35">
      <c r="B19" s="12" t="s">
        <v>1281</v>
      </c>
    </row>
    <row r="20" spans="2:26" s="7" customFormat="1" x14ac:dyDescent="0.35">
      <c r="B20" s="7" t="s">
        <v>1235</v>
      </c>
      <c r="N20" s="7">
        <v>14872</v>
      </c>
      <c r="O20" s="7">
        <v>12653</v>
      </c>
      <c r="P20" s="7">
        <v>15207</v>
      </c>
      <c r="Q20" s="7">
        <v>23973</v>
      </c>
      <c r="R20" s="7">
        <v>40553</v>
      </c>
      <c r="S20" s="7">
        <v>45235</v>
      </c>
    </row>
    <row r="21" spans="2:26" s="7" customFormat="1" x14ac:dyDescent="0.35">
      <c r="B21" s="7" t="s">
        <v>1236</v>
      </c>
      <c r="N21" s="7">
        <v>1757</v>
      </c>
      <c r="O21" s="7">
        <v>2979</v>
      </c>
      <c r="P21" s="7">
        <v>6662</v>
      </c>
      <c r="Q21" s="7">
        <v>13844</v>
      </c>
      <c r="R21" s="7">
        <v>18145</v>
      </c>
      <c r="S21" s="7">
        <v>24745</v>
      </c>
    </row>
    <row r="22" spans="2:26" s="22" customFormat="1" x14ac:dyDescent="0.35">
      <c r="B22" s="22" t="s">
        <v>1237</v>
      </c>
      <c r="N22" s="22">
        <v>4832</v>
      </c>
      <c r="O22" s="22">
        <v>8946</v>
      </c>
      <c r="P22" s="22">
        <v>9667</v>
      </c>
      <c r="Q22" s="22">
        <v>16006</v>
      </c>
      <c r="R22" s="22">
        <v>22764</v>
      </c>
      <c r="S22" s="22">
        <v>29793</v>
      </c>
    </row>
    <row r="23" spans="2:26" s="23" customFormat="1" x14ac:dyDescent="0.35">
      <c r="B23" s="23" t="s">
        <v>1282</v>
      </c>
      <c r="G23" s="23">
        <f>SUM(G20:G22)</f>
        <v>0</v>
      </c>
      <c r="H23" s="23">
        <f>SUM(H20:H22)</f>
        <v>0</v>
      </c>
      <c r="I23" s="23">
        <f>SUM(I20:I22)</f>
        <v>0</v>
      </c>
      <c r="J23" s="23">
        <f>SUM(J20:J22)</f>
        <v>0</v>
      </c>
      <c r="K23" s="23">
        <f>SUM(K20:K22)</f>
        <v>0</v>
      </c>
      <c r="L23" s="23">
        <f>SUM(L20:L22)</f>
        <v>0</v>
      </c>
      <c r="M23" s="23">
        <f>SUM(M20:M22)</f>
        <v>0</v>
      </c>
      <c r="N23" s="23">
        <f>SUM(N20:N22)</f>
        <v>21461</v>
      </c>
      <c r="O23" s="23">
        <f>SUM(O20:O22)</f>
        <v>24578</v>
      </c>
      <c r="P23" s="23">
        <f>SUM(P20:P22)</f>
        <v>31536</v>
      </c>
      <c r="Q23" s="23">
        <f>SUM(Q20:Q22)</f>
        <v>53823</v>
      </c>
      <c r="R23" s="23">
        <f>SUM(R20:R22)</f>
        <v>81462</v>
      </c>
      <c r="S23" s="23">
        <f>SUM(S20:S22)</f>
        <v>99773</v>
      </c>
    </row>
    <row r="26" spans="2:26" s="9" customFormat="1" x14ac:dyDescent="0.35">
      <c r="B26" s="9" t="s">
        <v>1271</v>
      </c>
    </row>
    <row r="27" spans="2:26" s="23" customFormat="1" x14ac:dyDescent="0.35">
      <c r="B27" s="23" t="s">
        <v>21</v>
      </c>
      <c r="K27" s="23">
        <v>4046.0250000000001</v>
      </c>
      <c r="L27" s="23">
        <v>7000.1319999999996</v>
      </c>
      <c r="M27" s="23">
        <v>11758.751</v>
      </c>
      <c r="N27" s="23">
        <v>21461</v>
      </c>
      <c r="O27" s="23">
        <v>24578</v>
      </c>
      <c r="P27" s="23">
        <v>31536</v>
      </c>
      <c r="Q27" s="23">
        <v>53823</v>
      </c>
      <c r="R27" s="23">
        <v>81462</v>
      </c>
      <c r="S27" s="23">
        <v>96773</v>
      </c>
      <c r="T27" s="23">
        <f>S27*(1+T54)</f>
        <v>145159.5</v>
      </c>
      <c r="U27" s="23">
        <f t="shared" ref="U27:Z27" si="5">T27*(1+U54)</f>
        <v>217739.25</v>
      </c>
      <c r="V27" s="23">
        <f t="shared" si="5"/>
        <v>326608.875</v>
      </c>
      <c r="W27" s="23">
        <f t="shared" si="5"/>
        <v>489913.3125</v>
      </c>
      <c r="X27" s="23">
        <f t="shared" si="5"/>
        <v>734869.96875</v>
      </c>
      <c r="Y27" s="23">
        <f t="shared" si="5"/>
        <v>1102304.953125</v>
      </c>
      <c r="Z27" s="23">
        <f t="shared" si="5"/>
        <v>1653457.4296875</v>
      </c>
    </row>
    <row r="28" spans="2:26" s="22" customFormat="1" x14ac:dyDescent="0.35">
      <c r="B28" s="22" t="s">
        <v>22</v>
      </c>
      <c r="K28" s="22">
        <v>3122.5219999999999</v>
      </c>
      <c r="L28" s="22">
        <v>5400.875</v>
      </c>
      <c r="M28" s="22">
        <v>9536.2639999999992</v>
      </c>
      <c r="N28" s="22">
        <v>17419</v>
      </c>
      <c r="O28" s="22">
        <v>20509</v>
      </c>
      <c r="P28" s="22">
        <v>24906</v>
      </c>
      <c r="Q28" s="22">
        <v>40217</v>
      </c>
      <c r="R28" s="22">
        <v>60609</v>
      </c>
      <c r="S28" s="22">
        <v>79113</v>
      </c>
    </row>
    <row r="29" spans="2:26" s="7" customFormat="1" x14ac:dyDescent="0.35">
      <c r="B29" s="7" t="s">
        <v>31</v>
      </c>
      <c r="G29" s="7">
        <f>G27-G28</f>
        <v>0</v>
      </c>
      <c r="H29" s="7">
        <f t="shared" ref="H29:R29" si="6">H27-H28</f>
        <v>0</v>
      </c>
      <c r="I29" s="7">
        <f t="shared" si="6"/>
        <v>0</v>
      </c>
      <c r="J29" s="7">
        <f t="shared" si="6"/>
        <v>0</v>
      </c>
      <c r="K29" s="7">
        <f t="shared" si="6"/>
        <v>923.50300000000016</v>
      </c>
      <c r="L29" s="7">
        <f t="shared" si="6"/>
        <v>1599.2569999999996</v>
      </c>
      <c r="M29" s="7">
        <f t="shared" si="6"/>
        <v>2222.487000000001</v>
      </c>
      <c r="N29" s="7">
        <f t="shared" si="6"/>
        <v>4042</v>
      </c>
      <c r="O29" s="7">
        <f t="shared" si="6"/>
        <v>4069</v>
      </c>
      <c r="P29" s="7">
        <f t="shared" si="6"/>
        <v>6630</v>
      </c>
      <c r="Q29" s="7">
        <f t="shared" si="6"/>
        <v>13606</v>
      </c>
      <c r="R29" s="7">
        <f t="shared" si="6"/>
        <v>20853</v>
      </c>
      <c r="S29" s="7">
        <f>S27-S28</f>
        <v>17660</v>
      </c>
      <c r="T29" s="7">
        <f>T27*T57</f>
        <v>29031.9</v>
      </c>
      <c r="U29" s="7">
        <f t="shared" ref="U29:Z29" si="7">U27*U57</f>
        <v>43547.850000000006</v>
      </c>
      <c r="V29" s="7">
        <f t="shared" si="7"/>
        <v>65321.775000000001</v>
      </c>
      <c r="W29" s="7">
        <f t="shared" si="7"/>
        <v>122478.328125</v>
      </c>
      <c r="X29" s="7">
        <f t="shared" si="7"/>
        <v>183717.4921875</v>
      </c>
      <c r="Y29" s="7">
        <f t="shared" si="7"/>
        <v>275576.23828125</v>
      </c>
      <c r="Z29" s="7">
        <f t="shared" si="7"/>
        <v>413364.357421875</v>
      </c>
    </row>
    <row r="30" spans="2:26" s="7" customFormat="1" x14ac:dyDescent="0.35">
      <c r="B30" s="7" t="s">
        <v>33</v>
      </c>
      <c r="K30" s="7">
        <v>717.9</v>
      </c>
      <c r="L30" s="7">
        <v>834.40800000000002</v>
      </c>
      <c r="M30" s="7">
        <v>1378.0730000000001</v>
      </c>
      <c r="N30" s="7">
        <v>1460</v>
      </c>
      <c r="O30" s="7">
        <v>1343</v>
      </c>
      <c r="P30" s="7">
        <v>1491</v>
      </c>
      <c r="Q30" s="7">
        <v>2593</v>
      </c>
      <c r="R30" s="7">
        <v>3075</v>
      </c>
      <c r="S30" s="7">
        <v>3969</v>
      </c>
      <c r="T30" s="7">
        <f>T$27*T60</f>
        <v>8709.57</v>
      </c>
      <c r="U30" s="7">
        <f t="shared" ref="U30:Z30" si="8">U$27*U60</f>
        <v>13064.355</v>
      </c>
      <c r="V30" s="7">
        <f t="shared" si="8"/>
        <v>19596.532499999998</v>
      </c>
      <c r="W30" s="7">
        <f t="shared" si="8"/>
        <v>29394.798749999998</v>
      </c>
      <c r="X30" s="7">
        <f t="shared" si="8"/>
        <v>44092.198124999995</v>
      </c>
      <c r="Y30" s="7">
        <f t="shared" si="8"/>
        <v>66138.297187499993</v>
      </c>
      <c r="Z30" s="7">
        <f t="shared" si="8"/>
        <v>99207.44578124999</v>
      </c>
    </row>
    <row r="31" spans="2:26" s="7" customFormat="1" x14ac:dyDescent="0.35">
      <c r="B31" s="7" t="s">
        <v>34</v>
      </c>
      <c r="K31" s="7">
        <v>922.23199999999997</v>
      </c>
      <c r="L31" s="7">
        <v>1432.1890000000001</v>
      </c>
      <c r="M31" s="7">
        <v>2476</v>
      </c>
      <c r="N31" s="7">
        <v>2835</v>
      </c>
      <c r="O31" s="7">
        <v>2646</v>
      </c>
      <c r="P31" s="7">
        <v>3145</v>
      </c>
      <c r="Q31" s="7">
        <v>4517</v>
      </c>
      <c r="R31" s="7">
        <v>3946</v>
      </c>
      <c r="S31" s="7">
        <v>4800</v>
      </c>
      <c r="T31" s="7">
        <f>T$27*T61</f>
        <v>18870.735000000001</v>
      </c>
      <c r="U31" s="7">
        <f t="shared" ref="U31:Z31" si="9">U$27*U61</f>
        <v>28306.102500000001</v>
      </c>
      <c r="V31" s="7">
        <f t="shared" si="9"/>
        <v>42459.153750000005</v>
      </c>
      <c r="W31" s="7">
        <f t="shared" si="9"/>
        <v>63688.730625000004</v>
      </c>
      <c r="X31" s="7">
        <f t="shared" si="9"/>
        <v>95533.095937500009</v>
      </c>
      <c r="Y31" s="7">
        <f t="shared" si="9"/>
        <v>143299.64390625001</v>
      </c>
      <c r="Z31" s="7">
        <f t="shared" si="9"/>
        <v>214949.46585937502</v>
      </c>
    </row>
    <row r="32" spans="2:26" s="22" customFormat="1" x14ac:dyDescent="0.35">
      <c r="B32" s="22" t="s">
        <v>1273</v>
      </c>
      <c r="K32" s="22">
        <v>0</v>
      </c>
      <c r="L32" s="22">
        <v>0</v>
      </c>
      <c r="M32" s="22">
        <v>0</v>
      </c>
      <c r="N32" s="22">
        <v>135</v>
      </c>
      <c r="O32" s="22">
        <v>149</v>
      </c>
      <c r="P32" s="22">
        <v>0</v>
      </c>
      <c r="Q32" s="22">
        <v>-27</v>
      </c>
      <c r="R32" s="22">
        <v>176</v>
      </c>
      <c r="S32" s="22">
        <v>0</v>
      </c>
      <c r="T32" s="7">
        <f>T$27*T62</f>
        <v>0</v>
      </c>
      <c r="U32" s="7">
        <f t="shared" ref="U32:Z32" si="10">U$27*U62</f>
        <v>0</v>
      </c>
      <c r="V32" s="7">
        <f t="shared" si="10"/>
        <v>0</v>
      </c>
      <c r="W32" s="7">
        <f t="shared" si="10"/>
        <v>0</v>
      </c>
      <c r="X32" s="7">
        <f t="shared" si="10"/>
        <v>0</v>
      </c>
      <c r="Y32" s="7">
        <f t="shared" si="10"/>
        <v>0</v>
      </c>
      <c r="Z32" s="7">
        <f t="shared" si="10"/>
        <v>0</v>
      </c>
    </row>
    <row r="33" spans="2:102" s="28" customFormat="1" x14ac:dyDescent="0.35">
      <c r="B33" s="28" t="s">
        <v>36</v>
      </c>
      <c r="G33" s="28">
        <f>SUM(G30:G32)</f>
        <v>0</v>
      </c>
      <c r="H33" s="28">
        <f t="shared" ref="H33:R33" si="11">SUM(H30:H32)</f>
        <v>0</v>
      </c>
      <c r="I33" s="28">
        <f t="shared" si="11"/>
        <v>0</v>
      </c>
      <c r="J33" s="28">
        <f t="shared" si="11"/>
        <v>0</v>
      </c>
      <c r="K33" s="28">
        <f t="shared" si="11"/>
        <v>1640.1320000000001</v>
      </c>
      <c r="L33" s="28">
        <f t="shared" si="11"/>
        <v>2266.5970000000002</v>
      </c>
      <c r="M33" s="28">
        <f t="shared" si="11"/>
        <v>3854.0730000000003</v>
      </c>
      <c r="N33" s="28">
        <f t="shared" si="11"/>
        <v>4430</v>
      </c>
      <c r="O33" s="28">
        <f t="shared" si="11"/>
        <v>4138</v>
      </c>
      <c r="P33" s="28">
        <f t="shared" si="11"/>
        <v>4636</v>
      </c>
      <c r="Q33" s="28">
        <f t="shared" si="11"/>
        <v>7083</v>
      </c>
      <c r="R33" s="28">
        <f t="shared" si="11"/>
        <v>7197</v>
      </c>
      <c r="S33" s="28">
        <f>SUM(S30:S32)</f>
        <v>8769</v>
      </c>
      <c r="T33" s="28">
        <f t="shared" ref="T33:Z33" si="12">SUM(T30:T32)</f>
        <v>27580.305</v>
      </c>
      <c r="U33" s="28">
        <f t="shared" si="12"/>
        <v>41370.457500000004</v>
      </c>
      <c r="V33" s="28">
        <f t="shared" si="12"/>
        <v>62055.686249999999</v>
      </c>
      <c r="W33" s="28">
        <f t="shared" si="12"/>
        <v>93083.529374999998</v>
      </c>
      <c r="X33" s="28">
        <f t="shared" si="12"/>
        <v>139625.2940625</v>
      </c>
      <c r="Y33" s="28">
        <f t="shared" si="12"/>
        <v>209437.94109375001</v>
      </c>
      <c r="Z33" s="28">
        <f t="shared" si="12"/>
        <v>314156.91164062498</v>
      </c>
    </row>
    <row r="34" spans="2:102" s="7" customFormat="1" x14ac:dyDescent="0.35">
      <c r="B34" s="7" t="s">
        <v>37</v>
      </c>
      <c r="G34" s="7">
        <f>G29-G33</f>
        <v>0</v>
      </c>
      <c r="H34" s="7">
        <f t="shared" ref="H34:R34" si="13">H29-H33</f>
        <v>0</v>
      </c>
      <c r="I34" s="7">
        <f t="shared" si="13"/>
        <v>0</v>
      </c>
      <c r="J34" s="7">
        <f t="shared" si="13"/>
        <v>0</v>
      </c>
      <c r="K34" s="7">
        <f t="shared" si="13"/>
        <v>-716.62899999999991</v>
      </c>
      <c r="L34" s="7">
        <f t="shared" si="13"/>
        <v>-667.3400000000006</v>
      </c>
      <c r="M34" s="7">
        <f t="shared" si="13"/>
        <v>-1631.5859999999993</v>
      </c>
      <c r="N34" s="7">
        <f t="shared" si="13"/>
        <v>-388</v>
      </c>
      <c r="O34" s="7">
        <f t="shared" si="13"/>
        <v>-69</v>
      </c>
      <c r="P34" s="7">
        <f t="shared" si="13"/>
        <v>1994</v>
      </c>
      <c r="Q34" s="7">
        <f t="shared" si="13"/>
        <v>6523</v>
      </c>
      <c r="R34" s="7">
        <f t="shared" si="13"/>
        <v>13656</v>
      </c>
      <c r="S34" s="7">
        <f>S29-S33</f>
        <v>8891</v>
      </c>
      <c r="T34" s="7">
        <f t="shared" ref="T34:Z34" si="14">T29-T33</f>
        <v>1451.5950000000012</v>
      </c>
      <c r="U34" s="7">
        <f t="shared" si="14"/>
        <v>2177.3925000000017</v>
      </c>
      <c r="V34" s="7">
        <f t="shared" si="14"/>
        <v>3266.0887500000026</v>
      </c>
      <c r="W34" s="7">
        <f t="shared" si="14"/>
        <v>29394.798750000002</v>
      </c>
      <c r="X34" s="7">
        <f t="shared" si="14"/>
        <v>44092.198124999995</v>
      </c>
      <c r="Y34" s="7">
        <f t="shared" si="14"/>
        <v>66138.297187499993</v>
      </c>
      <c r="Z34" s="7">
        <f t="shared" si="14"/>
        <v>99207.445781250019</v>
      </c>
    </row>
    <row r="35" spans="2:102" s="7" customFormat="1" x14ac:dyDescent="0.35">
      <c r="B35" s="7" t="s">
        <v>534</v>
      </c>
      <c r="K35" s="7">
        <v>1.508</v>
      </c>
      <c r="L35" s="7">
        <v>8.5299999999999994</v>
      </c>
      <c r="M35" s="7">
        <v>19.686</v>
      </c>
      <c r="N35" s="7">
        <v>24</v>
      </c>
      <c r="O35" s="7">
        <v>44</v>
      </c>
      <c r="P35" s="7">
        <v>30</v>
      </c>
      <c r="Q35" s="7">
        <v>56</v>
      </c>
      <c r="R35" s="7">
        <v>297</v>
      </c>
      <c r="S35" s="7">
        <v>1066</v>
      </c>
      <c r="T35" s="7">
        <v>0</v>
      </c>
      <c r="U35" s="7">
        <v>0</v>
      </c>
      <c r="V35" s="7">
        <v>0</v>
      </c>
      <c r="W35" s="7">
        <v>0</v>
      </c>
      <c r="X35" s="7">
        <v>0</v>
      </c>
      <c r="Y35" s="7">
        <v>0</v>
      </c>
      <c r="Z35" s="7">
        <v>0</v>
      </c>
    </row>
    <row r="36" spans="2:102" s="7" customFormat="1" x14ac:dyDescent="0.35">
      <c r="B36" s="7" t="s">
        <v>542</v>
      </c>
      <c r="K36" s="7">
        <v>-118.851</v>
      </c>
      <c r="L36" s="7">
        <v>-198.81</v>
      </c>
      <c r="M36" s="7">
        <v>-471.25900000000001</v>
      </c>
      <c r="N36" s="7">
        <v>-663</v>
      </c>
      <c r="O36" s="7">
        <v>-685</v>
      </c>
      <c r="P36" s="7">
        <v>-748</v>
      </c>
      <c r="Q36" s="7">
        <v>-371</v>
      </c>
      <c r="R36" s="7">
        <v>-191</v>
      </c>
      <c r="S36" s="7">
        <v>-156</v>
      </c>
      <c r="T36" s="7">
        <v>0</v>
      </c>
      <c r="U36" s="7">
        <v>0</v>
      </c>
      <c r="V36" s="7">
        <v>0</v>
      </c>
      <c r="W36" s="7">
        <v>0</v>
      </c>
      <c r="X36" s="7">
        <v>0</v>
      </c>
      <c r="Y36" s="7">
        <v>0</v>
      </c>
      <c r="Z36" s="7">
        <v>0</v>
      </c>
    </row>
    <row r="37" spans="2:102" s="22" customFormat="1" x14ac:dyDescent="0.35">
      <c r="B37" s="22" t="s">
        <v>1274</v>
      </c>
      <c r="K37" s="22">
        <v>-41.652000000000001</v>
      </c>
      <c r="L37" s="22">
        <v>111.27200000000001</v>
      </c>
      <c r="M37" s="22">
        <v>-125.373</v>
      </c>
      <c r="N37" s="22">
        <v>22</v>
      </c>
      <c r="O37" s="22">
        <v>45</v>
      </c>
      <c r="P37" s="22">
        <v>-122</v>
      </c>
      <c r="Q37" s="22">
        <v>135</v>
      </c>
      <c r="R37" s="22">
        <v>-43</v>
      </c>
      <c r="S37" s="22">
        <v>172</v>
      </c>
      <c r="T37" s="22">
        <v>0</v>
      </c>
      <c r="U37" s="22">
        <v>0</v>
      </c>
      <c r="V37" s="22">
        <v>0</v>
      </c>
      <c r="W37" s="22">
        <v>0</v>
      </c>
      <c r="X37" s="22">
        <v>0</v>
      </c>
      <c r="Y37" s="22">
        <v>0</v>
      </c>
      <c r="Z37" s="22">
        <v>0</v>
      </c>
    </row>
    <row r="38" spans="2:102" s="7" customFormat="1" x14ac:dyDescent="0.35">
      <c r="B38" s="7" t="s">
        <v>41</v>
      </c>
      <c r="G38" s="7">
        <f>G34+SUM(G35:G37)</f>
        <v>0</v>
      </c>
      <c r="H38" s="7">
        <f t="shared" ref="H38:R38" si="15">H34+SUM(H35:H37)</f>
        <v>0</v>
      </c>
      <c r="I38" s="7">
        <f t="shared" si="15"/>
        <v>0</v>
      </c>
      <c r="J38" s="7">
        <f t="shared" si="15"/>
        <v>0</v>
      </c>
      <c r="K38" s="7">
        <f t="shared" si="15"/>
        <v>-875.62399999999991</v>
      </c>
      <c r="L38" s="7">
        <f t="shared" si="15"/>
        <v>-746.34800000000064</v>
      </c>
      <c r="M38" s="7">
        <f t="shared" si="15"/>
        <v>-2208.5319999999992</v>
      </c>
      <c r="N38" s="7">
        <f t="shared" si="15"/>
        <v>-1005</v>
      </c>
      <c r="O38" s="7">
        <f t="shared" si="15"/>
        <v>-665</v>
      </c>
      <c r="P38" s="7">
        <f t="shared" si="15"/>
        <v>1154</v>
      </c>
      <c r="Q38" s="7">
        <f t="shared" si="15"/>
        <v>6343</v>
      </c>
      <c r="R38" s="7">
        <f t="shared" si="15"/>
        <v>13719</v>
      </c>
      <c r="S38" s="7">
        <f>S34+SUM(S35:S37)</f>
        <v>9973</v>
      </c>
      <c r="T38" s="7">
        <f t="shared" ref="T38:Z38" si="16">T34+SUM(T35:T37)</f>
        <v>1451.5950000000012</v>
      </c>
      <c r="U38" s="7">
        <f t="shared" si="16"/>
        <v>2177.3925000000017</v>
      </c>
      <c r="V38" s="7">
        <f t="shared" si="16"/>
        <v>3266.0887500000026</v>
      </c>
      <c r="W38" s="7">
        <f t="shared" si="16"/>
        <v>29394.798750000002</v>
      </c>
      <c r="X38" s="7">
        <f t="shared" si="16"/>
        <v>44092.198124999995</v>
      </c>
      <c r="Y38" s="7">
        <f t="shared" si="16"/>
        <v>66138.297187499993</v>
      </c>
      <c r="Z38" s="7">
        <f t="shared" si="16"/>
        <v>99207.445781250019</v>
      </c>
    </row>
    <row r="39" spans="2:102" s="22" customFormat="1" x14ac:dyDescent="0.35">
      <c r="B39" s="22" t="s">
        <v>1275</v>
      </c>
      <c r="K39" s="22">
        <v>13.039</v>
      </c>
      <c r="L39" s="22">
        <v>26.698</v>
      </c>
      <c r="M39" s="22">
        <v>31.545999999999999</v>
      </c>
      <c r="N39" s="22">
        <v>58</v>
      </c>
      <c r="O39" s="22">
        <v>110</v>
      </c>
      <c r="P39" s="22">
        <v>292</v>
      </c>
      <c r="Q39" s="22">
        <v>699</v>
      </c>
      <c r="R39" s="22">
        <v>1132</v>
      </c>
      <c r="S39" s="22">
        <v>-5001</v>
      </c>
      <c r="T39" s="22">
        <f>T38*T58</f>
        <v>-58.06380000000005</v>
      </c>
      <c r="U39" s="22">
        <f t="shared" ref="U39:Z39" si="17">U38*U58</f>
        <v>-87.095700000000065</v>
      </c>
      <c r="V39" s="22">
        <f t="shared" si="17"/>
        <v>-130.64355000000012</v>
      </c>
      <c r="W39" s="22">
        <f t="shared" si="17"/>
        <v>-1175.79195</v>
      </c>
      <c r="X39" s="22">
        <f t="shared" si="17"/>
        <v>-1763.687925</v>
      </c>
      <c r="Y39" s="22">
        <f t="shared" si="17"/>
        <v>-2645.5318874999998</v>
      </c>
      <c r="Z39" s="22">
        <f t="shared" si="17"/>
        <v>-3968.2978312500009</v>
      </c>
    </row>
    <row r="40" spans="2:102" s="7" customFormat="1" x14ac:dyDescent="0.35">
      <c r="B40" s="7" t="s">
        <v>1276</v>
      </c>
      <c r="G40" s="7">
        <f>G38-G39</f>
        <v>0</v>
      </c>
      <c r="H40" s="7">
        <f t="shared" ref="H40:R40" si="18">H38-H39</f>
        <v>0</v>
      </c>
      <c r="I40" s="7">
        <f t="shared" si="18"/>
        <v>0</v>
      </c>
      <c r="J40" s="7">
        <f t="shared" si="18"/>
        <v>0</v>
      </c>
      <c r="K40" s="7">
        <f t="shared" si="18"/>
        <v>-888.6629999999999</v>
      </c>
      <c r="L40" s="7">
        <f t="shared" si="18"/>
        <v>-773.04600000000062</v>
      </c>
      <c r="M40" s="7">
        <f t="shared" si="18"/>
        <v>-2240.0779999999991</v>
      </c>
      <c r="N40" s="7">
        <f t="shared" si="18"/>
        <v>-1063</v>
      </c>
      <c r="O40" s="7">
        <f t="shared" si="18"/>
        <v>-775</v>
      </c>
      <c r="P40" s="7">
        <f t="shared" si="18"/>
        <v>862</v>
      </c>
      <c r="Q40" s="7">
        <f t="shared" si="18"/>
        <v>5644</v>
      </c>
      <c r="R40" s="7">
        <f t="shared" si="18"/>
        <v>12587</v>
      </c>
      <c r="S40" s="7">
        <f>S38-S39</f>
        <v>14974</v>
      </c>
      <c r="T40" s="7">
        <f t="shared" ref="T40:Z40" si="19">T38-T39</f>
        <v>1509.6588000000013</v>
      </c>
      <c r="U40" s="7">
        <f t="shared" si="19"/>
        <v>2264.4882000000016</v>
      </c>
      <c r="V40" s="7">
        <f t="shared" si="19"/>
        <v>3396.7323000000029</v>
      </c>
      <c r="W40" s="7">
        <f t="shared" si="19"/>
        <v>30570.590700000001</v>
      </c>
      <c r="X40" s="7">
        <f t="shared" si="19"/>
        <v>45855.886049999994</v>
      </c>
      <c r="Y40" s="7">
        <f t="shared" si="19"/>
        <v>68783.829074999987</v>
      </c>
      <c r="Z40" s="7">
        <f t="shared" si="19"/>
        <v>103175.74361250002</v>
      </c>
    </row>
    <row r="41" spans="2:102" s="22" customFormat="1" x14ac:dyDescent="0.35">
      <c r="B41" s="22" t="s">
        <v>1277</v>
      </c>
      <c r="K41" s="22">
        <v>0</v>
      </c>
      <c r="L41" s="22">
        <v>-98.132000000000005</v>
      </c>
      <c r="M41" s="22">
        <v>-279.178</v>
      </c>
      <c r="N41" s="22">
        <v>-87</v>
      </c>
      <c r="O41" s="22">
        <v>87</v>
      </c>
      <c r="P41" s="22">
        <v>141</v>
      </c>
      <c r="Q41" s="22">
        <v>125</v>
      </c>
      <c r="R41" s="22">
        <v>31</v>
      </c>
      <c r="S41" s="22">
        <v>-23</v>
      </c>
      <c r="T41" s="22">
        <v>0</v>
      </c>
      <c r="U41" s="22">
        <v>0</v>
      </c>
      <c r="V41" s="22">
        <v>0</v>
      </c>
      <c r="W41" s="22">
        <v>0</v>
      </c>
      <c r="X41" s="22">
        <v>0</v>
      </c>
      <c r="Y41" s="22">
        <v>0</v>
      </c>
      <c r="Z41" s="22">
        <v>0</v>
      </c>
    </row>
    <row r="42" spans="2:102" x14ac:dyDescent="0.35">
      <c r="B42" s="7" t="s">
        <v>1278</v>
      </c>
      <c r="G42" s="7">
        <f>G40-G41</f>
        <v>0</v>
      </c>
      <c r="H42" s="7">
        <f t="shared" ref="H42:R42" si="20">H40-H41</f>
        <v>0</v>
      </c>
      <c r="I42" s="7">
        <f t="shared" si="20"/>
        <v>0</v>
      </c>
      <c r="J42" s="7">
        <f t="shared" si="20"/>
        <v>0</v>
      </c>
      <c r="K42" s="7">
        <f t="shared" si="20"/>
        <v>-888.6629999999999</v>
      </c>
      <c r="L42" s="7">
        <f t="shared" si="20"/>
        <v>-674.91400000000067</v>
      </c>
      <c r="M42" s="7">
        <f t="shared" si="20"/>
        <v>-1960.8999999999992</v>
      </c>
      <c r="N42" s="7">
        <f t="shared" si="20"/>
        <v>-976</v>
      </c>
      <c r="O42" s="7">
        <f t="shared" si="20"/>
        <v>-862</v>
      </c>
      <c r="P42" s="7">
        <f t="shared" si="20"/>
        <v>721</v>
      </c>
      <c r="Q42" s="7">
        <f t="shared" si="20"/>
        <v>5519</v>
      </c>
      <c r="R42" s="7">
        <f t="shared" si="20"/>
        <v>12556</v>
      </c>
      <c r="S42" s="7">
        <f>S40-S41</f>
        <v>14997</v>
      </c>
      <c r="T42" s="7">
        <f t="shared" ref="T42:Z42" si="21">T40-T41</f>
        <v>1509.6588000000013</v>
      </c>
      <c r="U42" s="7">
        <f t="shared" si="21"/>
        <v>2264.4882000000016</v>
      </c>
      <c r="V42" s="7">
        <f t="shared" si="21"/>
        <v>3396.7323000000029</v>
      </c>
      <c r="W42" s="7">
        <f t="shared" si="21"/>
        <v>30570.590700000001</v>
      </c>
      <c r="X42" s="7">
        <f t="shared" si="21"/>
        <v>45855.886049999994</v>
      </c>
      <c r="Y42" s="7">
        <f t="shared" si="21"/>
        <v>68783.829074999987</v>
      </c>
      <c r="Z42" s="7">
        <f t="shared" si="21"/>
        <v>103175.74361250002</v>
      </c>
      <c r="AA42" s="7">
        <f>Z42*(1+$AE$64)</f>
        <v>104207.50104862502</v>
      </c>
      <c r="AB42" s="7">
        <f t="shared" ref="AB42:CM42" si="22">AA42*(1+$AE$64)</f>
        <v>105249.57605911128</v>
      </c>
      <c r="AC42" s="7">
        <f t="shared" si="22"/>
        <v>106302.0718197024</v>
      </c>
      <c r="AD42" s="7">
        <f t="shared" si="22"/>
        <v>107365.09253789941</v>
      </c>
      <c r="AE42" s="7">
        <f t="shared" si="22"/>
        <v>108438.74346327841</v>
      </c>
      <c r="AF42" s="7">
        <f t="shared" si="22"/>
        <v>109523.13089791119</v>
      </c>
      <c r="AG42" s="7">
        <f t="shared" si="22"/>
        <v>110618.36220689031</v>
      </c>
      <c r="AH42" s="7">
        <f t="shared" si="22"/>
        <v>111724.54582895921</v>
      </c>
      <c r="AI42" s="7">
        <f t="shared" si="22"/>
        <v>112841.79128724879</v>
      </c>
      <c r="AJ42" s="7">
        <f t="shared" si="22"/>
        <v>113970.20920012129</v>
      </c>
      <c r="AK42" s="7">
        <f t="shared" si="22"/>
        <v>115109.9112921225</v>
      </c>
      <c r="AL42" s="7">
        <f t="shared" si="22"/>
        <v>116261.01040504372</v>
      </c>
      <c r="AM42" s="7">
        <f t="shared" si="22"/>
        <v>117423.62050909417</v>
      </c>
      <c r="AN42" s="7">
        <f t="shared" si="22"/>
        <v>118597.85671418511</v>
      </c>
      <c r="AO42" s="7">
        <f t="shared" si="22"/>
        <v>119783.83528132696</v>
      </c>
      <c r="AP42" s="7">
        <f t="shared" si="22"/>
        <v>120981.67363414023</v>
      </c>
      <c r="AQ42" s="7">
        <f t="shared" si="22"/>
        <v>122191.49037048164</v>
      </c>
      <c r="AR42" s="7">
        <f t="shared" si="22"/>
        <v>123413.40527418646</v>
      </c>
      <c r="AS42" s="7">
        <f t="shared" si="22"/>
        <v>124647.53932692832</v>
      </c>
      <c r="AT42" s="7">
        <f t="shared" si="22"/>
        <v>125894.01472019761</v>
      </c>
      <c r="AU42" s="7">
        <f t="shared" si="22"/>
        <v>127152.95486739959</v>
      </c>
      <c r="AV42" s="7">
        <f t="shared" si="22"/>
        <v>128424.48441607358</v>
      </c>
      <c r="AW42" s="7">
        <f t="shared" si="22"/>
        <v>129708.72926023432</v>
      </c>
      <c r="AX42" s="7">
        <f t="shared" si="22"/>
        <v>131005.81655283667</v>
      </c>
      <c r="AY42" s="7">
        <f t="shared" si="22"/>
        <v>132315.87471836503</v>
      </c>
      <c r="AZ42" s="7">
        <f t="shared" si="22"/>
        <v>133639.03346554868</v>
      </c>
      <c r="BA42" s="7">
        <f t="shared" si="22"/>
        <v>134975.42380020418</v>
      </c>
      <c r="BB42" s="7">
        <f t="shared" si="22"/>
        <v>136325.17803820621</v>
      </c>
      <c r="BC42" s="7">
        <f t="shared" si="22"/>
        <v>137688.42981858828</v>
      </c>
      <c r="BD42" s="7">
        <f t="shared" si="22"/>
        <v>139065.31411677416</v>
      </c>
      <c r="BE42" s="7">
        <f t="shared" si="22"/>
        <v>140455.9672579419</v>
      </c>
      <c r="BF42" s="7">
        <f t="shared" si="22"/>
        <v>141860.52693052133</v>
      </c>
      <c r="BG42" s="7">
        <f t="shared" si="22"/>
        <v>143279.13219982653</v>
      </c>
      <c r="BH42" s="7">
        <f t="shared" si="22"/>
        <v>144711.92352182479</v>
      </c>
      <c r="BI42" s="7">
        <f t="shared" si="22"/>
        <v>146159.04275704303</v>
      </c>
      <c r="BJ42" s="7">
        <f t="shared" si="22"/>
        <v>147620.63318461346</v>
      </c>
      <c r="BK42" s="7">
        <f t="shared" si="22"/>
        <v>149096.83951645959</v>
      </c>
      <c r="BL42" s="7">
        <f t="shared" si="22"/>
        <v>150587.80791162417</v>
      </c>
      <c r="BM42" s="7">
        <f t="shared" si="22"/>
        <v>152093.68599074043</v>
      </c>
      <c r="BN42" s="7">
        <f t="shared" si="22"/>
        <v>153614.62285064784</v>
      </c>
      <c r="BO42" s="7">
        <f t="shared" si="22"/>
        <v>155150.76907915433</v>
      </c>
      <c r="BP42" s="7">
        <f t="shared" si="22"/>
        <v>156702.27676994586</v>
      </c>
      <c r="BQ42" s="7">
        <f t="shared" si="22"/>
        <v>158269.29953764533</v>
      </c>
      <c r="BR42" s="7">
        <f t="shared" si="22"/>
        <v>159851.99253302178</v>
      </c>
      <c r="BS42" s="7">
        <f t="shared" si="22"/>
        <v>161450.51245835199</v>
      </c>
      <c r="BT42" s="7">
        <f t="shared" si="22"/>
        <v>163065.01758293551</v>
      </c>
      <c r="BU42" s="7">
        <f t="shared" si="22"/>
        <v>164695.66775876487</v>
      </c>
      <c r="BV42" s="7">
        <f t="shared" si="22"/>
        <v>166342.62443635252</v>
      </c>
      <c r="BW42" s="7">
        <f t="shared" si="22"/>
        <v>168006.05068071606</v>
      </c>
      <c r="BX42" s="7">
        <f t="shared" si="22"/>
        <v>169686.11118752323</v>
      </c>
      <c r="BY42" s="7">
        <f t="shared" si="22"/>
        <v>171382.97229939848</v>
      </c>
      <c r="BZ42" s="7">
        <f t="shared" si="22"/>
        <v>173096.80202239245</v>
      </c>
      <c r="CA42" s="7">
        <f t="shared" si="22"/>
        <v>174827.77004261638</v>
      </c>
      <c r="CB42" s="7">
        <f t="shared" si="22"/>
        <v>176576.04774304255</v>
      </c>
      <c r="CC42" s="7">
        <f t="shared" si="22"/>
        <v>178341.80822047297</v>
      </c>
      <c r="CD42" s="7">
        <f t="shared" si="22"/>
        <v>180125.22630267771</v>
      </c>
      <c r="CE42" s="7">
        <f t="shared" si="22"/>
        <v>181926.47856570448</v>
      </c>
      <c r="CF42" s="7">
        <f t="shared" si="22"/>
        <v>183745.74335136154</v>
      </c>
      <c r="CG42" s="7">
        <f t="shared" si="22"/>
        <v>185583.20078487517</v>
      </c>
      <c r="CH42" s="7">
        <f t="shared" si="22"/>
        <v>187439.03279272391</v>
      </c>
      <c r="CI42" s="7">
        <f t="shared" si="22"/>
        <v>189313.42312065116</v>
      </c>
      <c r="CJ42" s="7">
        <f t="shared" si="22"/>
        <v>191206.55735185769</v>
      </c>
      <c r="CK42" s="7">
        <f t="shared" si="22"/>
        <v>193118.62292537626</v>
      </c>
      <c r="CL42" s="7">
        <f t="shared" si="22"/>
        <v>195049.80915463003</v>
      </c>
      <c r="CM42" s="7">
        <f t="shared" si="22"/>
        <v>197000.30724617632</v>
      </c>
      <c r="CN42" s="7">
        <f t="shared" ref="CN42:CX42" si="23">CM42*(1+$AE$64)</f>
        <v>198970.31031863808</v>
      </c>
      <c r="CO42" s="7">
        <f t="shared" si="23"/>
        <v>200960.01342182446</v>
      </c>
      <c r="CP42" s="7">
        <f t="shared" si="23"/>
        <v>202969.61355604272</v>
      </c>
      <c r="CQ42" s="7">
        <f t="shared" si="23"/>
        <v>204999.30969160315</v>
      </c>
      <c r="CR42" s="7">
        <f t="shared" si="23"/>
        <v>207049.30278851918</v>
      </c>
      <c r="CS42" s="7">
        <f t="shared" si="23"/>
        <v>209119.79581640437</v>
      </c>
      <c r="CT42" s="7">
        <f t="shared" si="23"/>
        <v>211210.9937745684</v>
      </c>
      <c r="CU42" s="7">
        <f t="shared" si="23"/>
        <v>213323.1037123141</v>
      </c>
      <c r="CV42" s="7">
        <f t="shared" si="23"/>
        <v>215456.33474943723</v>
      </c>
      <c r="CW42" s="7">
        <f t="shared" si="23"/>
        <v>217610.8980969316</v>
      </c>
      <c r="CX42" s="7">
        <f t="shared" si="23"/>
        <v>219787.00707790093</v>
      </c>
    </row>
    <row r="44" spans="2:102" s="15" customFormat="1" x14ac:dyDescent="0.35">
      <c r="B44" s="15" t="s">
        <v>46</v>
      </c>
      <c r="G44" s="15" t="e">
        <f>G42/G46</f>
        <v>#DIV/0!</v>
      </c>
      <c r="H44" s="15" t="e">
        <f t="shared" ref="H44:S44" si="24">H42/H46</f>
        <v>#DIV/0!</v>
      </c>
      <c r="I44" s="15" t="e">
        <f t="shared" si="24"/>
        <v>#DIV/0!</v>
      </c>
      <c r="J44" s="15" t="e">
        <f t="shared" si="24"/>
        <v>#DIV/0!</v>
      </c>
      <c r="K44" s="15">
        <f t="shared" si="24"/>
        <v>-0.46211603563126935</v>
      </c>
      <c r="L44" s="15">
        <f t="shared" si="24"/>
        <v>-0.3120008505995806</v>
      </c>
      <c r="M44" s="15">
        <f t="shared" si="24"/>
        <v>-0.78865977308284729</v>
      </c>
      <c r="N44" s="15">
        <f t="shared" si="24"/>
        <v>-0.38139898397811645</v>
      </c>
      <c r="O44" s="15">
        <f t="shared" si="24"/>
        <v>-0.32393836903419765</v>
      </c>
      <c r="P44" s="15">
        <f t="shared" si="24"/>
        <v>0.25759199714183639</v>
      </c>
      <c r="Q44" s="15">
        <f t="shared" si="24"/>
        <v>1.8651571476850288</v>
      </c>
      <c r="R44" s="15">
        <f t="shared" si="24"/>
        <v>4.0115015974440897</v>
      </c>
      <c r="S44" s="15">
        <f t="shared" si="24"/>
        <v>4.7249527410207941</v>
      </c>
    </row>
    <row r="45" spans="2:102" s="15" customFormat="1" x14ac:dyDescent="0.35">
      <c r="B45" s="15" t="s">
        <v>47</v>
      </c>
      <c r="G45" s="15" t="e">
        <f>G42/G47</f>
        <v>#DIV/0!</v>
      </c>
      <c r="H45" s="15" t="e">
        <f t="shared" ref="H45:S45" si="25">H42/H47</f>
        <v>#DIV/0!</v>
      </c>
      <c r="I45" s="15" t="e">
        <f t="shared" si="25"/>
        <v>#DIV/0!</v>
      </c>
      <c r="J45" s="15" t="e">
        <f t="shared" si="25"/>
        <v>#DIV/0!</v>
      </c>
      <c r="K45" s="15">
        <f t="shared" si="25"/>
        <v>-0.46211603563126935</v>
      </c>
      <c r="L45" s="15">
        <f t="shared" si="25"/>
        <v>-0.3120008505995806</v>
      </c>
      <c r="M45" s="15">
        <f t="shared" si="25"/>
        <v>-0.78865977308284729</v>
      </c>
      <c r="N45" s="15">
        <f t="shared" si="25"/>
        <v>-0.38139898397811645</v>
      </c>
      <c r="O45" s="15">
        <f t="shared" si="25"/>
        <v>-0.32393836903419765</v>
      </c>
      <c r="P45" s="15">
        <f t="shared" si="25"/>
        <v>0.22191443521083409</v>
      </c>
      <c r="Q45" s="15">
        <f t="shared" si="25"/>
        <v>1.6299468399291199</v>
      </c>
      <c r="R45" s="15">
        <f t="shared" si="25"/>
        <v>3.6132374100719424</v>
      </c>
      <c r="S45" s="15">
        <f t="shared" si="25"/>
        <v>4.3032998565279774</v>
      </c>
    </row>
    <row r="46" spans="2:102" s="7" customFormat="1" x14ac:dyDescent="0.35">
      <c r="B46" s="7" t="s">
        <v>48</v>
      </c>
      <c r="K46" s="7">
        <f>K48*3</f>
        <v>1923.03</v>
      </c>
      <c r="L46" s="7">
        <f>L48*3</f>
        <v>2163.1799999999998</v>
      </c>
      <c r="M46" s="7">
        <f>M48*3</f>
        <v>2486.3700000000003</v>
      </c>
      <c r="N46" s="7">
        <f>N48*3</f>
        <v>2559</v>
      </c>
      <c r="O46" s="7">
        <f>O48*3</f>
        <v>2661</v>
      </c>
      <c r="P46" s="7">
        <f>P48*3</f>
        <v>2799</v>
      </c>
      <c r="Q46" s="7">
        <v>2959</v>
      </c>
      <c r="R46" s="7">
        <v>3130</v>
      </c>
      <c r="S46" s="7">
        <v>3174</v>
      </c>
    </row>
    <row r="47" spans="2:102" s="7" customFormat="1" x14ac:dyDescent="0.35">
      <c r="B47" s="7" t="s">
        <v>49</v>
      </c>
      <c r="K47" s="7">
        <f>K49*3</f>
        <v>1923.03</v>
      </c>
      <c r="L47" s="7">
        <f>L49*3</f>
        <v>2163.1799999999998</v>
      </c>
      <c r="M47" s="7">
        <f>M49*3</f>
        <v>2486.3700000000003</v>
      </c>
      <c r="N47" s="7">
        <f>N49*3</f>
        <v>2559</v>
      </c>
      <c r="O47" s="7">
        <f>O49*3</f>
        <v>2661</v>
      </c>
      <c r="P47" s="7">
        <f>P49*3</f>
        <v>3249</v>
      </c>
      <c r="Q47" s="7">
        <v>3386</v>
      </c>
      <c r="R47" s="7">
        <v>3475</v>
      </c>
      <c r="S47" s="7">
        <v>3485</v>
      </c>
    </row>
    <row r="48" spans="2:102" s="7" customFormat="1" x14ac:dyDescent="0.35">
      <c r="K48" s="7">
        <f>K50*5</f>
        <v>641.01</v>
      </c>
      <c r="L48" s="7">
        <f>L50*5</f>
        <v>721.06</v>
      </c>
      <c r="M48" s="7">
        <f>M50*5</f>
        <v>828.79000000000008</v>
      </c>
      <c r="N48" s="7">
        <v>853</v>
      </c>
      <c r="O48" s="7">
        <v>887</v>
      </c>
      <c r="P48" s="7">
        <v>933</v>
      </c>
    </row>
    <row r="49" spans="2:35" s="7" customFormat="1" x14ac:dyDescent="0.35">
      <c r="K49" s="7">
        <f>K51*5</f>
        <v>641.01</v>
      </c>
      <c r="L49" s="7">
        <f>L51*5</f>
        <v>721.06</v>
      </c>
      <c r="M49" s="7">
        <f>M51*5</f>
        <v>828.79000000000008</v>
      </c>
      <c r="N49" s="7">
        <v>853</v>
      </c>
      <c r="O49" s="7">
        <v>887</v>
      </c>
      <c r="P49" s="7">
        <v>1083</v>
      </c>
    </row>
    <row r="50" spans="2:35" s="7" customFormat="1" x14ac:dyDescent="0.35">
      <c r="K50" s="7">
        <v>128.202</v>
      </c>
      <c r="L50" s="7">
        <v>144.21199999999999</v>
      </c>
      <c r="M50" s="7">
        <v>165.75800000000001</v>
      </c>
    </row>
    <row r="51" spans="2:35" s="7" customFormat="1" x14ac:dyDescent="0.35">
      <c r="K51" s="7">
        <v>128.202</v>
      </c>
      <c r="L51" s="7">
        <v>144.21199999999999</v>
      </c>
      <c r="M51" s="7">
        <v>165.75800000000001</v>
      </c>
    </row>
    <row r="53" spans="2:35" s="12" customFormat="1" x14ac:dyDescent="0.35">
      <c r="B53" s="12" t="s">
        <v>1284</v>
      </c>
    </row>
    <row r="54" spans="2:35" s="66" customFormat="1" x14ac:dyDescent="0.35">
      <c r="B54" s="66" t="s">
        <v>21</v>
      </c>
      <c r="G54" s="66" t="e">
        <f>G27/F27-1</f>
        <v>#DIV/0!</v>
      </c>
      <c r="H54" s="66" t="e">
        <f t="shared" ref="H54:R54" si="26">H27/G27-1</f>
        <v>#DIV/0!</v>
      </c>
      <c r="I54" s="66" t="e">
        <f t="shared" si="26"/>
        <v>#DIV/0!</v>
      </c>
      <c r="J54" s="66" t="e">
        <f t="shared" si="26"/>
        <v>#DIV/0!</v>
      </c>
      <c r="K54" s="66" t="e">
        <f t="shared" si="26"/>
        <v>#DIV/0!</v>
      </c>
      <c r="L54" s="66">
        <f t="shared" si="26"/>
        <v>0.73012574069611524</v>
      </c>
      <c r="M54" s="66">
        <f t="shared" si="26"/>
        <v>0.67978989539054413</v>
      </c>
      <c r="N54" s="66">
        <f t="shared" si="26"/>
        <v>0.8251088061988896</v>
      </c>
      <c r="O54" s="66">
        <f t="shared" si="26"/>
        <v>0.14524020315921904</v>
      </c>
      <c r="P54" s="66">
        <f t="shared" si="26"/>
        <v>0.28309870615998056</v>
      </c>
      <c r="Q54" s="66">
        <f t="shared" si="26"/>
        <v>0.70671613394216126</v>
      </c>
      <c r="R54" s="66">
        <f t="shared" si="26"/>
        <v>0.51351652639206291</v>
      </c>
      <c r="S54" s="66">
        <f>S27/R27-1</f>
        <v>0.18795266504627928</v>
      </c>
      <c r="T54" s="66">
        <v>0.5</v>
      </c>
      <c r="U54" s="66">
        <v>0.5</v>
      </c>
      <c r="V54" s="66">
        <v>0.5</v>
      </c>
      <c r="W54" s="66">
        <v>0.5</v>
      </c>
      <c r="X54" s="66">
        <v>0.5</v>
      </c>
      <c r="Y54" s="66">
        <v>0.5</v>
      </c>
      <c r="Z54" s="66">
        <v>0.5</v>
      </c>
      <c r="AA54" s="66">
        <v>0.5</v>
      </c>
      <c r="AB54" s="66">
        <v>0.5</v>
      </c>
    </row>
    <row r="55" spans="2:35" s="66" customFormat="1" x14ac:dyDescent="0.35"/>
    <row r="56" spans="2:35" s="67" customFormat="1" x14ac:dyDescent="0.35">
      <c r="B56" s="67" t="s">
        <v>29</v>
      </c>
    </row>
    <row r="57" spans="2:35" s="66" customFormat="1" x14ac:dyDescent="0.35">
      <c r="B57" s="66" t="s">
        <v>1286</v>
      </c>
      <c r="G57" s="66" t="e">
        <f>G29/G27</f>
        <v>#DIV/0!</v>
      </c>
      <c r="H57" s="66" t="e">
        <f t="shared" ref="H57:R57" si="27">H29/H27</f>
        <v>#DIV/0!</v>
      </c>
      <c r="I57" s="66" t="e">
        <f t="shared" si="27"/>
        <v>#DIV/0!</v>
      </c>
      <c r="J57" s="66" t="e">
        <f t="shared" si="27"/>
        <v>#DIV/0!</v>
      </c>
      <c r="K57" s="66">
        <f t="shared" si="27"/>
        <v>0.22824945471172328</v>
      </c>
      <c r="L57" s="66">
        <f t="shared" si="27"/>
        <v>0.22846097759299391</v>
      </c>
      <c r="M57" s="66">
        <f t="shared" si="27"/>
        <v>0.18900706376042839</v>
      </c>
      <c r="N57" s="66">
        <f t="shared" si="27"/>
        <v>0.18834164298028983</v>
      </c>
      <c r="O57" s="66">
        <f t="shared" si="27"/>
        <v>0.1655545609895028</v>
      </c>
      <c r="P57" s="66">
        <f t="shared" si="27"/>
        <v>0.2102359208523592</v>
      </c>
      <c r="Q57" s="66">
        <f t="shared" si="27"/>
        <v>0.25279155751258753</v>
      </c>
      <c r="R57" s="66">
        <f t="shared" si="27"/>
        <v>0.25598438535759005</v>
      </c>
      <c r="S57" s="66">
        <f>S29/S27</f>
        <v>0.18248891736331416</v>
      </c>
      <c r="T57" s="66">
        <v>0.2</v>
      </c>
      <c r="U57" s="66">
        <v>0.2</v>
      </c>
      <c r="V57" s="66">
        <v>0.2</v>
      </c>
      <c r="W57" s="66">
        <v>0.25</v>
      </c>
      <c r="X57" s="66">
        <v>0.25</v>
      </c>
      <c r="Y57" s="66">
        <v>0.25</v>
      </c>
      <c r="Z57" s="66">
        <v>0.25</v>
      </c>
      <c r="AA57" s="66">
        <v>0.25</v>
      </c>
      <c r="AB57" s="66">
        <v>0.25</v>
      </c>
      <c r="AF57" s="66" t="s">
        <v>1293</v>
      </c>
    </row>
    <row r="58" spans="2:35" s="66" customFormat="1" x14ac:dyDescent="0.35">
      <c r="B58" s="66" t="s">
        <v>1287</v>
      </c>
      <c r="G58" s="66" t="e">
        <f>G39/G38</f>
        <v>#DIV/0!</v>
      </c>
      <c r="H58" s="66" t="e">
        <f t="shared" ref="H58:R58" si="28">H39/H38</f>
        <v>#DIV/0!</v>
      </c>
      <c r="I58" s="66" t="e">
        <f t="shared" si="28"/>
        <v>#DIV/0!</v>
      </c>
      <c r="J58" s="66" t="e">
        <f t="shared" si="28"/>
        <v>#DIV/0!</v>
      </c>
      <c r="K58" s="66">
        <f t="shared" si="28"/>
        <v>-1.4891094807817055E-2</v>
      </c>
      <c r="L58" s="66">
        <f t="shared" si="28"/>
        <v>-3.5771516772336732E-2</v>
      </c>
      <c r="M58" s="66">
        <f t="shared" si="28"/>
        <v>-1.4283696138430418E-2</v>
      </c>
      <c r="N58" s="66">
        <f t="shared" si="28"/>
        <v>-5.7711442786069649E-2</v>
      </c>
      <c r="O58" s="66">
        <f t="shared" si="28"/>
        <v>-0.16541353383458646</v>
      </c>
      <c r="P58" s="66">
        <f t="shared" si="28"/>
        <v>0.2530329289428076</v>
      </c>
      <c r="Q58" s="66">
        <f t="shared" si="28"/>
        <v>0.11020022071574964</v>
      </c>
      <c r="R58" s="66">
        <f t="shared" si="28"/>
        <v>8.2513302718857054E-2</v>
      </c>
      <c r="S58" s="66">
        <f>S39/S38</f>
        <v>-0.50145392559911761</v>
      </c>
      <c r="T58" s="66">
        <v>-0.04</v>
      </c>
      <c r="U58" s="66">
        <v>-0.04</v>
      </c>
      <c r="V58" s="66">
        <v>-0.04</v>
      </c>
      <c r="W58" s="66">
        <v>-0.04</v>
      </c>
      <c r="X58" s="66">
        <v>-0.04</v>
      </c>
      <c r="Y58" s="66">
        <v>-0.04</v>
      </c>
      <c r="Z58" s="66">
        <v>-0.04</v>
      </c>
      <c r="AA58" s="66">
        <v>-0.04</v>
      </c>
      <c r="AB58" s="66">
        <v>-0.04</v>
      </c>
    </row>
    <row r="59" spans="2:35" s="67" customFormat="1" x14ac:dyDescent="0.35">
      <c r="B59" s="67" t="s">
        <v>1285</v>
      </c>
    </row>
    <row r="60" spans="2:35" s="66" customFormat="1" x14ac:dyDescent="0.35">
      <c r="B60" s="66" t="s">
        <v>33</v>
      </c>
      <c r="G60" s="66" t="e">
        <f>G30/G27</f>
        <v>#DIV/0!</v>
      </c>
      <c r="H60" s="66" t="e">
        <f t="shared" ref="H60:R60" si="29">H30/H27</f>
        <v>#DIV/0!</v>
      </c>
      <c r="I60" s="66" t="e">
        <f t="shared" si="29"/>
        <v>#DIV/0!</v>
      </c>
      <c r="J60" s="66" t="e">
        <f t="shared" si="29"/>
        <v>#DIV/0!</v>
      </c>
      <c r="K60" s="66">
        <f t="shared" si="29"/>
        <v>0.17743340686229075</v>
      </c>
      <c r="L60" s="66">
        <f t="shared" si="29"/>
        <v>0.11919889510654944</v>
      </c>
      <c r="M60" s="66">
        <f t="shared" si="29"/>
        <v>0.11719552527304984</v>
      </c>
      <c r="N60" s="66">
        <f t="shared" si="29"/>
        <v>6.8030380690554962E-2</v>
      </c>
      <c r="O60" s="66">
        <f t="shared" si="29"/>
        <v>5.4642363088941333E-2</v>
      </c>
      <c r="P60" s="66">
        <f t="shared" si="29"/>
        <v>4.7279299847792999E-2</v>
      </c>
      <c r="Q60" s="66">
        <f t="shared" si="29"/>
        <v>4.817643015067908E-2</v>
      </c>
      <c r="R60" s="66">
        <f t="shared" si="29"/>
        <v>3.7747661486337188E-2</v>
      </c>
      <c r="S60" s="66">
        <f>S30/S27</f>
        <v>4.1013505833238609E-2</v>
      </c>
      <c r="T60" s="66">
        <v>0.06</v>
      </c>
      <c r="U60" s="66">
        <v>0.06</v>
      </c>
      <c r="V60" s="66">
        <v>0.06</v>
      </c>
      <c r="W60" s="66">
        <v>0.06</v>
      </c>
      <c r="X60" s="66">
        <v>0.06</v>
      </c>
      <c r="Y60" s="66">
        <v>0.06</v>
      </c>
      <c r="Z60" s="66">
        <v>0.06</v>
      </c>
      <c r="AA60" s="66">
        <v>0.06</v>
      </c>
      <c r="AB60" s="66">
        <v>0.06</v>
      </c>
    </row>
    <row r="61" spans="2:35" s="66" customFormat="1" x14ac:dyDescent="0.35">
      <c r="B61" s="66" t="s">
        <v>1272</v>
      </c>
      <c r="G61" s="66" t="e">
        <f>G31/G27</f>
        <v>#DIV/0!</v>
      </c>
      <c r="H61" s="66" t="e">
        <f t="shared" ref="H61:R61" si="30">H31/H27</f>
        <v>#DIV/0!</v>
      </c>
      <c r="I61" s="66" t="e">
        <f t="shared" si="30"/>
        <v>#DIV/0!</v>
      </c>
      <c r="J61" s="66" t="e">
        <f t="shared" si="30"/>
        <v>#DIV/0!</v>
      </c>
      <c r="K61" s="66">
        <f t="shared" si="30"/>
        <v>0.22793531923307442</v>
      </c>
      <c r="L61" s="66">
        <f t="shared" si="30"/>
        <v>0.20459457050238483</v>
      </c>
      <c r="M61" s="66">
        <f t="shared" si="30"/>
        <v>0.21056658143369139</v>
      </c>
      <c r="N61" s="66">
        <f t="shared" si="30"/>
        <v>0.1321000885326872</v>
      </c>
      <c r="O61" s="66">
        <f t="shared" si="30"/>
        <v>0.10765725445520384</v>
      </c>
      <c r="P61" s="66">
        <f t="shared" si="30"/>
        <v>9.9727295788939629E-2</v>
      </c>
      <c r="Q61" s="66">
        <f t="shared" si="30"/>
        <v>8.3923229845976624E-2</v>
      </c>
      <c r="R61" s="66">
        <f t="shared" si="30"/>
        <v>4.8439763325231394E-2</v>
      </c>
      <c r="S61" s="66">
        <f>S31/S27</f>
        <v>4.9600611740878139E-2</v>
      </c>
      <c r="T61" s="66">
        <v>0.13</v>
      </c>
      <c r="U61" s="66">
        <v>0.13</v>
      </c>
      <c r="V61" s="66">
        <v>0.13</v>
      </c>
      <c r="W61" s="66">
        <v>0.13</v>
      </c>
      <c r="X61" s="66">
        <v>0.13</v>
      </c>
      <c r="Y61" s="66">
        <v>0.13</v>
      </c>
      <c r="Z61" s="66">
        <v>0.13</v>
      </c>
      <c r="AA61" s="66">
        <v>0.13</v>
      </c>
      <c r="AB61" s="66">
        <v>0.13</v>
      </c>
    </row>
    <row r="63" spans="2:35" x14ac:dyDescent="0.35">
      <c r="AD63" s="12" t="e" vm="1">
        <v>#VALUE!</v>
      </c>
      <c r="AE63" s="12"/>
      <c r="AF63" s="12"/>
      <c r="AG63" s="12"/>
      <c r="AH63" s="12"/>
      <c r="AI63" s="12"/>
    </row>
    <row r="64" spans="2:35" x14ac:dyDescent="0.35">
      <c r="AD64" s="12" t="s">
        <v>1288</v>
      </c>
      <c r="AE64" s="66">
        <v>0.01</v>
      </c>
    </row>
    <row r="65" spans="30:31" x14ac:dyDescent="0.35">
      <c r="AD65" s="12" t="s">
        <v>1289</v>
      </c>
      <c r="AE65" s="66">
        <v>0.1</v>
      </c>
    </row>
    <row r="66" spans="30:31" x14ac:dyDescent="0.35">
      <c r="AD66" s="12" t="s">
        <v>1290</v>
      </c>
      <c r="AE66" s="69">
        <f>NPV(AE65,AA42:CX42)</f>
        <v>1156098.185702754</v>
      </c>
    </row>
    <row r="67" spans="30:31" x14ac:dyDescent="0.35">
      <c r="AD67" s="12" t="s">
        <v>1291</v>
      </c>
      <c r="AE67" s="68">
        <f>AE66/S46</f>
        <v>364.24013412185064</v>
      </c>
    </row>
    <row r="68" spans="30:31" x14ac:dyDescent="0.35">
      <c r="AD68" s="12" t="s">
        <v>1292</v>
      </c>
      <c r="AE68" s="6" cm="1">
        <f t="array" ref="AE68">_FV(AD63,"Price")</f>
        <v>219.8</v>
      </c>
    </row>
    <row r="69" spans="30:31" x14ac:dyDescent="0.35">
      <c r="AD69" s="12"/>
    </row>
    <row r="70" spans="30:31" x14ac:dyDescent="0.35">
      <c r="AD70" s="1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8"/>
  <sheetViews>
    <sheetView workbookViewId="0">
      <pane xSplit="1" ySplit="1" topLeftCell="B2" activePane="bottomRight" state="frozen"/>
      <selection pane="topRight" activeCell="B1" sqref="B1"/>
      <selection pane="bottomLeft" activeCell="A2" sqref="A2"/>
      <selection pane="bottomRight" activeCell="F28" sqref="F28"/>
    </sheetView>
  </sheetViews>
  <sheetFormatPr defaultRowHeight="14.5" x14ac:dyDescent="0.35"/>
  <cols>
    <col min="1" max="1" width="24.26953125" customWidth="1"/>
  </cols>
  <sheetData>
    <row r="1" spans="1:18" x14ac:dyDescent="0.35">
      <c r="B1" s="1">
        <v>2006</v>
      </c>
      <c r="C1" s="1">
        <v>2007</v>
      </c>
      <c r="D1" s="1">
        <v>2008</v>
      </c>
      <c r="E1" s="1">
        <v>2009</v>
      </c>
      <c r="F1" s="1">
        <v>2010</v>
      </c>
      <c r="G1" s="1">
        <v>2011</v>
      </c>
      <c r="H1" s="1">
        <v>2012</v>
      </c>
      <c r="I1" s="1">
        <v>2013</v>
      </c>
      <c r="J1" s="1">
        <v>2014</v>
      </c>
      <c r="K1" s="1">
        <v>2015</v>
      </c>
      <c r="L1" s="1">
        <v>2016</v>
      </c>
      <c r="M1" s="1">
        <v>2017</v>
      </c>
      <c r="N1" s="1">
        <v>2018</v>
      </c>
      <c r="O1" s="1">
        <v>2019</v>
      </c>
      <c r="P1" s="1">
        <v>2020</v>
      </c>
      <c r="Q1" s="1">
        <v>2021</v>
      </c>
      <c r="R1" s="1">
        <v>2022</v>
      </c>
    </row>
    <row r="2" spans="1:18" x14ac:dyDescent="0.35">
      <c r="A2" s="1" t="s">
        <v>92</v>
      </c>
      <c r="B2" t="s">
        <v>93</v>
      </c>
      <c r="C2" t="s">
        <v>94</v>
      </c>
      <c r="D2" t="s">
        <v>95</v>
      </c>
      <c r="E2" t="s">
        <v>96</v>
      </c>
      <c r="F2" t="s">
        <v>97</v>
      </c>
      <c r="G2" t="s">
        <v>98</v>
      </c>
      <c r="H2" t="s">
        <v>99</v>
      </c>
      <c r="I2" t="s">
        <v>100</v>
      </c>
      <c r="J2" t="s">
        <v>101</v>
      </c>
      <c r="K2" t="s">
        <v>102</v>
      </c>
      <c r="L2" t="s">
        <v>103</v>
      </c>
      <c r="M2" t="s">
        <v>104</v>
      </c>
      <c r="N2" t="s">
        <v>105</v>
      </c>
      <c r="O2" t="s">
        <v>106</v>
      </c>
      <c r="P2" t="s">
        <v>107</v>
      </c>
      <c r="Q2" t="s">
        <v>108</v>
      </c>
      <c r="R2" t="s">
        <v>109</v>
      </c>
    </row>
    <row r="3" spans="1:18" x14ac:dyDescent="0.35">
      <c r="A3" s="1" t="s">
        <v>110</v>
      </c>
      <c r="B3" t="s">
        <v>93</v>
      </c>
      <c r="C3" t="s">
        <v>111</v>
      </c>
      <c r="D3" t="s">
        <v>112</v>
      </c>
      <c r="E3" t="s">
        <v>113</v>
      </c>
      <c r="F3" t="s">
        <v>114</v>
      </c>
      <c r="G3" t="s">
        <v>115</v>
      </c>
      <c r="H3" t="s">
        <v>116</v>
      </c>
      <c r="I3" t="s">
        <v>117</v>
      </c>
      <c r="J3" t="s">
        <v>118</v>
      </c>
      <c r="K3" t="s">
        <v>119</v>
      </c>
      <c r="L3" t="s">
        <v>120</v>
      </c>
      <c r="M3" t="s">
        <v>121</v>
      </c>
      <c r="N3" t="s">
        <v>122</v>
      </c>
      <c r="O3" t="s">
        <v>123</v>
      </c>
      <c r="P3" t="s">
        <v>124</v>
      </c>
      <c r="Q3" t="s">
        <v>125</v>
      </c>
      <c r="R3" t="s">
        <v>126</v>
      </c>
    </row>
    <row r="4" spans="1:18" x14ac:dyDescent="0.35">
      <c r="A4" s="1" t="s">
        <v>127</v>
      </c>
      <c r="B4" t="s">
        <v>93</v>
      </c>
      <c r="C4" t="s">
        <v>128</v>
      </c>
      <c r="D4" t="s">
        <v>128</v>
      </c>
      <c r="E4" t="s">
        <v>129</v>
      </c>
      <c r="F4" t="s">
        <v>130</v>
      </c>
      <c r="G4" t="s">
        <v>131</v>
      </c>
      <c r="H4" t="s">
        <v>120</v>
      </c>
      <c r="I4" t="s">
        <v>132</v>
      </c>
      <c r="J4" t="s">
        <v>133</v>
      </c>
      <c r="K4" t="s">
        <v>134</v>
      </c>
      <c r="L4" t="s">
        <v>135</v>
      </c>
      <c r="M4" t="s">
        <v>136</v>
      </c>
      <c r="N4" t="s">
        <v>137</v>
      </c>
      <c r="O4" t="s">
        <v>138</v>
      </c>
      <c r="P4" t="s">
        <v>139</v>
      </c>
      <c r="Q4" t="s">
        <v>140</v>
      </c>
      <c r="R4" t="s">
        <v>141</v>
      </c>
    </row>
    <row r="5" spans="1:18" x14ac:dyDescent="0.35">
      <c r="A5" s="1" t="s">
        <v>142</v>
      </c>
      <c r="B5" t="s">
        <v>93</v>
      </c>
      <c r="C5" t="s">
        <v>93</v>
      </c>
      <c r="D5" t="s">
        <v>93</v>
      </c>
      <c r="E5" t="s">
        <v>93</v>
      </c>
      <c r="F5" t="s">
        <v>93</v>
      </c>
      <c r="G5" t="s">
        <v>93</v>
      </c>
      <c r="H5" t="s">
        <v>93</v>
      </c>
      <c r="I5" t="s">
        <v>93</v>
      </c>
      <c r="J5" t="s">
        <v>93</v>
      </c>
      <c r="K5" t="s">
        <v>93</v>
      </c>
      <c r="L5" t="s">
        <v>93</v>
      </c>
      <c r="M5" t="s">
        <v>93</v>
      </c>
      <c r="N5" t="s">
        <v>93</v>
      </c>
      <c r="O5" t="s">
        <v>93</v>
      </c>
      <c r="P5" t="s">
        <v>93</v>
      </c>
      <c r="Q5" t="s">
        <v>93</v>
      </c>
      <c r="R5" t="s">
        <v>93</v>
      </c>
    </row>
    <row r="6" spans="1:18" x14ac:dyDescent="0.35">
      <c r="A6" s="1" t="s">
        <v>143</v>
      </c>
      <c r="B6" t="s">
        <v>93</v>
      </c>
      <c r="C6" t="s">
        <v>144</v>
      </c>
      <c r="D6" t="s">
        <v>145</v>
      </c>
      <c r="E6" t="s">
        <v>144</v>
      </c>
      <c r="F6" t="s">
        <v>146</v>
      </c>
      <c r="G6" t="s">
        <v>147</v>
      </c>
      <c r="H6" t="s">
        <v>148</v>
      </c>
      <c r="I6" t="s">
        <v>149</v>
      </c>
      <c r="J6" t="s">
        <v>150</v>
      </c>
      <c r="K6" t="s">
        <v>151</v>
      </c>
      <c r="L6" t="s">
        <v>152</v>
      </c>
      <c r="M6" t="s">
        <v>153</v>
      </c>
      <c r="N6" t="s">
        <v>154</v>
      </c>
      <c r="O6" t="s">
        <v>155</v>
      </c>
      <c r="P6" t="s">
        <v>156</v>
      </c>
      <c r="Q6" t="s">
        <v>157</v>
      </c>
      <c r="R6" t="s">
        <v>158</v>
      </c>
    </row>
    <row r="7" spans="1:18" x14ac:dyDescent="0.35">
      <c r="A7" s="1" t="s">
        <v>159</v>
      </c>
      <c r="B7" t="s">
        <v>93</v>
      </c>
      <c r="C7" t="s">
        <v>160</v>
      </c>
      <c r="D7" t="s">
        <v>115</v>
      </c>
      <c r="E7" t="s">
        <v>161</v>
      </c>
      <c r="F7" t="s">
        <v>162</v>
      </c>
      <c r="G7" t="s">
        <v>148</v>
      </c>
      <c r="H7" t="s">
        <v>163</v>
      </c>
      <c r="I7" t="s">
        <v>164</v>
      </c>
      <c r="J7" t="s">
        <v>165</v>
      </c>
      <c r="K7" t="s">
        <v>166</v>
      </c>
      <c r="L7" t="s">
        <v>167</v>
      </c>
      <c r="M7" t="s">
        <v>168</v>
      </c>
      <c r="N7" t="s">
        <v>169</v>
      </c>
      <c r="O7" t="s">
        <v>170</v>
      </c>
      <c r="P7" t="s">
        <v>171</v>
      </c>
      <c r="Q7" t="s">
        <v>172</v>
      </c>
      <c r="R7" t="s">
        <v>173</v>
      </c>
    </row>
    <row r="8" spans="1:18" x14ac:dyDescent="0.35">
      <c r="A8" s="1" t="s">
        <v>174</v>
      </c>
      <c r="B8" t="s">
        <v>93</v>
      </c>
      <c r="C8" t="s">
        <v>175</v>
      </c>
      <c r="D8" t="s">
        <v>175</v>
      </c>
      <c r="E8" t="s">
        <v>176</v>
      </c>
      <c r="F8" t="s">
        <v>177</v>
      </c>
      <c r="G8" t="s">
        <v>178</v>
      </c>
      <c r="H8" t="s">
        <v>179</v>
      </c>
      <c r="I8" t="s">
        <v>180</v>
      </c>
      <c r="J8" t="s">
        <v>181</v>
      </c>
      <c r="K8" t="s">
        <v>182</v>
      </c>
      <c r="L8" t="s">
        <v>183</v>
      </c>
      <c r="M8" t="s">
        <v>184</v>
      </c>
      <c r="N8" t="s">
        <v>185</v>
      </c>
      <c r="O8" t="s">
        <v>186</v>
      </c>
      <c r="P8" t="s">
        <v>187</v>
      </c>
      <c r="Q8" t="s">
        <v>188</v>
      </c>
      <c r="R8" t="s">
        <v>189</v>
      </c>
    </row>
    <row r="9" spans="1:18" x14ac:dyDescent="0.35">
      <c r="A9" s="1" t="s">
        <v>190</v>
      </c>
      <c r="B9" t="s">
        <v>93</v>
      </c>
      <c r="C9" t="s">
        <v>93</v>
      </c>
      <c r="D9" t="s">
        <v>93</v>
      </c>
      <c r="E9" t="s">
        <v>93</v>
      </c>
      <c r="F9" t="s">
        <v>191</v>
      </c>
      <c r="G9" t="s">
        <v>192</v>
      </c>
      <c r="H9" t="s">
        <v>193</v>
      </c>
      <c r="I9" t="s">
        <v>194</v>
      </c>
      <c r="J9" t="s">
        <v>195</v>
      </c>
      <c r="K9" t="s">
        <v>196</v>
      </c>
      <c r="L9" t="s">
        <v>197</v>
      </c>
      <c r="M9" t="s">
        <v>198</v>
      </c>
      <c r="N9" t="s">
        <v>199</v>
      </c>
      <c r="O9" t="s">
        <v>200</v>
      </c>
      <c r="P9" t="s">
        <v>201</v>
      </c>
      <c r="Q9" t="s">
        <v>202</v>
      </c>
      <c r="R9" t="s">
        <v>203</v>
      </c>
    </row>
    <row r="10" spans="1:18" x14ac:dyDescent="0.35">
      <c r="A10" s="1" t="s">
        <v>204</v>
      </c>
      <c r="B10" t="s">
        <v>93</v>
      </c>
      <c r="C10" t="s">
        <v>93</v>
      </c>
      <c r="D10" t="s">
        <v>93</v>
      </c>
      <c r="E10" t="s">
        <v>93</v>
      </c>
      <c r="F10" t="s">
        <v>205</v>
      </c>
      <c r="G10" t="s">
        <v>206</v>
      </c>
      <c r="H10" t="s">
        <v>206</v>
      </c>
      <c r="I10" t="s">
        <v>207</v>
      </c>
      <c r="J10" t="s">
        <v>208</v>
      </c>
      <c r="K10" t="s">
        <v>209</v>
      </c>
      <c r="L10" t="s">
        <v>210</v>
      </c>
      <c r="M10" t="s">
        <v>211</v>
      </c>
      <c r="N10" t="s">
        <v>210</v>
      </c>
      <c r="O10" t="s">
        <v>212</v>
      </c>
      <c r="P10" t="s">
        <v>213</v>
      </c>
      <c r="Q10" t="s">
        <v>214</v>
      </c>
      <c r="R10" t="s">
        <v>215</v>
      </c>
    </row>
    <row r="11" spans="1:18" x14ac:dyDescent="0.35">
      <c r="A11" s="1" t="s">
        <v>216</v>
      </c>
      <c r="B11" t="s">
        <v>93</v>
      </c>
      <c r="C11" t="s">
        <v>93</v>
      </c>
      <c r="D11" t="s">
        <v>93</v>
      </c>
      <c r="E11" t="s">
        <v>93</v>
      </c>
      <c r="F11" t="s">
        <v>93</v>
      </c>
      <c r="G11" t="s">
        <v>93</v>
      </c>
      <c r="H11" t="s">
        <v>93</v>
      </c>
      <c r="I11" t="s">
        <v>93</v>
      </c>
      <c r="J11" t="s">
        <v>93</v>
      </c>
      <c r="K11" t="s">
        <v>93</v>
      </c>
      <c r="L11" t="s">
        <v>93</v>
      </c>
      <c r="M11" t="s">
        <v>93</v>
      </c>
      <c r="N11" t="s">
        <v>93</v>
      </c>
      <c r="O11" t="s">
        <v>93</v>
      </c>
      <c r="P11" t="s">
        <v>93</v>
      </c>
      <c r="Q11" t="s">
        <v>93</v>
      </c>
      <c r="R11" t="s">
        <v>93</v>
      </c>
    </row>
    <row r="12" spans="1:18" x14ac:dyDescent="0.35">
      <c r="A12" s="1" t="s">
        <v>217</v>
      </c>
      <c r="B12" t="s">
        <v>93</v>
      </c>
      <c r="C12" t="s">
        <v>218</v>
      </c>
      <c r="D12" t="s">
        <v>219</v>
      </c>
      <c r="E12" t="s">
        <v>220</v>
      </c>
      <c r="F12" t="s">
        <v>221</v>
      </c>
      <c r="G12" t="s">
        <v>222</v>
      </c>
      <c r="H12" t="s">
        <v>223</v>
      </c>
      <c r="I12" t="s">
        <v>224</v>
      </c>
      <c r="J12" t="s">
        <v>225</v>
      </c>
      <c r="K12" t="s">
        <v>226</v>
      </c>
      <c r="L12" t="s">
        <v>227</v>
      </c>
      <c r="M12" t="s">
        <v>228</v>
      </c>
      <c r="N12" t="s">
        <v>229</v>
      </c>
      <c r="O12" t="s">
        <v>230</v>
      </c>
      <c r="P12" t="s">
        <v>231</v>
      </c>
      <c r="Q12" t="s">
        <v>232</v>
      </c>
      <c r="R12" t="s">
        <v>233</v>
      </c>
    </row>
    <row r="13" spans="1:18" x14ac:dyDescent="0.35">
      <c r="A13" s="1" t="s">
        <v>234</v>
      </c>
      <c r="B13" t="s">
        <v>93</v>
      </c>
      <c r="C13" t="s">
        <v>235</v>
      </c>
      <c r="D13" t="s">
        <v>236</v>
      </c>
      <c r="E13" t="s">
        <v>237</v>
      </c>
      <c r="F13" t="s">
        <v>238</v>
      </c>
      <c r="G13" t="s">
        <v>239</v>
      </c>
      <c r="H13" t="s">
        <v>240</v>
      </c>
      <c r="I13" t="s">
        <v>241</v>
      </c>
      <c r="J13" t="s">
        <v>242</v>
      </c>
      <c r="K13" t="s">
        <v>243</v>
      </c>
      <c r="L13" t="s">
        <v>244</v>
      </c>
      <c r="M13" t="s">
        <v>245</v>
      </c>
      <c r="N13" t="s">
        <v>246</v>
      </c>
      <c r="O13" t="s">
        <v>247</v>
      </c>
      <c r="P13" t="s">
        <v>248</v>
      </c>
      <c r="Q13" t="s">
        <v>249</v>
      </c>
      <c r="R13" t="s">
        <v>250</v>
      </c>
    </row>
    <row r="14" spans="1:18" x14ac:dyDescent="0.35">
      <c r="A14" s="1" t="s">
        <v>251</v>
      </c>
      <c r="B14" t="s">
        <v>93</v>
      </c>
      <c r="C14" t="s">
        <v>252</v>
      </c>
      <c r="D14" t="s">
        <v>253</v>
      </c>
      <c r="E14" t="s">
        <v>254</v>
      </c>
      <c r="F14" t="s">
        <v>255</v>
      </c>
      <c r="G14" t="s">
        <v>256</v>
      </c>
      <c r="H14" t="s">
        <v>257</v>
      </c>
      <c r="I14" t="s">
        <v>258</v>
      </c>
      <c r="J14" t="s">
        <v>259</v>
      </c>
      <c r="K14" t="s">
        <v>260</v>
      </c>
      <c r="L14" t="s">
        <v>261</v>
      </c>
      <c r="M14" t="s">
        <v>262</v>
      </c>
      <c r="N14" t="s">
        <v>263</v>
      </c>
      <c r="O14" t="s">
        <v>264</v>
      </c>
      <c r="P14" t="s">
        <v>265</v>
      </c>
      <c r="Q14" t="s">
        <v>266</v>
      </c>
      <c r="R14" t="s">
        <v>267</v>
      </c>
    </row>
    <row r="15" spans="1:18" x14ac:dyDescent="0.35">
      <c r="A15" s="1" t="s">
        <v>268</v>
      </c>
      <c r="B15" t="s">
        <v>93</v>
      </c>
      <c r="C15" t="s">
        <v>269</v>
      </c>
      <c r="D15" t="s">
        <v>270</v>
      </c>
      <c r="E15" t="s">
        <v>271</v>
      </c>
      <c r="F15" t="s">
        <v>272</v>
      </c>
      <c r="G15" t="s">
        <v>273</v>
      </c>
      <c r="H15" t="s">
        <v>274</v>
      </c>
      <c r="I15" t="s">
        <v>275</v>
      </c>
      <c r="J15" t="s">
        <v>276</v>
      </c>
      <c r="K15" t="s">
        <v>277</v>
      </c>
      <c r="L15" t="s">
        <v>278</v>
      </c>
      <c r="M15" t="s">
        <v>279</v>
      </c>
      <c r="N15" t="s">
        <v>280</v>
      </c>
      <c r="O15" t="s">
        <v>281</v>
      </c>
      <c r="P15" t="s">
        <v>282</v>
      </c>
      <c r="Q15" t="s">
        <v>283</v>
      </c>
      <c r="R15" t="s">
        <v>284</v>
      </c>
    </row>
    <row r="16" spans="1:18" x14ac:dyDescent="0.35">
      <c r="A16" s="1" t="s">
        <v>285</v>
      </c>
      <c r="B16" t="s">
        <v>93</v>
      </c>
      <c r="C16" t="s">
        <v>286</v>
      </c>
      <c r="D16" t="s">
        <v>286</v>
      </c>
      <c r="E16" t="s">
        <v>287</v>
      </c>
      <c r="F16" t="s">
        <v>286</v>
      </c>
      <c r="G16" t="s">
        <v>288</v>
      </c>
      <c r="H16" t="s">
        <v>287</v>
      </c>
      <c r="I16" t="s">
        <v>289</v>
      </c>
      <c r="J16" t="s">
        <v>290</v>
      </c>
      <c r="K16" t="s">
        <v>291</v>
      </c>
      <c r="L16" t="s">
        <v>289</v>
      </c>
      <c r="M16" t="s">
        <v>292</v>
      </c>
      <c r="N16" t="s">
        <v>242</v>
      </c>
      <c r="O16" t="s">
        <v>293</v>
      </c>
      <c r="P16" t="s">
        <v>294</v>
      </c>
      <c r="Q16" t="s">
        <v>295</v>
      </c>
      <c r="R16" t="s">
        <v>296</v>
      </c>
    </row>
    <row r="17" spans="1:18" x14ac:dyDescent="0.35">
      <c r="A17" s="1" t="s">
        <v>297</v>
      </c>
      <c r="B17" t="s">
        <v>93</v>
      </c>
      <c r="C17" t="s">
        <v>298</v>
      </c>
      <c r="D17" t="s">
        <v>299</v>
      </c>
      <c r="E17" t="s">
        <v>300</v>
      </c>
      <c r="F17" t="s">
        <v>301</v>
      </c>
      <c r="G17" t="s">
        <v>302</v>
      </c>
      <c r="H17" t="s">
        <v>303</v>
      </c>
      <c r="I17" t="s">
        <v>304</v>
      </c>
      <c r="J17" t="s">
        <v>305</v>
      </c>
      <c r="K17" t="s">
        <v>306</v>
      </c>
      <c r="L17" t="s">
        <v>307</v>
      </c>
      <c r="M17" t="s">
        <v>308</v>
      </c>
      <c r="N17" t="s">
        <v>309</v>
      </c>
      <c r="O17" t="s">
        <v>310</v>
      </c>
      <c r="P17" t="s">
        <v>311</v>
      </c>
      <c r="Q17" t="s">
        <v>312</v>
      </c>
      <c r="R17" t="s">
        <v>313</v>
      </c>
    </row>
    <row r="18" spans="1:18" x14ac:dyDescent="0.35">
      <c r="A18" s="1" t="s">
        <v>314</v>
      </c>
      <c r="B18" t="s">
        <v>93</v>
      </c>
      <c r="C18" t="s">
        <v>315</v>
      </c>
      <c r="D18" t="s">
        <v>316</v>
      </c>
      <c r="E18" t="s">
        <v>317</v>
      </c>
      <c r="F18" t="s">
        <v>318</v>
      </c>
      <c r="G18" t="s">
        <v>319</v>
      </c>
      <c r="H18" t="s">
        <v>320</v>
      </c>
      <c r="I18" t="s">
        <v>321</v>
      </c>
      <c r="J18" t="s">
        <v>322</v>
      </c>
      <c r="K18" t="s">
        <v>323</v>
      </c>
      <c r="L18" t="s">
        <v>324</v>
      </c>
      <c r="M18" t="s">
        <v>325</v>
      </c>
      <c r="N18" t="s">
        <v>326</v>
      </c>
      <c r="O18" t="s">
        <v>327</v>
      </c>
      <c r="P18" t="s">
        <v>328</v>
      </c>
      <c r="Q18" t="s">
        <v>329</v>
      </c>
      <c r="R18" t="s">
        <v>330</v>
      </c>
    </row>
    <row r="19" spans="1:18" x14ac:dyDescent="0.35">
      <c r="A19" s="1" t="s">
        <v>331</v>
      </c>
      <c r="B19" t="s">
        <v>93</v>
      </c>
      <c r="C19" t="s">
        <v>93</v>
      </c>
      <c r="D19" t="s">
        <v>332</v>
      </c>
      <c r="E19" t="s">
        <v>93</v>
      </c>
      <c r="F19" t="s">
        <v>333</v>
      </c>
      <c r="G19" t="s">
        <v>334</v>
      </c>
      <c r="H19" t="s">
        <v>335</v>
      </c>
      <c r="I19" t="s">
        <v>336</v>
      </c>
      <c r="J19" t="s">
        <v>337</v>
      </c>
      <c r="K19" t="s">
        <v>338</v>
      </c>
      <c r="L19" t="s">
        <v>339</v>
      </c>
      <c r="M19" t="s">
        <v>340</v>
      </c>
      <c r="N19" t="s">
        <v>341</v>
      </c>
      <c r="O19" t="s">
        <v>342</v>
      </c>
      <c r="P19" t="s">
        <v>343</v>
      </c>
      <c r="Q19" t="s">
        <v>344</v>
      </c>
      <c r="R19" t="s">
        <v>345</v>
      </c>
    </row>
    <row r="20" spans="1:18" x14ac:dyDescent="0.35">
      <c r="A20" s="1" t="s">
        <v>346</v>
      </c>
      <c r="B20" t="s">
        <v>93</v>
      </c>
      <c r="C20" t="s">
        <v>347</v>
      </c>
      <c r="D20" t="s">
        <v>348</v>
      </c>
      <c r="E20" t="s">
        <v>273</v>
      </c>
      <c r="F20" t="s">
        <v>349</v>
      </c>
      <c r="G20" t="s">
        <v>350</v>
      </c>
      <c r="H20" t="s">
        <v>351</v>
      </c>
      <c r="I20" t="s">
        <v>352</v>
      </c>
      <c r="J20" t="s">
        <v>353</v>
      </c>
      <c r="K20" t="s">
        <v>354</v>
      </c>
      <c r="L20" t="s">
        <v>355</v>
      </c>
      <c r="M20" t="s">
        <v>356</v>
      </c>
      <c r="N20" t="s">
        <v>357</v>
      </c>
      <c r="O20" t="s">
        <v>358</v>
      </c>
      <c r="P20" t="s">
        <v>359</v>
      </c>
      <c r="Q20" t="s">
        <v>360</v>
      </c>
      <c r="R20" t="s">
        <v>361</v>
      </c>
    </row>
    <row r="21" spans="1:18" x14ac:dyDescent="0.35">
      <c r="A21" s="1" t="s">
        <v>362</v>
      </c>
      <c r="B21" t="s">
        <v>93</v>
      </c>
      <c r="C21" t="s">
        <v>363</v>
      </c>
      <c r="D21" t="s">
        <v>364</v>
      </c>
      <c r="E21" t="s">
        <v>365</v>
      </c>
      <c r="F21" t="s">
        <v>366</v>
      </c>
      <c r="G21" t="s">
        <v>367</v>
      </c>
      <c r="H21" t="s">
        <v>368</v>
      </c>
      <c r="I21" t="s">
        <v>369</v>
      </c>
      <c r="J21" t="s">
        <v>370</v>
      </c>
      <c r="K21" t="s">
        <v>371</v>
      </c>
      <c r="L21" t="s">
        <v>372</v>
      </c>
      <c r="M21" t="s">
        <v>373</v>
      </c>
      <c r="N21" t="s">
        <v>292</v>
      </c>
      <c r="O21" t="s">
        <v>247</v>
      </c>
      <c r="P21" t="s">
        <v>374</v>
      </c>
      <c r="Q21" t="s">
        <v>375</v>
      </c>
      <c r="R21" t="s">
        <v>376</v>
      </c>
    </row>
    <row r="22" spans="1:18" x14ac:dyDescent="0.35">
      <c r="A22" s="1" t="s">
        <v>377</v>
      </c>
      <c r="B22" t="s">
        <v>93</v>
      </c>
      <c r="C22" t="s">
        <v>378</v>
      </c>
      <c r="D22" t="s">
        <v>379</v>
      </c>
      <c r="E22" t="s">
        <v>380</v>
      </c>
      <c r="F22" t="s">
        <v>381</v>
      </c>
      <c r="G22" t="s">
        <v>382</v>
      </c>
      <c r="H22" t="s">
        <v>383</v>
      </c>
      <c r="I22" t="s">
        <v>384</v>
      </c>
      <c r="J22" t="s">
        <v>385</v>
      </c>
      <c r="K22" t="s">
        <v>386</v>
      </c>
      <c r="L22" t="s">
        <v>387</v>
      </c>
      <c r="M22" t="s">
        <v>388</v>
      </c>
      <c r="N22" t="s">
        <v>389</v>
      </c>
      <c r="O22" t="s">
        <v>288</v>
      </c>
      <c r="P22" t="s">
        <v>390</v>
      </c>
      <c r="Q22" t="s">
        <v>391</v>
      </c>
      <c r="R22" t="s">
        <v>392</v>
      </c>
    </row>
    <row r="23" spans="1:18" x14ac:dyDescent="0.35">
      <c r="A23" s="1" t="s">
        <v>393</v>
      </c>
      <c r="B23" t="s">
        <v>93</v>
      </c>
      <c r="C23" t="s">
        <v>394</v>
      </c>
      <c r="D23" t="s">
        <v>395</v>
      </c>
      <c r="E23" t="s">
        <v>396</v>
      </c>
      <c r="F23" t="s">
        <v>397</v>
      </c>
      <c r="G23" t="s">
        <v>398</v>
      </c>
      <c r="H23" t="s">
        <v>399</v>
      </c>
      <c r="I23" t="s">
        <v>400</v>
      </c>
      <c r="J23" t="s">
        <v>401</v>
      </c>
      <c r="K23" t="s">
        <v>402</v>
      </c>
      <c r="L23" t="s">
        <v>403</v>
      </c>
      <c r="M23" t="s">
        <v>404</v>
      </c>
      <c r="N23" t="s">
        <v>405</v>
      </c>
      <c r="O23" t="s">
        <v>406</v>
      </c>
      <c r="P23" t="s">
        <v>407</v>
      </c>
      <c r="Q23" t="s">
        <v>408</v>
      </c>
      <c r="R23" t="s">
        <v>409</v>
      </c>
    </row>
    <row r="24" spans="1:18" x14ac:dyDescent="0.35">
      <c r="A24" s="1" t="s">
        <v>410</v>
      </c>
      <c r="B24" t="s">
        <v>93</v>
      </c>
      <c r="C24" t="s">
        <v>411</v>
      </c>
      <c r="D24" t="s">
        <v>411</v>
      </c>
      <c r="E24" t="s">
        <v>411</v>
      </c>
      <c r="F24" t="s">
        <v>411</v>
      </c>
      <c r="G24" t="s">
        <v>411</v>
      </c>
      <c r="H24" t="s">
        <v>411</v>
      </c>
      <c r="I24" t="s">
        <v>411</v>
      </c>
      <c r="J24" t="s">
        <v>411</v>
      </c>
      <c r="K24" t="s">
        <v>411</v>
      </c>
      <c r="L24" t="s">
        <v>411</v>
      </c>
      <c r="M24" t="s">
        <v>411</v>
      </c>
      <c r="N24" t="s">
        <v>411</v>
      </c>
      <c r="O24" t="s">
        <v>411</v>
      </c>
      <c r="P24" t="s">
        <v>411</v>
      </c>
      <c r="Q24" t="s">
        <v>411</v>
      </c>
      <c r="R24" t="s">
        <v>411</v>
      </c>
    </row>
    <row r="25" spans="1:18" x14ac:dyDescent="0.35">
      <c r="A25" s="1" t="s">
        <v>412</v>
      </c>
      <c r="B25" t="s">
        <v>93</v>
      </c>
      <c r="C25" t="s">
        <v>93</v>
      </c>
      <c r="D25" t="s">
        <v>93</v>
      </c>
      <c r="E25" t="s">
        <v>93</v>
      </c>
      <c r="F25" t="s">
        <v>93</v>
      </c>
      <c r="G25" t="s">
        <v>93</v>
      </c>
      <c r="H25" t="s">
        <v>93</v>
      </c>
      <c r="I25" t="s">
        <v>93</v>
      </c>
      <c r="J25" t="s">
        <v>93</v>
      </c>
      <c r="K25" t="s">
        <v>93</v>
      </c>
      <c r="L25" t="s">
        <v>93</v>
      </c>
      <c r="M25" t="s">
        <v>93</v>
      </c>
      <c r="N25" t="s">
        <v>93</v>
      </c>
      <c r="O25" t="s">
        <v>93</v>
      </c>
      <c r="P25" t="s">
        <v>413</v>
      </c>
      <c r="Q25" t="s">
        <v>93</v>
      </c>
      <c r="R25" t="s">
        <v>93</v>
      </c>
    </row>
    <row r="27" spans="1:18" x14ac:dyDescent="0.35">
      <c r="B27" s="1">
        <v>2006</v>
      </c>
      <c r="C27" s="1">
        <v>2007</v>
      </c>
      <c r="D27" s="1">
        <v>2008</v>
      </c>
      <c r="E27" s="1">
        <v>2009</v>
      </c>
      <c r="F27" s="1">
        <v>2010</v>
      </c>
      <c r="G27" s="1">
        <v>2011</v>
      </c>
      <c r="H27" s="1">
        <v>2012</v>
      </c>
      <c r="I27" s="1">
        <v>2013</v>
      </c>
      <c r="J27" s="1">
        <v>2014</v>
      </c>
      <c r="K27" s="1">
        <v>2015</v>
      </c>
      <c r="L27" s="1">
        <v>2016</v>
      </c>
      <c r="M27" s="1">
        <v>2017</v>
      </c>
      <c r="N27" s="1">
        <v>2018</v>
      </c>
      <c r="O27" s="1">
        <v>2019</v>
      </c>
      <c r="P27" s="1">
        <v>2020</v>
      </c>
      <c r="Q27" s="1">
        <v>2021</v>
      </c>
      <c r="R27" s="1">
        <v>2022</v>
      </c>
    </row>
    <row r="28" spans="1:18" x14ac:dyDescent="0.35">
      <c r="C28" t="e">
        <f t="shared" ref="C28:R28" si="0">C3*C9</f>
        <v>#VALUE!</v>
      </c>
      <c r="D28" t="e">
        <f t="shared" si="0"/>
        <v>#VALUE!</v>
      </c>
      <c r="E28" t="e">
        <f t="shared" si="0"/>
        <v>#VALUE!</v>
      </c>
      <c r="F28">
        <f t="shared" si="0"/>
        <v>1.5860000000000001</v>
      </c>
      <c r="G28">
        <f t="shared" si="0"/>
        <v>1.8360000000000001</v>
      </c>
      <c r="H28">
        <f t="shared" si="0"/>
        <v>2.0720000000000001</v>
      </c>
      <c r="I28">
        <f t="shared" si="0"/>
        <v>6.7439999999999998</v>
      </c>
      <c r="J28">
        <f t="shared" si="0"/>
        <v>14.852</v>
      </c>
      <c r="K28">
        <f t="shared" si="0"/>
        <v>15.29</v>
      </c>
      <c r="L28">
        <f t="shared" si="0"/>
        <v>14.006</v>
      </c>
      <c r="M28">
        <f t="shared" si="0"/>
        <v>20.856000000000002</v>
      </c>
      <c r="N28">
        <f t="shared" si="0"/>
        <v>20.975999999999996</v>
      </c>
      <c r="O28">
        <f t="shared" si="0"/>
        <v>18.236000000000001</v>
      </c>
      <c r="P28">
        <f t="shared" si="0"/>
        <v>97.488</v>
      </c>
      <c r="Q28">
        <f t="shared" si="0"/>
        <v>262.08</v>
      </c>
      <c r="R28">
        <f t="shared" si="0"/>
        <v>997.74599999999998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2"/>
  <sheetViews>
    <sheetView workbookViewId="0">
      <selection activeCell="O26" sqref="O26"/>
    </sheetView>
  </sheetViews>
  <sheetFormatPr defaultRowHeight="14.5" x14ac:dyDescent="0.35"/>
  <cols>
    <col min="1" max="1" width="24.1796875" customWidth="1"/>
  </cols>
  <sheetData>
    <row r="1" spans="1:16" x14ac:dyDescent="0.35">
      <c r="B1" s="1" t="s">
        <v>414</v>
      </c>
      <c r="C1" s="1" t="s">
        <v>415</v>
      </c>
      <c r="D1" s="1" t="s">
        <v>416</v>
      </c>
      <c r="E1" s="1" t="s">
        <v>417</v>
      </c>
      <c r="F1" s="1" t="s">
        <v>418</v>
      </c>
      <c r="G1" s="1" t="s">
        <v>419</v>
      </c>
      <c r="H1" s="1" t="s">
        <v>420</v>
      </c>
      <c r="I1" s="1" t="s">
        <v>421</v>
      </c>
      <c r="J1" s="1" t="s">
        <v>422</v>
      </c>
      <c r="K1" s="1" t="s">
        <v>423</v>
      </c>
      <c r="L1" s="1" t="s">
        <v>424</v>
      </c>
      <c r="M1" s="1" t="s">
        <v>425</v>
      </c>
      <c r="N1" s="1" t="s">
        <v>426</v>
      </c>
      <c r="O1" s="1" t="s">
        <v>427</v>
      </c>
      <c r="P1" s="1" t="s">
        <v>428</v>
      </c>
    </row>
    <row r="2" spans="1:16" x14ac:dyDescent="0.35">
      <c r="A2" s="1" t="s">
        <v>21</v>
      </c>
      <c r="B2" t="s">
        <v>218</v>
      </c>
      <c r="C2" t="s">
        <v>219</v>
      </c>
      <c r="D2" t="s">
        <v>220</v>
      </c>
      <c r="E2" t="s">
        <v>221</v>
      </c>
      <c r="F2" t="s">
        <v>222</v>
      </c>
      <c r="G2" t="s">
        <v>223</v>
      </c>
      <c r="H2" t="s">
        <v>224</v>
      </c>
      <c r="I2" t="s">
        <v>225</v>
      </c>
      <c r="J2" t="s">
        <v>226</v>
      </c>
      <c r="K2" t="s">
        <v>227</v>
      </c>
      <c r="L2" t="s">
        <v>228</v>
      </c>
      <c r="M2" t="s">
        <v>229</v>
      </c>
      <c r="N2" t="s">
        <v>230</v>
      </c>
      <c r="O2" t="s">
        <v>231</v>
      </c>
      <c r="P2" t="s">
        <v>232</v>
      </c>
    </row>
    <row r="3" spans="1:16" x14ac:dyDescent="0.35">
      <c r="A3" s="1" t="s">
        <v>429</v>
      </c>
      <c r="B3" t="s">
        <v>218</v>
      </c>
      <c r="C3" t="s">
        <v>430</v>
      </c>
      <c r="D3" t="s">
        <v>431</v>
      </c>
      <c r="E3" t="s">
        <v>432</v>
      </c>
      <c r="F3" t="s">
        <v>433</v>
      </c>
      <c r="G3" t="s">
        <v>434</v>
      </c>
      <c r="H3" t="s">
        <v>435</v>
      </c>
      <c r="I3" t="s">
        <v>436</v>
      </c>
      <c r="J3" t="s">
        <v>437</v>
      </c>
      <c r="K3" t="s">
        <v>438</v>
      </c>
      <c r="L3" t="s">
        <v>439</v>
      </c>
      <c r="M3" t="s">
        <v>440</v>
      </c>
      <c r="N3" t="s">
        <v>441</v>
      </c>
      <c r="O3" t="s">
        <v>442</v>
      </c>
      <c r="P3" t="s">
        <v>443</v>
      </c>
    </row>
    <row r="4" spans="1:16" x14ac:dyDescent="0.35">
      <c r="A4" s="1" t="s">
        <v>31</v>
      </c>
      <c r="B4" t="s">
        <v>218</v>
      </c>
      <c r="C4" t="s">
        <v>444</v>
      </c>
      <c r="D4" t="s">
        <v>445</v>
      </c>
      <c r="E4" t="s">
        <v>446</v>
      </c>
      <c r="F4" t="s">
        <v>447</v>
      </c>
      <c r="G4" t="s">
        <v>448</v>
      </c>
      <c r="H4" t="s">
        <v>449</v>
      </c>
      <c r="I4" t="s">
        <v>450</v>
      </c>
      <c r="J4" t="s">
        <v>451</v>
      </c>
      <c r="K4" t="s">
        <v>452</v>
      </c>
      <c r="L4" t="s">
        <v>453</v>
      </c>
      <c r="M4" t="s">
        <v>454</v>
      </c>
      <c r="N4" t="s">
        <v>455</v>
      </c>
      <c r="O4" t="s">
        <v>456</v>
      </c>
      <c r="P4" t="s">
        <v>457</v>
      </c>
    </row>
    <row r="5" spans="1:16" x14ac:dyDescent="0.35">
      <c r="A5" s="1" t="s">
        <v>458</v>
      </c>
      <c r="B5" t="s">
        <v>459</v>
      </c>
      <c r="C5" t="s">
        <v>460</v>
      </c>
      <c r="D5" t="s">
        <v>461</v>
      </c>
      <c r="E5" t="s">
        <v>462</v>
      </c>
      <c r="F5" t="s">
        <v>463</v>
      </c>
      <c r="G5" t="s">
        <v>464</v>
      </c>
      <c r="H5" t="s">
        <v>465</v>
      </c>
      <c r="I5" t="s">
        <v>466</v>
      </c>
      <c r="J5" t="s">
        <v>467</v>
      </c>
      <c r="K5" t="s">
        <v>468</v>
      </c>
      <c r="L5" t="s">
        <v>469</v>
      </c>
      <c r="M5" t="s">
        <v>470</v>
      </c>
      <c r="N5" t="s">
        <v>471</v>
      </c>
      <c r="O5" t="s">
        <v>472</v>
      </c>
      <c r="P5" t="s">
        <v>473</v>
      </c>
    </row>
    <row r="6" spans="1:16" x14ac:dyDescent="0.35">
      <c r="A6" s="1" t="s">
        <v>32</v>
      </c>
      <c r="B6" t="s">
        <v>474</v>
      </c>
      <c r="C6" t="s">
        <v>475</v>
      </c>
      <c r="D6" t="s">
        <v>476</v>
      </c>
      <c r="E6" t="s">
        <v>477</v>
      </c>
      <c r="F6" t="s">
        <v>478</v>
      </c>
      <c r="G6" t="s">
        <v>479</v>
      </c>
      <c r="H6" t="s">
        <v>480</v>
      </c>
      <c r="I6" t="s">
        <v>481</v>
      </c>
      <c r="J6" t="s">
        <v>482</v>
      </c>
      <c r="K6" t="s">
        <v>483</v>
      </c>
      <c r="L6" t="s">
        <v>484</v>
      </c>
      <c r="M6" t="s">
        <v>485</v>
      </c>
      <c r="N6" t="s">
        <v>486</v>
      </c>
      <c r="O6" t="s">
        <v>487</v>
      </c>
      <c r="P6" t="s">
        <v>488</v>
      </c>
    </row>
    <row r="7" spans="1:16" x14ac:dyDescent="0.35">
      <c r="A7" s="1" t="s">
        <v>489</v>
      </c>
      <c r="B7" t="s">
        <v>490</v>
      </c>
      <c r="C7" t="s">
        <v>491</v>
      </c>
      <c r="D7" t="s">
        <v>492</v>
      </c>
      <c r="E7" t="s">
        <v>493</v>
      </c>
      <c r="F7" t="s">
        <v>494</v>
      </c>
      <c r="G7" t="s">
        <v>495</v>
      </c>
      <c r="H7" t="s">
        <v>259</v>
      </c>
      <c r="I7" t="s">
        <v>496</v>
      </c>
      <c r="J7" t="s">
        <v>497</v>
      </c>
      <c r="K7" t="s">
        <v>498</v>
      </c>
      <c r="L7" t="s">
        <v>499</v>
      </c>
      <c r="M7" t="s">
        <v>500</v>
      </c>
      <c r="N7" t="s">
        <v>501</v>
      </c>
      <c r="O7" t="s">
        <v>502</v>
      </c>
      <c r="P7" t="s">
        <v>503</v>
      </c>
    </row>
    <row r="8" spans="1:16" x14ac:dyDescent="0.35">
      <c r="A8" s="1" t="s">
        <v>504</v>
      </c>
      <c r="B8" t="s">
        <v>93</v>
      </c>
      <c r="C8" t="s">
        <v>93</v>
      </c>
      <c r="D8" t="s">
        <v>93</v>
      </c>
      <c r="E8" t="s">
        <v>505</v>
      </c>
      <c r="F8" t="s">
        <v>506</v>
      </c>
      <c r="G8" t="s">
        <v>318</v>
      </c>
      <c r="H8" t="s">
        <v>507</v>
      </c>
      <c r="I8" t="s">
        <v>508</v>
      </c>
      <c r="J8" t="s">
        <v>509</v>
      </c>
      <c r="K8" t="s">
        <v>510</v>
      </c>
      <c r="L8" t="s">
        <v>511</v>
      </c>
      <c r="M8" t="s">
        <v>512</v>
      </c>
      <c r="N8" t="s">
        <v>513</v>
      </c>
      <c r="O8" t="s">
        <v>514</v>
      </c>
      <c r="P8" t="s">
        <v>515</v>
      </c>
    </row>
    <row r="9" spans="1:16" x14ac:dyDescent="0.35">
      <c r="A9" s="1" t="s">
        <v>516</v>
      </c>
      <c r="B9" t="s">
        <v>93</v>
      </c>
      <c r="C9" t="s">
        <v>93</v>
      </c>
      <c r="D9" t="s">
        <v>93</v>
      </c>
      <c r="E9" t="s">
        <v>505</v>
      </c>
      <c r="F9" t="s">
        <v>506</v>
      </c>
      <c r="G9" t="s">
        <v>318</v>
      </c>
      <c r="H9" t="s">
        <v>507</v>
      </c>
      <c r="I9" t="s">
        <v>508</v>
      </c>
      <c r="J9" t="s">
        <v>509</v>
      </c>
      <c r="K9" t="s">
        <v>510</v>
      </c>
      <c r="L9" t="s">
        <v>511</v>
      </c>
      <c r="M9" t="s">
        <v>512</v>
      </c>
      <c r="N9" t="s">
        <v>513</v>
      </c>
      <c r="O9" t="s">
        <v>514</v>
      </c>
      <c r="P9" t="s">
        <v>93</v>
      </c>
    </row>
    <row r="10" spans="1:16" x14ac:dyDescent="0.35">
      <c r="A10" s="1" t="s">
        <v>517</v>
      </c>
      <c r="B10" t="s">
        <v>93</v>
      </c>
      <c r="C10" t="s">
        <v>93</v>
      </c>
      <c r="D10" t="s">
        <v>93</v>
      </c>
      <c r="E10" t="s">
        <v>93</v>
      </c>
      <c r="F10" t="s">
        <v>93</v>
      </c>
      <c r="G10" t="s">
        <v>93</v>
      </c>
      <c r="H10" t="s">
        <v>93</v>
      </c>
      <c r="I10" t="s">
        <v>93</v>
      </c>
      <c r="J10" t="s">
        <v>93</v>
      </c>
      <c r="K10" t="s">
        <v>93</v>
      </c>
      <c r="L10" t="s">
        <v>93</v>
      </c>
      <c r="M10" t="s">
        <v>93</v>
      </c>
      <c r="N10" t="s">
        <v>93</v>
      </c>
      <c r="O10" t="s">
        <v>93</v>
      </c>
      <c r="P10" t="s">
        <v>93</v>
      </c>
    </row>
    <row r="11" spans="1:16" x14ac:dyDescent="0.35">
      <c r="A11" s="1" t="s">
        <v>518</v>
      </c>
      <c r="B11" t="s">
        <v>256</v>
      </c>
      <c r="C11" t="s">
        <v>519</v>
      </c>
      <c r="D11" t="s">
        <v>520</v>
      </c>
      <c r="E11" t="s">
        <v>93</v>
      </c>
      <c r="F11" t="s">
        <v>93</v>
      </c>
      <c r="G11" t="s">
        <v>93</v>
      </c>
      <c r="H11" t="s">
        <v>93</v>
      </c>
      <c r="I11" t="s">
        <v>93</v>
      </c>
      <c r="J11" t="s">
        <v>93</v>
      </c>
      <c r="K11" t="s">
        <v>93</v>
      </c>
      <c r="L11" t="s">
        <v>93</v>
      </c>
      <c r="M11" t="s">
        <v>93</v>
      </c>
      <c r="N11" t="s">
        <v>93</v>
      </c>
      <c r="O11" t="s">
        <v>93</v>
      </c>
      <c r="P11" t="s">
        <v>93</v>
      </c>
    </row>
    <row r="12" spans="1:16" x14ac:dyDescent="0.35">
      <c r="A12" s="1" t="s">
        <v>521</v>
      </c>
      <c r="B12" t="s">
        <v>474</v>
      </c>
      <c r="C12" t="s">
        <v>493</v>
      </c>
      <c r="D12" t="s">
        <v>522</v>
      </c>
      <c r="E12" t="s">
        <v>523</v>
      </c>
      <c r="F12" t="s">
        <v>449</v>
      </c>
      <c r="G12" t="s">
        <v>524</v>
      </c>
      <c r="H12" t="s">
        <v>525</v>
      </c>
      <c r="I12" t="s">
        <v>526</v>
      </c>
      <c r="J12" t="s">
        <v>527</v>
      </c>
      <c r="K12" t="s">
        <v>528</v>
      </c>
      <c r="L12" t="s">
        <v>529</v>
      </c>
      <c r="M12" t="s">
        <v>530</v>
      </c>
      <c r="N12" t="s">
        <v>531</v>
      </c>
      <c r="O12" t="s">
        <v>532</v>
      </c>
      <c r="P12" t="s">
        <v>533</v>
      </c>
    </row>
    <row r="13" spans="1:16" x14ac:dyDescent="0.35">
      <c r="A13" s="1" t="s">
        <v>534</v>
      </c>
      <c r="B13" t="s">
        <v>535</v>
      </c>
      <c r="C13" t="s">
        <v>536</v>
      </c>
      <c r="D13" t="s">
        <v>218</v>
      </c>
      <c r="E13" t="s">
        <v>218</v>
      </c>
      <c r="F13" t="s">
        <v>218</v>
      </c>
      <c r="G13" t="s">
        <v>218</v>
      </c>
      <c r="H13" t="s">
        <v>218</v>
      </c>
      <c r="I13" t="s">
        <v>536</v>
      </c>
      <c r="J13" t="s">
        <v>535</v>
      </c>
      <c r="K13" t="s">
        <v>537</v>
      </c>
      <c r="L13" t="s">
        <v>538</v>
      </c>
      <c r="M13" t="s">
        <v>539</v>
      </c>
      <c r="N13" t="s">
        <v>540</v>
      </c>
      <c r="O13" t="s">
        <v>448</v>
      </c>
      <c r="P13" t="s">
        <v>541</v>
      </c>
    </row>
    <row r="14" spans="1:16" x14ac:dyDescent="0.35">
      <c r="A14" s="1" t="s">
        <v>542</v>
      </c>
      <c r="B14" t="s">
        <v>93</v>
      </c>
      <c r="C14" t="s">
        <v>253</v>
      </c>
      <c r="D14" t="s">
        <v>252</v>
      </c>
      <c r="E14" t="s">
        <v>536</v>
      </c>
      <c r="F14" t="s">
        <v>218</v>
      </c>
      <c r="G14" t="s">
        <v>218</v>
      </c>
      <c r="H14" t="s">
        <v>543</v>
      </c>
      <c r="I14" t="s">
        <v>544</v>
      </c>
      <c r="J14" t="s">
        <v>545</v>
      </c>
      <c r="K14" t="s">
        <v>546</v>
      </c>
      <c r="L14" t="s">
        <v>547</v>
      </c>
      <c r="M14" t="s">
        <v>548</v>
      </c>
      <c r="N14" t="s">
        <v>549</v>
      </c>
      <c r="O14" t="s">
        <v>550</v>
      </c>
      <c r="P14" t="s">
        <v>551</v>
      </c>
    </row>
    <row r="15" spans="1:16" x14ac:dyDescent="0.35">
      <c r="A15" s="1" t="s">
        <v>552</v>
      </c>
      <c r="B15" t="s">
        <v>252</v>
      </c>
      <c r="C15" t="s">
        <v>253</v>
      </c>
      <c r="D15" t="s">
        <v>254</v>
      </c>
      <c r="E15" t="s">
        <v>255</v>
      </c>
      <c r="F15" t="s">
        <v>256</v>
      </c>
      <c r="G15" t="s">
        <v>257</v>
      </c>
      <c r="H15" t="s">
        <v>258</v>
      </c>
      <c r="I15" t="s">
        <v>259</v>
      </c>
      <c r="J15" t="s">
        <v>260</v>
      </c>
      <c r="K15" t="s">
        <v>261</v>
      </c>
      <c r="L15" t="s">
        <v>262</v>
      </c>
      <c r="M15" t="s">
        <v>263</v>
      </c>
      <c r="N15" t="s">
        <v>264</v>
      </c>
      <c r="O15" t="s">
        <v>265</v>
      </c>
      <c r="P15" t="s">
        <v>266</v>
      </c>
    </row>
    <row r="16" spans="1:16" x14ac:dyDescent="0.35">
      <c r="A16" s="1" t="s">
        <v>553</v>
      </c>
      <c r="B16" t="s">
        <v>554</v>
      </c>
      <c r="C16" t="s">
        <v>554</v>
      </c>
      <c r="D16" t="s">
        <v>555</v>
      </c>
      <c r="E16" t="s">
        <v>556</v>
      </c>
      <c r="F16" t="s">
        <v>557</v>
      </c>
      <c r="G16" t="s">
        <v>558</v>
      </c>
      <c r="H16" t="s">
        <v>559</v>
      </c>
      <c r="I16" t="s">
        <v>560</v>
      </c>
      <c r="J16" t="s">
        <v>561</v>
      </c>
      <c r="K16" t="s">
        <v>562</v>
      </c>
      <c r="L16" t="s">
        <v>563</v>
      </c>
      <c r="M16" t="s">
        <v>564</v>
      </c>
      <c r="N16" t="s">
        <v>565</v>
      </c>
      <c r="O16" t="s">
        <v>566</v>
      </c>
      <c r="P16" t="s">
        <v>567</v>
      </c>
    </row>
    <row r="17" spans="1:16" x14ac:dyDescent="0.35">
      <c r="A17" s="1" t="s">
        <v>568</v>
      </c>
      <c r="B17" t="s">
        <v>569</v>
      </c>
      <c r="C17" t="s">
        <v>570</v>
      </c>
      <c r="D17" t="s">
        <v>571</v>
      </c>
      <c r="E17" t="s">
        <v>572</v>
      </c>
      <c r="F17" t="s">
        <v>573</v>
      </c>
      <c r="G17" t="s">
        <v>574</v>
      </c>
      <c r="H17" t="s">
        <v>575</v>
      </c>
      <c r="I17" t="s">
        <v>576</v>
      </c>
      <c r="J17" t="s">
        <v>577</v>
      </c>
      <c r="K17" t="s">
        <v>578</v>
      </c>
      <c r="L17" t="s">
        <v>576</v>
      </c>
      <c r="M17" t="s">
        <v>579</v>
      </c>
      <c r="N17" t="s">
        <v>580</v>
      </c>
      <c r="O17" t="s">
        <v>581</v>
      </c>
      <c r="P17" t="s">
        <v>582</v>
      </c>
    </row>
    <row r="18" spans="1:16" x14ac:dyDescent="0.35">
      <c r="A18" s="1" t="s">
        <v>37</v>
      </c>
      <c r="B18" t="s">
        <v>583</v>
      </c>
      <c r="C18" t="s">
        <v>584</v>
      </c>
      <c r="D18" t="s">
        <v>585</v>
      </c>
      <c r="E18" t="s">
        <v>586</v>
      </c>
      <c r="F18" t="s">
        <v>587</v>
      </c>
      <c r="G18" t="s">
        <v>588</v>
      </c>
      <c r="H18" t="s">
        <v>589</v>
      </c>
      <c r="I18" t="s">
        <v>590</v>
      </c>
      <c r="J18" t="s">
        <v>591</v>
      </c>
      <c r="K18" t="s">
        <v>592</v>
      </c>
      <c r="L18" t="s">
        <v>593</v>
      </c>
      <c r="M18" t="s">
        <v>594</v>
      </c>
      <c r="N18" t="s">
        <v>595</v>
      </c>
      <c r="O18" t="s">
        <v>596</v>
      </c>
      <c r="P18" t="s">
        <v>597</v>
      </c>
    </row>
    <row r="19" spans="1:16" x14ac:dyDescent="0.35">
      <c r="A19" s="1" t="s">
        <v>598</v>
      </c>
      <c r="B19" t="s">
        <v>599</v>
      </c>
      <c r="C19" t="s">
        <v>600</v>
      </c>
      <c r="D19" t="s">
        <v>601</v>
      </c>
      <c r="E19" t="s">
        <v>602</v>
      </c>
      <c r="F19" t="s">
        <v>603</v>
      </c>
      <c r="G19" t="s">
        <v>604</v>
      </c>
      <c r="H19" t="s">
        <v>605</v>
      </c>
      <c r="I19" t="s">
        <v>606</v>
      </c>
      <c r="J19" t="s">
        <v>607</v>
      </c>
      <c r="K19" t="s">
        <v>608</v>
      </c>
      <c r="L19" t="s">
        <v>609</v>
      </c>
      <c r="M19" t="s">
        <v>610</v>
      </c>
      <c r="N19" t="s">
        <v>611</v>
      </c>
      <c r="O19" t="s">
        <v>612</v>
      </c>
      <c r="P19" t="s">
        <v>613</v>
      </c>
    </row>
    <row r="20" spans="1:16" x14ac:dyDescent="0.35">
      <c r="A20" s="1" t="s">
        <v>614</v>
      </c>
      <c r="B20" t="s">
        <v>535</v>
      </c>
      <c r="C20" t="s">
        <v>615</v>
      </c>
      <c r="D20" t="s">
        <v>615</v>
      </c>
      <c r="E20" t="s">
        <v>616</v>
      </c>
      <c r="F20" t="s">
        <v>617</v>
      </c>
      <c r="G20" t="s">
        <v>617</v>
      </c>
      <c r="H20" t="s">
        <v>618</v>
      </c>
      <c r="I20" t="s">
        <v>619</v>
      </c>
      <c r="J20" t="s">
        <v>620</v>
      </c>
      <c r="K20" t="s">
        <v>584</v>
      </c>
      <c r="L20" t="s">
        <v>621</v>
      </c>
      <c r="M20" t="s">
        <v>622</v>
      </c>
      <c r="N20" t="s">
        <v>623</v>
      </c>
      <c r="O20" t="s">
        <v>624</v>
      </c>
      <c r="P20" t="s">
        <v>625</v>
      </c>
    </row>
    <row r="21" spans="1:16" x14ac:dyDescent="0.35">
      <c r="A21" s="1" t="s">
        <v>626</v>
      </c>
      <c r="B21" t="s">
        <v>269</v>
      </c>
      <c r="C21" t="s">
        <v>270</v>
      </c>
      <c r="D21" t="s">
        <v>271</v>
      </c>
      <c r="E21" t="s">
        <v>272</v>
      </c>
      <c r="F21" t="s">
        <v>273</v>
      </c>
      <c r="G21" t="s">
        <v>274</v>
      </c>
      <c r="H21" t="s">
        <v>627</v>
      </c>
      <c r="I21" t="s">
        <v>628</v>
      </c>
      <c r="J21" t="s">
        <v>629</v>
      </c>
      <c r="K21" t="s">
        <v>630</v>
      </c>
      <c r="L21" t="s">
        <v>631</v>
      </c>
      <c r="M21" t="s">
        <v>632</v>
      </c>
      <c r="N21" t="s">
        <v>633</v>
      </c>
      <c r="O21" t="s">
        <v>634</v>
      </c>
      <c r="P21" t="s">
        <v>635</v>
      </c>
    </row>
    <row r="22" spans="1:16" x14ac:dyDescent="0.35">
      <c r="A22" s="1" t="s">
        <v>636</v>
      </c>
      <c r="B22" t="s">
        <v>637</v>
      </c>
      <c r="C22" t="s">
        <v>638</v>
      </c>
      <c r="D22" t="s">
        <v>639</v>
      </c>
      <c r="E22" t="s">
        <v>640</v>
      </c>
      <c r="F22" t="s">
        <v>641</v>
      </c>
      <c r="G22" t="s">
        <v>642</v>
      </c>
      <c r="H22" t="s">
        <v>643</v>
      </c>
      <c r="I22" t="s">
        <v>644</v>
      </c>
      <c r="J22" t="s">
        <v>645</v>
      </c>
      <c r="K22" t="s">
        <v>646</v>
      </c>
      <c r="L22" t="s">
        <v>647</v>
      </c>
      <c r="M22" t="s">
        <v>648</v>
      </c>
      <c r="N22" t="s">
        <v>649</v>
      </c>
      <c r="O22" t="s">
        <v>650</v>
      </c>
      <c r="P22" t="s">
        <v>651</v>
      </c>
    </row>
    <row r="23" spans="1:16" x14ac:dyDescent="0.35">
      <c r="A23" s="1" t="s">
        <v>652</v>
      </c>
      <c r="B23" t="s">
        <v>218</v>
      </c>
      <c r="C23" t="s">
        <v>218</v>
      </c>
      <c r="D23" t="s">
        <v>218</v>
      </c>
      <c r="E23" t="s">
        <v>218</v>
      </c>
      <c r="F23" t="s">
        <v>218</v>
      </c>
      <c r="G23" t="s">
        <v>218</v>
      </c>
      <c r="H23" t="s">
        <v>252</v>
      </c>
      <c r="I23" t="s">
        <v>537</v>
      </c>
      <c r="J23" t="s">
        <v>653</v>
      </c>
      <c r="K23" t="s">
        <v>654</v>
      </c>
      <c r="L23" t="s">
        <v>655</v>
      </c>
      <c r="M23" t="s">
        <v>656</v>
      </c>
      <c r="N23" t="s">
        <v>657</v>
      </c>
      <c r="O23" t="s">
        <v>658</v>
      </c>
      <c r="P23" t="s">
        <v>659</v>
      </c>
    </row>
    <row r="24" spans="1:16" x14ac:dyDescent="0.35">
      <c r="A24" s="1" t="s">
        <v>43</v>
      </c>
      <c r="B24" t="s">
        <v>269</v>
      </c>
      <c r="C24" t="s">
        <v>270</v>
      </c>
      <c r="D24" t="s">
        <v>271</v>
      </c>
      <c r="E24" t="s">
        <v>272</v>
      </c>
      <c r="F24" t="s">
        <v>273</v>
      </c>
      <c r="G24" t="s">
        <v>274</v>
      </c>
      <c r="H24" t="s">
        <v>275</v>
      </c>
      <c r="I24" t="s">
        <v>276</v>
      </c>
      <c r="J24" t="s">
        <v>277</v>
      </c>
      <c r="K24" t="s">
        <v>278</v>
      </c>
      <c r="L24" t="s">
        <v>279</v>
      </c>
      <c r="M24" t="s">
        <v>280</v>
      </c>
      <c r="N24" t="s">
        <v>281</v>
      </c>
      <c r="O24" t="s">
        <v>282</v>
      </c>
      <c r="P24" t="s">
        <v>283</v>
      </c>
    </row>
    <row r="25" spans="1:16" x14ac:dyDescent="0.35">
      <c r="A25" s="1" t="s">
        <v>660</v>
      </c>
      <c r="B25" t="s">
        <v>661</v>
      </c>
      <c r="C25" t="s">
        <v>662</v>
      </c>
      <c r="D25" t="s">
        <v>663</v>
      </c>
      <c r="E25" t="s">
        <v>664</v>
      </c>
      <c r="F25" t="s">
        <v>665</v>
      </c>
      <c r="G25" t="s">
        <v>666</v>
      </c>
      <c r="H25" t="s">
        <v>667</v>
      </c>
      <c r="I25" t="s">
        <v>668</v>
      </c>
      <c r="J25" t="s">
        <v>669</v>
      </c>
      <c r="K25" t="s">
        <v>670</v>
      </c>
      <c r="L25" t="s">
        <v>671</v>
      </c>
      <c r="M25" t="s">
        <v>672</v>
      </c>
      <c r="N25" t="s">
        <v>673</v>
      </c>
      <c r="O25" t="s">
        <v>674</v>
      </c>
      <c r="P25" t="s">
        <v>675</v>
      </c>
    </row>
    <row r="26" spans="1:16" x14ac:dyDescent="0.35">
      <c r="A26" s="1" t="s">
        <v>676</v>
      </c>
      <c r="B26" t="s">
        <v>111</v>
      </c>
      <c r="C26" t="s">
        <v>112</v>
      </c>
      <c r="D26" t="s">
        <v>113</v>
      </c>
      <c r="E26" t="s">
        <v>114</v>
      </c>
      <c r="F26" t="s">
        <v>115</v>
      </c>
      <c r="G26" t="s">
        <v>116</v>
      </c>
      <c r="H26" t="s">
        <v>117</v>
      </c>
      <c r="I26" t="s">
        <v>118</v>
      </c>
      <c r="J26" t="s">
        <v>119</v>
      </c>
      <c r="K26" t="s">
        <v>120</v>
      </c>
      <c r="L26" t="s">
        <v>121</v>
      </c>
      <c r="M26" t="s">
        <v>122</v>
      </c>
      <c r="N26" t="s">
        <v>677</v>
      </c>
      <c r="O26" t="s">
        <v>678</v>
      </c>
      <c r="P26" t="s">
        <v>125</v>
      </c>
    </row>
    <row r="27" spans="1:16" x14ac:dyDescent="0.35">
      <c r="A27" s="1" t="s">
        <v>679</v>
      </c>
      <c r="B27" t="s">
        <v>111</v>
      </c>
      <c r="C27" t="s">
        <v>112</v>
      </c>
      <c r="D27" t="s">
        <v>113</v>
      </c>
      <c r="E27" t="s">
        <v>114</v>
      </c>
      <c r="F27" t="s">
        <v>115</v>
      </c>
      <c r="G27" t="s">
        <v>116</v>
      </c>
      <c r="H27" t="s">
        <v>117</v>
      </c>
      <c r="I27" t="s">
        <v>118</v>
      </c>
      <c r="J27" t="s">
        <v>119</v>
      </c>
      <c r="K27" t="s">
        <v>120</v>
      </c>
      <c r="L27" t="s">
        <v>121</v>
      </c>
      <c r="M27" t="s">
        <v>122</v>
      </c>
      <c r="N27" t="s">
        <v>677</v>
      </c>
      <c r="O27" t="s">
        <v>680</v>
      </c>
      <c r="P27" t="s">
        <v>681</v>
      </c>
    </row>
    <row r="28" spans="1:16" x14ac:dyDescent="0.35">
      <c r="A28" s="1" t="s">
        <v>682</v>
      </c>
      <c r="B28" t="s">
        <v>175</v>
      </c>
      <c r="C28" t="s">
        <v>175</v>
      </c>
      <c r="D28" t="s">
        <v>176</v>
      </c>
      <c r="E28" t="s">
        <v>177</v>
      </c>
      <c r="F28" t="s">
        <v>178</v>
      </c>
      <c r="G28" t="s">
        <v>179</v>
      </c>
      <c r="H28" t="s">
        <v>180</v>
      </c>
      <c r="I28" t="s">
        <v>181</v>
      </c>
      <c r="J28" t="s">
        <v>182</v>
      </c>
      <c r="K28" t="s">
        <v>183</v>
      </c>
      <c r="L28" t="s">
        <v>184</v>
      </c>
      <c r="M28" t="s">
        <v>185</v>
      </c>
      <c r="N28" t="s">
        <v>186</v>
      </c>
      <c r="O28" t="s">
        <v>187</v>
      </c>
      <c r="P28" t="s">
        <v>188</v>
      </c>
    </row>
    <row r="29" spans="1:16" x14ac:dyDescent="0.35">
      <c r="A29" s="1" t="s">
        <v>683</v>
      </c>
      <c r="B29" t="s">
        <v>175</v>
      </c>
      <c r="C29" t="s">
        <v>175</v>
      </c>
      <c r="D29" t="s">
        <v>176</v>
      </c>
      <c r="E29" t="s">
        <v>177</v>
      </c>
      <c r="F29" t="s">
        <v>178</v>
      </c>
      <c r="G29" t="s">
        <v>179</v>
      </c>
      <c r="H29" t="s">
        <v>180</v>
      </c>
      <c r="I29" t="s">
        <v>181</v>
      </c>
      <c r="J29" t="s">
        <v>182</v>
      </c>
      <c r="K29" t="s">
        <v>183</v>
      </c>
      <c r="L29" t="s">
        <v>184</v>
      </c>
      <c r="M29" t="s">
        <v>185</v>
      </c>
      <c r="N29" t="s">
        <v>186</v>
      </c>
      <c r="O29" t="s">
        <v>187</v>
      </c>
      <c r="P29" t="s">
        <v>684</v>
      </c>
    </row>
    <row r="32" spans="1:16" x14ac:dyDescent="0.35">
      <c r="A32" s="2" t="s">
        <v>685</v>
      </c>
      <c r="B32" t="e">
        <f>Summary!C3*Summary!C9</f>
        <v>#VALUE!</v>
      </c>
      <c r="C32" t="e">
        <f>Summary!D3*Summary!D9</f>
        <v>#VALUE!</v>
      </c>
      <c r="D32" t="e">
        <f>Summary!E3*Summary!E9</f>
        <v>#VALUE!</v>
      </c>
      <c r="E32">
        <f>Summary!F3*Summary!F9</f>
        <v>1.5860000000000001</v>
      </c>
      <c r="F32">
        <f>Summary!G3*Summary!G9</f>
        <v>1.8360000000000001</v>
      </c>
      <c r="G32">
        <f>Summary!H3*Summary!H9</f>
        <v>2.0720000000000001</v>
      </c>
      <c r="H32">
        <f>Summary!I3*Summary!I9</f>
        <v>6.7439999999999998</v>
      </c>
      <c r="I32">
        <f>Summary!J3*Summary!J9</f>
        <v>14.852</v>
      </c>
      <c r="J32">
        <f>Summary!K3*Summary!K9</f>
        <v>15.29</v>
      </c>
      <c r="K32">
        <f>Summary!L3*Summary!L9</f>
        <v>14.006</v>
      </c>
      <c r="L32">
        <f>Summary!M3*Summary!M9</f>
        <v>20.856000000000002</v>
      </c>
      <c r="M32">
        <f>Summary!N3*Summary!N9</f>
        <v>20.975999999999996</v>
      </c>
      <c r="N32">
        <f>Summary!O3*Summary!O9</f>
        <v>18.236000000000001</v>
      </c>
      <c r="O32">
        <f>Summary!P3*Summary!P9</f>
        <v>97.488</v>
      </c>
      <c r="P32">
        <f>Summary!Q3*Summary!Q9</f>
        <v>262.08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0"/>
  <sheetViews>
    <sheetView workbookViewId="0"/>
  </sheetViews>
  <sheetFormatPr defaultRowHeight="14.5" x14ac:dyDescent="0.35"/>
  <sheetData>
    <row r="1" spans="1:16" x14ac:dyDescent="0.35">
      <c r="B1" s="1" t="s">
        <v>414</v>
      </c>
      <c r="C1" s="1" t="s">
        <v>415</v>
      </c>
      <c r="D1" s="1" t="s">
        <v>416</v>
      </c>
      <c r="E1" s="1" t="s">
        <v>417</v>
      </c>
      <c r="F1" s="1" t="s">
        <v>418</v>
      </c>
      <c r="G1" s="1" t="s">
        <v>419</v>
      </c>
      <c r="H1" s="1" t="s">
        <v>420</v>
      </c>
      <c r="I1" s="1" t="s">
        <v>421</v>
      </c>
      <c r="J1" s="1" t="s">
        <v>422</v>
      </c>
      <c r="K1" s="1" t="s">
        <v>423</v>
      </c>
      <c r="L1" s="1" t="s">
        <v>424</v>
      </c>
      <c r="M1" s="1" t="s">
        <v>425</v>
      </c>
      <c r="N1" s="1" t="s">
        <v>426</v>
      </c>
      <c r="O1" s="1" t="s">
        <v>427</v>
      </c>
      <c r="P1" s="1" t="s">
        <v>428</v>
      </c>
    </row>
    <row r="2" spans="1:16" x14ac:dyDescent="0.35">
      <c r="A2" s="1" t="s">
        <v>686</v>
      </c>
      <c r="B2" t="s">
        <v>256</v>
      </c>
      <c r="C2" t="s">
        <v>537</v>
      </c>
      <c r="D2" t="s">
        <v>687</v>
      </c>
      <c r="E2" t="s">
        <v>688</v>
      </c>
      <c r="F2" t="s">
        <v>689</v>
      </c>
      <c r="G2" t="s">
        <v>690</v>
      </c>
      <c r="H2" t="s">
        <v>691</v>
      </c>
      <c r="I2" t="s">
        <v>692</v>
      </c>
      <c r="J2" t="s">
        <v>693</v>
      </c>
      <c r="K2" t="s">
        <v>694</v>
      </c>
      <c r="L2" t="s">
        <v>695</v>
      </c>
      <c r="M2" t="s">
        <v>696</v>
      </c>
      <c r="N2" t="s">
        <v>697</v>
      </c>
      <c r="O2" t="s">
        <v>698</v>
      </c>
      <c r="P2" t="s">
        <v>699</v>
      </c>
    </row>
    <row r="3" spans="1:16" x14ac:dyDescent="0.35">
      <c r="A3" s="1" t="s">
        <v>700</v>
      </c>
      <c r="B3" t="s">
        <v>93</v>
      </c>
      <c r="C3" t="s">
        <v>93</v>
      </c>
      <c r="D3" t="s">
        <v>93</v>
      </c>
      <c r="E3" t="s">
        <v>93</v>
      </c>
      <c r="F3" t="s">
        <v>539</v>
      </c>
      <c r="G3" t="s">
        <v>93</v>
      </c>
      <c r="H3" t="s">
        <v>93</v>
      </c>
      <c r="I3" t="s">
        <v>93</v>
      </c>
      <c r="J3" t="s">
        <v>93</v>
      </c>
      <c r="K3" t="s">
        <v>93</v>
      </c>
      <c r="L3" t="s">
        <v>93</v>
      </c>
      <c r="M3" t="s">
        <v>93</v>
      </c>
      <c r="N3" t="s">
        <v>93</v>
      </c>
      <c r="O3" t="s">
        <v>93</v>
      </c>
      <c r="P3" t="s">
        <v>701</v>
      </c>
    </row>
    <row r="4" spans="1:16" x14ac:dyDescent="0.35">
      <c r="A4" s="1" t="s">
        <v>702</v>
      </c>
      <c r="B4" t="s">
        <v>256</v>
      </c>
      <c r="C4" t="s">
        <v>537</v>
      </c>
      <c r="D4" t="s">
        <v>687</v>
      </c>
      <c r="E4" t="s">
        <v>688</v>
      </c>
      <c r="F4" t="s">
        <v>703</v>
      </c>
      <c r="G4" t="s">
        <v>690</v>
      </c>
      <c r="H4" t="s">
        <v>691</v>
      </c>
      <c r="I4" t="s">
        <v>692</v>
      </c>
      <c r="J4" t="s">
        <v>693</v>
      </c>
      <c r="K4" t="s">
        <v>694</v>
      </c>
      <c r="L4" t="s">
        <v>695</v>
      </c>
      <c r="M4" t="s">
        <v>696</v>
      </c>
      <c r="N4" t="s">
        <v>697</v>
      </c>
      <c r="O4" t="s">
        <v>698</v>
      </c>
      <c r="P4" t="s">
        <v>704</v>
      </c>
    </row>
    <row r="5" spans="1:16" x14ac:dyDescent="0.35">
      <c r="A5" s="1" t="s">
        <v>705</v>
      </c>
      <c r="B5" t="s">
        <v>218</v>
      </c>
      <c r="C5" t="s">
        <v>252</v>
      </c>
      <c r="D5" t="s">
        <v>252</v>
      </c>
      <c r="E5" t="s">
        <v>254</v>
      </c>
      <c r="F5" t="s">
        <v>445</v>
      </c>
      <c r="G5" t="s">
        <v>654</v>
      </c>
      <c r="H5" t="s">
        <v>706</v>
      </c>
      <c r="I5" t="s">
        <v>707</v>
      </c>
      <c r="J5" t="s">
        <v>708</v>
      </c>
      <c r="K5" t="s">
        <v>709</v>
      </c>
      <c r="L5" t="s">
        <v>710</v>
      </c>
      <c r="M5" t="s">
        <v>711</v>
      </c>
      <c r="N5" t="s">
        <v>712</v>
      </c>
      <c r="O5" t="s">
        <v>713</v>
      </c>
      <c r="P5" t="s">
        <v>714</v>
      </c>
    </row>
    <row r="6" spans="1:16" x14ac:dyDescent="0.35">
      <c r="A6" s="1" t="s">
        <v>55</v>
      </c>
      <c r="B6" t="s">
        <v>535</v>
      </c>
      <c r="C6" t="s">
        <v>256</v>
      </c>
      <c r="D6" t="s">
        <v>715</v>
      </c>
      <c r="E6" t="s">
        <v>716</v>
      </c>
      <c r="F6" t="s">
        <v>717</v>
      </c>
      <c r="G6" t="s">
        <v>718</v>
      </c>
      <c r="H6" t="s">
        <v>719</v>
      </c>
      <c r="I6" t="s">
        <v>720</v>
      </c>
      <c r="J6" t="s">
        <v>721</v>
      </c>
      <c r="K6" t="s">
        <v>722</v>
      </c>
      <c r="L6" t="s">
        <v>723</v>
      </c>
      <c r="M6" t="s">
        <v>724</v>
      </c>
      <c r="N6" t="s">
        <v>725</v>
      </c>
      <c r="O6" t="s">
        <v>726</v>
      </c>
      <c r="P6" t="s">
        <v>727</v>
      </c>
    </row>
    <row r="7" spans="1:16" x14ac:dyDescent="0.35">
      <c r="A7" s="1" t="s">
        <v>728</v>
      </c>
      <c r="B7" t="s">
        <v>252</v>
      </c>
      <c r="C7" t="s">
        <v>535</v>
      </c>
      <c r="D7" t="s">
        <v>253</v>
      </c>
      <c r="E7" t="s">
        <v>729</v>
      </c>
      <c r="F7" t="s">
        <v>543</v>
      </c>
      <c r="G7" t="s">
        <v>730</v>
      </c>
      <c r="H7" t="s">
        <v>446</v>
      </c>
      <c r="I7" t="s">
        <v>731</v>
      </c>
      <c r="J7" t="s">
        <v>732</v>
      </c>
      <c r="K7" t="s">
        <v>733</v>
      </c>
      <c r="L7" t="s">
        <v>479</v>
      </c>
      <c r="M7" t="s">
        <v>734</v>
      </c>
      <c r="N7" t="s">
        <v>735</v>
      </c>
      <c r="O7" t="s">
        <v>736</v>
      </c>
      <c r="P7" t="s">
        <v>737</v>
      </c>
    </row>
    <row r="8" spans="1:16" x14ac:dyDescent="0.35">
      <c r="A8" s="1" t="s">
        <v>57</v>
      </c>
      <c r="B8" t="s">
        <v>738</v>
      </c>
      <c r="C8" t="s">
        <v>446</v>
      </c>
      <c r="D8" t="s">
        <v>544</v>
      </c>
      <c r="E8" t="s">
        <v>739</v>
      </c>
      <c r="F8" t="s">
        <v>740</v>
      </c>
      <c r="G8" t="s">
        <v>741</v>
      </c>
      <c r="H8" t="s">
        <v>742</v>
      </c>
      <c r="I8" t="s">
        <v>743</v>
      </c>
      <c r="J8" t="s">
        <v>744</v>
      </c>
      <c r="K8" t="s">
        <v>745</v>
      </c>
      <c r="L8" t="s">
        <v>746</v>
      </c>
      <c r="M8" t="s">
        <v>747</v>
      </c>
      <c r="N8" t="s">
        <v>748</v>
      </c>
      <c r="O8" t="s">
        <v>749</v>
      </c>
      <c r="P8" t="s">
        <v>750</v>
      </c>
    </row>
    <row r="9" spans="1:16" x14ac:dyDescent="0.35">
      <c r="A9" s="1" t="s">
        <v>60</v>
      </c>
      <c r="B9" t="s">
        <v>751</v>
      </c>
      <c r="C9" t="s">
        <v>492</v>
      </c>
      <c r="D9" t="s">
        <v>519</v>
      </c>
      <c r="E9" t="s">
        <v>752</v>
      </c>
      <c r="F9" t="s">
        <v>753</v>
      </c>
      <c r="G9" t="s">
        <v>754</v>
      </c>
      <c r="H9" t="s">
        <v>755</v>
      </c>
      <c r="I9" t="s">
        <v>756</v>
      </c>
      <c r="J9" t="s">
        <v>757</v>
      </c>
      <c r="K9" t="s">
        <v>758</v>
      </c>
      <c r="L9" t="s">
        <v>759</v>
      </c>
      <c r="M9" t="s">
        <v>760</v>
      </c>
      <c r="N9" t="s">
        <v>761</v>
      </c>
      <c r="O9" t="s">
        <v>762</v>
      </c>
      <c r="P9" t="s">
        <v>763</v>
      </c>
    </row>
    <row r="10" spans="1:16" x14ac:dyDescent="0.35">
      <c r="A10" s="1" t="s">
        <v>764</v>
      </c>
      <c r="B10" t="s">
        <v>93</v>
      </c>
      <c r="C10" t="s">
        <v>93</v>
      </c>
      <c r="D10" t="s">
        <v>93</v>
      </c>
      <c r="E10" t="s">
        <v>93</v>
      </c>
      <c r="F10" t="s">
        <v>93</v>
      </c>
      <c r="G10" t="s">
        <v>93</v>
      </c>
      <c r="H10" t="s">
        <v>93</v>
      </c>
      <c r="I10" t="s">
        <v>93</v>
      </c>
      <c r="J10" t="s">
        <v>93</v>
      </c>
      <c r="K10" t="s">
        <v>93</v>
      </c>
      <c r="L10" t="s">
        <v>765</v>
      </c>
      <c r="M10" t="s">
        <v>559</v>
      </c>
      <c r="N10" t="s">
        <v>766</v>
      </c>
      <c r="O10" t="s">
        <v>349</v>
      </c>
      <c r="P10" t="s">
        <v>767</v>
      </c>
    </row>
    <row r="11" spans="1:16" x14ac:dyDescent="0.35">
      <c r="A11" s="1" t="s">
        <v>768</v>
      </c>
      <c r="B11" t="s">
        <v>93</v>
      </c>
      <c r="C11" t="s">
        <v>93</v>
      </c>
      <c r="D11" t="s">
        <v>93</v>
      </c>
      <c r="E11" t="s">
        <v>93</v>
      </c>
      <c r="F11" t="s">
        <v>93</v>
      </c>
      <c r="G11" t="s">
        <v>769</v>
      </c>
      <c r="H11" t="s">
        <v>769</v>
      </c>
      <c r="I11" t="s">
        <v>93</v>
      </c>
      <c r="J11" t="s">
        <v>93</v>
      </c>
      <c r="K11" t="s">
        <v>770</v>
      </c>
      <c r="L11" t="s">
        <v>771</v>
      </c>
      <c r="M11" t="s">
        <v>772</v>
      </c>
      <c r="N11" t="s">
        <v>773</v>
      </c>
      <c r="O11" t="s">
        <v>478</v>
      </c>
      <c r="P11" t="s">
        <v>774</v>
      </c>
    </row>
    <row r="12" spans="1:16" x14ac:dyDescent="0.35">
      <c r="A12" s="1" t="s">
        <v>775</v>
      </c>
      <c r="B12" t="s">
        <v>93</v>
      </c>
      <c r="C12" t="s">
        <v>93</v>
      </c>
      <c r="D12" t="s">
        <v>93</v>
      </c>
      <c r="E12" t="s">
        <v>93</v>
      </c>
      <c r="F12" t="s">
        <v>93</v>
      </c>
      <c r="G12" t="s">
        <v>769</v>
      </c>
      <c r="H12" t="s">
        <v>769</v>
      </c>
      <c r="I12" t="s">
        <v>93</v>
      </c>
      <c r="J12" t="s">
        <v>93</v>
      </c>
      <c r="K12" t="s">
        <v>770</v>
      </c>
      <c r="L12" t="s">
        <v>776</v>
      </c>
      <c r="M12" t="s">
        <v>777</v>
      </c>
      <c r="N12" t="s">
        <v>179</v>
      </c>
      <c r="O12" t="s">
        <v>778</v>
      </c>
      <c r="P12" t="s">
        <v>779</v>
      </c>
    </row>
    <row r="13" spans="1:16" x14ac:dyDescent="0.35">
      <c r="A13" s="1" t="s">
        <v>780</v>
      </c>
      <c r="B13" t="s">
        <v>93</v>
      </c>
      <c r="C13" t="s">
        <v>93</v>
      </c>
      <c r="D13" t="s">
        <v>93</v>
      </c>
      <c r="E13" t="s">
        <v>93</v>
      </c>
      <c r="F13" t="s">
        <v>93</v>
      </c>
      <c r="G13" t="s">
        <v>93</v>
      </c>
      <c r="H13" t="s">
        <v>93</v>
      </c>
      <c r="I13" t="s">
        <v>93</v>
      </c>
      <c r="J13" t="s">
        <v>93</v>
      </c>
      <c r="K13" t="s">
        <v>93</v>
      </c>
      <c r="L13" t="s">
        <v>93</v>
      </c>
      <c r="M13" t="s">
        <v>93</v>
      </c>
      <c r="N13" t="s">
        <v>93</v>
      </c>
      <c r="O13" t="s">
        <v>93</v>
      </c>
      <c r="P13" t="s">
        <v>93</v>
      </c>
    </row>
    <row r="14" spans="1:16" x14ac:dyDescent="0.35">
      <c r="A14" s="1" t="s">
        <v>781</v>
      </c>
      <c r="B14" t="s">
        <v>93</v>
      </c>
      <c r="C14" t="s">
        <v>93</v>
      </c>
      <c r="D14" t="s">
        <v>93</v>
      </c>
      <c r="E14" t="s">
        <v>93</v>
      </c>
      <c r="F14" t="s">
        <v>93</v>
      </c>
      <c r="G14" t="s">
        <v>93</v>
      </c>
      <c r="H14" t="s">
        <v>93</v>
      </c>
      <c r="I14" t="s">
        <v>93</v>
      </c>
      <c r="J14" t="s">
        <v>93</v>
      </c>
      <c r="K14" t="s">
        <v>93</v>
      </c>
      <c r="L14" t="s">
        <v>93</v>
      </c>
      <c r="M14" t="s">
        <v>93</v>
      </c>
      <c r="N14" t="s">
        <v>93</v>
      </c>
      <c r="O14" t="s">
        <v>93</v>
      </c>
      <c r="P14" t="s">
        <v>93</v>
      </c>
    </row>
    <row r="15" spans="1:16" x14ac:dyDescent="0.35">
      <c r="A15" s="1" t="s">
        <v>782</v>
      </c>
      <c r="B15" t="s">
        <v>536</v>
      </c>
      <c r="C15" t="s">
        <v>536</v>
      </c>
      <c r="D15" t="s">
        <v>783</v>
      </c>
      <c r="E15" t="s">
        <v>730</v>
      </c>
      <c r="F15" t="s">
        <v>448</v>
      </c>
      <c r="G15" t="s">
        <v>653</v>
      </c>
      <c r="H15" t="s">
        <v>430</v>
      </c>
      <c r="I15" t="s">
        <v>332</v>
      </c>
      <c r="J15" t="s">
        <v>258</v>
      </c>
      <c r="K15" t="s">
        <v>784</v>
      </c>
      <c r="L15" t="s">
        <v>785</v>
      </c>
      <c r="M15" t="s">
        <v>786</v>
      </c>
      <c r="N15" t="s">
        <v>787</v>
      </c>
      <c r="O15" t="s">
        <v>788</v>
      </c>
      <c r="P15" t="s">
        <v>789</v>
      </c>
    </row>
    <row r="16" spans="1:16" x14ac:dyDescent="0.35">
      <c r="A16" s="1" t="s">
        <v>790</v>
      </c>
      <c r="B16" t="s">
        <v>653</v>
      </c>
      <c r="C16" t="s">
        <v>538</v>
      </c>
      <c r="D16" t="s">
        <v>448</v>
      </c>
      <c r="E16" t="s">
        <v>318</v>
      </c>
      <c r="F16" t="s">
        <v>791</v>
      </c>
      <c r="G16" t="s">
        <v>792</v>
      </c>
      <c r="H16" t="s">
        <v>793</v>
      </c>
      <c r="I16" t="s">
        <v>794</v>
      </c>
      <c r="J16" t="s">
        <v>795</v>
      </c>
      <c r="K16" t="s">
        <v>796</v>
      </c>
      <c r="L16" t="s">
        <v>797</v>
      </c>
      <c r="M16" t="s">
        <v>798</v>
      </c>
      <c r="N16" t="s">
        <v>799</v>
      </c>
      <c r="O16" t="s">
        <v>800</v>
      </c>
      <c r="P16" t="s">
        <v>801</v>
      </c>
    </row>
    <row r="17" spans="1:16" x14ac:dyDescent="0.35">
      <c r="A17" s="1" t="s">
        <v>802</v>
      </c>
      <c r="B17" t="s">
        <v>93</v>
      </c>
      <c r="C17" t="s">
        <v>93</v>
      </c>
      <c r="D17" t="s">
        <v>93</v>
      </c>
      <c r="E17" t="s">
        <v>93</v>
      </c>
      <c r="F17" t="s">
        <v>93</v>
      </c>
      <c r="G17" t="s">
        <v>93</v>
      </c>
      <c r="H17" t="s">
        <v>93</v>
      </c>
      <c r="I17" t="s">
        <v>93</v>
      </c>
      <c r="J17" t="s">
        <v>93</v>
      </c>
      <c r="K17" t="s">
        <v>93</v>
      </c>
      <c r="L17" t="s">
        <v>93</v>
      </c>
      <c r="M17" t="s">
        <v>93</v>
      </c>
      <c r="N17" t="s">
        <v>93</v>
      </c>
      <c r="O17" t="s">
        <v>93</v>
      </c>
      <c r="P17" t="s">
        <v>93</v>
      </c>
    </row>
    <row r="18" spans="1:16" x14ac:dyDescent="0.35">
      <c r="A18" s="1" t="s">
        <v>67</v>
      </c>
      <c r="B18" t="s">
        <v>803</v>
      </c>
      <c r="C18" t="s">
        <v>804</v>
      </c>
      <c r="D18" t="s">
        <v>805</v>
      </c>
      <c r="E18" t="s">
        <v>806</v>
      </c>
      <c r="F18" t="s">
        <v>807</v>
      </c>
      <c r="G18" t="s">
        <v>808</v>
      </c>
      <c r="H18" t="s">
        <v>809</v>
      </c>
      <c r="I18" t="s">
        <v>810</v>
      </c>
      <c r="J18" t="s">
        <v>811</v>
      </c>
      <c r="K18" t="s">
        <v>812</v>
      </c>
      <c r="L18" t="s">
        <v>813</v>
      </c>
      <c r="M18" t="s">
        <v>814</v>
      </c>
      <c r="N18" t="s">
        <v>815</v>
      </c>
      <c r="O18" t="s">
        <v>816</v>
      </c>
      <c r="P18" t="s">
        <v>817</v>
      </c>
    </row>
    <row r="19" spans="1:16" x14ac:dyDescent="0.35">
      <c r="A19" s="1" t="s">
        <v>818</v>
      </c>
      <c r="B19" t="s">
        <v>819</v>
      </c>
      <c r="C19" t="s">
        <v>769</v>
      </c>
      <c r="D19" t="s">
        <v>219</v>
      </c>
      <c r="E19" t="s">
        <v>257</v>
      </c>
      <c r="F19" t="s">
        <v>541</v>
      </c>
      <c r="G19" t="s">
        <v>820</v>
      </c>
      <c r="H19" t="s">
        <v>821</v>
      </c>
      <c r="I19" t="s">
        <v>822</v>
      </c>
      <c r="J19" t="s">
        <v>823</v>
      </c>
      <c r="K19" t="s">
        <v>824</v>
      </c>
      <c r="L19" t="s">
        <v>825</v>
      </c>
      <c r="M19" t="s">
        <v>826</v>
      </c>
      <c r="N19" t="s">
        <v>827</v>
      </c>
      <c r="O19" t="s">
        <v>828</v>
      </c>
      <c r="P19" t="s">
        <v>829</v>
      </c>
    </row>
    <row r="20" spans="1:16" x14ac:dyDescent="0.35">
      <c r="A20" s="1" t="s">
        <v>830</v>
      </c>
      <c r="B20" t="s">
        <v>218</v>
      </c>
      <c r="C20" t="s">
        <v>218</v>
      </c>
      <c r="D20" t="s">
        <v>218</v>
      </c>
      <c r="E20" t="s">
        <v>218</v>
      </c>
      <c r="F20" t="s">
        <v>537</v>
      </c>
      <c r="G20" t="s">
        <v>332</v>
      </c>
      <c r="H20" t="s">
        <v>831</v>
      </c>
      <c r="I20" t="s">
        <v>832</v>
      </c>
      <c r="J20" t="s">
        <v>833</v>
      </c>
      <c r="K20" t="s">
        <v>834</v>
      </c>
      <c r="L20" t="s">
        <v>835</v>
      </c>
      <c r="M20" t="s">
        <v>836</v>
      </c>
      <c r="N20" t="s">
        <v>837</v>
      </c>
      <c r="O20" t="s">
        <v>838</v>
      </c>
      <c r="P20" t="s">
        <v>839</v>
      </c>
    </row>
    <row r="21" spans="1:16" x14ac:dyDescent="0.35">
      <c r="A21" s="1" t="s">
        <v>840</v>
      </c>
      <c r="B21" t="s">
        <v>93</v>
      </c>
      <c r="C21" t="s">
        <v>93</v>
      </c>
      <c r="D21" t="s">
        <v>93</v>
      </c>
      <c r="E21" t="s">
        <v>252</v>
      </c>
      <c r="F21" t="s">
        <v>536</v>
      </c>
      <c r="G21" t="s">
        <v>445</v>
      </c>
      <c r="H21" t="s">
        <v>841</v>
      </c>
      <c r="I21" t="s">
        <v>842</v>
      </c>
      <c r="J21" t="s">
        <v>544</v>
      </c>
      <c r="K21" t="s">
        <v>843</v>
      </c>
      <c r="L21" t="s">
        <v>844</v>
      </c>
      <c r="M21" t="s">
        <v>845</v>
      </c>
      <c r="N21" t="s">
        <v>846</v>
      </c>
      <c r="O21" t="s">
        <v>847</v>
      </c>
      <c r="P21" t="s">
        <v>848</v>
      </c>
    </row>
    <row r="22" spans="1:16" x14ac:dyDescent="0.35">
      <c r="A22" s="1" t="s">
        <v>849</v>
      </c>
      <c r="B22" t="s">
        <v>93</v>
      </c>
      <c r="C22" t="s">
        <v>93</v>
      </c>
      <c r="D22" t="s">
        <v>536</v>
      </c>
      <c r="E22" t="s">
        <v>252</v>
      </c>
      <c r="F22" t="s">
        <v>252</v>
      </c>
      <c r="G22" t="s">
        <v>252</v>
      </c>
      <c r="H22" t="s">
        <v>319</v>
      </c>
      <c r="I22" t="s">
        <v>658</v>
      </c>
      <c r="J22" t="s">
        <v>850</v>
      </c>
      <c r="K22" t="s">
        <v>851</v>
      </c>
      <c r="L22" t="s">
        <v>852</v>
      </c>
      <c r="M22" t="s">
        <v>784</v>
      </c>
      <c r="N22" t="s">
        <v>853</v>
      </c>
      <c r="O22" t="s">
        <v>854</v>
      </c>
      <c r="P22" t="s">
        <v>855</v>
      </c>
    </row>
    <row r="23" spans="1:16" x14ac:dyDescent="0.35">
      <c r="A23" s="1" t="s">
        <v>856</v>
      </c>
      <c r="B23" t="s">
        <v>857</v>
      </c>
      <c r="C23" t="s">
        <v>858</v>
      </c>
      <c r="D23" t="s">
        <v>859</v>
      </c>
      <c r="E23" t="s">
        <v>804</v>
      </c>
      <c r="F23" t="s">
        <v>860</v>
      </c>
      <c r="G23" t="s">
        <v>861</v>
      </c>
      <c r="H23" t="s">
        <v>862</v>
      </c>
      <c r="I23" t="s">
        <v>863</v>
      </c>
      <c r="J23" t="s">
        <v>864</v>
      </c>
      <c r="K23" t="s">
        <v>865</v>
      </c>
      <c r="L23" t="s">
        <v>866</v>
      </c>
      <c r="M23" t="s">
        <v>867</v>
      </c>
      <c r="N23" t="s">
        <v>868</v>
      </c>
      <c r="O23" t="s">
        <v>484</v>
      </c>
      <c r="P23" t="s">
        <v>869</v>
      </c>
    </row>
    <row r="24" spans="1:16" x14ac:dyDescent="0.35">
      <c r="A24" s="1" t="s">
        <v>74</v>
      </c>
      <c r="B24" t="s">
        <v>870</v>
      </c>
      <c r="C24" t="s">
        <v>871</v>
      </c>
      <c r="D24" t="s">
        <v>872</v>
      </c>
      <c r="E24" t="s">
        <v>432</v>
      </c>
      <c r="F24" t="s">
        <v>873</v>
      </c>
      <c r="G24" t="s">
        <v>874</v>
      </c>
      <c r="H24" t="s">
        <v>875</v>
      </c>
      <c r="I24" t="s">
        <v>876</v>
      </c>
      <c r="J24" t="s">
        <v>877</v>
      </c>
      <c r="K24" t="s">
        <v>878</v>
      </c>
      <c r="L24" t="s">
        <v>879</v>
      </c>
      <c r="M24" t="s">
        <v>880</v>
      </c>
      <c r="N24" t="s">
        <v>881</v>
      </c>
      <c r="O24" t="s">
        <v>882</v>
      </c>
      <c r="P24" t="s">
        <v>883</v>
      </c>
    </row>
    <row r="25" spans="1:16" x14ac:dyDescent="0.35">
      <c r="A25" s="1" t="s">
        <v>884</v>
      </c>
      <c r="B25" t="s">
        <v>93</v>
      </c>
      <c r="C25" t="s">
        <v>332</v>
      </c>
      <c r="D25" t="s">
        <v>93</v>
      </c>
      <c r="E25" t="s">
        <v>333</v>
      </c>
      <c r="F25" t="s">
        <v>334</v>
      </c>
      <c r="G25" t="s">
        <v>335</v>
      </c>
      <c r="H25" t="s">
        <v>336</v>
      </c>
      <c r="I25" t="s">
        <v>337</v>
      </c>
      <c r="J25" t="s">
        <v>338</v>
      </c>
      <c r="K25" t="s">
        <v>339</v>
      </c>
      <c r="L25" t="s">
        <v>340</v>
      </c>
      <c r="M25" t="s">
        <v>341</v>
      </c>
      <c r="N25" t="s">
        <v>342</v>
      </c>
      <c r="O25" t="s">
        <v>343</v>
      </c>
      <c r="P25" t="s">
        <v>344</v>
      </c>
    </row>
    <row r="26" spans="1:16" x14ac:dyDescent="0.35">
      <c r="A26" s="1" t="s">
        <v>885</v>
      </c>
      <c r="B26" t="s">
        <v>93</v>
      </c>
      <c r="C26" t="s">
        <v>93</v>
      </c>
      <c r="D26" t="s">
        <v>93</v>
      </c>
      <c r="E26" t="s">
        <v>93</v>
      </c>
      <c r="F26" t="s">
        <v>93</v>
      </c>
      <c r="G26" t="s">
        <v>93</v>
      </c>
      <c r="H26" t="s">
        <v>254</v>
      </c>
      <c r="I26" t="s">
        <v>93</v>
      </c>
      <c r="J26" t="s">
        <v>93</v>
      </c>
      <c r="K26" t="s">
        <v>93</v>
      </c>
      <c r="L26" t="s">
        <v>93</v>
      </c>
      <c r="M26" t="s">
        <v>93</v>
      </c>
      <c r="N26" t="s">
        <v>93</v>
      </c>
      <c r="O26" t="s">
        <v>886</v>
      </c>
      <c r="P26" t="s">
        <v>519</v>
      </c>
    </row>
    <row r="27" spans="1:16" x14ac:dyDescent="0.35">
      <c r="A27" s="1" t="s">
        <v>887</v>
      </c>
      <c r="B27" t="s">
        <v>544</v>
      </c>
      <c r="C27" t="s">
        <v>888</v>
      </c>
      <c r="D27" t="s">
        <v>889</v>
      </c>
      <c r="E27" t="s">
        <v>492</v>
      </c>
      <c r="F27" t="s">
        <v>654</v>
      </c>
      <c r="G27" t="s">
        <v>857</v>
      </c>
      <c r="H27" t="s">
        <v>890</v>
      </c>
      <c r="I27" t="s">
        <v>891</v>
      </c>
      <c r="J27" t="s">
        <v>892</v>
      </c>
      <c r="K27" t="s">
        <v>893</v>
      </c>
      <c r="L27" t="s">
        <v>894</v>
      </c>
      <c r="M27" t="s">
        <v>895</v>
      </c>
      <c r="N27" t="s">
        <v>896</v>
      </c>
      <c r="O27" t="s">
        <v>897</v>
      </c>
      <c r="P27" t="s">
        <v>898</v>
      </c>
    </row>
    <row r="28" spans="1:16" x14ac:dyDescent="0.35">
      <c r="A28" s="1" t="s">
        <v>899</v>
      </c>
      <c r="B28" t="s">
        <v>544</v>
      </c>
      <c r="C28" t="s">
        <v>900</v>
      </c>
      <c r="D28" t="s">
        <v>901</v>
      </c>
      <c r="E28" t="s">
        <v>493</v>
      </c>
      <c r="F28" t="s">
        <v>902</v>
      </c>
      <c r="G28" t="s">
        <v>903</v>
      </c>
      <c r="H28" t="s">
        <v>904</v>
      </c>
      <c r="I28" t="s">
        <v>905</v>
      </c>
      <c r="J28" t="s">
        <v>906</v>
      </c>
      <c r="K28" t="s">
        <v>907</v>
      </c>
      <c r="L28" t="s">
        <v>908</v>
      </c>
      <c r="M28" t="s">
        <v>909</v>
      </c>
      <c r="N28" t="s">
        <v>910</v>
      </c>
      <c r="O28" t="s">
        <v>911</v>
      </c>
      <c r="P28" t="s">
        <v>912</v>
      </c>
    </row>
    <row r="29" spans="1:16" x14ac:dyDescent="0.35">
      <c r="A29" s="1" t="s">
        <v>913</v>
      </c>
      <c r="B29" t="s">
        <v>93</v>
      </c>
      <c r="C29" t="s">
        <v>93</v>
      </c>
      <c r="D29" t="s">
        <v>93</v>
      </c>
      <c r="E29" t="s">
        <v>93</v>
      </c>
      <c r="F29" t="s">
        <v>93</v>
      </c>
      <c r="G29" t="s">
        <v>93</v>
      </c>
      <c r="H29" t="s">
        <v>93</v>
      </c>
      <c r="I29" t="s">
        <v>93</v>
      </c>
      <c r="J29" t="s">
        <v>93</v>
      </c>
      <c r="K29" t="s">
        <v>93</v>
      </c>
      <c r="L29" t="s">
        <v>93</v>
      </c>
      <c r="M29" t="s">
        <v>93</v>
      </c>
      <c r="N29" t="s">
        <v>93</v>
      </c>
      <c r="O29" t="s">
        <v>93</v>
      </c>
      <c r="P29" t="s">
        <v>93</v>
      </c>
    </row>
    <row r="30" spans="1:16" x14ac:dyDescent="0.35">
      <c r="A30" s="1" t="s">
        <v>914</v>
      </c>
      <c r="B30" t="s">
        <v>218</v>
      </c>
      <c r="C30" t="s">
        <v>536</v>
      </c>
      <c r="D30" t="s">
        <v>536</v>
      </c>
      <c r="E30" t="s">
        <v>536</v>
      </c>
      <c r="F30" t="s">
        <v>253</v>
      </c>
      <c r="G30" t="s">
        <v>769</v>
      </c>
      <c r="H30" t="s">
        <v>915</v>
      </c>
      <c r="I30" t="s">
        <v>317</v>
      </c>
      <c r="J30" t="s">
        <v>543</v>
      </c>
      <c r="K30" t="s">
        <v>500</v>
      </c>
      <c r="L30" t="s">
        <v>916</v>
      </c>
      <c r="M30" t="s">
        <v>917</v>
      </c>
      <c r="N30" t="s">
        <v>918</v>
      </c>
      <c r="O30" t="s">
        <v>919</v>
      </c>
      <c r="P30" t="s">
        <v>920</v>
      </c>
    </row>
    <row r="31" spans="1:16" x14ac:dyDescent="0.35">
      <c r="A31" s="1" t="s">
        <v>77</v>
      </c>
      <c r="B31" t="s">
        <v>843</v>
      </c>
      <c r="C31" t="s">
        <v>921</v>
      </c>
      <c r="D31" t="s">
        <v>922</v>
      </c>
      <c r="E31" t="s">
        <v>923</v>
      </c>
      <c r="F31" t="s">
        <v>924</v>
      </c>
      <c r="G31" t="s">
        <v>925</v>
      </c>
      <c r="H31" t="s">
        <v>926</v>
      </c>
      <c r="I31" t="s">
        <v>927</v>
      </c>
      <c r="J31" t="s">
        <v>928</v>
      </c>
      <c r="K31" t="s">
        <v>929</v>
      </c>
      <c r="L31" t="s">
        <v>930</v>
      </c>
      <c r="M31" t="s">
        <v>931</v>
      </c>
      <c r="N31" t="s">
        <v>932</v>
      </c>
      <c r="O31" t="s">
        <v>933</v>
      </c>
      <c r="P31" t="s">
        <v>934</v>
      </c>
    </row>
    <row r="32" spans="1:16" x14ac:dyDescent="0.35">
      <c r="A32" s="1" t="s">
        <v>935</v>
      </c>
      <c r="B32" t="s">
        <v>93</v>
      </c>
      <c r="C32" t="s">
        <v>93</v>
      </c>
      <c r="D32" t="s">
        <v>93</v>
      </c>
      <c r="E32" t="s">
        <v>93</v>
      </c>
      <c r="F32" t="s">
        <v>93</v>
      </c>
      <c r="G32" t="s">
        <v>93</v>
      </c>
      <c r="H32" t="s">
        <v>93</v>
      </c>
      <c r="I32" t="s">
        <v>93</v>
      </c>
      <c r="J32" t="s">
        <v>93</v>
      </c>
      <c r="K32" t="s">
        <v>93</v>
      </c>
      <c r="L32" t="s">
        <v>93</v>
      </c>
      <c r="M32" t="s">
        <v>93</v>
      </c>
      <c r="N32" t="s">
        <v>93</v>
      </c>
      <c r="O32" t="s">
        <v>93</v>
      </c>
      <c r="P32" t="s">
        <v>93</v>
      </c>
    </row>
    <row r="33" spans="1:16" x14ac:dyDescent="0.35">
      <c r="A33" s="1" t="s">
        <v>936</v>
      </c>
      <c r="B33" t="s">
        <v>218</v>
      </c>
      <c r="C33" t="s">
        <v>218</v>
      </c>
      <c r="D33" t="s">
        <v>218</v>
      </c>
      <c r="E33" t="s">
        <v>218</v>
      </c>
      <c r="F33" t="s">
        <v>218</v>
      </c>
      <c r="G33" t="s">
        <v>218</v>
      </c>
      <c r="H33" t="s">
        <v>218</v>
      </c>
      <c r="I33" t="s">
        <v>218</v>
      </c>
      <c r="J33" t="s">
        <v>218</v>
      </c>
      <c r="K33" t="s">
        <v>218</v>
      </c>
      <c r="L33" t="s">
        <v>218</v>
      </c>
      <c r="M33" t="s">
        <v>218</v>
      </c>
      <c r="N33" t="s">
        <v>93</v>
      </c>
      <c r="O33" t="s">
        <v>536</v>
      </c>
      <c r="P33" t="s">
        <v>536</v>
      </c>
    </row>
    <row r="34" spans="1:16" x14ac:dyDescent="0.35">
      <c r="A34" s="1" t="s">
        <v>937</v>
      </c>
      <c r="B34" t="s">
        <v>938</v>
      </c>
      <c r="C34" t="s">
        <v>939</v>
      </c>
      <c r="D34" t="s">
        <v>940</v>
      </c>
      <c r="E34" t="s">
        <v>941</v>
      </c>
      <c r="F34" t="s">
        <v>942</v>
      </c>
      <c r="G34" t="s">
        <v>943</v>
      </c>
      <c r="H34" t="s">
        <v>944</v>
      </c>
      <c r="I34" t="s">
        <v>945</v>
      </c>
      <c r="J34" t="s">
        <v>946</v>
      </c>
      <c r="K34" t="s">
        <v>947</v>
      </c>
      <c r="L34" t="s">
        <v>948</v>
      </c>
      <c r="M34" t="s">
        <v>949</v>
      </c>
      <c r="N34" t="s">
        <v>950</v>
      </c>
      <c r="O34" t="s">
        <v>951</v>
      </c>
      <c r="P34" t="s">
        <v>952</v>
      </c>
    </row>
    <row r="35" spans="1:16" x14ac:dyDescent="0.35">
      <c r="A35" s="1" t="s">
        <v>953</v>
      </c>
      <c r="B35" t="s">
        <v>954</v>
      </c>
      <c r="C35" t="s">
        <v>616</v>
      </c>
      <c r="D35" t="s">
        <v>955</v>
      </c>
      <c r="E35" t="s">
        <v>956</v>
      </c>
      <c r="F35" t="s">
        <v>957</v>
      </c>
      <c r="G35" t="s">
        <v>93</v>
      </c>
      <c r="H35" t="s">
        <v>958</v>
      </c>
      <c r="I35" t="s">
        <v>959</v>
      </c>
      <c r="J35" t="s">
        <v>615</v>
      </c>
      <c r="K35" t="s">
        <v>960</v>
      </c>
      <c r="L35" t="s">
        <v>543</v>
      </c>
      <c r="M35" t="s">
        <v>961</v>
      </c>
      <c r="N35" t="s">
        <v>962</v>
      </c>
      <c r="O35" t="s">
        <v>963</v>
      </c>
      <c r="P35" t="s">
        <v>491</v>
      </c>
    </row>
    <row r="36" spans="1:16" x14ac:dyDescent="0.35">
      <c r="A36" s="1" t="s">
        <v>964</v>
      </c>
      <c r="B36" t="s">
        <v>254</v>
      </c>
      <c r="C36" t="s">
        <v>751</v>
      </c>
      <c r="D36" t="s">
        <v>538</v>
      </c>
      <c r="E36" t="s">
        <v>965</v>
      </c>
      <c r="F36" t="s">
        <v>966</v>
      </c>
      <c r="G36" t="s">
        <v>967</v>
      </c>
      <c r="H36" t="s">
        <v>968</v>
      </c>
      <c r="I36" t="s">
        <v>969</v>
      </c>
      <c r="J36" t="s">
        <v>970</v>
      </c>
      <c r="K36" t="s">
        <v>971</v>
      </c>
      <c r="L36" t="s">
        <v>972</v>
      </c>
      <c r="M36" t="s">
        <v>973</v>
      </c>
      <c r="N36" t="s">
        <v>974</v>
      </c>
      <c r="O36" t="s">
        <v>975</v>
      </c>
      <c r="P36" t="s">
        <v>976</v>
      </c>
    </row>
    <row r="37" spans="1:16" x14ac:dyDescent="0.35">
      <c r="A37" s="1" t="s">
        <v>86</v>
      </c>
      <c r="B37" t="s">
        <v>347</v>
      </c>
      <c r="C37" t="s">
        <v>348</v>
      </c>
      <c r="D37" t="s">
        <v>273</v>
      </c>
      <c r="E37" t="s">
        <v>349</v>
      </c>
      <c r="F37" t="s">
        <v>350</v>
      </c>
      <c r="G37" t="s">
        <v>351</v>
      </c>
      <c r="H37" t="s">
        <v>352</v>
      </c>
      <c r="I37" t="s">
        <v>353</v>
      </c>
      <c r="J37" t="s">
        <v>354</v>
      </c>
      <c r="K37" t="s">
        <v>355</v>
      </c>
      <c r="L37" t="s">
        <v>356</v>
      </c>
      <c r="M37" t="s">
        <v>357</v>
      </c>
      <c r="N37" t="s">
        <v>358</v>
      </c>
      <c r="O37" t="s">
        <v>359</v>
      </c>
      <c r="P37" t="s">
        <v>360</v>
      </c>
    </row>
    <row r="38" spans="1:16" x14ac:dyDescent="0.35">
      <c r="A38" s="1" t="s">
        <v>977</v>
      </c>
      <c r="B38" t="s">
        <v>803</v>
      </c>
      <c r="C38" t="s">
        <v>804</v>
      </c>
      <c r="D38" t="s">
        <v>805</v>
      </c>
      <c r="E38" t="s">
        <v>806</v>
      </c>
      <c r="F38" t="s">
        <v>807</v>
      </c>
      <c r="G38" t="s">
        <v>808</v>
      </c>
      <c r="H38" t="s">
        <v>809</v>
      </c>
      <c r="I38" t="s">
        <v>810</v>
      </c>
      <c r="J38" t="s">
        <v>811</v>
      </c>
      <c r="K38" t="s">
        <v>978</v>
      </c>
      <c r="L38" t="s">
        <v>979</v>
      </c>
      <c r="M38" t="s">
        <v>980</v>
      </c>
      <c r="N38" t="s">
        <v>981</v>
      </c>
      <c r="O38" t="s">
        <v>982</v>
      </c>
      <c r="P38" t="s">
        <v>983</v>
      </c>
    </row>
    <row r="39" spans="1:16" x14ac:dyDescent="0.35">
      <c r="A39" s="1" t="s">
        <v>984</v>
      </c>
      <c r="B39" t="s">
        <v>93</v>
      </c>
      <c r="C39" t="s">
        <v>93</v>
      </c>
      <c r="D39" t="s">
        <v>93</v>
      </c>
      <c r="E39" t="s">
        <v>93</v>
      </c>
      <c r="F39" t="s">
        <v>93</v>
      </c>
      <c r="G39" t="s">
        <v>957</v>
      </c>
      <c r="H39" t="s">
        <v>93</v>
      </c>
      <c r="I39" t="s">
        <v>93</v>
      </c>
      <c r="J39" t="s">
        <v>93</v>
      </c>
      <c r="K39" t="s">
        <v>985</v>
      </c>
      <c r="L39" t="s">
        <v>986</v>
      </c>
      <c r="M39" t="s">
        <v>498</v>
      </c>
      <c r="N39" t="s">
        <v>987</v>
      </c>
      <c r="O39" t="s">
        <v>988</v>
      </c>
      <c r="P39" t="s">
        <v>989</v>
      </c>
    </row>
    <row r="40" spans="1:16" x14ac:dyDescent="0.35">
      <c r="A40" s="1" t="s">
        <v>990</v>
      </c>
      <c r="B40" t="s">
        <v>803</v>
      </c>
      <c r="C40" t="s">
        <v>804</v>
      </c>
      <c r="D40" t="s">
        <v>805</v>
      </c>
      <c r="E40" t="s">
        <v>806</v>
      </c>
      <c r="F40" t="s">
        <v>807</v>
      </c>
      <c r="G40" t="s">
        <v>808</v>
      </c>
      <c r="H40" t="s">
        <v>809</v>
      </c>
      <c r="I40" t="s">
        <v>810</v>
      </c>
      <c r="J40" t="s">
        <v>811</v>
      </c>
      <c r="K40" t="s">
        <v>812</v>
      </c>
      <c r="L40" t="s">
        <v>813</v>
      </c>
      <c r="M40" t="s">
        <v>814</v>
      </c>
      <c r="N40" t="s">
        <v>815</v>
      </c>
      <c r="O40" t="s">
        <v>816</v>
      </c>
      <c r="P40" t="s">
        <v>817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9"/>
  <sheetViews>
    <sheetView workbookViewId="0">
      <selection activeCell="C39" sqref="C39"/>
    </sheetView>
  </sheetViews>
  <sheetFormatPr defaultRowHeight="14.5" x14ac:dyDescent="0.35"/>
  <cols>
    <col min="1" max="1" width="22.7265625" customWidth="1"/>
  </cols>
  <sheetData>
    <row r="1" spans="1:16" x14ac:dyDescent="0.35">
      <c r="B1" s="1" t="s">
        <v>414</v>
      </c>
      <c r="C1" s="1" t="s">
        <v>415</v>
      </c>
      <c r="D1" s="1" t="s">
        <v>416</v>
      </c>
      <c r="E1" s="1" t="s">
        <v>417</v>
      </c>
      <c r="F1" s="1" t="s">
        <v>418</v>
      </c>
      <c r="G1" s="1" t="s">
        <v>419</v>
      </c>
      <c r="H1" s="1" t="s">
        <v>420</v>
      </c>
      <c r="I1" s="1" t="s">
        <v>421</v>
      </c>
      <c r="J1" s="1" t="s">
        <v>422</v>
      </c>
      <c r="K1" s="1" t="s">
        <v>423</v>
      </c>
      <c r="L1" s="1" t="s">
        <v>424</v>
      </c>
      <c r="M1" s="1" t="s">
        <v>425</v>
      </c>
      <c r="N1" s="1" t="s">
        <v>426</v>
      </c>
      <c r="O1" s="1" t="s">
        <v>427</v>
      </c>
      <c r="P1" s="1" t="s">
        <v>428</v>
      </c>
    </row>
    <row r="2" spans="1:16" x14ac:dyDescent="0.35">
      <c r="A2" s="1" t="s">
        <v>43</v>
      </c>
      <c r="B2" t="s">
        <v>269</v>
      </c>
      <c r="C2" t="s">
        <v>270</v>
      </c>
      <c r="D2" t="s">
        <v>271</v>
      </c>
      <c r="E2" t="s">
        <v>272</v>
      </c>
      <c r="F2" t="s">
        <v>273</v>
      </c>
      <c r="G2" t="s">
        <v>274</v>
      </c>
      <c r="H2" t="s">
        <v>275</v>
      </c>
      <c r="I2" t="s">
        <v>276</v>
      </c>
      <c r="J2" t="s">
        <v>277</v>
      </c>
      <c r="K2" t="s">
        <v>278</v>
      </c>
      <c r="L2" t="s">
        <v>279</v>
      </c>
      <c r="M2" t="s">
        <v>280</v>
      </c>
      <c r="N2" t="s">
        <v>281</v>
      </c>
      <c r="O2" t="s">
        <v>282</v>
      </c>
      <c r="P2" t="s">
        <v>283</v>
      </c>
    </row>
    <row r="3" spans="1:16" x14ac:dyDescent="0.35">
      <c r="A3" s="1" t="s">
        <v>552</v>
      </c>
      <c r="B3" t="s">
        <v>252</v>
      </c>
      <c r="C3" t="s">
        <v>253</v>
      </c>
      <c r="D3" t="s">
        <v>254</v>
      </c>
      <c r="E3" t="s">
        <v>255</v>
      </c>
      <c r="F3" t="s">
        <v>256</v>
      </c>
      <c r="G3" t="s">
        <v>257</v>
      </c>
      <c r="H3" t="s">
        <v>258</v>
      </c>
      <c r="I3" t="s">
        <v>259</v>
      </c>
      <c r="J3" t="s">
        <v>260</v>
      </c>
      <c r="K3" t="s">
        <v>261</v>
      </c>
      <c r="L3" t="s">
        <v>262</v>
      </c>
      <c r="M3" t="s">
        <v>263</v>
      </c>
      <c r="N3" t="s">
        <v>264</v>
      </c>
      <c r="O3" t="s">
        <v>265</v>
      </c>
      <c r="P3" t="s">
        <v>266</v>
      </c>
    </row>
    <row r="4" spans="1:16" x14ac:dyDescent="0.35">
      <c r="A4" s="1" t="s">
        <v>991</v>
      </c>
      <c r="B4" t="s">
        <v>93</v>
      </c>
      <c r="C4" t="s">
        <v>93</v>
      </c>
      <c r="D4" t="s">
        <v>93</v>
      </c>
      <c r="E4" t="s">
        <v>93</v>
      </c>
      <c r="F4" t="s">
        <v>93</v>
      </c>
      <c r="G4" t="s">
        <v>93</v>
      </c>
      <c r="H4" t="s">
        <v>93</v>
      </c>
      <c r="I4" t="s">
        <v>93</v>
      </c>
      <c r="J4" t="s">
        <v>93</v>
      </c>
      <c r="K4" t="s">
        <v>93</v>
      </c>
      <c r="L4" t="s">
        <v>93</v>
      </c>
      <c r="M4" t="s">
        <v>93</v>
      </c>
      <c r="N4" t="s">
        <v>93</v>
      </c>
      <c r="O4" t="s">
        <v>93</v>
      </c>
      <c r="P4" t="s">
        <v>93</v>
      </c>
    </row>
    <row r="5" spans="1:16" x14ac:dyDescent="0.35">
      <c r="A5" s="1" t="s">
        <v>992</v>
      </c>
      <c r="B5" t="s">
        <v>218</v>
      </c>
      <c r="C5" t="s">
        <v>218</v>
      </c>
      <c r="D5" t="s">
        <v>536</v>
      </c>
      <c r="E5" t="s">
        <v>915</v>
      </c>
      <c r="F5" t="s">
        <v>257</v>
      </c>
      <c r="G5" t="s">
        <v>717</v>
      </c>
      <c r="H5" t="s">
        <v>993</v>
      </c>
      <c r="I5" t="s">
        <v>994</v>
      </c>
      <c r="J5" t="s">
        <v>766</v>
      </c>
      <c r="K5" t="s">
        <v>995</v>
      </c>
      <c r="L5" t="s">
        <v>996</v>
      </c>
      <c r="M5" t="s">
        <v>997</v>
      </c>
      <c r="N5" t="s">
        <v>998</v>
      </c>
      <c r="O5" t="s">
        <v>999</v>
      </c>
      <c r="P5" t="s">
        <v>1000</v>
      </c>
    </row>
    <row r="6" spans="1:16" x14ac:dyDescent="0.35">
      <c r="A6" s="1" t="s">
        <v>1001</v>
      </c>
      <c r="B6" t="s">
        <v>492</v>
      </c>
      <c r="C6" t="s">
        <v>915</v>
      </c>
      <c r="D6" t="s">
        <v>1002</v>
      </c>
      <c r="E6" t="s">
        <v>1003</v>
      </c>
      <c r="F6" t="s">
        <v>1004</v>
      </c>
      <c r="G6" t="s">
        <v>317</v>
      </c>
      <c r="H6" t="s">
        <v>351</v>
      </c>
      <c r="I6" t="s">
        <v>1005</v>
      </c>
      <c r="J6" t="s">
        <v>1006</v>
      </c>
      <c r="K6" t="s">
        <v>1007</v>
      </c>
      <c r="L6" t="s">
        <v>1008</v>
      </c>
      <c r="M6" t="s">
        <v>656</v>
      </c>
      <c r="N6" t="s">
        <v>1009</v>
      </c>
      <c r="O6" t="s">
        <v>1010</v>
      </c>
      <c r="P6" t="s">
        <v>480</v>
      </c>
    </row>
    <row r="7" spans="1:16" x14ac:dyDescent="0.35">
      <c r="A7" s="1" t="s">
        <v>1011</v>
      </c>
      <c r="B7" t="s">
        <v>957</v>
      </c>
      <c r="C7" t="s">
        <v>954</v>
      </c>
      <c r="D7" t="s">
        <v>957</v>
      </c>
      <c r="E7" t="s">
        <v>954</v>
      </c>
      <c r="F7" t="s">
        <v>954</v>
      </c>
      <c r="G7" t="s">
        <v>1012</v>
      </c>
      <c r="H7" t="s">
        <v>956</v>
      </c>
      <c r="I7" t="s">
        <v>1013</v>
      </c>
      <c r="J7" t="s">
        <v>857</v>
      </c>
      <c r="K7" t="s">
        <v>1014</v>
      </c>
      <c r="L7" t="s">
        <v>323</v>
      </c>
      <c r="M7" t="s">
        <v>1008</v>
      </c>
      <c r="N7" t="s">
        <v>558</v>
      </c>
      <c r="O7" t="s">
        <v>1015</v>
      </c>
      <c r="P7" t="s">
        <v>1016</v>
      </c>
    </row>
    <row r="8" spans="1:16" x14ac:dyDescent="0.35">
      <c r="A8" s="1" t="s">
        <v>55</v>
      </c>
      <c r="B8" t="s">
        <v>617</v>
      </c>
      <c r="C8" t="s">
        <v>1017</v>
      </c>
      <c r="D8" t="s">
        <v>961</v>
      </c>
      <c r="E8" t="s">
        <v>1018</v>
      </c>
      <c r="F8" t="s">
        <v>320</v>
      </c>
      <c r="G8" t="s">
        <v>1019</v>
      </c>
      <c r="H8" t="s">
        <v>1020</v>
      </c>
      <c r="I8" t="s">
        <v>1021</v>
      </c>
      <c r="J8" t="s">
        <v>1022</v>
      </c>
      <c r="K8" t="s">
        <v>1023</v>
      </c>
      <c r="L8" t="s">
        <v>1024</v>
      </c>
      <c r="M8" t="s">
        <v>1025</v>
      </c>
      <c r="N8" t="s">
        <v>1026</v>
      </c>
      <c r="O8" t="s">
        <v>1027</v>
      </c>
      <c r="P8" t="s">
        <v>1028</v>
      </c>
    </row>
    <row r="9" spans="1:16" x14ac:dyDescent="0.35">
      <c r="A9" s="1" t="s">
        <v>818</v>
      </c>
      <c r="B9" t="s">
        <v>536</v>
      </c>
      <c r="C9" t="s">
        <v>537</v>
      </c>
      <c r="D9" t="s">
        <v>536</v>
      </c>
      <c r="E9" t="s">
        <v>957</v>
      </c>
      <c r="F9" t="s">
        <v>655</v>
      </c>
      <c r="G9" t="s">
        <v>1029</v>
      </c>
      <c r="H9" t="s">
        <v>957</v>
      </c>
      <c r="I9" t="s">
        <v>1030</v>
      </c>
      <c r="J9" t="s">
        <v>93</v>
      </c>
      <c r="K9" t="s">
        <v>93</v>
      </c>
      <c r="L9" t="s">
        <v>93</v>
      </c>
      <c r="M9" t="s">
        <v>93</v>
      </c>
      <c r="N9" t="s">
        <v>93</v>
      </c>
      <c r="O9" t="s">
        <v>93</v>
      </c>
      <c r="P9" t="s">
        <v>93</v>
      </c>
    </row>
    <row r="10" spans="1:16" x14ac:dyDescent="0.35">
      <c r="A10" s="1" t="s">
        <v>1031</v>
      </c>
      <c r="B10" t="s">
        <v>957</v>
      </c>
      <c r="C10" t="s">
        <v>819</v>
      </c>
      <c r="D10" t="s">
        <v>218</v>
      </c>
      <c r="E10" t="s">
        <v>253</v>
      </c>
      <c r="F10" t="s">
        <v>476</v>
      </c>
      <c r="G10" t="s">
        <v>1032</v>
      </c>
      <c r="H10" t="s">
        <v>658</v>
      </c>
      <c r="I10" t="s">
        <v>1033</v>
      </c>
      <c r="J10" t="s">
        <v>1034</v>
      </c>
      <c r="K10" t="s">
        <v>1035</v>
      </c>
      <c r="L10" t="s">
        <v>181</v>
      </c>
      <c r="M10" t="s">
        <v>1036</v>
      </c>
      <c r="N10" t="s">
        <v>1037</v>
      </c>
      <c r="O10" t="s">
        <v>1038</v>
      </c>
      <c r="P10" t="s">
        <v>1039</v>
      </c>
    </row>
    <row r="11" spans="1:16" x14ac:dyDescent="0.35">
      <c r="A11" s="1" t="s">
        <v>1040</v>
      </c>
      <c r="B11" t="s">
        <v>535</v>
      </c>
      <c r="C11" t="s">
        <v>819</v>
      </c>
      <c r="D11" t="s">
        <v>253</v>
      </c>
      <c r="E11" t="s">
        <v>783</v>
      </c>
      <c r="F11" t="s">
        <v>819</v>
      </c>
      <c r="G11" t="s">
        <v>831</v>
      </c>
      <c r="H11" t="s">
        <v>538</v>
      </c>
      <c r="I11" t="s">
        <v>1041</v>
      </c>
      <c r="J11" t="s">
        <v>1042</v>
      </c>
      <c r="K11" t="s">
        <v>962</v>
      </c>
      <c r="L11" t="s">
        <v>1043</v>
      </c>
      <c r="M11" t="s">
        <v>1044</v>
      </c>
      <c r="N11" t="s">
        <v>1045</v>
      </c>
      <c r="O11" t="s">
        <v>1046</v>
      </c>
      <c r="P11" t="s">
        <v>1047</v>
      </c>
    </row>
    <row r="12" spans="1:16" x14ac:dyDescent="0.35">
      <c r="A12" s="1" t="s">
        <v>1048</v>
      </c>
      <c r="B12" t="s">
        <v>1049</v>
      </c>
      <c r="C12" t="s">
        <v>585</v>
      </c>
      <c r="D12" t="s">
        <v>1050</v>
      </c>
      <c r="E12" t="s">
        <v>1051</v>
      </c>
      <c r="F12" t="s">
        <v>1052</v>
      </c>
      <c r="G12" t="s">
        <v>1053</v>
      </c>
      <c r="H12" t="s">
        <v>1054</v>
      </c>
      <c r="I12" t="s">
        <v>316</v>
      </c>
      <c r="J12" t="s">
        <v>1055</v>
      </c>
      <c r="K12" t="s">
        <v>1056</v>
      </c>
      <c r="L12" t="s">
        <v>589</v>
      </c>
      <c r="M12" t="s">
        <v>1057</v>
      </c>
      <c r="N12" t="s">
        <v>1058</v>
      </c>
      <c r="O12" t="s">
        <v>1059</v>
      </c>
      <c r="P12" t="s">
        <v>1060</v>
      </c>
    </row>
    <row r="13" spans="1:16" x14ac:dyDescent="0.35">
      <c r="A13" s="1" t="s">
        <v>1061</v>
      </c>
      <c r="B13" t="s">
        <v>618</v>
      </c>
      <c r="C13" t="s">
        <v>618</v>
      </c>
      <c r="D13" t="s">
        <v>1062</v>
      </c>
      <c r="E13" t="s">
        <v>1063</v>
      </c>
      <c r="F13" t="s">
        <v>1064</v>
      </c>
      <c r="G13" t="s">
        <v>1065</v>
      </c>
      <c r="H13" t="s">
        <v>1066</v>
      </c>
      <c r="I13" t="s">
        <v>1067</v>
      </c>
      <c r="J13" t="s">
        <v>1068</v>
      </c>
      <c r="K13" t="s">
        <v>1069</v>
      </c>
      <c r="L13" t="s">
        <v>1070</v>
      </c>
      <c r="M13" t="s">
        <v>1071</v>
      </c>
      <c r="N13" t="s">
        <v>1072</v>
      </c>
      <c r="O13" t="s">
        <v>1073</v>
      </c>
      <c r="P13" t="s">
        <v>1074</v>
      </c>
    </row>
    <row r="14" spans="1:16" x14ac:dyDescent="0.35">
      <c r="A14" s="1" t="s">
        <v>1075</v>
      </c>
      <c r="B14" t="s">
        <v>93</v>
      </c>
      <c r="C14" t="s">
        <v>93</v>
      </c>
      <c r="D14" t="s">
        <v>93</v>
      </c>
      <c r="E14" t="s">
        <v>93</v>
      </c>
      <c r="F14" t="s">
        <v>93</v>
      </c>
      <c r="G14" t="s">
        <v>93</v>
      </c>
      <c r="H14" t="s">
        <v>93</v>
      </c>
      <c r="I14" t="s">
        <v>93</v>
      </c>
      <c r="J14" t="s">
        <v>1062</v>
      </c>
      <c r="K14" t="s">
        <v>1076</v>
      </c>
      <c r="L14" t="s">
        <v>1077</v>
      </c>
      <c r="M14" t="s">
        <v>1078</v>
      </c>
      <c r="N14" t="s">
        <v>1079</v>
      </c>
      <c r="O14" t="s">
        <v>955</v>
      </c>
      <c r="P14" t="s">
        <v>93</v>
      </c>
    </row>
    <row r="15" spans="1:16" x14ac:dyDescent="0.35">
      <c r="A15" s="1" t="s">
        <v>1080</v>
      </c>
      <c r="B15" t="s">
        <v>93</v>
      </c>
      <c r="C15" t="s">
        <v>93</v>
      </c>
      <c r="D15" t="s">
        <v>93</v>
      </c>
      <c r="E15" t="s">
        <v>93</v>
      </c>
      <c r="F15" t="s">
        <v>1081</v>
      </c>
      <c r="G15" t="s">
        <v>1017</v>
      </c>
      <c r="H15" t="s">
        <v>93</v>
      </c>
      <c r="I15" t="s">
        <v>1082</v>
      </c>
      <c r="J15" t="s">
        <v>93</v>
      </c>
      <c r="K15" t="s">
        <v>93</v>
      </c>
      <c r="L15" t="s">
        <v>93</v>
      </c>
      <c r="M15" t="s">
        <v>93</v>
      </c>
      <c r="N15" t="s">
        <v>93</v>
      </c>
      <c r="O15" t="s">
        <v>93</v>
      </c>
      <c r="P15" t="s">
        <v>1083</v>
      </c>
    </row>
    <row r="16" spans="1:16" x14ac:dyDescent="0.35">
      <c r="A16" s="1" t="s">
        <v>1084</v>
      </c>
      <c r="B16" t="s">
        <v>93</v>
      </c>
      <c r="C16" t="s">
        <v>93</v>
      </c>
      <c r="D16" t="s">
        <v>93</v>
      </c>
      <c r="E16" t="s">
        <v>93</v>
      </c>
      <c r="F16" t="s">
        <v>861</v>
      </c>
      <c r="G16" t="s">
        <v>861</v>
      </c>
      <c r="H16" t="s">
        <v>93</v>
      </c>
      <c r="I16" t="s">
        <v>1085</v>
      </c>
      <c r="J16" t="s">
        <v>93</v>
      </c>
      <c r="K16" t="s">
        <v>256</v>
      </c>
      <c r="L16" t="s">
        <v>93</v>
      </c>
      <c r="M16" t="s">
        <v>93</v>
      </c>
      <c r="N16" t="s">
        <v>93</v>
      </c>
      <c r="O16" t="s">
        <v>93</v>
      </c>
      <c r="P16" t="s">
        <v>93</v>
      </c>
    </row>
    <row r="17" spans="1:16" x14ac:dyDescent="0.35">
      <c r="A17" s="1" t="s">
        <v>1086</v>
      </c>
      <c r="B17" t="s">
        <v>218</v>
      </c>
      <c r="C17" t="s">
        <v>444</v>
      </c>
      <c r="D17" t="s">
        <v>617</v>
      </c>
      <c r="E17" t="s">
        <v>958</v>
      </c>
      <c r="F17" t="s">
        <v>1032</v>
      </c>
      <c r="G17" t="s">
        <v>254</v>
      </c>
      <c r="H17" t="s">
        <v>219</v>
      </c>
      <c r="I17" t="s">
        <v>615</v>
      </c>
      <c r="J17" t="s">
        <v>1087</v>
      </c>
      <c r="K17" t="s">
        <v>1082</v>
      </c>
      <c r="L17" t="s">
        <v>1088</v>
      </c>
      <c r="M17" t="s">
        <v>93</v>
      </c>
      <c r="N17" t="s">
        <v>857</v>
      </c>
      <c r="O17" t="s">
        <v>731</v>
      </c>
      <c r="P17" t="s">
        <v>1089</v>
      </c>
    </row>
    <row r="18" spans="1:16" x14ac:dyDescent="0.35">
      <c r="A18" s="1" t="s">
        <v>1090</v>
      </c>
      <c r="B18" t="s">
        <v>618</v>
      </c>
      <c r="C18" t="s">
        <v>1003</v>
      </c>
      <c r="D18" t="s">
        <v>320</v>
      </c>
      <c r="E18" t="s">
        <v>625</v>
      </c>
      <c r="F18" t="s">
        <v>1091</v>
      </c>
      <c r="G18" t="s">
        <v>1092</v>
      </c>
      <c r="H18" t="s">
        <v>1093</v>
      </c>
      <c r="I18" t="s">
        <v>1094</v>
      </c>
      <c r="J18" t="s">
        <v>1095</v>
      </c>
      <c r="K18" t="s">
        <v>1096</v>
      </c>
      <c r="L18" t="s">
        <v>1097</v>
      </c>
      <c r="M18" t="s">
        <v>1098</v>
      </c>
      <c r="N18" t="s">
        <v>1099</v>
      </c>
      <c r="O18" t="s">
        <v>1100</v>
      </c>
      <c r="P18" t="s">
        <v>1101</v>
      </c>
    </row>
    <row r="19" spans="1:16" x14ac:dyDescent="0.35">
      <c r="A19" s="1" t="s">
        <v>1102</v>
      </c>
      <c r="B19" t="s">
        <v>93</v>
      </c>
      <c r="C19" t="s">
        <v>957</v>
      </c>
      <c r="D19" t="s">
        <v>957</v>
      </c>
      <c r="E19" t="s">
        <v>957</v>
      </c>
      <c r="F19" t="s">
        <v>957</v>
      </c>
      <c r="G19" t="s">
        <v>1103</v>
      </c>
      <c r="H19" t="s">
        <v>1104</v>
      </c>
      <c r="I19" t="s">
        <v>1003</v>
      </c>
      <c r="J19" t="s">
        <v>1105</v>
      </c>
      <c r="K19" t="s">
        <v>1106</v>
      </c>
      <c r="L19" t="s">
        <v>1107</v>
      </c>
      <c r="M19" t="s">
        <v>1108</v>
      </c>
      <c r="N19" t="s">
        <v>1109</v>
      </c>
      <c r="O19" t="s">
        <v>1110</v>
      </c>
      <c r="P19" t="s">
        <v>1111</v>
      </c>
    </row>
    <row r="20" spans="1:16" x14ac:dyDescent="0.35">
      <c r="A20" s="1" t="s">
        <v>1112</v>
      </c>
      <c r="B20" t="s">
        <v>93</v>
      </c>
      <c r="C20" t="s">
        <v>218</v>
      </c>
      <c r="D20" t="s">
        <v>93</v>
      </c>
      <c r="E20" t="s">
        <v>718</v>
      </c>
      <c r="F20" t="s">
        <v>1113</v>
      </c>
      <c r="G20" t="s">
        <v>1114</v>
      </c>
      <c r="H20" t="s">
        <v>1115</v>
      </c>
      <c r="I20" t="s">
        <v>93</v>
      </c>
      <c r="J20" t="s">
        <v>1116</v>
      </c>
      <c r="K20" t="s">
        <v>1117</v>
      </c>
      <c r="L20" t="s">
        <v>1118</v>
      </c>
      <c r="M20" t="s">
        <v>93</v>
      </c>
      <c r="N20" t="s">
        <v>1119</v>
      </c>
      <c r="O20" t="s">
        <v>1120</v>
      </c>
      <c r="P20" t="s">
        <v>93</v>
      </c>
    </row>
    <row r="21" spans="1:16" x14ac:dyDescent="0.35">
      <c r="A21" s="1" t="s">
        <v>1121</v>
      </c>
      <c r="B21" t="s">
        <v>93</v>
      </c>
      <c r="C21" t="s">
        <v>93</v>
      </c>
      <c r="D21" t="s">
        <v>93</v>
      </c>
      <c r="E21" t="s">
        <v>93</v>
      </c>
      <c r="F21" t="s">
        <v>93</v>
      </c>
      <c r="G21" t="s">
        <v>93</v>
      </c>
      <c r="H21" t="s">
        <v>93</v>
      </c>
      <c r="I21" t="s">
        <v>93</v>
      </c>
      <c r="J21" t="s">
        <v>93</v>
      </c>
      <c r="K21" t="s">
        <v>93</v>
      </c>
      <c r="L21" t="s">
        <v>93</v>
      </c>
      <c r="M21" t="s">
        <v>93</v>
      </c>
      <c r="N21" t="s">
        <v>93</v>
      </c>
      <c r="O21" t="s">
        <v>93</v>
      </c>
      <c r="P21" t="s">
        <v>93</v>
      </c>
    </row>
    <row r="22" spans="1:16" x14ac:dyDescent="0.35">
      <c r="A22" s="1" t="s">
        <v>1122</v>
      </c>
      <c r="B22" t="s">
        <v>93</v>
      </c>
      <c r="C22" t="s">
        <v>93</v>
      </c>
      <c r="D22" t="s">
        <v>93</v>
      </c>
      <c r="E22" t="s">
        <v>93</v>
      </c>
      <c r="F22" t="s">
        <v>93</v>
      </c>
      <c r="G22" t="s">
        <v>93</v>
      </c>
      <c r="H22" t="s">
        <v>93</v>
      </c>
      <c r="I22" t="s">
        <v>93</v>
      </c>
      <c r="J22" t="s">
        <v>93</v>
      </c>
      <c r="K22" t="s">
        <v>93</v>
      </c>
      <c r="L22" t="s">
        <v>93</v>
      </c>
      <c r="M22" t="s">
        <v>93</v>
      </c>
      <c r="N22" t="s">
        <v>93</v>
      </c>
      <c r="O22" t="s">
        <v>93</v>
      </c>
      <c r="P22" t="s">
        <v>93</v>
      </c>
    </row>
    <row r="23" spans="1:16" x14ac:dyDescent="0.35">
      <c r="A23" s="1" t="s">
        <v>1123</v>
      </c>
      <c r="B23" t="s">
        <v>716</v>
      </c>
      <c r="C23" t="s">
        <v>332</v>
      </c>
      <c r="D23" t="s">
        <v>994</v>
      </c>
      <c r="E23" t="s">
        <v>687</v>
      </c>
      <c r="F23" t="s">
        <v>1124</v>
      </c>
      <c r="G23" t="s">
        <v>1076</v>
      </c>
      <c r="H23" t="s">
        <v>1125</v>
      </c>
      <c r="I23" t="s">
        <v>264</v>
      </c>
      <c r="J23" t="s">
        <v>1126</v>
      </c>
      <c r="K23" t="s">
        <v>1127</v>
      </c>
      <c r="L23" t="s">
        <v>1128</v>
      </c>
      <c r="M23" t="s">
        <v>1129</v>
      </c>
      <c r="N23" t="s">
        <v>1130</v>
      </c>
      <c r="O23" t="s">
        <v>1131</v>
      </c>
      <c r="P23" t="s">
        <v>1132</v>
      </c>
    </row>
    <row r="24" spans="1:16" x14ac:dyDescent="0.35">
      <c r="A24" s="1" t="s">
        <v>1133</v>
      </c>
      <c r="B24" t="s">
        <v>716</v>
      </c>
      <c r="C24" t="s">
        <v>332</v>
      </c>
      <c r="D24" t="s">
        <v>1134</v>
      </c>
      <c r="E24" t="s">
        <v>1135</v>
      </c>
      <c r="F24" t="s">
        <v>850</v>
      </c>
      <c r="G24" t="s">
        <v>1136</v>
      </c>
      <c r="H24" t="s">
        <v>1137</v>
      </c>
      <c r="I24" t="s">
        <v>1138</v>
      </c>
      <c r="J24" t="s">
        <v>1139</v>
      </c>
      <c r="K24" t="s">
        <v>1140</v>
      </c>
      <c r="L24" t="s">
        <v>1141</v>
      </c>
      <c r="M24" t="s">
        <v>1142</v>
      </c>
      <c r="N24" t="s">
        <v>1143</v>
      </c>
      <c r="O24" t="s">
        <v>1144</v>
      </c>
      <c r="P24" t="s">
        <v>1145</v>
      </c>
    </row>
    <row r="25" spans="1:16" x14ac:dyDescent="0.35">
      <c r="A25" s="1" t="s">
        <v>1146</v>
      </c>
      <c r="B25" t="s">
        <v>93</v>
      </c>
      <c r="C25" t="s">
        <v>93</v>
      </c>
      <c r="D25" t="s">
        <v>93</v>
      </c>
      <c r="E25" t="s">
        <v>93</v>
      </c>
      <c r="F25" t="s">
        <v>93</v>
      </c>
      <c r="G25" t="s">
        <v>93</v>
      </c>
      <c r="H25" t="s">
        <v>93</v>
      </c>
      <c r="I25" t="s">
        <v>962</v>
      </c>
      <c r="J25" t="s">
        <v>1147</v>
      </c>
      <c r="K25" t="s">
        <v>616</v>
      </c>
      <c r="L25" t="s">
        <v>1148</v>
      </c>
      <c r="M25" t="s">
        <v>1149</v>
      </c>
      <c r="N25" t="s">
        <v>831</v>
      </c>
      <c r="O25" t="s">
        <v>995</v>
      </c>
      <c r="P25" t="s">
        <v>1150</v>
      </c>
    </row>
    <row r="26" spans="1:16" x14ac:dyDescent="0.35">
      <c r="A26" s="1" t="s">
        <v>1151</v>
      </c>
      <c r="B26" t="s">
        <v>1078</v>
      </c>
      <c r="C26" t="s">
        <v>961</v>
      </c>
      <c r="D26" t="s">
        <v>765</v>
      </c>
      <c r="E26" t="s">
        <v>448</v>
      </c>
      <c r="F26" t="s">
        <v>994</v>
      </c>
      <c r="G26" t="s">
        <v>1049</v>
      </c>
      <c r="H26" t="s">
        <v>965</v>
      </c>
      <c r="I26" t="s">
        <v>1152</v>
      </c>
      <c r="J26" t="s">
        <v>1153</v>
      </c>
      <c r="K26" t="s">
        <v>1154</v>
      </c>
      <c r="L26" t="s">
        <v>323</v>
      </c>
      <c r="M26" t="s">
        <v>1155</v>
      </c>
      <c r="N26" t="s">
        <v>1156</v>
      </c>
      <c r="O26" t="s">
        <v>1157</v>
      </c>
      <c r="P26" t="s">
        <v>1158</v>
      </c>
    </row>
    <row r="27" spans="1:16" x14ac:dyDescent="0.35">
      <c r="A27" s="1" t="s">
        <v>1159</v>
      </c>
      <c r="B27" t="s">
        <v>256</v>
      </c>
      <c r="C27" t="s">
        <v>537</v>
      </c>
      <c r="D27" t="s">
        <v>687</v>
      </c>
      <c r="E27" t="s">
        <v>688</v>
      </c>
      <c r="F27" t="s">
        <v>689</v>
      </c>
      <c r="G27" t="s">
        <v>690</v>
      </c>
      <c r="H27" t="s">
        <v>691</v>
      </c>
      <c r="I27" t="s">
        <v>692</v>
      </c>
      <c r="J27" t="s">
        <v>693</v>
      </c>
      <c r="K27" t="s">
        <v>694</v>
      </c>
      <c r="L27" t="s">
        <v>695</v>
      </c>
      <c r="M27" t="s">
        <v>1160</v>
      </c>
      <c r="N27" t="s">
        <v>1161</v>
      </c>
      <c r="O27" t="s">
        <v>1162</v>
      </c>
      <c r="P27" t="s">
        <v>1163</v>
      </c>
    </row>
    <row r="28" spans="1:16" x14ac:dyDescent="0.35">
      <c r="A28" s="1" t="s">
        <v>1164</v>
      </c>
      <c r="B28" t="s">
        <v>803</v>
      </c>
      <c r="C28" t="s">
        <v>256</v>
      </c>
      <c r="D28" t="s">
        <v>537</v>
      </c>
      <c r="E28" t="s">
        <v>687</v>
      </c>
      <c r="F28" t="s">
        <v>688</v>
      </c>
      <c r="G28" t="s">
        <v>689</v>
      </c>
      <c r="H28" t="s">
        <v>690</v>
      </c>
      <c r="I28" t="s">
        <v>691</v>
      </c>
      <c r="J28" t="s">
        <v>692</v>
      </c>
      <c r="K28" t="s">
        <v>693</v>
      </c>
      <c r="L28" t="s">
        <v>694</v>
      </c>
      <c r="M28" t="s">
        <v>1165</v>
      </c>
      <c r="N28" t="s">
        <v>1166</v>
      </c>
      <c r="O28" t="s">
        <v>1161</v>
      </c>
      <c r="P28" t="s">
        <v>1162</v>
      </c>
    </row>
    <row r="29" spans="1:16" x14ac:dyDescent="0.35">
      <c r="A29" s="1" t="s">
        <v>1167</v>
      </c>
      <c r="B29" t="s">
        <v>1168</v>
      </c>
      <c r="C29" t="s">
        <v>1169</v>
      </c>
      <c r="D29" t="s">
        <v>1170</v>
      </c>
      <c r="E29" t="s">
        <v>1171</v>
      </c>
      <c r="F29" t="s">
        <v>1172</v>
      </c>
      <c r="G29" t="s">
        <v>1173</v>
      </c>
      <c r="H29" t="s">
        <v>1174</v>
      </c>
      <c r="I29" t="s">
        <v>1175</v>
      </c>
      <c r="J29" t="s">
        <v>1176</v>
      </c>
      <c r="K29" t="s">
        <v>1177</v>
      </c>
      <c r="L29" t="s">
        <v>1178</v>
      </c>
      <c r="M29" t="s">
        <v>1179</v>
      </c>
      <c r="N29" t="s">
        <v>1180</v>
      </c>
      <c r="O29" t="s">
        <v>1181</v>
      </c>
      <c r="P29" t="s">
        <v>1182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Info</vt:lpstr>
      <vt:lpstr>Model</vt:lpstr>
      <vt:lpstr>New 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2022-09-11T00:34:19Z</dcterms:created>
  <dcterms:modified xsi:type="dcterms:W3CDTF">2024-07-29T11:30:24Z</dcterms:modified>
</cp:coreProperties>
</file>