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GOOGL/"/>
    </mc:Choice>
  </mc:AlternateContent>
  <xr:revisionPtr revIDLastSave="522" documentId="11_1AD6A205C5E9E5C035BC244CCF7BE857DA3673D9" xr6:coauthVersionLast="47" xr6:coauthVersionMax="47" xr10:uidLastSave="{7C95377C-D218-4849-A86B-846D3B321011}"/>
  <bookViews>
    <workbookView minimized="1" xWindow="9200" yWindow="206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Sheet1" sheetId="5" r:id="rId5"/>
    <sheet name="Income Statement" sheetId="6" r:id="rId6"/>
    <sheet name="Balance Sheet" sheetId="7" r:id="rId7"/>
    <sheet name="Cash Flow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1" i="2" l="1"/>
  <c r="V101" i="3"/>
  <c r="V100" i="2"/>
  <c r="V100" i="3"/>
  <c r="V29" i="2"/>
  <c r="V29" i="3"/>
  <c r="U29" i="2"/>
  <c r="U29" i="3"/>
  <c r="U102" i="2"/>
  <c r="U102" i="3"/>
  <c r="Y98" i="2"/>
  <c r="Y97" i="2"/>
  <c r="Y97" i="3"/>
  <c r="AC106" i="2"/>
  <c r="AC106" i="3"/>
  <c r="AC105" i="2"/>
  <c r="AC105" i="3"/>
  <c r="Z105" i="2"/>
  <c r="Y105" i="2"/>
  <c r="Y105" i="3"/>
  <c r="Z105" i="3" s="1"/>
  <c r="Z29" i="2"/>
  <c r="AA29" i="2"/>
  <c r="Z29" i="3"/>
  <c r="AA29" i="3"/>
  <c r="Y106" i="2"/>
  <c r="Y106" i="3"/>
  <c r="Z106" i="2"/>
  <c r="Z106" i="3"/>
  <c r="V102" i="2"/>
  <c r="V102" i="3"/>
  <c r="Z97" i="2"/>
  <c r="Z98" i="2" s="1"/>
  <c r="Z97" i="3"/>
  <c r="W97" i="2"/>
  <c r="W98" i="2" s="1"/>
  <c r="W97" i="3"/>
  <c r="X29" i="2"/>
  <c r="X29" i="3"/>
  <c r="AC29" i="2"/>
  <c r="AD29" i="2"/>
  <c r="AE29" i="2"/>
  <c r="AF29" i="2"/>
  <c r="AG29" i="2"/>
  <c r="AC29" i="3"/>
  <c r="AD29" i="3"/>
  <c r="AE29" i="3"/>
  <c r="AF29" i="3"/>
  <c r="AG29" i="3"/>
  <c r="AB29" i="2"/>
  <c r="AB29" i="3"/>
  <c r="AB20" i="3"/>
  <c r="AB19" i="3"/>
  <c r="AC100" i="2"/>
  <c r="AC100" i="3"/>
  <c r="AC101" i="2"/>
  <c r="AC101" i="3"/>
  <c r="Y101" i="2"/>
  <c r="Z101" i="2" s="1"/>
  <c r="Y101" i="3"/>
  <c r="Z101" i="3" s="1"/>
  <c r="Y100" i="2"/>
  <c r="Z100" i="2" s="1"/>
  <c r="Y100" i="3"/>
  <c r="Z100" i="3" s="1"/>
  <c r="AB102" i="2"/>
  <c r="AB102" i="3"/>
  <c r="AB48" i="2"/>
  <c r="AB48" i="3"/>
  <c r="AB40" i="2"/>
  <c r="AB40" i="3"/>
  <c r="AB34" i="2"/>
  <c r="AB41" i="2" s="1"/>
  <c r="AB43" i="2" s="1"/>
  <c r="AB45" i="2" s="1"/>
  <c r="AB34" i="3"/>
  <c r="AB97" i="2"/>
  <c r="AB98" i="2" s="1"/>
  <c r="AB97" i="3"/>
  <c r="AB82" i="2"/>
  <c r="AB82" i="3"/>
  <c r="X102" i="2"/>
  <c r="X102" i="3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AN102" i="2"/>
  <c r="AN102" i="3"/>
  <c r="AA97" i="2"/>
  <c r="AA98" i="2" s="1"/>
  <c r="AA97" i="3"/>
  <c r="Y29" i="2"/>
  <c r="Y29" i="3"/>
  <c r="AC102" i="2" l="1"/>
  <c r="Y102" i="2"/>
  <c r="AC102" i="3"/>
  <c r="Y102" i="3"/>
  <c r="AB41" i="3"/>
  <c r="AB43" i="3" s="1"/>
  <c r="AB45" i="3" s="1"/>
  <c r="AB47" i="3" s="1"/>
  <c r="Z102" i="3"/>
  <c r="Z102" i="2"/>
  <c r="AB47" i="2"/>
  <c r="AC20" i="3"/>
  <c r="AC19" i="3"/>
  <c r="AC48" i="2"/>
  <c r="AC47" i="2" s="1"/>
  <c r="AC48" i="3"/>
  <c r="AD34" i="3"/>
  <c r="AE34" i="3"/>
  <c r="AF34" i="3"/>
  <c r="AG34" i="3"/>
  <c r="AD40" i="3"/>
  <c r="AE40" i="3"/>
  <c r="AF40" i="3"/>
  <c r="AG40" i="3"/>
  <c r="AC40" i="3"/>
  <c r="AC34" i="3"/>
  <c r="AC97" i="2"/>
  <c r="AC98" i="2" s="1"/>
  <c r="AC97" i="3"/>
  <c r="AV57" i="3"/>
  <c r="AV62" i="3" s="1"/>
  <c r="AW57" i="3"/>
  <c r="AW62" i="3" s="1"/>
  <c r="AX57" i="3"/>
  <c r="AX62" i="3" s="1"/>
  <c r="AY57" i="3"/>
  <c r="AY62" i="3" s="1"/>
  <c r="AZ57" i="3"/>
  <c r="AZ62" i="3" s="1"/>
  <c r="AV71" i="3"/>
  <c r="AW71" i="3"/>
  <c r="AX71" i="3"/>
  <c r="AY71" i="3"/>
  <c r="AZ71" i="3"/>
  <c r="AV82" i="3"/>
  <c r="AW82" i="3"/>
  <c r="AX82" i="3"/>
  <c r="AY82" i="3"/>
  <c r="AZ82" i="3"/>
  <c r="AV90" i="3"/>
  <c r="AW90" i="3"/>
  <c r="AX90" i="3"/>
  <c r="AY90" i="3"/>
  <c r="AZ90" i="3"/>
  <c r="AO97" i="2"/>
  <c r="AO98" i="2" s="1"/>
  <c r="AP97" i="2"/>
  <c r="AP98" i="2" s="1"/>
  <c r="AQ97" i="2"/>
  <c r="AQ98" i="2" s="1"/>
  <c r="AR97" i="2"/>
  <c r="AR98" i="2" s="1"/>
  <c r="AS97" i="2"/>
  <c r="AS98" i="2" s="1"/>
  <c r="AT97" i="2"/>
  <c r="AT98" i="2" s="1"/>
  <c r="AU97" i="2"/>
  <c r="AU98" i="2" s="1"/>
  <c r="AV97" i="2"/>
  <c r="AV98" i="2" s="1"/>
  <c r="AW97" i="2"/>
  <c r="AW98" i="2" s="1"/>
  <c r="AX97" i="2"/>
  <c r="AX98" i="2" s="1"/>
  <c r="AY97" i="2"/>
  <c r="AY98" i="2" s="1"/>
  <c r="AZ97" i="2"/>
  <c r="AZ98" i="2" s="1"/>
  <c r="AO97" i="3"/>
  <c r="AP97" i="3"/>
  <c r="AQ97" i="3"/>
  <c r="AR97" i="3"/>
  <c r="AS97" i="3"/>
  <c r="AT97" i="3"/>
  <c r="AU97" i="3"/>
  <c r="AV97" i="3"/>
  <c r="AW97" i="3"/>
  <c r="AX97" i="3"/>
  <c r="AY97" i="3"/>
  <c r="AZ97" i="3"/>
  <c r="AN97" i="2"/>
  <c r="AN98" i="2" s="1"/>
  <c r="AN97" i="3"/>
  <c r="AA89" i="2"/>
  <c r="AA89" i="3"/>
  <c r="AA88" i="2"/>
  <c r="AA88" i="3"/>
  <c r="AA87" i="2"/>
  <c r="AA87" i="3"/>
  <c r="AA86" i="2"/>
  <c r="AA86" i="3"/>
  <c r="AA85" i="2"/>
  <c r="AA85" i="3"/>
  <c r="AA84" i="2"/>
  <c r="AA84" i="3"/>
  <c r="AC82" i="3"/>
  <c r="AO3" i="3"/>
  <c r="AP3" i="3" s="1"/>
  <c r="AQ3" i="3" s="1"/>
  <c r="AR3" i="3" s="1"/>
  <c r="AS3" i="3" s="1"/>
  <c r="AT3" i="3" s="1"/>
  <c r="AU3" i="3" s="1"/>
  <c r="AA81" i="2"/>
  <c r="AA81" i="3"/>
  <c r="AA80" i="2"/>
  <c r="AA80" i="3"/>
  <c r="AA78" i="2"/>
  <c r="AA78" i="3"/>
  <c r="AA77" i="2"/>
  <c r="AA77" i="3"/>
  <c r="AA76" i="2"/>
  <c r="AA76" i="3"/>
  <c r="AA74" i="2"/>
  <c r="AA74" i="3"/>
  <c r="AA70" i="2"/>
  <c r="AA70" i="3"/>
  <c r="AA69" i="2"/>
  <c r="AA69" i="3"/>
  <c r="AA68" i="2"/>
  <c r="AA68" i="3"/>
  <c r="AA67" i="2"/>
  <c r="AA67" i="3"/>
  <c r="AA66" i="2"/>
  <c r="AA66" i="3"/>
  <c r="AA65" i="2"/>
  <c r="AA65" i="3"/>
  <c r="AA64" i="2"/>
  <c r="AA64" i="3"/>
  <c r="AA61" i="2"/>
  <c r="AA61" i="3"/>
  <c r="AA60" i="2"/>
  <c r="AA60" i="3"/>
  <c r="AA59" i="2"/>
  <c r="AA59" i="3"/>
  <c r="AA58" i="2"/>
  <c r="AA58" i="3"/>
  <c r="AA56" i="2"/>
  <c r="AA56" i="3"/>
  <c r="AA55" i="2"/>
  <c r="AA55" i="3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K47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X34" i="6"/>
  <c r="W34" i="6"/>
  <c r="V34" i="6"/>
  <c r="U34" i="6"/>
  <c r="T34" i="6"/>
  <c r="S34" i="6"/>
  <c r="R34" i="6"/>
  <c r="Y34" i="6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X33" i="6"/>
  <c r="W33" i="6"/>
  <c r="V33" i="6"/>
  <c r="U33" i="6"/>
  <c r="T33" i="6"/>
  <c r="S33" i="6"/>
  <c r="Y33" i="6" s="1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Z21" i="6"/>
  <c r="AA21" i="6" s="1"/>
  <c r="AB21" i="6" s="1"/>
  <c r="AC21" i="6" s="1"/>
  <c r="AD21" i="6" s="1"/>
  <c r="AE21" i="6" s="1"/>
  <c r="AF21" i="6" s="1"/>
  <c r="AG21" i="6" s="1"/>
  <c r="AH21" i="6" s="1"/>
  <c r="AI21" i="6" s="1"/>
  <c r="AJ21" i="6" s="1"/>
  <c r="AK21" i="6" s="1"/>
  <c r="AL21" i="6" s="1"/>
  <c r="AM21" i="6" s="1"/>
  <c r="AN21" i="6" s="1"/>
  <c r="AO21" i="6" s="1"/>
  <c r="AP21" i="6" s="1"/>
  <c r="AQ21" i="6" s="1"/>
  <c r="AR21" i="6" s="1"/>
  <c r="AS21" i="6" s="1"/>
  <c r="AT21" i="6" s="1"/>
  <c r="AU21" i="6" s="1"/>
  <c r="AV21" i="6" s="1"/>
  <c r="AW21" i="6" s="1"/>
  <c r="AX21" i="6" s="1"/>
  <c r="AY21" i="6" s="1"/>
  <c r="AZ21" i="6" s="1"/>
  <c r="BA21" i="6" s="1"/>
  <c r="BB21" i="6" s="1"/>
  <c r="BC21" i="6" s="1"/>
  <c r="BD21" i="6" s="1"/>
  <c r="BE21" i="6" s="1"/>
  <c r="BF21" i="6" s="1"/>
  <c r="BG21" i="6" s="1"/>
  <c r="BH21" i="6" s="1"/>
  <c r="BI21" i="6" s="1"/>
  <c r="BJ21" i="6" s="1"/>
  <c r="BK21" i="6" s="1"/>
  <c r="BL21" i="6" s="1"/>
  <c r="BM21" i="6" s="1"/>
  <c r="BN21" i="6" s="1"/>
  <c r="BO21" i="6" s="1"/>
  <c r="BP21" i="6" s="1"/>
  <c r="BQ21" i="6" s="1"/>
  <c r="BR21" i="6" s="1"/>
  <c r="BS21" i="6" s="1"/>
  <c r="BT21" i="6" s="1"/>
  <c r="BU21" i="6" s="1"/>
  <c r="BV21" i="6" s="1"/>
  <c r="BW21" i="6" s="1"/>
  <c r="BX21" i="6" s="1"/>
  <c r="BY21" i="6" s="1"/>
  <c r="BZ21" i="6" s="1"/>
  <c r="CA21" i="6" s="1"/>
  <c r="CB21" i="6" s="1"/>
  <c r="CC21" i="6" s="1"/>
  <c r="CD21" i="6" s="1"/>
  <c r="CE21" i="6" s="1"/>
  <c r="CF21" i="6" s="1"/>
  <c r="CG21" i="6" s="1"/>
  <c r="CH21" i="6" s="1"/>
  <c r="CI21" i="6" s="1"/>
  <c r="CJ21" i="6" s="1"/>
  <c r="CK21" i="6" s="1"/>
  <c r="CL21" i="6" s="1"/>
  <c r="CM21" i="6" s="1"/>
  <c r="CN21" i="6" s="1"/>
  <c r="CO21" i="6" s="1"/>
  <c r="CP21" i="6" s="1"/>
  <c r="CQ21" i="6" s="1"/>
  <c r="CR21" i="6" s="1"/>
  <c r="CS21" i="6" s="1"/>
  <c r="CT21" i="6" s="1"/>
  <c r="CU21" i="6" s="1"/>
  <c r="CV21" i="6" s="1"/>
  <c r="CW21" i="6" s="1"/>
  <c r="CX21" i="6" s="1"/>
  <c r="CY21" i="6" s="1"/>
  <c r="CZ21" i="6" s="1"/>
  <c r="DA21" i="6" s="1"/>
  <c r="DB21" i="6" s="1"/>
  <c r="DC21" i="6" s="1"/>
  <c r="DD21" i="6" s="1"/>
  <c r="DE21" i="6" s="1"/>
  <c r="DF21" i="6" s="1"/>
  <c r="DG21" i="6" s="1"/>
  <c r="DH21" i="6" s="1"/>
  <c r="DI21" i="6" s="1"/>
  <c r="DJ21" i="6" s="1"/>
  <c r="DK21" i="6" s="1"/>
  <c r="DL21" i="6" s="1"/>
  <c r="DM21" i="6" s="1"/>
  <c r="DN21" i="6" s="1"/>
  <c r="DO21" i="6" s="1"/>
  <c r="DP21" i="6" s="1"/>
  <c r="DQ21" i="6" s="1"/>
  <c r="DR21" i="6" s="1"/>
  <c r="DS21" i="6" s="1"/>
  <c r="DT21" i="6" s="1"/>
  <c r="DU21" i="6" s="1"/>
  <c r="DV21" i="6" s="1"/>
  <c r="DW21" i="6" s="1"/>
  <c r="DX21" i="6" s="1"/>
  <c r="DY21" i="6" s="1"/>
  <c r="DZ21" i="6" s="1"/>
  <c r="EA21" i="6" s="1"/>
  <c r="EB21" i="6" s="1"/>
  <c r="EC21" i="6" s="1"/>
  <c r="ED21" i="6" s="1"/>
  <c r="EE21" i="6" s="1"/>
  <c r="EF21" i="6" s="1"/>
  <c r="EG21" i="6" s="1"/>
  <c r="EH21" i="6" s="1"/>
  <c r="EI21" i="6" s="1"/>
  <c r="EJ21" i="6" s="1"/>
  <c r="EK21" i="6" s="1"/>
  <c r="EL21" i="6" s="1"/>
  <c r="EM21" i="6" s="1"/>
  <c r="EN21" i="6" s="1"/>
  <c r="EO21" i="6" s="1"/>
  <c r="EP21" i="6" s="1"/>
  <c r="EQ21" i="6" s="1"/>
  <c r="ER21" i="6" s="1"/>
  <c r="ES21" i="6" s="1"/>
  <c r="ET21" i="6" s="1"/>
  <c r="EU21" i="6" s="1"/>
  <c r="EV21" i="6" s="1"/>
  <c r="EW21" i="6" s="1"/>
  <c r="EX21" i="6" s="1"/>
  <c r="EY21" i="6" s="1"/>
  <c r="EZ21" i="6" s="1"/>
  <c r="FA21" i="6" s="1"/>
  <c r="FB21" i="6" s="1"/>
  <c r="FC21" i="6" s="1"/>
  <c r="FD21" i="6" s="1"/>
  <c r="FE21" i="6" s="1"/>
  <c r="FF21" i="6" s="1"/>
  <c r="FG21" i="6" s="1"/>
  <c r="FH21" i="6" s="1"/>
  <c r="FI21" i="6" s="1"/>
  <c r="FJ21" i="6" s="1"/>
  <c r="FK21" i="6" s="1"/>
  <c r="FL21" i="6" s="1"/>
  <c r="FM21" i="6" s="1"/>
  <c r="FN21" i="6" s="1"/>
  <c r="FO21" i="6" s="1"/>
  <c r="FP21" i="6" s="1"/>
  <c r="FQ21" i="6" s="1"/>
  <c r="FR21" i="6" s="1"/>
  <c r="FS21" i="6" s="1"/>
  <c r="FT21" i="6" s="1"/>
  <c r="FU21" i="6" s="1"/>
  <c r="FV21" i="6" s="1"/>
  <c r="FW21" i="6" s="1"/>
  <c r="FX21" i="6" s="1"/>
  <c r="FY21" i="6" s="1"/>
  <c r="FZ21" i="6" s="1"/>
  <c r="GA21" i="6" s="1"/>
  <c r="GB21" i="6" s="1"/>
  <c r="GC21" i="6" s="1"/>
  <c r="GD21" i="6" s="1"/>
  <c r="GE21" i="6" s="1"/>
  <c r="GF21" i="6" s="1"/>
  <c r="GG21" i="6" s="1"/>
  <c r="GH21" i="6" s="1"/>
  <c r="GI21" i="6" s="1"/>
  <c r="GJ21" i="6" s="1"/>
  <c r="GK21" i="6" s="1"/>
  <c r="GL21" i="6" s="1"/>
  <c r="GM21" i="6" s="1"/>
  <c r="GN21" i="6" s="1"/>
  <c r="GO21" i="6" s="1"/>
  <c r="GP21" i="6" s="1"/>
  <c r="GQ21" i="6" s="1"/>
  <c r="Y21" i="6"/>
  <c r="Z2" i="6"/>
  <c r="AA2" i="6" s="1"/>
  <c r="Y2" i="6"/>
  <c r="Y4" i="6" s="1"/>
  <c r="Z1" i="6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D43" i="5"/>
  <c r="D47" i="5" s="1"/>
  <c r="D41" i="5"/>
  <c r="D12" i="5"/>
  <c r="D9" i="5"/>
  <c r="D6" i="5"/>
  <c r="D14" i="5" s="1"/>
  <c r="D19" i="5" s="1"/>
  <c r="D22" i="5" s="1"/>
  <c r="D30" i="5" s="1"/>
  <c r="D32" i="5" s="1"/>
  <c r="R30" i="4"/>
  <c r="Q30" i="4"/>
  <c r="L30" i="4"/>
  <c r="I30" i="4"/>
  <c r="C30" i="4"/>
  <c r="B30" i="4"/>
  <c r="R29" i="4"/>
  <c r="Q29" i="4"/>
  <c r="O29" i="4"/>
  <c r="M29" i="4"/>
  <c r="L29" i="4"/>
  <c r="I29" i="4"/>
  <c r="F29" i="4"/>
  <c r="C29" i="4"/>
  <c r="B29" i="4"/>
  <c r="R28" i="4"/>
  <c r="Q28" i="4"/>
  <c r="P28" i="4"/>
  <c r="P30" i="4" s="1"/>
  <c r="O28" i="4"/>
  <c r="O30" i="4" s="1"/>
  <c r="N28" i="4"/>
  <c r="N30" i="4" s="1"/>
  <c r="M28" i="4"/>
  <c r="M30" i="4" s="1"/>
  <c r="L28" i="4"/>
  <c r="K28" i="4"/>
  <c r="K29" i="4" s="1"/>
  <c r="J28" i="4"/>
  <c r="J30" i="4" s="1"/>
  <c r="I28" i="4"/>
  <c r="H28" i="4"/>
  <c r="H30" i="4" s="1"/>
  <c r="G28" i="4"/>
  <c r="G30" i="4" s="1"/>
  <c r="F28" i="4"/>
  <c r="F30" i="4" s="1"/>
  <c r="E28" i="4"/>
  <c r="E30" i="4" s="1"/>
  <c r="D28" i="4"/>
  <c r="D30" i="4" s="1"/>
  <c r="C28" i="4"/>
  <c r="B28" i="4"/>
  <c r="X171" i="3"/>
  <c r="V170" i="3"/>
  <c r="X169" i="3"/>
  <c r="X166" i="3"/>
  <c r="V166" i="3"/>
  <c r="AU90" i="3"/>
  <c r="AT90" i="3"/>
  <c r="AS90" i="3"/>
  <c r="AR90" i="3"/>
  <c r="AQ90" i="3"/>
  <c r="AP90" i="3"/>
  <c r="AO90" i="3"/>
  <c r="AN90" i="3"/>
  <c r="AE90" i="3"/>
  <c r="AE91" i="3" s="1"/>
  <c r="AD90" i="3"/>
  <c r="AD91" i="3" s="1"/>
  <c r="AC90" i="3"/>
  <c r="AB90" i="3"/>
  <c r="AB91" i="3" s="1"/>
  <c r="AB98" i="3" s="1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AU82" i="3"/>
  <c r="AT82" i="3"/>
  <c r="AS82" i="3"/>
  <c r="AR82" i="3"/>
  <c r="AQ82" i="3"/>
  <c r="AP82" i="3"/>
  <c r="AO82" i="3"/>
  <c r="AN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F91" i="3" s="1"/>
  <c r="E82" i="3"/>
  <c r="E91" i="3" s="1"/>
  <c r="D82" i="3"/>
  <c r="D91" i="3" s="1"/>
  <c r="C82" i="3"/>
  <c r="C91" i="3" s="1"/>
  <c r="AU71" i="3"/>
  <c r="AT71" i="3"/>
  <c r="AS71" i="3"/>
  <c r="AR71" i="3"/>
  <c r="AQ71" i="3"/>
  <c r="AP71" i="3"/>
  <c r="AO71" i="3"/>
  <c r="AN71" i="3"/>
  <c r="AE71" i="3"/>
  <c r="AD71" i="3"/>
  <c r="AC71" i="3"/>
  <c r="AB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AN58" i="3"/>
  <c r="AU57" i="3"/>
  <c r="AT57" i="3"/>
  <c r="AS57" i="3"/>
  <c r="AS62" i="3" s="1"/>
  <c r="AR57" i="3"/>
  <c r="AR62" i="3" s="1"/>
  <c r="AQ57" i="3"/>
  <c r="AQ62" i="3" s="1"/>
  <c r="AP57" i="3"/>
  <c r="AP62" i="3" s="1"/>
  <c r="AO57" i="3"/>
  <c r="AO62" i="3" s="1"/>
  <c r="AN57" i="3"/>
  <c r="AE57" i="3"/>
  <c r="AE62" i="3" s="1"/>
  <c r="AD57" i="3"/>
  <c r="AD62" i="3" s="1"/>
  <c r="AC57" i="3"/>
  <c r="AC62" i="3" s="1"/>
  <c r="AB57" i="3"/>
  <c r="AB62" i="3" s="1"/>
  <c r="Z57" i="3"/>
  <c r="Z62" i="3" s="1"/>
  <c r="Y57" i="3"/>
  <c r="Y62" i="3" s="1"/>
  <c r="X57" i="3"/>
  <c r="X62" i="3" s="1"/>
  <c r="W57" i="3"/>
  <c r="W62" i="3" s="1"/>
  <c r="V57" i="3"/>
  <c r="V62" i="3" s="1"/>
  <c r="U57" i="3"/>
  <c r="U62" i="3" s="1"/>
  <c r="T57" i="3"/>
  <c r="T62" i="3" s="1"/>
  <c r="S57" i="3"/>
  <c r="S62" i="3" s="1"/>
  <c r="R57" i="3"/>
  <c r="R62" i="3" s="1"/>
  <c r="Q57" i="3"/>
  <c r="Q62" i="3" s="1"/>
  <c r="P57" i="3"/>
  <c r="P62" i="3" s="1"/>
  <c r="O57" i="3"/>
  <c r="O62" i="3" s="1"/>
  <c r="N57" i="3"/>
  <c r="N62" i="3" s="1"/>
  <c r="M57" i="3"/>
  <c r="M62" i="3" s="1"/>
  <c r="L57" i="3"/>
  <c r="L62" i="3" s="1"/>
  <c r="K57" i="3"/>
  <c r="K62" i="3" s="1"/>
  <c r="J57" i="3"/>
  <c r="J62" i="3" s="1"/>
  <c r="I57" i="3"/>
  <c r="I62" i="3" s="1"/>
  <c r="H57" i="3"/>
  <c r="H62" i="3" s="1"/>
  <c r="G57" i="3"/>
  <c r="G62" i="3" s="1"/>
  <c r="F57" i="3"/>
  <c r="F62" i="3" s="1"/>
  <c r="F72" i="3" s="1"/>
  <c r="E57" i="3"/>
  <c r="E62" i="3" s="1"/>
  <c r="E72" i="3" s="1"/>
  <c r="D57" i="3"/>
  <c r="D62" i="3" s="1"/>
  <c r="D72" i="3" s="1"/>
  <c r="C57" i="3"/>
  <c r="C62" i="3" s="1"/>
  <c r="C72" i="3" s="1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T47" i="3"/>
  <c r="AS47" i="3"/>
  <c r="AR47" i="3"/>
  <c r="O47" i="3" s="1"/>
  <c r="AQ47" i="3"/>
  <c r="AP47" i="3"/>
  <c r="AO47" i="3"/>
  <c r="AN47" i="3"/>
  <c r="O44" i="3"/>
  <c r="O42" i="3"/>
  <c r="AU40" i="3"/>
  <c r="AT40" i="3"/>
  <c r="AS40" i="3"/>
  <c r="AR40" i="3"/>
  <c r="AQ40" i="3"/>
  <c r="AP40" i="3"/>
  <c r="AO40" i="3"/>
  <c r="AN40" i="3"/>
  <c r="Z40" i="3"/>
  <c r="Y40" i="3"/>
  <c r="X40" i="3"/>
  <c r="W40" i="3"/>
  <c r="V40" i="3"/>
  <c r="U40" i="3"/>
  <c r="T40" i="3"/>
  <c r="S40" i="3"/>
  <c r="R40" i="3"/>
  <c r="Q40" i="3"/>
  <c r="P40" i="3"/>
  <c r="N40" i="3"/>
  <c r="M40" i="3"/>
  <c r="L40" i="3"/>
  <c r="K40" i="3"/>
  <c r="J40" i="3"/>
  <c r="I40" i="3"/>
  <c r="H40" i="3"/>
  <c r="G40" i="3"/>
  <c r="F40" i="3"/>
  <c r="E40" i="3"/>
  <c r="D40" i="3"/>
  <c r="C40" i="3"/>
  <c r="O39" i="3"/>
  <c r="O38" i="3"/>
  <c r="O37" i="3"/>
  <c r="O36" i="3"/>
  <c r="AT34" i="3"/>
  <c r="AS34" i="3"/>
  <c r="AR34" i="3"/>
  <c r="AQ34" i="3"/>
  <c r="AP34" i="3"/>
  <c r="AO34" i="3"/>
  <c r="AN34" i="3"/>
  <c r="N34" i="3"/>
  <c r="M34" i="3"/>
  <c r="L34" i="3"/>
  <c r="K34" i="3"/>
  <c r="J34" i="3"/>
  <c r="I34" i="3"/>
  <c r="H34" i="3"/>
  <c r="G34" i="3"/>
  <c r="F34" i="3"/>
  <c r="E34" i="3"/>
  <c r="D34" i="3"/>
  <c r="C34" i="3"/>
  <c r="O33" i="3"/>
  <c r="AU32" i="3"/>
  <c r="Z32" i="3"/>
  <c r="Z34" i="3" s="1"/>
  <c r="Y32" i="3"/>
  <c r="Y34" i="3" s="1"/>
  <c r="X32" i="3"/>
  <c r="W32" i="3"/>
  <c r="V32" i="3"/>
  <c r="U32" i="3"/>
  <c r="T32" i="3"/>
  <c r="S32" i="3"/>
  <c r="R32" i="3"/>
  <c r="R34" i="3" s="1"/>
  <c r="Q32" i="3"/>
  <c r="Q34" i="3" s="1"/>
  <c r="P32" i="3"/>
  <c r="O32" i="3"/>
  <c r="AU20" i="3"/>
  <c r="AT20" i="3"/>
  <c r="AS20" i="3"/>
  <c r="AR20" i="3"/>
  <c r="AQ20" i="3"/>
  <c r="AP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AU19" i="3"/>
  <c r="AT19" i="3"/>
  <c r="AS19" i="3"/>
  <c r="AR19" i="3"/>
  <c r="AQ19" i="3"/>
  <c r="AP19" i="3"/>
  <c r="Z19" i="3"/>
  <c r="Y19" i="3"/>
  <c r="X19" i="3"/>
  <c r="W19" i="3"/>
  <c r="V19" i="3"/>
  <c r="U19" i="3"/>
  <c r="T19" i="3"/>
  <c r="S19" i="3"/>
  <c r="R19" i="3"/>
  <c r="Q19" i="3"/>
  <c r="P19" i="3"/>
  <c r="K19" i="3"/>
  <c r="J19" i="3"/>
  <c r="I19" i="3"/>
  <c r="H19" i="3"/>
  <c r="G19" i="3"/>
  <c r="F19" i="3"/>
  <c r="E19" i="3"/>
  <c r="D19" i="3"/>
  <c r="AX13" i="3"/>
  <c r="B6" i="1"/>
  <c r="B3" i="1" a="1"/>
  <c r="B3" i="1" s="1"/>
  <c r="B2" i="1" a="1"/>
  <c r="B2" i="1" s="1"/>
  <c r="B4" i="1" s="1"/>
  <c r="AZ91" i="3" l="1"/>
  <c r="AZ98" i="3" s="1"/>
  <c r="AP41" i="3"/>
  <c r="AP43" i="3" s="1"/>
  <c r="AP45" i="3" s="1"/>
  <c r="AY91" i="3"/>
  <c r="AX91" i="3"/>
  <c r="AX98" i="3" s="1"/>
  <c r="AW91" i="3"/>
  <c r="AV91" i="3"/>
  <c r="AV98" i="3" s="1"/>
  <c r="AG41" i="3"/>
  <c r="AG43" i="3" s="1"/>
  <c r="AG45" i="3" s="1"/>
  <c r="AF41" i="3"/>
  <c r="AF43" i="3" s="1"/>
  <c r="AF45" i="3" s="1"/>
  <c r="AZ72" i="3"/>
  <c r="AE41" i="3"/>
  <c r="AE43" i="3" s="1"/>
  <c r="AE45" i="3" s="1"/>
  <c r="AY72" i="3"/>
  <c r="AD41" i="3"/>
  <c r="AD43" i="3" s="1"/>
  <c r="AD45" i="3" s="1"/>
  <c r="AX72" i="3"/>
  <c r="AY98" i="3"/>
  <c r="AW98" i="3"/>
  <c r="AC98" i="3"/>
  <c r="AW72" i="3"/>
  <c r="AC41" i="3"/>
  <c r="AC43" i="3" s="1"/>
  <c r="AC45" i="3" s="1"/>
  <c r="AC47" i="3" s="1"/>
  <c r="AV72" i="3"/>
  <c r="AA57" i="3"/>
  <c r="AA62" i="3" s="1"/>
  <c r="G91" i="3"/>
  <c r="W91" i="3"/>
  <c r="W98" i="3" s="1"/>
  <c r="H91" i="3"/>
  <c r="X91" i="3"/>
  <c r="L91" i="3"/>
  <c r="AA90" i="3"/>
  <c r="AC91" i="3"/>
  <c r="AQ41" i="3"/>
  <c r="AQ43" i="3" s="1"/>
  <c r="AQ45" i="3" s="1"/>
  <c r="Q91" i="3"/>
  <c r="M91" i="3"/>
  <c r="F41" i="3"/>
  <c r="F43" i="3" s="1"/>
  <c r="F45" i="3" s="1"/>
  <c r="AK19" i="3"/>
  <c r="J41" i="3"/>
  <c r="J43" i="3" s="1"/>
  <c r="J45" i="3" s="1"/>
  <c r="AP22" i="3"/>
  <c r="AQ22" i="3"/>
  <c r="AT22" i="3"/>
  <c r="N91" i="3"/>
  <c r="AO91" i="3"/>
  <c r="AO98" i="3" s="1"/>
  <c r="R91" i="3"/>
  <c r="AR72" i="3"/>
  <c r="S91" i="3"/>
  <c r="T72" i="3"/>
  <c r="T91" i="3"/>
  <c r="AU91" i="3"/>
  <c r="AU98" i="3" s="1"/>
  <c r="S34" i="3"/>
  <c r="H41" i="3"/>
  <c r="AO41" i="3"/>
  <c r="AO43" i="3" s="1"/>
  <c r="AO45" i="3" s="1"/>
  <c r="I41" i="3"/>
  <c r="M72" i="3"/>
  <c r="AC72" i="3"/>
  <c r="O91" i="3"/>
  <c r="AO72" i="3"/>
  <c r="AA82" i="3"/>
  <c r="G41" i="3"/>
  <c r="O72" i="3"/>
  <c r="AE72" i="3"/>
  <c r="Q72" i="3"/>
  <c r="N72" i="3"/>
  <c r="AN41" i="3"/>
  <c r="AN43" i="3" s="1"/>
  <c r="AN45" i="3" s="1"/>
  <c r="AQ72" i="3"/>
  <c r="AR91" i="3"/>
  <c r="AR98" i="3" s="1"/>
  <c r="E41" i="3"/>
  <c r="AR41" i="3"/>
  <c r="AR43" i="3" s="1"/>
  <c r="AT62" i="3"/>
  <c r="G72" i="3"/>
  <c r="W72" i="3"/>
  <c r="AD72" i="3"/>
  <c r="J91" i="3"/>
  <c r="S72" i="3"/>
  <c r="K91" i="3"/>
  <c r="I91" i="3"/>
  <c r="U72" i="3"/>
  <c r="Z91" i="3"/>
  <c r="Z98" i="3" s="1"/>
  <c r="R72" i="3"/>
  <c r="AU62" i="3"/>
  <c r="Z41" i="3"/>
  <c r="Z43" i="3" s="1"/>
  <c r="Z45" i="3" s="1"/>
  <c r="AS22" i="3"/>
  <c r="AS72" i="3"/>
  <c r="V72" i="3"/>
  <c r="P91" i="3"/>
  <c r="AN91" i="3"/>
  <c r="AN98" i="3" s="1"/>
  <c r="O40" i="3"/>
  <c r="B7" i="1"/>
  <c r="B5" i="1"/>
  <c r="B8" i="1" s="1"/>
  <c r="P72" i="3"/>
  <c r="AN62" i="3"/>
  <c r="AN72" i="3" s="1"/>
  <c r="AP91" i="3"/>
  <c r="AP98" i="3" s="1"/>
  <c r="AP72" i="3"/>
  <c r="AS41" i="3"/>
  <c r="Q41" i="3"/>
  <c r="Q43" i="3" s="1"/>
  <c r="Q45" i="3" s="1"/>
  <c r="AT41" i="3"/>
  <c r="AQ91" i="3"/>
  <c r="AQ98" i="3" s="1"/>
  <c r="Y91" i="3"/>
  <c r="Y98" i="3" s="1"/>
  <c r="AU22" i="3"/>
  <c r="L41" i="3"/>
  <c r="L43" i="3" s="1"/>
  <c r="L45" i="3" s="1"/>
  <c r="L72" i="3"/>
  <c r="AS91" i="3"/>
  <c r="AS98" i="3" s="1"/>
  <c r="AR22" i="3"/>
  <c r="AB72" i="3"/>
  <c r="N41" i="3"/>
  <c r="N43" i="3" s="1"/>
  <c r="N45" i="3" s="1"/>
  <c r="C41" i="3"/>
  <c r="C43" i="3" s="1"/>
  <c r="C45" i="3" s="1"/>
  <c r="AT91" i="3"/>
  <c r="AT98" i="3" s="1"/>
  <c r="U91" i="3"/>
  <c r="V91" i="3"/>
  <c r="AA71" i="3"/>
  <c r="AB43" i="6"/>
  <c r="Y41" i="3"/>
  <c r="H72" i="3"/>
  <c r="X72" i="3"/>
  <c r="I72" i="3"/>
  <c r="Y72" i="3"/>
  <c r="J72" i="3"/>
  <c r="Z72" i="3"/>
  <c r="K72" i="3"/>
  <c r="AA31" i="6"/>
  <c r="AB2" i="6"/>
  <c r="AA4" i="6"/>
  <c r="K41" i="3"/>
  <c r="M41" i="3"/>
  <c r="T34" i="3"/>
  <c r="K30" i="4"/>
  <c r="V34" i="3"/>
  <c r="R41" i="3"/>
  <c r="N29" i="4"/>
  <c r="U34" i="3"/>
  <c r="Z4" i="6"/>
  <c r="X34" i="3"/>
  <c r="D41" i="3"/>
  <c r="P29" i="4"/>
  <c r="W34" i="3"/>
  <c r="D29" i="4"/>
  <c r="E29" i="4"/>
  <c r="G29" i="4"/>
  <c r="P34" i="3"/>
  <c r="H29" i="4"/>
  <c r="O34" i="3"/>
  <c r="AU34" i="3"/>
  <c r="J29" i="4"/>
  <c r="AA91" i="3" l="1"/>
  <c r="AA98" i="3" s="1"/>
  <c r="AT72" i="3"/>
  <c r="H43" i="3"/>
  <c r="H45" i="3" s="1"/>
  <c r="I43" i="3"/>
  <c r="I45" i="3" s="1"/>
  <c r="S41" i="3"/>
  <c r="E43" i="3"/>
  <c r="E45" i="3" s="1"/>
  <c r="AT43" i="3"/>
  <c r="AT45" i="3" s="1"/>
  <c r="G43" i="3"/>
  <c r="G45" i="3" s="1"/>
  <c r="O41" i="3"/>
  <c r="AS43" i="3"/>
  <c r="AS45" i="3" s="1"/>
  <c r="AA72" i="3"/>
  <c r="AU72" i="3"/>
  <c r="D43" i="3"/>
  <c r="D45" i="3" s="1"/>
  <c r="K43" i="3"/>
  <c r="K45" i="3" s="1"/>
  <c r="AU41" i="3"/>
  <c r="W41" i="3"/>
  <c r="M43" i="3"/>
  <c r="M45" i="3" s="1"/>
  <c r="AC2" i="6"/>
  <c r="AB4" i="6"/>
  <c r="AB31" i="6"/>
  <c r="X41" i="3"/>
  <c r="U41" i="3"/>
  <c r="V41" i="3"/>
  <c r="P41" i="3"/>
  <c r="AR45" i="3"/>
  <c r="T41" i="3"/>
  <c r="Q47" i="3"/>
  <c r="Y43" i="3"/>
  <c r="Y45" i="3" s="1"/>
  <c r="R43" i="3"/>
  <c r="R45" i="3" s="1"/>
  <c r="S43" i="3" l="1"/>
  <c r="S45" i="3" s="1"/>
  <c r="O43" i="3"/>
  <c r="U43" i="3"/>
  <c r="U45" i="3" s="1"/>
  <c r="X43" i="3"/>
  <c r="X45" i="3" s="1"/>
  <c r="AU43" i="3"/>
  <c r="AU45" i="3" s="1"/>
  <c r="R47" i="3"/>
  <c r="V43" i="3"/>
  <c r="V45" i="3" s="1"/>
  <c r="T43" i="3"/>
  <c r="T45" i="3" s="1"/>
  <c r="W43" i="3"/>
  <c r="W45" i="3" s="1"/>
  <c r="O45" i="3"/>
  <c r="P43" i="3"/>
  <c r="P45" i="3" s="1"/>
  <c r="AC31" i="6"/>
  <c r="AC4" i="6"/>
  <c r="AD2" i="6"/>
  <c r="S47" i="3" l="1"/>
  <c r="AD4" i="6"/>
  <c r="AD31" i="6"/>
  <c r="AE2" i="6"/>
  <c r="P47" i="3"/>
  <c r="V47" i="3"/>
  <c r="U47" i="3"/>
  <c r="W47" i="3"/>
  <c r="X47" i="3"/>
  <c r="T47" i="3"/>
  <c r="AE31" i="6" l="1"/>
  <c r="AF2" i="6"/>
  <c r="AE4" i="6"/>
  <c r="AF31" i="6" l="1"/>
  <c r="AG2" i="6"/>
  <c r="AF4" i="6"/>
  <c r="AG31" i="6" l="1"/>
  <c r="AH2" i="6"/>
  <c r="AG4" i="6"/>
  <c r="AI2" i="6" l="1"/>
  <c r="AH4" i="6"/>
  <c r="AH31" i="6"/>
  <c r="AJ2" i="6" l="1"/>
  <c r="AI4" i="6"/>
  <c r="AI31" i="6"/>
  <c r="AK2" i="6" l="1"/>
  <c r="AJ4" i="6"/>
  <c r="AJ31" i="6"/>
  <c r="AL2" i="6" l="1"/>
  <c r="AK4" i="6"/>
  <c r="AK31" i="6"/>
  <c r="AL4" i="6" l="1"/>
  <c r="AL31" i="6"/>
  <c r="AM2" i="6"/>
  <c r="AM31" i="6" l="1"/>
  <c r="AN2" i="6"/>
  <c r="AM4" i="6"/>
  <c r="AN31" i="6" l="1"/>
  <c r="AN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Y47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EPS is lower due to 1-20 split. Pre-adjusted EPS would be: 24.20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<sst xmlns="http://schemas.openxmlformats.org/spreadsheetml/2006/main" count="2989" uniqueCount="1855">
  <si>
    <t xml:space="preserve">Price </t>
  </si>
  <si>
    <t>Shares</t>
  </si>
  <si>
    <t>MC</t>
  </si>
  <si>
    <t>Cash</t>
  </si>
  <si>
    <t>Q122</t>
  </si>
  <si>
    <t>Debt</t>
  </si>
  <si>
    <t>EV</t>
  </si>
  <si>
    <t>Net Cash</t>
  </si>
  <si>
    <t>Company Name</t>
  </si>
  <si>
    <t>Alphabet Inc.</t>
  </si>
  <si>
    <t>Ticker</t>
  </si>
  <si>
    <t>Country</t>
  </si>
  <si>
    <t>USA</t>
  </si>
  <si>
    <t>Sector</t>
  </si>
  <si>
    <t>Communication Services</t>
  </si>
  <si>
    <t>Industry</t>
  </si>
  <si>
    <t>Internet Content &amp; Information</t>
  </si>
  <si>
    <t>Filing Date</t>
  </si>
  <si>
    <t>Q117</t>
  </si>
  <si>
    <t>Q217</t>
  </si>
  <si>
    <t>Q317</t>
  </si>
  <si>
    <t>Q417</t>
  </si>
  <si>
    <t>Q118</t>
  </si>
  <si>
    <t>Q218</t>
  </si>
  <si>
    <t>Q318</t>
  </si>
  <si>
    <t>Q418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</si>
  <si>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</si>
  <si>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</si>
  <si>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</si>
  <si>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</si>
  <si>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</si>
  <si>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</si>
  <si>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</si>
  <si>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</si>
  <si>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</si>
  <si>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</si>
  <si>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</si>
  <si>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</si>
  <si>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</si>
  <si>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</si>
  <si>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</si>
  <si>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FX</t>
  </si>
  <si>
    <t>-</t>
  </si>
  <si>
    <t>Other Bets</t>
  </si>
  <si>
    <t>Cloud</t>
  </si>
  <si>
    <t xml:space="preserve">Other  </t>
  </si>
  <si>
    <t>Google Network</t>
  </si>
  <si>
    <t>Youtube</t>
  </si>
  <si>
    <t>Google Search</t>
  </si>
  <si>
    <t>Google Advertising</t>
  </si>
  <si>
    <t>Total Revenue</t>
  </si>
  <si>
    <t>Ads/Revenue</t>
  </si>
  <si>
    <t>Revenue</t>
  </si>
  <si>
    <t>COGS</t>
  </si>
  <si>
    <t>Gross Profit</t>
  </si>
  <si>
    <t>Operating Expenses</t>
  </si>
  <si>
    <t>R&amp;D</t>
  </si>
  <si>
    <t>S&amp;M</t>
  </si>
  <si>
    <t>G&amp;A</t>
  </si>
  <si>
    <t>Euro Commision Fines</t>
  </si>
  <si>
    <t>Operating Income</t>
  </si>
  <si>
    <t>Other</t>
  </si>
  <si>
    <t>Pretax Income</t>
  </si>
  <si>
    <t>Taxes</t>
  </si>
  <si>
    <t>Net Income</t>
  </si>
  <si>
    <t>EPS</t>
  </si>
  <si>
    <t>dd</t>
  </si>
  <si>
    <t>Split Adjusted</t>
  </si>
  <si>
    <t>Gross Margin</t>
  </si>
  <si>
    <t>Operating Expenses/Gross Profit</t>
  </si>
  <si>
    <t>Revenue y/y</t>
  </si>
  <si>
    <t>Current Assets</t>
  </si>
  <si>
    <t>Cash &amp; Cash Equiv</t>
  </si>
  <si>
    <t>Marketable Securities</t>
  </si>
  <si>
    <t>Total Cash &amp; Securities</t>
  </si>
  <si>
    <t>AR</t>
  </si>
  <si>
    <t>Income taxes receivable</t>
  </si>
  <si>
    <t>Inventory</t>
  </si>
  <si>
    <t>Other current assets</t>
  </si>
  <si>
    <t>Total Current Assets</t>
  </si>
  <si>
    <t>Non-current Assets</t>
  </si>
  <si>
    <t>Non-marketable securities</t>
  </si>
  <si>
    <t>Deferred income taxes</t>
  </si>
  <si>
    <t>PP&amp;E</t>
  </si>
  <si>
    <t>Operating lease assets</t>
  </si>
  <si>
    <t>Intangible assets</t>
  </si>
  <si>
    <t>Goodwill</t>
  </si>
  <si>
    <t>Other non-current assets</t>
  </si>
  <si>
    <t>Total non-current Assets</t>
  </si>
  <si>
    <t>Total assets</t>
  </si>
  <si>
    <t>Current Liabilities</t>
  </si>
  <si>
    <t>Accounts payable</t>
  </si>
  <si>
    <t>Short-term debt</t>
  </si>
  <si>
    <t>Accrued benefits/compensation</t>
  </si>
  <si>
    <t>Acrrued expneses</t>
  </si>
  <si>
    <t>Accrued revenue share</t>
  </si>
  <si>
    <t>Securities Lending Payable</t>
  </si>
  <si>
    <t>Deferred revenue</t>
  </si>
  <si>
    <t>Income taxes payable</t>
  </si>
  <si>
    <t>Total current liabilities</t>
  </si>
  <si>
    <t>Non-current Liabilities</t>
  </si>
  <si>
    <t>Long-term debt</t>
  </si>
  <si>
    <t>Income taxes payble</t>
  </si>
  <si>
    <t>Operating lease liabilities</t>
  </si>
  <si>
    <t>Other long-term liabilities</t>
  </si>
  <si>
    <t>Total non-current Liabilities</t>
  </si>
  <si>
    <t>Total liabilities</t>
  </si>
  <si>
    <t>Current Ratio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</si>
  <si>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</si>
  <si>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</si>
  <si>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</si>
  <si>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</si>
  <si>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</si>
  <si>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</si>
  <si>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</si>
  <si>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</si>
  <si>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</si>
  <si>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</si>
  <si>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</si>
  <si>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</si>
  <si>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</si>
  <si>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</si>
  <si>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</si>
  <si>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</si>
  <si>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</si>
  <si>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</si>
  <si>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</si>
  <si>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17.61</t>
  </si>
  <si>
    <t>26.72</t>
  </si>
  <si>
    <t>34.75</t>
  </si>
  <si>
    <t>37.43</t>
  </si>
  <si>
    <t>46.05</t>
  </si>
  <si>
    <t>58.77</t>
  </si>
  <si>
    <t>70.42</t>
  </si>
  <si>
    <t>83.48</t>
  </si>
  <si>
    <t>97.64</t>
  </si>
  <si>
    <t>109.50</t>
  </si>
  <si>
    <t>131.25</t>
  </si>
  <si>
    <t>159.95</t>
  </si>
  <si>
    <t>196.84</t>
  </si>
  <si>
    <t>233.70</t>
  </si>
  <si>
    <t>268.10</t>
  </si>
  <si>
    <t>385.89</t>
  </si>
  <si>
    <t>406.51</t>
  </si>
  <si>
    <t>Earnings per share</t>
  </si>
  <si>
    <t>5.11</t>
  </si>
  <si>
    <t>6.77</t>
  </si>
  <si>
    <t>6.74</t>
  </si>
  <si>
    <t>10.32</t>
  </si>
  <si>
    <t>13.36</t>
  </si>
  <si>
    <t>15.10</t>
  </si>
  <si>
    <t>16.42</t>
  </si>
  <si>
    <t>19.15</t>
  </si>
  <si>
    <t>20.91</t>
  </si>
  <si>
    <t>23.87</t>
  </si>
  <si>
    <t>28.32</t>
  </si>
  <si>
    <t>18.27</t>
  </si>
  <si>
    <t>44.22</t>
  </si>
  <si>
    <t>49.59</t>
  </si>
  <si>
    <t>59.15</t>
  </si>
  <si>
    <t>113.88</t>
  </si>
  <si>
    <t>112.08</t>
  </si>
  <si>
    <t>FCF per share</t>
  </si>
  <si>
    <t>2.79</t>
  </si>
  <si>
    <t>5.43</t>
  </si>
  <si>
    <t>8.76</t>
  </si>
  <si>
    <t>13.46</t>
  </si>
  <si>
    <t>11.09</t>
  </si>
  <si>
    <t>17.25</t>
  </si>
  <si>
    <t>20.41</t>
  </si>
  <si>
    <t>16.99</t>
  </si>
  <si>
    <t>16.89</t>
  </si>
  <si>
    <t>23.52</t>
  </si>
  <si>
    <t>37.55</t>
  </si>
  <si>
    <t>34.50</t>
  </si>
  <si>
    <t>32.85</t>
  </si>
  <si>
    <t>44.72</t>
  </si>
  <si>
    <t>62.93</t>
  </si>
  <si>
    <t>100.37</t>
  </si>
  <si>
    <t>103.74</t>
  </si>
  <si>
    <t>Dividends per share</t>
  </si>
  <si>
    <t>- -</t>
  </si>
  <si>
    <t>CAPEX per share</t>
  </si>
  <si>
    <t>3.16</t>
  </si>
  <si>
    <t>3.87</t>
  </si>
  <si>
    <t>3.76</t>
  </si>
  <si>
    <t>1.28</t>
  </si>
  <si>
    <t>6.31</t>
  </si>
  <si>
    <t>5.33</t>
  </si>
  <si>
    <t>5.01</t>
  </si>
  <si>
    <t>11.06</t>
  </si>
  <si>
    <t>16.21</t>
  </si>
  <si>
    <t>14.48</t>
  </si>
  <si>
    <t>14.85</t>
  </si>
  <si>
    <t>19.02</t>
  </si>
  <si>
    <t>36.17</t>
  </si>
  <si>
    <t>34.00</t>
  </si>
  <si>
    <t>32.73</t>
  </si>
  <si>
    <t>36.91</t>
  </si>
  <si>
    <t>42.83</t>
  </si>
  <si>
    <t>Book Value per sh.</t>
  </si>
  <si>
    <t>28.29</t>
  </si>
  <si>
    <t>36.54</t>
  </si>
  <si>
    <t>45.02</t>
  </si>
  <si>
    <t>56.98</t>
  </si>
  <si>
    <t>72.62</t>
  </si>
  <si>
    <t>90.16</t>
  </si>
  <si>
    <t>109.69</t>
  </si>
  <si>
    <t>131.28</t>
  </si>
  <si>
    <t>154.60</t>
  </si>
  <si>
    <t>175.71</t>
  </si>
  <si>
    <t>202.15</t>
  </si>
  <si>
    <t>220.05</t>
  </si>
  <si>
    <t>255.55</t>
  </si>
  <si>
    <t>290.85</t>
  </si>
  <si>
    <t>326.88</t>
  </si>
  <si>
    <t>376.90</t>
  </si>
  <si>
    <t>371.34</t>
  </si>
  <si>
    <t>Comm.Shares outs.</t>
  </si>
  <si>
    <t>602</t>
  </si>
  <si>
    <t>621</t>
  </si>
  <si>
    <t>627</t>
  </si>
  <si>
    <t>632</t>
  </si>
  <si>
    <t>637</t>
  </si>
  <si>
    <t>645</t>
  </si>
  <si>
    <t>654</t>
  </si>
  <si>
    <t>665</t>
  </si>
  <si>
    <t>676</t>
  </si>
  <si>
    <t>685</t>
  </si>
  <si>
    <t>688</t>
  </si>
  <si>
    <t>693</t>
  </si>
  <si>
    <t>695</t>
  </si>
  <si>
    <t>681</t>
  </si>
  <si>
    <t>668</t>
  </si>
  <si>
    <t>Avg. annual P/E ratio</t>
  </si>
  <si>
    <t>2.0</t>
  </si>
  <si>
    <t>1.7</t>
  </si>
  <si>
    <t>1.1</t>
  </si>
  <si>
    <t>1.0</t>
  </si>
  <si>
    <t>0.9</t>
  </si>
  <si>
    <t>1.2</t>
  </si>
  <si>
    <t>1.4</t>
  </si>
  <si>
    <t>1.3</t>
  </si>
  <si>
    <t>2.6</t>
  </si>
  <si>
    <t>20.7</t>
  </si>
  <si>
    <t>P/E to S&amp;P500</t>
  </si>
  <si>
    <t>0.1</t>
  </si>
  <si>
    <t>0.0</t>
  </si>
  <si>
    <t>Avg. annual div. yield</t>
  </si>
  <si>
    <t>Revenue (m)</t>
  </si>
  <si>
    <t>10,605</t>
  </si>
  <si>
    <t>16,594</t>
  </si>
  <si>
    <t>21,796</t>
  </si>
  <si>
    <t>23,651</t>
  </si>
  <si>
    <t>29,321</t>
  </si>
  <si>
    <t>37,905</t>
  </si>
  <si>
    <t>46,039</t>
  </si>
  <si>
    <t>55,519</t>
  </si>
  <si>
    <t>66,001</t>
  </si>
  <si>
    <t>74,989</t>
  </si>
  <si>
    <t>90,272</t>
  </si>
  <si>
    <t>110,855</t>
  </si>
  <si>
    <t>136,819</t>
  </si>
  <si>
    <t>161,857</t>
  </si>
  <si>
    <t>182,527</t>
  </si>
  <si>
    <t>257,637</t>
  </si>
  <si>
    <t>270,334</t>
  </si>
  <si>
    <t>Operating margin</t>
  </si>
  <si>
    <t>33.5%</t>
  </si>
  <si>
    <t>30.6%</t>
  </si>
  <si>
    <t>30.4%</t>
  </si>
  <si>
    <t>35.1%</t>
  </si>
  <si>
    <t>35.4%</t>
  </si>
  <si>
    <t>31.0%</t>
  </si>
  <si>
    <t>27.7%</t>
  </si>
  <si>
    <t>25.2%</t>
  </si>
  <si>
    <t>25.0%</t>
  </si>
  <si>
    <t>25.8%</t>
  </si>
  <si>
    <t>26.3%</t>
  </si>
  <si>
    <t>23.6%</t>
  </si>
  <si>
    <t>19.2%</t>
  </si>
  <si>
    <t>21.1%</t>
  </si>
  <si>
    <t>22.6%</t>
  </si>
  <si>
    <t>30.5%</t>
  </si>
  <si>
    <t>Depreciation (m)</t>
  </si>
  <si>
    <t>572</t>
  </si>
  <si>
    <t>968</t>
  </si>
  <si>
    <t>1,500</t>
  </si>
  <si>
    <t>1,524</t>
  </si>
  <si>
    <t>1,396</t>
  </si>
  <si>
    <t>1,851</t>
  </si>
  <si>
    <t>2,962</t>
  </si>
  <si>
    <t>3,939</t>
  </si>
  <si>
    <t>4,979</t>
  </si>
  <si>
    <t>5,063</t>
  </si>
  <si>
    <t>6,144</t>
  </si>
  <si>
    <t>6,915</t>
  </si>
  <si>
    <t>9,035</t>
  </si>
  <si>
    <t>11,781</t>
  </si>
  <si>
    <t>13,697</t>
  </si>
  <si>
    <t>12,441</t>
  </si>
  <si>
    <t>13,470</t>
  </si>
  <si>
    <t>Net profit (m)</t>
  </si>
  <si>
    <t>3,077</t>
  </si>
  <si>
    <t>4,204</t>
  </si>
  <si>
    <t>4,227</t>
  </si>
  <si>
    <t>6,520</t>
  </si>
  <si>
    <t>8,505</t>
  </si>
  <si>
    <t>9,737</t>
  </si>
  <si>
    <t>10,737</t>
  </si>
  <si>
    <t>12,733</t>
  </si>
  <si>
    <t>14,136</t>
  </si>
  <si>
    <t>16,348</t>
  </si>
  <si>
    <t>19,478</t>
  </si>
  <si>
    <t>12,662</t>
  </si>
  <si>
    <t>30,736</t>
  </si>
  <si>
    <t>34,343</t>
  </si>
  <si>
    <t>40,269</t>
  </si>
  <si>
    <t>76,033</t>
  </si>
  <si>
    <t>74,539</t>
  </si>
  <si>
    <t>Income tax rate</t>
  </si>
  <si>
    <t>23.3%</t>
  </si>
  <si>
    <t>25.9%</t>
  </si>
  <si>
    <t>27.8%</t>
  </si>
  <si>
    <t>22.2%</t>
  </si>
  <si>
    <t>21.2%</t>
  </si>
  <si>
    <t>21.0%</t>
  </si>
  <si>
    <t>20.2%</t>
  </si>
  <si>
    <t>17.2%</t>
  </si>
  <si>
    <t>16.8%</t>
  </si>
  <si>
    <t>19.3%</t>
  </si>
  <si>
    <t>17.3%</t>
  </si>
  <si>
    <t>12.0%</t>
  </si>
  <si>
    <t>13.3%</t>
  </si>
  <si>
    <t>16.2%</t>
  </si>
  <si>
    <t>15.6%</t>
  </si>
  <si>
    <t>Net profit margin</t>
  </si>
  <si>
    <t>29.0%</t>
  </si>
  <si>
    <t>25.3%</t>
  </si>
  <si>
    <t>19.4%</t>
  </si>
  <si>
    <t>27.6%</t>
  </si>
  <si>
    <t>25.7%</t>
  </si>
  <si>
    <t>22.9%</t>
  </si>
  <si>
    <t>21.4%</t>
  </si>
  <si>
    <t>21.8%</t>
  </si>
  <si>
    <t>21.6%</t>
  </si>
  <si>
    <t>11.4%</t>
  </si>
  <si>
    <t>22.5%</t>
  </si>
  <si>
    <t>22.1%</t>
  </si>
  <si>
    <t>29.5%</t>
  </si>
  <si>
    <t>Working capital (m)</t>
  </si>
  <si>
    <t>11,735</t>
  </si>
  <si>
    <t>15,253</t>
  </si>
  <si>
    <t>17,876</t>
  </si>
  <si>
    <t>26,420</t>
  </si>
  <si>
    <t>31,566</t>
  </si>
  <si>
    <t>43,845</t>
  </si>
  <si>
    <t>46,117</t>
  </si>
  <si>
    <t>56,978</t>
  </si>
  <si>
    <t>61,877</t>
  </si>
  <si>
    <t>70,804</t>
  </si>
  <si>
    <t>88,652</t>
  </si>
  <si>
    <t>100,125</t>
  </si>
  <si>
    <t>101,056</t>
  </si>
  <si>
    <t>107,357</t>
  </si>
  <si>
    <t>117,462</t>
  </si>
  <si>
    <t>123,889</t>
  </si>
  <si>
    <t>115,905</t>
  </si>
  <si>
    <t>Long-term debt (m)</t>
  </si>
  <si>
    <t>2,986</t>
  </si>
  <si>
    <t>2,988</t>
  </si>
  <si>
    <t>2,236</t>
  </si>
  <si>
    <t>3,228</t>
  </si>
  <si>
    <t>1,995</t>
  </si>
  <si>
    <t>3,935</t>
  </si>
  <si>
    <t>3,969</t>
  </si>
  <si>
    <t>4,012</t>
  </si>
  <si>
    <t>4,554</t>
  </si>
  <si>
    <t>25,078</t>
  </si>
  <si>
    <t>26,206</t>
  </si>
  <si>
    <t>26,154</t>
  </si>
  <si>
    <t>Equity (m)</t>
  </si>
  <si>
    <t>17,040</t>
  </si>
  <si>
    <t>22,690</t>
  </si>
  <si>
    <t>28,239</t>
  </si>
  <si>
    <t>36,004</t>
  </si>
  <si>
    <t>46,241</t>
  </si>
  <si>
    <t>58,145</t>
  </si>
  <si>
    <t>71,715</t>
  </si>
  <si>
    <t>87,309</t>
  </si>
  <si>
    <t>104,500</t>
  </si>
  <si>
    <t>120,331</t>
  </si>
  <si>
    <t>139,036</t>
  </si>
  <si>
    <t>152,502</t>
  </si>
  <si>
    <t>177,628</t>
  </si>
  <si>
    <t>201,442</t>
  </si>
  <si>
    <t>222,544</t>
  </si>
  <si>
    <t>251,635</t>
  </si>
  <si>
    <t>254,004</t>
  </si>
  <si>
    <t>ROIC</t>
  </si>
  <si>
    <t>17.9%</t>
  </si>
  <si>
    <t>18.0%</t>
  </si>
  <si>
    <t>14.3%</t>
  </si>
  <si>
    <t>17.8%</t>
  </si>
  <si>
    <t>15.4%</t>
  </si>
  <si>
    <t>13.8%</t>
  </si>
  <si>
    <t>13.6%</t>
  </si>
  <si>
    <t>12.5%</t>
  </si>
  <si>
    <t>12.8%</t>
  </si>
  <si>
    <t>13.0%</t>
  </si>
  <si>
    <t>8.3%</t>
  </si>
  <si>
    <t>14.9%</t>
  </si>
  <si>
    <t>25.4%</t>
  </si>
  <si>
    <t>Return on capital</t>
  </si>
  <si>
    <t>21.7%</t>
  </si>
  <si>
    <t>22.4%</t>
  </si>
  <si>
    <t>18.4%</t>
  </si>
  <si>
    <t>20.7%</t>
  </si>
  <si>
    <t>18.7%</t>
  </si>
  <si>
    <t>17.1%</t>
  </si>
  <si>
    <t>14.6%</t>
  </si>
  <si>
    <t>14.0%</t>
  </si>
  <si>
    <t>13.4%</t>
  </si>
  <si>
    <t>14.5%</t>
  </si>
  <si>
    <t>8.9%</t>
  </si>
  <si>
    <t>15.0%</t>
  </si>
  <si>
    <t>14.4%</t>
  </si>
  <si>
    <t>15.1%</t>
  </si>
  <si>
    <t>24.8%</t>
  </si>
  <si>
    <t>Return on equity</t>
  </si>
  <si>
    <t>18.1%</t>
  </si>
  <si>
    <t>18.5%</t>
  </si>
  <si>
    <t>16.7%</t>
  </si>
  <si>
    <t>13.5%</t>
  </si>
  <si>
    <t>17.0%</t>
  </si>
  <si>
    <t>30.2%</t>
  </si>
  <si>
    <t>29.3%</t>
  </si>
  <si>
    <t>Plowback ratio</t>
  </si>
  <si>
    <t>100.0%</t>
  </si>
  <si>
    <t>Div.&amp;Repurch./FCF</t>
  </si>
  <si>
    <t>(142.1)%</t>
  </si>
  <si>
    <t>11.3%</t>
  </si>
  <si>
    <t>11.0%</t>
  </si>
  <si>
    <t>16.9%</t>
  </si>
  <si>
    <t>35.6%</t>
  </si>
  <si>
    <t>59.4%</t>
  </si>
  <si>
    <t>72.7%</t>
  </si>
  <si>
    <t>75.0%</t>
  </si>
  <si>
    <t>75.6%</t>
  </si>
  <si>
    <t>Market Price</t>
  </si>
  <si>
    <t>Market Cap(Diluted)</t>
  </si>
  <si>
    <t xml:space="preserve">Market Cap  </t>
  </si>
  <si>
    <t>Notes</t>
  </si>
  <si>
    <t>•Numbers appear to be off due to the 1-20 split</t>
  </si>
  <si>
    <t>PERIOD ENDING                                                30-Sep-22</t>
  </si>
  <si>
    <t xml:space="preserve">Cost of Revenue     </t>
  </si>
  <si>
    <t xml:space="preserve">Gross Profit                    </t>
  </si>
  <si>
    <t>Research &amp; Development</t>
  </si>
  <si>
    <t>Selling General &amp; Adminitrative</t>
  </si>
  <si>
    <t>Non Recurring</t>
  </si>
  <si>
    <t>Others</t>
  </si>
  <si>
    <t>Total Operating Expenses</t>
  </si>
  <si>
    <t xml:space="preserve">Operating Income                          </t>
  </si>
  <si>
    <t>Income from Continuing Operations</t>
  </si>
  <si>
    <t>Other Income (expense)</t>
  </si>
  <si>
    <t>Interest Expense</t>
  </si>
  <si>
    <t>Income before tax</t>
  </si>
  <si>
    <t>Income Tax Expense</t>
  </si>
  <si>
    <t xml:space="preserve">Minority Interest 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</si>
  <si>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</si>
  <si>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</si>
  <si>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</si>
  <si>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</si>
  <si>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</si>
  <si>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</si>
  <si>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 xml:space="preserve">Net Income                 </t>
  </si>
  <si>
    <t>Preferred Stock And Other Adjustments</t>
  </si>
  <si>
    <t>Net Income Applicable to Common Shares</t>
  </si>
  <si>
    <t>Disaggregated Revenues</t>
  </si>
  <si>
    <t>Google Search &amp; Other</t>
  </si>
  <si>
    <t>YouTube ads</t>
  </si>
  <si>
    <t>Google Other</t>
  </si>
  <si>
    <t>Google Services Total</t>
  </si>
  <si>
    <t>Google Cloud</t>
  </si>
  <si>
    <t>Hedging Gains</t>
  </si>
  <si>
    <t>Total Revenues</t>
  </si>
  <si>
    <t>1999</t>
  </si>
  <si>
    <t>2000</t>
  </si>
  <si>
    <t>2001</t>
  </si>
  <si>
    <t>2002</t>
  </si>
  <si>
    <t>2003</t>
  </si>
  <si>
    <t>2004</t>
  </si>
  <si>
    <t>2005</t>
  </si>
  <si>
    <t>19</t>
  </si>
  <si>
    <t>86</t>
  </si>
  <si>
    <t>440</t>
  </si>
  <si>
    <t>1,466</t>
  </si>
  <si>
    <t>3,189</t>
  </si>
  <si>
    <t>6,139</t>
  </si>
  <si>
    <t>1</t>
  </si>
  <si>
    <t>6</t>
  </si>
  <si>
    <t>15</t>
  </si>
  <si>
    <t>133</t>
  </si>
  <si>
    <t>634</t>
  </si>
  <si>
    <t>1,469</t>
  </si>
  <si>
    <t>2,577</t>
  </si>
  <si>
    <t>4,225</t>
  </si>
  <si>
    <t>6,649</t>
  </si>
  <si>
    <t>8,622</t>
  </si>
  <si>
    <t>8,844</t>
  </si>
  <si>
    <t>10,417</t>
  </si>
  <si>
    <t xml:space="preserve"> </t>
  </si>
  <si>
    <t>17,176</t>
  </si>
  <si>
    <t>21,993</t>
  </si>
  <si>
    <t>25,313</t>
  </si>
  <si>
    <t>28,164</t>
  </si>
  <si>
    <t>35,138</t>
  </si>
  <si>
    <t>45,583</t>
  </si>
  <si>
    <t>59,549</t>
  </si>
  <si>
    <t>71,896</t>
  </si>
  <si>
    <t>84,732</t>
  </si>
  <si>
    <t>110,939</t>
  </si>
  <si>
    <t>(1)</t>
  </si>
  <si>
    <t>13</t>
  </si>
  <si>
    <t>71</t>
  </si>
  <si>
    <t>307</t>
  </si>
  <si>
    <t>832</t>
  </si>
  <si>
    <t>1,720</t>
  </si>
  <si>
    <t>3,562</t>
  </si>
  <si>
    <t>6,380</t>
  </si>
  <si>
    <t>9,945</t>
  </si>
  <si>
    <t>13,174</t>
  </si>
  <si>
    <t>14,807</t>
  </si>
  <si>
    <t>18,904</t>
  </si>
  <si>
    <t>24,717</t>
  </si>
  <si>
    <t>28,863</t>
  </si>
  <si>
    <t>33,526</t>
  </si>
  <si>
    <t>40,688</t>
  </si>
  <si>
    <t>46,825</t>
  </si>
  <si>
    <t>55,134</t>
  </si>
  <si>
    <t>65,272</t>
  </si>
  <si>
    <t>77,270</t>
  </si>
  <si>
    <t>89,961</t>
  </si>
  <si>
    <t>97,795</t>
  </si>
  <si>
    <t>146,698</t>
  </si>
  <si>
    <t>Gross Profit Ratio</t>
  </si>
  <si>
    <t>(Infinity)%</t>
  </si>
  <si>
    <t>68.42%</t>
  </si>
  <si>
    <t>82.56%</t>
  </si>
  <si>
    <t>69.77%</t>
  </si>
  <si>
    <t>56.75%</t>
  </si>
  <si>
    <t>53.94%</t>
  </si>
  <si>
    <t>58.02%</t>
  </si>
  <si>
    <t>60.16%</t>
  </si>
  <si>
    <t>59.93%</t>
  </si>
  <si>
    <t>60.44%</t>
  </si>
  <si>
    <t>62.61%</t>
  </si>
  <si>
    <t>64.47%</t>
  </si>
  <si>
    <t>65.21%</t>
  </si>
  <si>
    <t>62.69%</t>
  </si>
  <si>
    <t>60.39%</t>
  </si>
  <si>
    <t>61.65%</t>
  </si>
  <si>
    <t>62.44%</t>
  </si>
  <si>
    <t>61.08%</t>
  </si>
  <si>
    <t>58.88%</t>
  </si>
  <si>
    <t>56.48%</t>
  </si>
  <si>
    <t>55.58%</t>
  </si>
  <si>
    <t>53.58%</t>
  </si>
  <si>
    <t>56.94%</t>
  </si>
  <si>
    <t>28</t>
  </si>
  <si>
    <t>17</t>
  </si>
  <si>
    <t>122</t>
  </si>
  <si>
    <t>498</t>
  </si>
  <si>
    <t>1,091</t>
  </si>
  <si>
    <t>1,550</t>
  </si>
  <si>
    <t>2,830</t>
  </si>
  <si>
    <t>4,861</t>
  </si>
  <si>
    <t>6,542</t>
  </si>
  <si>
    <t>6,494</t>
  </si>
  <si>
    <t>8,523</t>
  </si>
  <si>
    <t>12,975</t>
  </si>
  <si>
    <t>16,781</t>
  </si>
  <si>
    <t>20,001</t>
  </si>
  <si>
    <t>23,814</t>
  </si>
  <si>
    <t>27,465</t>
  </si>
  <si>
    <t>31,418</t>
  </si>
  <si>
    <t>36,390</t>
  </si>
  <si>
    <t>45,878</t>
  </si>
  <si>
    <t>54,033</t>
  </si>
  <si>
    <t>56,571</t>
  </si>
  <si>
    <t>67,984</t>
  </si>
  <si>
    <t>R&amp;D Expenses</t>
  </si>
  <si>
    <t>3</t>
  </si>
  <si>
    <t>12</t>
  </si>
  <si>
    <t>21</t>
  </si>
  <si>
    <t>40</t>
  </si>
  <si>
    <t>230</t>
  </si>
  <si>
    <t>395</t>
  </si>
  <si>
    <t>600</t>
  </si>
  <si>
    <t>1,229</t>
  </si>
  <si>
    <t>2,120</t>
  </si>
  <si>
    <t>2,793</t>
  </si>
  <si>
    <t>2,843</t>
  </si>
  <si>
    <t>3,762</t>
  </si>
  <si>
    <t>5,162</t>
  </si>
  <si>
    <t>6,083</t>
  </si>
  <si>
    <t>7,137</t>
  </si>
  <si>
    <t>9,832</t>
  </si>
  <si>
    <t>12,282</t>
  </si>
  <si>
    <t>13,948</t>
  </si>
  <si>
    <t>16,625</t>
  </si>
  <si>
    <t>21,419</t>
  </si>
  <si>
    <t>26,018</t>
  </si>
  <si>
    <t>27,573</t>
  </si>
  <si>
    <t>31,562</t>
  </si>
  <si>
    <t>Selling, G&amp;A Exp.</t>
  </si>
  <si>
    <t>16</t>
  </si>
  <si>
    <t>39</t>
  </si>
  <si>
    <t>1,279</t>
  </si>
  <si>
    <t>1,803</t>
  </si>
  <si>
    <t>1,667</t>
  </si>
  <si>
    <t>1,962</t>
  </si>
  <si>
    <t>3,224</t>
  </si>
  <si>
    <t>3,845</t>
  </si>
  <si>
    <t>4,796</t>
  </si>
  <si>
    <t>5,851</t>
  </si>
  <si>
    <t>15,183</t>
  </si>
  <si>
    <t>17,470</t>
  </si>
  <si>
    <t>19,765</t>
  </si>
  <si>
    <t>24,459</t>
  </si>
  <si>
    <t>28,015</t>
  </si>
  <si>
    <t>28,998</t>
  </si>
  <si>
    <t>36,422</t>
  </si>
  <si>
    <t>Other Expenses</t>
  </si>
  <si>
    <t>(0)</t>
  </si>
  <si>
    <t>(44)</t>
  </si>
  <si>
    <t>82</t>
  </si>
  <si>
    <t>268</t>
  </si>
  <si>
    <t>696</t>
  </si>
  <si>
    <t>950</t>
  </si>
  <si>
    <t>1,601</t>
  </si>
  <si>
    <t>1,461</t>
  </si>
  <si>
    <t>1,946</t>
  </si>
  <si>
    <t>1,984</t>
  </si>
  <si>
    <t>2,799</t>
  </si>
  <si>
    <t>4,589</t>
  </si>
  <si>
    <t>6,853</t>
  </si>
  <si>
    <t>8,068</t>
  </si>
  <si>
    <t>8,131</t>
  </si>
  <si>
    <t>Interest Income</t>
  </si>
  <si>
    <t>559</t>
  </si>
  <si>
    <t>390</t>
  </si>
  <si>
    <t>579</t>
  </si>
  <si>
    <t>812</t>
  </si>
  <si>
    <t>713</t>
  </si>
  <si>
    <t>785</t>
  </si>
  <si>
    <t>746</t>
  </si>
  <si>
    <t>999</t>
  </si>
  <si>
    <t>1,220</t>
  </si>
  <si>
    <t>1,312</t>
  </si>
  <si>
    <t>1,878</t>
  </si>
  <si>
    <t>2,427</t>
  </si>
  <si>
    <t>1,865</t>
  </si>
  <si>
    <t>1,499</t>
  </si>
  <si>
    <t>58</t>
  </si>
  <si>
    <t>84</t>
  </si>
  <si>
    <t>83</t>
  </si>
  <si>
    <t>101</t>
  </si>
  <si>
    <t>104</t>
  </si>
  <si>
    <t>124</t>
  </si>
  <si>
    <t>109</t>
  </si>
  <si>
    <t>114</t>
  </si>
  <si>
    <t>100</t>
  </si>
  <si>
    <t>135</t>
  </si>
  <si>
    <t>346</t>
  </si>
  <si>
    <t>Depreciation and Amortization</t>
  </si>
  <si>
    <t>10</t>
  </si>
  <si>
    <t>29</t>
  </si>
  <si>
    <t>55</t>
  </si>
  <si>
    <t>148</t>
  </si>
  <si>
    <t>294</t>
  </si>
  <si>
    <t>EBITDA</t>
  </si>
  <si>
    <t>(6)</t>
  </si>
  <si>
    <t>(15)</t>
  </si>
  <si>
    <t>20</t>
  </si>
  <si>
    <t>214</t>
  </si>
  <si>
    <t>402</t>
  </si>
  <si>
    <t>798</t>
  </si>
  <si>
    <t>2,435</t>
  </si>
  <si>
    <t>4,583</t>
  </si>
  <si>
    <t>6,643</t>
  </si>
  <si>
    <t>7,354</t>
  </si>
  <si>
    <t>9,905</t>
  </si>
  <si>
    <t>12,192</t>
  </si>
  <si>
    <t>14,235</t>
  </si>
  <si>
    <t>16,699</t>
  </si>
  <si>
    <t>19,494</t>
  </si>
  <si>
    <t>22,855</t>
  </si>
  <si>
    <t>24,818</t>
  </si>
  <si>
    <t>30,418</t>
  </si>
  <si>
    <t>24,393</t>
  </si>
  <si>
    <t>44,062</t>
  </si>
  <si>
    <t>51,506</t>
  </si>
  <si>
    <t>61,914</t>
  </si>
  <si>
    <t>103,521</t>
  </si>
  <si>
    <t>EBITDA ratio</t>
  </si>
  <si>
    <t>(78.95)%</t>
  </si>
  <si>
    <t>23.26%</t>
  </si>
  <si>
    <t>48.63%</t>
  </si>
  <si>
    <t>27.42%</t>
  </si>
  <si>
    <t>25.04%</t>
  </si>
  <si>
    <t>39.66%</t>
  </si>
  <si>
    <t>43.21%</t>
  </si>
  <si>
    <t>40.03%</t>
  </si>
  <si>
    <t>33.74%</t>
  </si>
  <si>
    <t>41.88%</t>
  </si>
  <si>
    <t>41.58%</t>
  </si>
  <si>
    <t>37.55%</t>
  </si>
  <si>
    <t>36.27%</t>
  </si>
  <si>
    <t>35.11%</t>
  </si>
  <si>
    <t>34.63%</t>
  </si>
  <si>
    <t>33.10%</t>
  </si>
  <si>
    <t>33.70%</t>
  </si>
  <si>
    <t>22.00%</t>
  </si>
  <si>
    <t>32.20%</t>
  </si>
  <si>
    <t>31.82%</t>
  </si>
  <si>
    <t>33.92%</t>
  </si>
  <si>
    <t>40.18%</t>
  </si>
  <si>
    <t>(7)</t>
  </si>
  <si>
    <t>11</t>
  </si>
  <si>
    <t>186</t>
  </si>
  <si>
    <t>342</t>
  </si>
  <si>
    <t>640</t>
  </si>
  <si>
    <t>2,017</t>
  </si>
  <si>
    <t>3,550</t>
  </si>
  <si>
    <t>5,084</t>
  </si>
  <si>
    <t>6,632</t>
  </si>
  <si>
    <t>8,312</t>
  </si>
  <si>
    <t>10,381</t>
  </si>
  <si>
    <t>11,742</t>
  </si>
  <si>
    <t>12,760</t>
  </si>
  <si>
    <t>13,966</t>
  </si>
  <si>
    <t>16,496</t>
  </si>
  <si>
    <t>19,360</t>
  </si>
  <si>
    <t>23,716</t>
  </si>
  <si>
    <t>26,146</t>
  </si>
  <si>
    <t>26,321</t>
  </si>
  <si>
    <t>34,231</t>
  </si>
  <si>
    <t>41,224</t>
  </si>
  <si>
    <t>78,714</t>
  </si>
  <si>
    <t>Operating Income ratio</t>
  </si>
  <si>
    <t>(77.56)%</t>
  </si>
  <si>
    <t>12.75%</t>
  </si>
  <si>
    <t>42.38%</t>
  </si>
  <si>
    <t>23.36%</t>
  </si>
  <si>
    <t>20.08%</t>
  </si>
  <si>
    <t>32.86%</t>
  </si>
  <si>
    <t>33.47%</t>
  </si>
  <si>
    <t>30.64%</t>
  </si>
  <si>
    <t>30.43%</t>
  </si>
  <si>
    <t>35.15%</t>
  </si>
  <si>
    <t>35.40%</t>
  </si>
  <si>
    <t>30.98%</t>
  </si>
  <si>
    <t>27.72%</t>
  </si>
  <si>
    <t>25.16%</t>
  </si>
  <si>
    <t>24.99%</t>
  </si>
  <si>
    <t>25.82%</t>
  </si>
  <si>
    <t>26.27%</t>
  </si>
  <si>
    <t>23.59%</t>
  </si>
  <si>
    <t>19.24%</t>
  </si>
  <si>
    <t>21.15%</t>
  </si>
  <si>
    <t>22.59%</t>
  </si>
  <si>
    <t>30.55%</t>
  </si>
  <si>
    <t>Total Other Income Exp.(Gains)</t>
  </si>
  <si>
    <t>5</t>
  </si>
  <si>
    <t>125</t>
  </si>
  <si>
    <t>461</t>
  </si>
  <si>
    <t>590</t>
  </si>
  <si>
    <t>(778)</t>
  </si>
  <si>
    <t>69</t>
  </si>
  <si>
    <t>415</t>
  </si>
  <si>
    <t>584</t>
  </si>
  <si>
    <t>1,709</t>
  </si>
  <si>
    <t>1,933</t>
  </si>
  <si>
    <t>763</t>
  </si>
  <si>
    <t>291</t>
  </si>
  <si>
    <t>434</t>
  </si>
  <si>
    <t>1,047</t>
  </si>
  <si>
    <t>8,592</t>
  </si>
  <si>
    <t>5,394</t>
  </si>
  <si>
    <t>6,858</t>
  </si>
  <si>
    <t>12,020</t>
  </si>
  <si>
    <t>Income Before Tax</t>
  </si>
  <si>
    <t>185</t>
  </si>
  <si>
    <t>347</t>
  </si>
  <si>
    <t>650</t>
  </si>
  <si>
    <t>2,142</t>
  </si>
  <si>
    <t>4,011</t>
  </si>
  <si>
    <t>5,674</t>
  </si>
  <si>
    <t>5,854</t>
  </si>
  <si>
    <t>8,381</t>
  </si>
  <si>
    <t>10,796</t>
  </si>
  <si>
    <t>12,326</t>
  </si>
  <si>
    <t>14,469</t>
  </si>
  <si>
    <t>15,899</t>
  </si>
  <si>
    <t>17,259</t>
  </si>
  <si>
    <t>19,651</t>
  </si>
  <si>
    <t>24,150</t>
  </si>
  <si>
    <t>27,193</t>
  </si>
  <si>
    <t>34,913</t>
  </si>
  <si>
    <t>39,625</t>
  </si>
  <si>
    <t>48,082</t>
  </si>
  <si>
    <t>90,734</t>
  </si>
  <si>
    <t>Income Before Tax ratio</t>
  </si>
  <si>
    <t>11.63%</t>
  </si>
  <si>
    <t>42.05%</t>
  </si>
  <si>
    <t>23.67%</t>
  </si>
  <si>
    <t>20.38%</t>
  </si>
  <si>
    <t>34.89%</t>
  </si>
  <si>
    <t>37.82%</t>
  </si>
  <si>
    <t>34.19%</t>
  </si>
  <si>
    <t>26.86%</t>
  </si>
  <si>
    <t>35.44%</t>
  </si>
  <si>
    <t>36.82%</t>
  </si>
  <si>
    <t>32.52%</t>
  </si>
  <si>
    <t>31.43%</t>
  </si>
  <si>
    <t>28.64%</t>
  </si>
  <si>
    <t>26.15%</t>
  </si>
  <si>
    <t>26.21%</t>
  </si>
  <si>
    <t>26.75%</t>
  </si>
  <si>
    <t>24.53%</t>
  </si>
  <si>
    <t>25.52%</t>
  </si>
  <si>
    <t>24.48%</t>
  </si>
  <si>
    <t>26.34%</t>
  </si>
  <si>
    <t>35.22%</t>
  </si>
  <si>
    <t>Income Tax Expense (Gain)</t>
  </si>
  <si>
    <t>85</t>
  </si>
  <si>
    <t>241</t>
  </si>
  <si>
    <t>251</t>
  </si>
  <si>
    <t>934</t>
  </si>
  <si>
    <t>1,470</t>
  </si>
  <si>
    <t>1,627</t>
  </si>
  <si>
    <t>1,861</t>
  </si>
  <si>
    <t>2,291</t>
  </si>
  <si>
    <t>2,589</t>
  </si>
  <si>
    <t>2,916</t>
  </si>
  <si>
    <t>2,739</t>
  </si>
  <si>
    <t>3,639</t>
  </si>
  <si>
    <t>3,303</t>
  </si>
  <si>
    <t>4,672</t>
  </si>
  <si>
    <t>4,707</t>
  </si>
  <si>
    <t>4,177</t>
  </si>
  <si>
    <t>5,282</t>
  </si>
  <si>
    <t>7,813</t>
  </si>
  <si>
    <t>14,701</t>
  </si>
  <si>
    <t>7</t>
  </si>
  <si>
    <t>106</t>
  </si>
  <si>
    <t>399</t>
  </si>
  <si>
    <t>1,465</t>
  </si>
  <si>
    <t>Net Income Ratio</t>
  </si>
  <si>
    <t>8.14%</t>
  </si>
  <si>
    <t>22.73%</t>
  </si>
  <si>
    <t>7.23%</t>
  </si>
  <si>
    <t>12.51%</t>
  </si>
  <si>
    <t>23.86%</t>
  </si>
  <si>
    <t>29.01%</t>
  </si>
  <si>
    <t>25.33%</t>
  </si>
  <si>
    <t>19.39%</t>
  </si>
  <si>
    <t>27.57%</t>
  </si>
  <si>
    <t>25.69%</t>
  </si>
  <si>
    <t>23.32%</t>
  </si>
  <si>
    <t>22.93%</t>
  </si>
  <si>
    <t>21.42%</t>
  </si>
  <si>
    <t>21.80%</t>
  </si>
  <si>
    <t>21.58%</t>
  </si>
  <si>
    <t>11.42%</t>
  </si>
  <si>
    <t>22.46%</t>
  </si>
  <si>
    <t>21.22%</t>
  </si>
  <si>
    <t>22.06%</t>
  </si>
  <si>
    <t>29.51%</t>
  </si>
  <si>
    <t>(0.07)</t>
  </si>
  <si>
    <t>(0.11)</t>
  </si>
  <si>
    <t>0.04</t>
  </si>
  <si>
    <t>0.39</t>
  </si>
  <si>
    <t>1.04</t>
  </si>
  <si>
    <t>2.66</t>
  </si>
  <si>
    <t>19.43</t>
  </si>
  <si>
    <t>21.37</t>
  </si>
  <si>
    <t>23.11</t>
  </si>
  <si>
    <t>EPS Diluted</t>
  </si>
  <si>
    <t>0.02</t>
  </si>
  <si>
    <t>0.21</t>
  </si>
  <si>
    <t>0.73</t>
  </si>
  <si>
    <t>2.51</t>
  </si>
  <si>
    <t>4.97</t>
  </si>
  <si>
    <t>6.65</t>
  </si>
  <si>
    <t>6.66</t>
  </si>
  <si>
    <t>10.21</t>
  </si>
  <si>
    <t>13.17</t>
  </si>
  <si>
    <t>14.89</t>
  </si>
  <si>
    <t>16.17</t>
  </si>
  <si>
    <t>19.08</t>
  </si>
  <si>
    <t>21.02</t>
  </si>
  <si>
    <t>22.84</t>
  </si>
  <si>
    <t>27.85</t>
  </si>
  <si>
    <t>18.00</t>
  </si>
  <si>
    <t>43.70</t>
  </si>
  <si>
    <t>49.16</t>
  </si>
  <si>
    <t>58.61</t>
  </si>
  <si>
    <t>112.20</t>
  </si>
  <si>
    <t>Weighted Avg. Shares Outs.</t>
  </si>
  <si>
    <t>134</t>
  </si>
  <si>
    <t>189</t>
  </si>
  <si>
    <t>275</t>
  </si>
  <si>
    <t>386</t>
  </si>
  <si>
    <t>551</t>
  </si>
  <si>
    <t>Weighted Avg. Shares Outs. Dil.</t>
  </si>
  <si>
    <t>373</t>
  </si>
  <si>
    <t>513</t>
  </si>
  <si>
    <t>545</t>
  </si>
  <si>
    <t>583</t>
  </si>
  <si>
    <t>619</t>
  </si>
  <si>
    <t>638</t>
  </si>
  <si>
    <t>646</t>
  </si>
  <si>
    <t>664</t>
  </si>
  <si>
    <t>677</t>
  </si>
  <si>
    <t>687</t>
  </si>
  <si>
    <t>699</t>
  </si>
  <si>
    <t>703</t>
  </si>
  <si>
    <t>678</t>
  </si>
  <si>
    <t>Net Income y/y</t>
  </si>
  <si>
    <t>SG&amp;A y/y</t>
  </si>
  <si>
    <t>SG&amp;A/Gross Profit</t>
  </si>
  <si>
    <t>R&amp;D y/y</t>
  </si>
  <si>
    <t xml:space="preserve">  </t>
  </si>
  <si>
    <t>R&amp;D/Gross Profit</t>
  </si>
  <si>
    <t>Operating Expenses y/y</t>
  </si>
  <si>
    <t>Earnings-per-share</t>
  </si>
  <si>
    <t>Maturity</t>
  </si>
  <si>
    <t>Discount</t>
  </si>
  <si>
    <t>NPV</t>
  </si>
  <si>
    <t>Cash and Cash Equivalents</t>
  </si>
  <si>
    <t>149</t>
  </si>
  <si>
    <t>426</t>
  </si>
  <si>
    <t>3,878</t>
  </si>
  <si>
    <t>3,545</t>
  </si>
  <si>
    <t>6,082</t>
  </si>
  <si>
    <t>8,657</t>
  </si>
  <si>
    <t>10,198</t>
  </si>
  <si>
    <t>13,630</t>
  </si>
  <si>
    <t>9,983</t>
  </si>
  <si>
    <t>14,778</t>
  </si>
  <si>
    <t>18,898</t>
  </si>
  <si>
    <t>18,347</t>
  </si>
  <si>
    <t>16,549</t>
  </si>
  <si>
    <t>12,918</t>
  </si>
  <si>
    <t>10,715</t>
  </si>
  <si>
    <t>16,701</t>
  </si>
  <si>
    <t>18,498</t>
  </si>
  <si>
    <t>26,465</t>
  </si>
  <si>
    <t>20,945</t>
  </si>
  <si>
    <t>Short-Term Investments</t>
  </si>
  <si>
    <t>89</t>
  </si>
  <si>
    <t>1,705</t>
  </si>
  <si>
    <t>4,157</t>
  </si>
  <si>
    <t>7,699</t>
  </si>
  <si>
    <t>8,137</t>
  </si>
  <si>
    <t>7,189</t>
  </si>
  <si>
    <t>14,287</t>
  </si>
  <si>
    <t>21,345</t>
  </si>
  <si>
    <t>34,643</t>
  </si>
  <si>
    <t>33,310</t>
  </si>
  <si>
    <t>39,819</t>
  </si>
  <si>
    <t>46,048</t>
  </si>
  <si>
    <t>56,517</t>
  </si>
  <si>
    <t>73,415</t>
  </si>
  <si>
    <t>91,156</t>
  </si>
  <si>
    <t>92,439</t>
  </si>
  <si>
    <t>101,177</t>
  </si>
  <si>
    <t>110,229</t>
  </si>
  <si>
    <t>118,704</t>
  </si>
  <si>
    <t>Cash &amp; Short-Term Investments</t>
  </si>
  <si>
    <t>147</t>
  </si>
  <si>
    <t>335</t>
  </si>
  <si>
    <t>2,131</t>
  </si>
  <si>
    <t>8,035</t>
  </si>
  <si>
    <t>11,244</t>
  </si>
  <si>
    <t>14,219</t>
  </si>
  <si>
    <t>15,846</t>
  </si>
  <si>
    <t>24,485</t>
  </si>
  <si>
    <t>34,975</t>
  </si>
  <si>
    <t>44,626</t>
  </si>
  <si>
    <t>48,088</t>
  </si>
  <si>
    <t>58,717</t>
  </si>
  <si>
    <t>64,395</t>
  </si>
  <si>
    <t>73,066</t>
  </si>
  <si>
    <t>86,333</t>
  </si>
  <si>
    <t>101,871</t>
  </si>
  <si>
    <t>109,140</t>
  </si>
  <si>
    <t>119,675</t>
  </si>
  <si>
    <t>136,694</t>
  </si>
  <si>
    <t>139,649</t>
  </si>
  <si>
    <t>Net Receivables</t>
  </si>
  <si>
    <t>62</t>
  </si>
  <si>
    <t>155</t>
  </si>
  <si>
    <t>382</t>
  </si>
  <si>
    <t>1,322</t>
  </si>
  <si>
    <t>2,308</t>
  </si>
  <si>
    <t>2,642</t>
  </si>
  <si>
    <t>3,202</t>
  </si>
  <si>
    <t>5,002</t>
  </si>
  <si>
    <t>6,172</t>
  </si>
  <si>
    <t>8,585</t>
  </si>
  <si>
    <t>9,390</t>
  </si>
  <si>
    <t>10,849</t>
  </si>
  <si>
    <t>13,909</t>
  </si>
  <si>
    <t>14,232</t>
  </si>
  <si>
    <t>18,705</t>
  </si>
  <si>
    <t>21,193</t>
  </si>
  <si>
    <t>27,492</t>
  </si>
  <si>
    <t>31,384</t>
  </si>
  <si>
    <t>40,270</t>
  </si>
  <si>
    <t>35</t>
  </si>
  <si>
    <t>505</t>
  </si>
  <si>
    <t>749</t>
  </si>
  <si>
    <t>1,107</t>
  </si>
  <si>
    <t>728</t>
  </si>
  <si>
    <t>1,170</t>
  </si>
  <si>
    <t>Other Current Assets</t>
  </si>
  <si>
    <t>23</t>
  </si>
  <si>
    <t>70</t>
  </si>
  <si>
    <t>180</t>
  </si>
  <si>
    <t>278</t>
  </si>
  <si>
    <t>474</t>
  </si>
  <si>
    <t>762</t>
  </si>
  <si>
    <t>1,690</t>
  </si>
  <si>
    <t>1,480</t>
  </si>
  <si>
    <t>1,585</t>
  </si>
  <si>
    <t>1,925</t>
  </si>
  <si>
    <t>3,276</t>
  </si>
  <si>
    <t>4,779</t>
  </si>
  <si>
    <t>3,412</t>
  </si>
  <si>
    <t>3,139</t>
  </si>
  <si>
    <t>4,575</t>
  </si>
  <si>
    <t>2,983</t>
  </si>
  <si>
    <t>4,236</t>
  </si>
  <si>
    <t>4,412</t>
  </si>
  <si>
    <t>5,490</t>
  </si>
  <si>
    <t>7,054</t>
  </si>
  <si>
    <t>232</t>
  </si>
  <si>
    <t>560</t>
  </si>
  <si>
    <t>2,693</t>
  </si>
  <si>
    <t>9,001</t>
  </si>
  <si>
    <t>13,040</t>
  </si>
  <si>
    <t>17,289</t>
  </si>
  <si>
    <t>20,178</t>
  </si>
  <si>
    <t>29,167</t>
  </si>
  <si>
    <t>41,562</t>
  </si>
  <si>
    <t>52,758</t>
  </si>
  <si>
    <t>60,454</t>
  </si>
  <si>
    <t>72,886</t>
  </si>
  <si>
    <t>78,656</t>
  </si>
  <si>
    <t>90,114</t>
  </si>
  <si>
    <t>105,408</t>
  </si>
  <si>
    <t>124,308</t>
  </si>
  <si>
    <t>135,676</t>
  </si>
  <si>
    <t>152,578</t>
  </si>
  <si>
    <t>174,296</t>
  </si>
  <si>
    <t>188,143</t>
  </si>
  <si>
    <t>54</t>
  </si>
  <si>
    <t>188</t>
  </si>
  <si>
    <t>379</t>
  </si>
  <si>
    <t>962</t>
  </si>
  <si>
    <t>2,395</t>
  </si>
  <si>
    <t>4,039</t>
  </si>
  <si>
    <t>5,234</t>
  </si>
  <si>
    <t>4,845</t>
  </si>
  <si>
    <t>7,759</t>
  </si>
  <si>
    <t>9,603</t>
  </si>
  <si>
    <t>11,854</t>
  </si>
  <si>
    <t>16,524</t>
  </si>
  <si>
    <t>23,883</t>
  </si>
  <si>
    <t>29,016</t>
  </si>
  <si>
    <t>34,234</t>
  </si>
  <si>
    <t>42,383</t>
  </si>
  <si>
    <t>59,719</t>
  </si>
  <si>
    <t>84,587</t>
  </si>
  <si>
    <t>96,960</t>
  </si>
  <si>
    <t>110,557</t>
  </si>
  <si>
    <t>87</t>
  </si>
  <si>
    <t>123</t>
  </si>
  <si>
    <t>195</t>
  </si>
  <si>
    <t>1,545</t>
  </si>
  <si>
    <t>2,299</t>
  </si>
  <si>
    <t>4,840</t>
  </si>
  <si>
    <t>4,903</t>
  </si>
  <si>
    <t>6,256</t>
  </si>
  <si>
    <t>7,346</t>
  </si>
  <si>
    <t>10,537</t>
  </si>
  <si>
    <t>11,492</t>
  </si>
  <si>
    <t>15,599</t>
  </si>
  <si>
    <t>15,869</t>
  </si>
  <si>
    <t>16,468</t>
  </si>
  <si>
    <t>16,747</t>
  </si>
  <si>
    <t>17,888</t>
  </si>
  <si>
    <t>20,624</t>
  </si>
  <si>
    <t>21,175</t>
  </si>
  <si>
    <t>22,956</t>
  </si>
  <si>
    <t>Intangible Assets</t>
  </si>
  <si>
    <t>18</t>
  </si>
  <si>
    <t>447</t>
  </si>
  <si>
    <t>997</t>
  </si>
  <si>
    <t>775</t>
  </si>
  <si>
    <t>1,044</t>
  </si>
  <si>
    <t>1,578</t>
  </si>
  <si>
    <t>7,473</t>
  </si>
  <si>
    <t>6,066</t>
  </si>
  <si>
    <t>4,607</t>
  </si>
  <si>
    <t>3,847</t>
  </si>
  <si>
    <t>3,307</t>
  </si>
  <si>
    <t>2,692</t>
  </si>
  <si>
    <t>2,220</t>
  </si>
  <si>
    <t>1,979</t>
  </si>
  <si>
    <t>1,445</t>
  </si>
  <si>
    <t>1,417</t>
  </si>
  <si>
    <t>Goodwill and Intangible Assets</t>
  </si>
  <si>
    <t>105</t>
  </si>
  <si>
    <t>194</t>
  </si>
  <si>
    <t>1,892</t>
  </si>
  <si>
    <t>2,746</t>
  </si>
  <si>
    <t>5,837</t>
  </si>
  <si>
    <t>5,678</t>
  </si>
  <si>
    <t>7,300</t>
  </si>
  <si>
    <t>8,924</t>
  </si>
  <si>
    <t>18,010</t>
  </si>
  <si>
    <t>17,558</t>
  </si>
  <si>
    <t>20,206</t>
  </si>
  <si>
    <t>19,716</t>
  </si>
  <si>
    <t>19,775</t>
  </si>
  <si>
    <t>19,439</t>
  </si>
  <si>
    <t>20,108</t>
  </si>
  <si>
    <t>22,603</t>
  </si>
  <si>
    <t>22,620</t>
  </si>
  <si>
    <t>24,373</t>
  </si>
  <si>
    <t>Investments</t>
  </si>
  <si>
    <t>14</t>
  </si>
  <si>
    <t>1,032</t>
  </si>
  <si>
    <t>1,060</t>
  </si>
  <si>
    <t>129</t>
  </si>
  <si>
    <t>523</t>
  </si>
  <si>
    <t>790</t>
  </si>
  <si>
    <t>1,976</t>
  </si>
  <si>
    <t>3,079</t>
  </si>
  <si>
    <t>5,183</t>
  </si>
  <si>
    <t>5,878</t>
  </si>
  <si>
    <t>13,859</t>
  </si>
  <si>
    <t>13,078</t>
  </si>
  <si>
    <t>20,703</t>
  </si>
  <si>
    <t>29,549</t>
  </si>
  <si>
    <t>Tax Assets</t>
  </si>
  <si>
    <t>287</t>
  </si>
  <si>
    <t>1,872</t>
  </si>
  <si>
    <t>1,947</t>
  </si>
  <si>
    <t>758</t>
  </si>
  <si>
    <t>226</t>
  </si>
  <si>
    <t>430</t>
  </si>
  <si>
    <t>1,264</t>
  </si>
  <si>
    <t>1,701</t>
  </si>
  <si>
    <t>1,084</t>
  </si>
  <si>
    <t>1,284</t>
  </si>
  <si>
    <t>Other Non-Current Assets</t>
  </si>
  <si>
    <t>47</t>
  </si>
  <si>
    <t>(18)</t>
  </si>
  <si>
    <t>74</t>
  </si>
  <si>
    <t>202</t>
  </si>
  <si>
    <t>421</t>
  </si>
  <si>
    <t>707</t>
  </si>
  <si>
    <t>212</t>
  </si>
  <si>
    <t>139</t>
  </si>
  <si>
    <t>2,605</t>
  </si>
  <si>
    <t>3,243</t>
  </si>
  <si>
    <t>2,922</t>
  </si>
  <si>
    <t>2,166</t>
  </si>
  <si>
    <t>1,362</t>
  </si>
  <si>
    <t>3,953</t>
  </si>
  <si>
    <t>5,361</t>
  </si>
  <si>
    <t>Total Non-Current Assets</t>
  </si>
  <si>
    <t>311</t>
  </si>
  <si>
    <t>620</t>
  </si>
  <si>
    <t>1,271</t>
  </si>
  <si>
    <t>5,433</t>
  </si>
  <si>
    <t>8,047</t>
  </si>
  <si>
    <t>11,590</t>
  </si>
  <si>
    <t>11,330</t>
  </si>
  <si>
    <t>16,289</t>
  </si>
  <si>
    <t>19,816</t>
  </si>
  <si>
    <t>33,344</t>
  </si>
  <si>
    <t>38,034</t>
  </si>
  <si>
    <t>50,531</t>
  </si>
  <si>
    <t>57,347</t>
  </si>
  <si>
    <t>62,089</t>
  </si>
  <si>
    <t>72,987</t>
  </si>
  <si>
    <t>97,116</t>
  </si>
  <si>
    <t>123,331</t>
  </si>
  <si>
    <t>145,320</t>
  </si>
  <si>
    <t>171,124</t>
  </si>
  <si>
    <t>Other Assets</t>
  </si>
  <si>
    <t>342,249</t>
  </si>
  <si>
    <t>Total Assets</t>
  </si>
  <si>
    <t>871</t>
  </si>
  <si>
    <t>3,313</t>
  </si>
  <si>
    <t>10,272</t>
  </si>
  <si>
    <t>18,473</t>
  </si>
  <si>
    <t>25,336</t>
  </si>
  <si>
    <t>31,768</t>
  </si>
  <si>
    <t>40,497</t>
  </si>
  <si>
    <t>57,851</t>
  </si>
  <si>
    <t>72,574</t>
  </si>
  <si>
    <t>93,798</t>
  </si>
  <si>
    <t>110,920</t>
  </si>
  <si>
    <t>129,187</t>
  </si>
  <si>
    <t>147,461</t>
  </si>
  <si>
    <t>167,497</t>
  </si>
  <si>
    <t>197,295</t>
  </si>
  <si>
    <t>232,792</t>
  </si>
  <si>
    <t>275,909</t>
  </si>
  <si>
    <t>319,616</t>
  </si>
  <si>
    <t>359,268</t>
  </si>
  <si>
    <t>Accounts Payable</t>
  </si>
  <si>
    <t>9</t>
  </si>
  <si>
    <t>46</t>
  </si>
  <si>
    <t>33</t>
  </si>
  <si>
    <t>116</t>
  </si>
  <si>
    <t>211</t>
  </si>
  <si>
    <t>282</t>
  </si>
  <si>
    <t>178</t>
  </si>
  <si>
    <t>216</t>
  </si>
  <si>
    <t>483</t>
  </si>
  <si>
    <t>588</t>
  </si>
  <si>
    <t>2,012</t>
  </si>
  <si>
    <t>2,453</t>
  </si>
  <si>
    <t>1,715</t>
  </si>
  <si>
    <t>1,931</t>
  </si>
  <si>
    <t>2,041</t>
  </si>
  <si>
    <t>3,137</t>
  </si>
  <si>
    <t>4,378</t>
  </si>
  <si>
    <t>5,561</t>
  </si>
  <si>
    <t>5,589</t>
  </si>
  <si>
    <t>6,037</t>
  </si>
  <si>
    <t>Short-Term Debt</t>
  </si>
  <si>
    <t>4</t>
  </si>
  <si>
    <t>2</t>
  </si>
  <si>
    <t>3,465</t>
  </si>
  <si>
    <t>1,218</t>
  </si>
  <si>
    <t>2,549</t>
  </si>
  <si>
    <t>3,009</t>
  </si>
  <si>
    <t>2,009</t>
  </si>
  <si>
    <t>3,225</t>
  </si>
  <si>
    <t>1,199</t>
  </si>
  <si>
    <t>1,694</t>
  </si>
  <si>
    <t>2,189</t>
  </si>
  <si>
    <t>Tax Payable</t>
  </si>
  <si>
    <t>37</t>
  </si>
  <si>
    <t>197</t>
  </si>
  <si>
    <t>240</t>
  </si>
  <si>
    <t>24</t>
  </si>
  <si>
    <t>96</t>
  </si>
  <si>
    <t>302</t>
  </si>
  <si>
    <t>554</t>
  </si>
  <si>
    <t>881</t>
  </si>
  <si>
    <t>274</t>
  </si>
  <si>
    <t>1,485</t>
  </si>
  <si>
    <t>808</t>
  </si>
  <si>
    <t>Deferred Revenue</t>
  </si>
  <si>
    <t>151</t>
  </si>
  <si>
    <t>340</t>
  </si>
  <si>
    <t>396</t>
  </si>
  <si>
    <t>358</t>
  </si>
  <si>
    <t>481</t>
  </si>
  <si>
    <t>535</t>
  </si>
  <si>
    <t>Other Current Liabilities</t>
  </si>
  <si>
    <t>77</t>
  </si>
  <si>
    <t>184</t>
  </si>
  <si>
    <t>305</t>
  </si>
  <si>
    <t>629</t>
  </si>
  <si>
    <t>1,094</t>
  </si>
  <si>
    <t>1,754</t>
  </si>
  <si>
    <t>2,124</t>
  </si>
  <si>
    <t>2,531</t>
  </si>
  <si>
    <t>6,048</t>
  </si>
  <si>
    <t>7,107</t>
  </si>
  <si>
    <t>9,776</t>
  </si>
  <si>
    <t>10,446</t>
  </si>
  <si>
    <t>13,055</t>
  </si>
  <si>
    <t>13,366</t>
  </si>
  <si>
    <t>13,616</t>
  </si>
  <si>
    <t>19,614</t>
  </si>
  <si>
    <t>28,458</t>
  </si>
  <si>
    <t>36,553</t>
  </si>
  <si>
    <t>47,008</t>
  </si>
  <si>
    <t>52,740</t>
  </si>
  <si>
    <t>Total Current Liabilities</t>
  </si>
  <si>
    <t>90</t>
  </si>
  <si>
    <t>235</t>
  </si>
  <si>
    <t>745</t>
  </si>
  <si>
    <t>1,305</t>
  </si>
  <si>
    <t>2,036</t>
  </si>
  <si>
    <t>2,302</t>
  </si>
  <si>
    <t>2,747</t>
  </si>
  <si>
    <t>9,996</t>
  </si>
  <si>
    <t>8,913</t>
  </si>
  <si>
    <t>14,337</t>
  </si>
  <si>
    <t>15,908</t>
  </si>
  <si>
    <t>16,779</t>
  </si>
  <si>
    <t>19,310</t>
  </si>
  <si>
    <t>16,756</t>
  </si>
  <si>
    <t>24,183</t>
  </si>
  <si>
    <t>34,620</t>
  </si>
  <si>
    <t>45,221</t>
  </si>
  <si>
    <t>56,834</t>
  </si>
  <si>
    <t>64,254</t>
  </si>
  <si>
    <t>Long-Term Debt</t>
  </si>
  <si>
    <t>Deferred Tax Liabilities</t>
  </si>
  <si>
    <t>3,561</t>
  </si>
  <si>
    <t>5,257</t>
  </si>
  <si>
    <t>Other Non-Current Liabilities</t>
  </si>
  <si>
    <t>32</t>
  </si>
  <si>
    <t>44</t>
  </si>
  <si>
    <t>108</t>
  </si>
  <si>
    <t>610</t>
  </si>
  <si>
    <t>1,227</t>
  </si>
  <si>
    <t>1,746</t>
  </si>
  <si>
    <t>1,614</t>
  </si>
  <si>
    <t>2,530</t>
  </si>
  <si>
    <t>4,758</t>
  </si>
  <si>
    <t>5,467</t>
  </si>
  <si>
    <t>5,320</t>
  </si>
  <si>
    <t>5,485</t>
  </si>
  <si>
    <t>7,342</t>
  </si>
  <si>
    <t>15,871</t>
  </si>
  <si>
    <t>14,872</t>
  </si>
  <si>
    <t>22,633</t>
  </si>
  <si>
    <t>11,118</t>
  </si>
  <si>
    <t>11,381</t>
  </si>
  <si>
    <t>Total Non-Current Liabilities</t>
  </si>
  <si>
    <t>34</t>
  </si>
  <si>
    <t>5,516</t>
  </si>
  <si>
    <t>7,746</t>
  </si>
  <si>
    <t>7,703</t>
  </si>
  <si>
    <t>8,548</t>
  </si>
  <si>
    <t>7,820</t>
  </si>
  <si>
    <t>11,705</t>
  </si>
  <si>
    <t>20,610</t>
  </si>
  <si>
    <t>20,544</t>
  </si>
  <si>
    <t>29,246</t>
  </si>
  <si>
    <t>40,238</t>
  </si>
  <si>
    <t>43,379</t>
  </si>
  <si>
    <t>Other Liabilities</t>
  </si>
  <si>
    <t>Capital Lease Obligations</t>
  </si>
  <si>
    <t>255</t>
  </si>
  <si>
    <t>246</t>
  </si>
  <si>
    <t>225</t>
  </si>
  <si>
    <t>26</t>
  </si>
  <si>
    <t>12,009</t>
  </si>
  <si>
    <t>12,840</t>
  </si>
  <si>
    <t>15,551</t>
  </si>
  <si>
    <t>Total Liabilities</t>
  </si>
  <si>
    <t>99</t>
  </si>
  <si>
    <t>269</t>
  </si>
  <si>
    <t>384</t>
  </si>
  <si>
    <t>853</t>
  </si>
  <si>
    <t>1,434</t>
  </si>
  <si>
    <t>2,646</t>
  </si>
  <si>
    <t>3,529</t>
  </si>
  <si>
    <t>4,493</t>
  </si>
  <si>
    <t>11,610</t>
  </si>
  <si>
    <t>14,429</t>
  </si>
  <si>
    <t>22,083</t>
  </si>
  <si>
    <t>23,611</t>
  </si>
  <si>
    <t>25,327</t>
  </si>
  <si>
    <t>27,130</t>
  </si>
  <si>
    <t>28,461</t>
  </si>
  <si>
    <t>44,793</t>
  </si>
  <si>
    <t>55,164</t>
  </si>
  <si>
    <t>74,467</t>
  </si>
  <si>
    <t>97,072</t>
  </si>
  <si>
    <t>107,633</t>
  </si>
  <si>
    <t>Preferred Stock</t>
  </si>
  <si>
    <t>Common Stock</t>
  </si>
  <si>
    <t>0</t>
  </si>
  <si>
    <t>18,235</t>
  </si>
  <si>
    <t>20,264</t>
  </si>
  <si>
    <t>22,835</t>
  </si>
  <si>
    <t>25,922</t>
  </si>
  <si>
    <t>28,767</t>
  </si>
  <si>
    <t>32,982</t>
  </si>
  <si>
    <t>36,307</t>
  </si>
  <si>
    <t>40,247</t>
  </si>
  <si>
    <t>45,049</t>
  </si>
  <si>
    <t>50,552</t>
  </si>
  <si>
    <t>58,510</t>
  </si>
  <si>
    <t>61,774</t>
  </si>
  <si>
    <t>Retained Earnings</t>
  </si>
  <si>
    <t>191</t>
  </si>
  <si>
    <t>2,056</t>
  </si>
  <si>
    <t>5,133</t>
  </si>
  <si>
    <t>9,335</t>
  </si>
  <si>
    <t>13,562</t>
  </si>
  <si>
    <t>20,082</t>
  </si>
  <si>
    <t>27,868</t>
  </si>
  <si>
    <t>37,605</t>
  </si>
  <si>
    <t>48,342</t>
  </si>
  <si>
    <t>61,262</t>
  </si>
  <si>
    <t>75,066</t>
  </si>
  <si>
    <t>89,223</t>
  </si>
  <si>
    <t>105,131</t>
  </si>
  <si>
    <t>113,247</t>
  </si>
  <si>
    <t>134,885</t>
  </si>
  <si>
    <t>152,122</t>
  </si>
  <si>
    <t>163,401</t>
  </si>
  <si>
    <t>191,484</t>
  </si>
  <si>
    <t>Other Compreh. Income(Loss)</t>
  </si>
  <si>
    <t>(40)</t>
  </si>
  <si>
    <t>(372)</t>
  </si>
  <si>
    <t>(244)</t>
  </si>
  <si>
    <t>(115)</t>
  </si>
  <si>
    <t>113</t>
  </si>
  <si>
    <t>227</t>
  </si>
  <si>
    <t>138</t>
  </si>
  <si>
    <t>276</t>
  </si>
  <si>
    <t>538</t>
  </si>
  <si>
    <t>27</t>
  </si>
  <si>
    <t>(1,874)</t>
  </si>
  <si>
    <t>(2,402)</t>
  </si>
  <si>
    <t>(992)</t>
  </si>
  <si>
    <t>(2,306)</t>
  </si>
  <si>
    <t>(1,232)</t>
  </si>
  <si>
    <t>633</t>
  </si>
  <si>
    <t>(1,623)</t>
  </si>
  <si>
    <t>Other Total Stockhold. Equity</t>
  </si>
  <si>
    <t>726</t>
  </si>
  <si>
    <t>2,583</t>
  </si>
  <si>
    <t>7,478</t>
  </si>
  <si>
    <t>11,883</t>
  </si>
  <si>
    <t>13,241</t>
  </si>
  <si>
    <t>14,450</t>
  </si>
  <si>
    <t>15,817</t>
  </si>
  <si>
    <t>Total Stockholders Equity</t>
  </si>
  <si>
    <t>174</t>
  </si>
  <si>
    <t>589</t>
  </si>
  <si>
    <t>2,929</t>
  </si>
  <si>
    <t>9,419</t>
  </si>
  <si>
    <t>Total Liab.&amp;Stockhold. Equity</t>
  </si>
  <si>
    <t>273</t>
  </si>
  <si>
    <t>858</t>
  </si>
  <si>
    <t>18,474</t>
  </si>
  <si>
    <t>129,827</t>
  </si>
  <si>
    <t>Minority Interest</t>
  </si>
  <si>
    <t>(640)</t>
  </si>
  <si>
    <t>Total Liabilities &amp; Equity</t>
  </si>
  <si>
    <t>Deferred Income Tax</t>
  </si>
  <si>
    <t>(2)</t>
  </si>
  <si>
    <t>(164)</t>
  </si>
  <si>
    <t>(225)</t>
  </si>
  <si>
    <t>(268)</t>
  </si>
  <si>
    <t>343</t>
  </si>
  <si>
    <t>(266)</t>
  </si>
  <si>
    <t>(437)</t>
  </si>
  <si>
    <t>(104)</t>
  </si>
  <si>
    <t>(179)</t>
  </si>
  <si>
    <t>(38)</t>
  </si>
  <si>
    <t>258</t>
  </si>
  <si>
    <t>778</t>
  </si>
  <si>
    <t>173</t>
  </si>
  <si>
    <t>1,390</t>
  </si>
  <si>
    <t>1,808</t>
  </si>
  <si>
    <t>Stock Based Compensation</t>
  </si>
  <si>
    <t>869</t>
  </si>
  <si>
    <t>1,120</t>
  </si>
  <si>
    <t>1,164</t>
  </si>
  <si>
    <t>1,376</t>
  </si>
  <si>
    <t>1,974</t>
  </si>
  <si>
    <t>3,343</t>
  </si>
  <si>
    <t>4,279</t>
  </si>
  <si>
    <t>5,203</t>
  </si>
  <si>
    <t>6,703</t>
  </si>
  <si>
    <t>7,679</t>
  </si>
  <si>
    <t>9,353</t>
  </si>
  <si>
    <t>10,794</t>
  </si>
  <si>
    <t>12,991</t>
  </si>
  <si>
    <t>15,376</t>
  </si>
  <si>
    <t>Change in Working Capital</t>
  </si>
  <si>
    <t>(253)</t>
  </si>
  <si>
    <t>42</t>
  </si>
  <si>
    <t>319</t>
  </si>
  <si>
    <t>327</t>
  </si>
  <si>
    <t>486</t>
  </si>
  <si>
    <t>(99)</t>
  </si>
  <si>
    <t>630</t>
  </si>
  <si>
    <t>898</t>
  </si>
  <si>
    <t>(31)</t>
  </si>
  <si>
    <t>364</t>
  </si>
  <si>
    <t>(409)</t>
  </si>
  <si>
    <t>3,300</t>
  </si>
  <si>
    <t>9,246</t>
  </si>
  <si>
    <t>4,908</t>
  </si>
  <si>
    <t>819</t>
  </si>
  <si>
    <t>1,827</t>
  </si>
  <si>
    <t>(1,523)</t>
  </si>
  <si>
    <t>Accounts Receivable</t>
  </si>
  <si>
    <t>(837)</t>
  </si>
  <si>
    <t>(334)</t>
  </si>
  <si>
    <t>(504)</t>
  </si>
  <si>
    <t>(1,129)</t>
  </si>
  <si>
    <t>(1,156)</t>
  </si>
  <si>
    <t>(787)</t>
  </si>
  <si>
    <t>(1,307)</t>
  </si>
  <si>
    <t>(1,641)</t>
  </si>
  <si>
    <t>(2,094)</t>
  </si>
  <si>
    <t>(2,578)</t>
  </si>
  <si>
    <t>(3,768)</t>
  </si>
  <si>
    <t>(2,169)</t>
  </si>
  <si>
    <t>(4,340)</t>
  </si>
  <si>
    <t>(6,524)</t>
  </si>
  <si>
    <t>(9,095)</t>
  </si>
  <si>
    <t>301</t>
  </si>
  <si>
    <t>(234)</t>
  </si>
  <si>
    <t>(212)</t>
  </si>
  <si>
    <t>272</t>
  </si>
  <si>
    <t>(499)</t>
  </si>
  <si>
    <t>605</t>
  </si>
  <si>
    <t>436</t>
  </si>
  <si>
    <t>203</t>
  </si>
  <si>
    <t>110</t>
  </si>
  <si>
    <t>731</t>
  </si>
  <si>
    <t>1,067</t>
  </si>
  <si>
    <t>428</t>
  </si>
  <si>
    <t>694</t>
  </si>
  <si>
    <t>283</t>
  </si>
  <si>
    <t>Other Working Capital</t>
  </si>
  <si>
    <t>(125)</t>
  </si>
  <si>
    <t>398</t>
  </si>
  <si>
    <t>815</t>
  </si>
  <si>
    <t>667</t>
  </si>
  <si>
    <t>76</t>
  </si>
  <si>
    <t>111</t>
  </si>
  <si>
    <t>893</t>
  </si>
  <si>
    <t>1,655</t>
  </si>
  <si>
    <t>(136)</t>
  </si>
  <si>
    <t>3,348</t>
  </si>
  <si>
    <t>8,601</t>
  </si>
  <si>
    <t>(1,880)</t>
  </si>
  <si>
    <t>(3,091)</t>
  </si>
  <si>
    <t>1,844</t>
  </si>
  <si>
    <t>Other Non-Cash Items</t>
  </si>
  <si>
    <t>683</t>
  </si>
  <si>
    <t>657</t>
  </si>
  <si>
    <t>(111)</t>
  </si>
  <si>
    <t>(419)</t>
  </si>
  <si>
    <t>904</t>
  </si>
  <si>
    <t>(110)</t>
  </si>
  <si>
    <t>(106)</t>
  </si>
  <si>
    <t>30</t>
  </si>
  <si>
    <t>(404)</t>
  </si>
  <si>
    <t>(888)</t>
  </si>
  <si>
    <t>(1,278)</t>
  </si>
  <si>
    <t>449</t>
  </si>
  <si>
    <t>331</t>
  </si>
  <si>
    <t>(6,839)</t>
  </si>
  <si>
    <t>(3,390)</t>
  </si>
  <si>
    <t>(5,050)</t>
  </si>
  <si>
    <t>(12,483)</t>
  </si>
  <si>
    <t>Cash Provided by Operating Activities</t>
  </si>
  <si>
    <t>31</t>
  </si>
  <si>
    <t>977</t>
  </si>
  <si>
    <t>2,459</t>
  </si>
  <si>
    <t>3,581</t>
  </si>
  <si>
    <t>5,775</t>
  </si>
  <si>
    <t>7,853</t>
  </si>
  <si>
    <t>9,316</t>
  </si>
  <si>
    <t>11,081</t>
  </si>
  <si>
    <t>14,565</t>
  </si>
  <si>
    <t>16,619</t>
  </si>
  <si>
    <t>18,659</t>
  </si>
  <si>
    <t>22,376</t>
  </si>
  <si>
    <t>26,024</t>
  </si>
  <si>
    <t>36,036</t>
  </si>
  <si>
    <t>37,091</t>
  </si>
  <si>
    <t>47,971</t>
  </si>
  <si>
    <t>54,520</t>
  </si>
  <si>
    <t>65,124</t>
  </si>
  <si>
    <t>91,652</t>
  </si>
  <si>
    <t>CAPEX</t>
  </si>
  <si>
    <t>(13)</t>
  </si>
  <si>
    <t>(37)</t>
  </si>
  <si>
    <t>(177)</t>
  </si>
  <si>
    <t>(319)</t>
  </si>
  <si>
    <t>(838)</t>
  </si>
  <si>
    <t>(1,903)</t>
  </si>
  <si>
    <t>(2,403)</t>
  </si>
  <si>
    <t>(2,358)</t>
  </si>
  <si>
    <t>(810)</t>
  </si>
  <si>
    <t>(4,018)</t>
  </si>
  <si>
    <t>(3,438)</t>
  </si>
  <si>
    <t>(3,273)</t>
  </si>
  <si>
    <t>(7,358)</t>
  </si>
  <si>
    <t>(10,959)</t>
  </si>
  <si>
    <t>(9,915)</t>
  </si>
  <si>
    <t>(10,212)</t>
  </si>
  <si>
    <t>(13,184)</t>
  </si>
  <si>
    <t>(25,139)</t>
  </si>
  <si>
    <t>(23,548)</t>
  </si>
  <si>
    <t>(22,281)</t>
  </si>
  <si>
    <t>(24,640)</t>
  </si>
  <si>
    <t>Acquisitions Net</t>
  </si>
  <si>
    <t>(22)</t>
  </si>
  <si>
    <t>(101)</t>
  </si>
  <si>
    <t>(402)</t>
  </si>
  <si>
    <t>(907)</t>
  </si>
  <si>
    <t>(3,320)</t>
  </si>
  <si>
    <t>(108)</t>
  </si>
  <si>
    <t>(1,067)</t>
  </si>
  <si>
    <t>(1,900)</t>
  </si>
  <si>
    <t>(10,568)</t>
  </si>
  <si>
    <t>1,077</t>
  </si>
  <si>
    <t>(4,502)</t>
  </si>
  <si>
    <t>(236)</t>
  </si>
  <si>
    <t>(986)</t>
  </si>
  <si>
    <t>(287)</t>
  </si>
  <si>
    <t>(1,491)</t>
  </si>
  <si>
    <t>(2,515)</t>
  </si>
  <si>
    <t>(738)</t>
  </si>
  <si>
    <t>(2,618)</t>
  </si>
  <si>
    <t>Purchases of Investments</t>
  </si>
  <si>
    <t>(93)</t>
  </si>
  <si>
    <t>(317)</t>
  </si>
  <si>
    <t>(4,135)</t>
  </si>
  <si>
    <t>(12,676)</t>
  </si>
  <si>
    <t>(27,701)</t>
  </si>
  <si>
    <t>(16,032)</t>
  </si>
  <si>
    <t>(15,403)</t>
  </si>
  <si>
    <t>(29,204)</t>
  </si>
  <si>
    <t>(45,055)</t>
  </si>
  <si>
    <t>(62,095)</t>
  </si>
  <si>
    <t>(34,106)</t>
  </si>
  <si>
    <t>(46,013)</t>
  </si>
  <si>
    <t>(58,312)</t>
  </si>
  <si>
    <t>(76,540)</t>
  </si>
  <si>
    <t>(85,618)</t>
  </si>
  <si>
    <t>(93,940)</t>
  </si>
  <si>
    <t>(52,231)</t>
  </si>
  <si>
    <t>(102,247)</t>
  </si>
  <si>
    <t>(143,751)</t>
  </si>
  <si>
    <t>(138,034)</t>
  </si>
  <si>
    <t>Sales/Maturities of Investments</t>
  </si>
  <si>
    <t>219</t>
  </si>
  <si>
    <t>2,611</t>
  </si>
  <si>
    <t>10,257</t>
  </si>
  <si>
    <t>23,107</t>
  </si>
  <si>
    <t>15,659</t>
  </si>
  <si>
    <t>15,763</t>
  </si>
  <si>
    <t>22,103</t>
  </si>
  <si>
    <t>37,099</t>
  </si>
  <si>
    <t>48,746</t>
  </si>
  <si>
    <t>35,225</t>
  </si>
  <si>
    <t>38,914</t>
  </si>
  <si>
    <t>51,315</t>
  </si>
  <si>
    <t>63,330</t>
  </si>
  <si>
    <t>67,839</t>
  </si>
  <si>
    <t>74,492</t>
  </si>
  <si>
    <t>50,259</t>
  </si>
  <si>
    <t>98,230</t>
  </si>
  <si>
    <t>133,929</t>
  </si>
  <si>
    <t>129,228</t>
  </si>
  <si>
    <t>Other Investing Activities</t>
  </si>
  <si>
    <t>(16)</t>
  </si>
  <si>
    <t>2,361</t>
  </si>
  <si>
    <t>(354)</t>
  </si>
  <si>
    <t>(299)</t>
  </si>
  <si>
    <t>1,403</t>
  </si>
  <si>
    <t>(350)</t>
  </si>
  <si>
    <t>(2,188)</t>
  </si>
  <si>
    <t>1,518</t>
  </si>
  <si>
    <t>98</t>
  </si>
  <si>
    <t>68</t>
  </si>
  <si>
    <t>541</t>
  </si>
  <si>
    <t>Cash Used for Investing Activities</t>
  </si>
  <si>
    <t>(29)</t>
  </si>
  <si>
    <t>(314)</t>
  </si>
  <si>
    <t>(1,901)</t>
  </si>
  <si>
    <t>(3,358)</t>
  </si>
  <si>
    <t>(6,899)</t>
  </si>
  <si>
    <t>(3,682)</t>
  </si>
  <si>
    <t>(5,319)</t>
  </si>
  <si>
    <t>(8,019)</t>
  </si>
  <si>
    <t>(10,680)</t>
  </si>
  <si>
    <t>(19,041)</t>
  </si>
  <si>
    <t>(13,056)</t>
  </si>
  <si>
    <t>(13,679)</t>
  </si>
  <si>
    <t>(21,055)</t>
  </si>
  <si>
    <t>(23,711)</t>
  </si>
  <si>
    <t>(31,165)</t>
  </si>
  <si>
    <t>(31,401)</t>
  </si>
  <si>
    <t>(28,504)</t>
  </si>
  <si>
    <t>(29,491)</t>
  </si>
  <si>
    <t>(32,773)</t>
  </si>
  <si>
    <t>(35,523)</t>
  </si>
  <si>
    <t>Debt Repayment</t>
  </si>
  <si>
    <t>(1,783)</t>
  </si>
  <si>
    <t>(10,179)</t>
  </si>
  <si>
    <t>(14,781)</t>
  </si>
  <si>
    <t>(11,325)</t>
  </si>
  <si>
    <t>(11,643)</t>
  </si>
  <si>
    <t>(13,728)</t>
  </si>
  <si>
    <t>(10,064)</t>
  </si>
  <si>
    <t>(4,377)</t>
  </si>
  <si>
    <t>(6,827)</t>
  </si>
  <si>
    <t>(585)</t>
  </si>
  <si>
    <t>(2,100)</t>
  </si>
  <si>
    <t>(21,435)</t>
  </si>
  <si>
    <t>Common Stock Issued</t>
  </si>
  <si>
    <t>1,195</t>
  </si>
  <si>
    <t>4,372</t>
  </si>
  <si>
    <t>2,385</t>
  </si>
  <si>
    <t>800</t>
  </si>
  <si>
    <t>Common Stock Repurchased</t>
  </si>
  <si>
    <t>(801)</t>
  </si>
  <si>
    <t>(1,780)</t>
  </si>
  <si>
    <t>(3,693)</t>
  </si>
  <si>
    <t>(4,846)</t>
  </si>
  <si>
    <t>(9,075)</t>
  </si>
  <si>
    <t>(18,396)</t>
  </si>
  <si>
    <t>(31,149)</t>
  </si>
  <si>
    <t>(50,274)</t>
  </si>
  <si>
    <t>Dividends Paid</t>
  </si>
  <si>
    <t>Other Financing Activities</t>
  </si>
  <si>
    <t>(3)</t>
  </si>
  <si>
    <t>(8)</t>
  </si>
  <si>
    <t>582</t>
  </si>
  <si>
    <t>403</t>
  </si>
  <si>
    <t>88</t>
  </si>
  <si>
    <t>233</t>
  </si>
  <si>
    <t>5,634</t>
  </si>
  <si>
    <t>10,986</t>
  </si>
  <si>
    <t>16,010</t>
  </si>
  <si>
    <t>10,468</t>
  </si>
  <si>
    <t>10,204</t>
  </si>
  <si>
    <t>11,831</t>
  </si>
  <si>
    <t>5,425</t>
  </si>
  <si>
    <t>1,773</t>
  </si>
  <si>
    <t>(4,228)</t>
  </si>
  <si>
    <t>8,841</t>
  </si>
  <si>
    <t>10,347</t>
  </si>
  <si>
    <t>Cash Used/Provided by Financing Activities</t>
  </si>
  <si>
    <t>(5)</t>
  </si>
  <si>
    <t>8</t>
  </si>
  <si>
    <t>4,371</t>
  </si>
  <si>
    <t>2,966</t>
  </si>
  <si>
    <t>3,050</t>
  </si>
  <si>
    <t>807</t>
  </si>
  <si>
    <t>(857)</t>
  </si>
  <si>
    <t>(1,439)</t>
  </si>
  <si>
    <t>(3,677)</t>
  </si>
  <si>
    <t>(8,332)</t>
  </si>
  <si>
    <t>(8,298)</t>
  </si>
  <si>
    <t>(13,179)</t>
  </si>
  <si>
    <t>(23,209)</t>
  </si>
  <si>
    <t>(24,408)</t>
  </si>
  <si>
    <t>(61,362)</t>
  </si>
  <si>
    <t>Effect of Forex Changes on Cash</t>
  </si>
  <si>
    <t>(46)</t>
  </si>
  <si>
    <t>(19)</t>
  </si>
  <si>
    <t>22</t>
  </si>
  <si>
    <t>(433)</t>
  </si>
  <si>
    <t>(434)</t>
  </si>
  <si>
    <t>(170)</t>
  </si>
  <si>
    <t>405</t>
  </si>
  <si>
    <t>(302)</t>
  </si>
  <si>
    <t>(23)</t>
  </si>
  <si>
    <t>Net Change In Cash</t>
  </si>
  <si>
    <t>91</t>
  </si>
  <si>
    <t>3,450</t>
  </si>
  <si>
    <t>(333)</t>
  </si>
  <si>
    <t>2,537</t>
  </si>
  <si>
    <t>2,575</t>
  </si>
  <si>
    <t>1,541</t>
  </si>
  <si>
    <t>3,432</t>
  </si>
  <si>
    <t>(3,647)</t>
  </si>
  <si>
    <t>4,795</t>
  </si>
  <si>
    <t>4,120</t>
  </si>
  <si>
    <t>(551)</t>
  </si>
  <si>
    <t>(1,798)</t>
  </si>
  <si>
    <t>(3,631)</t>
  </si>
  <si>
    <t>(2,203)</t>
  </si>
  <si>
    <t>5,986</t>
  </si>
  <si>
    <t>1,797</t>
  </si>
  <si>
    <t>7,967</t>
  </si>
  <si>
    <t>(5,520)</t>
  </si>
  <si>
    <t>Cash at the End of Period</t>
  </si>
  <si>
    <t>427</t>
  </si>
  <si>
    <t>3,877</t>
  </si>
  <si>
    <t>Cash at the Beginning of Period</t>
  </si>
  <si>
    <t>Free Cash Flow</t>
  </si>
  <si>
    <t>118</t>
  </si>
  <si>
    <t>658</t>
  </si>
  <si>
    <t>1,621</t>
  </si>
  <si>
    <t>1,678</t>
  </si>
  <si>
    <t>3,373</t>
  </si>
  <si>
    <t>5,494</t>
  </si>
  <si>
    <t>8,506</t>
  </si>
  <si>
    <t>7,063</t>
  </si>
  <si>
    <t>11,127</t>
  </si>
  <si>
    <t>13,346</t>
  </si>
  <si>
    <t>11,301</t>
  </si>
  <si>
    <t>11,417</t>
  </si>
  <si>
    <t>16,109</t>
  </si>
  <si>
    <t>25,824</t>
  </si>
  <si>
    <t>23,907</t>
  </si>
  <si>
    <t>22,832</t>
  </si>
  <si>
    <t>30,972</t>
  </si>
  <si>
    <t>42,843</t>
  </si>
  <si>
    <t>67,012</t>
  </si>
  <si>
    <t>Stock Prices</t>
  </si>
  <si>
    <t>High</t>
  </si>
  <si>
    <t>Low</t>
  </si>
  <si>
    <t>Average</t>
  </si>
  <si>
    <t>Quarter</t>
  </si>
  <si>
    <t>Period of Report</t>
  </si>
  <si>
    <t>Q123</t>
  </si>
  <si>
    <t>Q223</t>
  </si>
  <si>
    <t>Q323</t>
  </si>
  <si>
    <t>Q423</t>
  </si>
  <si>
    <t>Equity</t>
  </si>
  <si>
    <t>Preferred stock</t>
  </si>
  <si>
    <t>Class A, B, C stock</t>
  </si>
  <si>
    <t>Accumulated other comprehensive income</t>
  </si>
  <si>
    <t>Retained earnings</t>
  </si>
  <si>
    <t xml:space="preserve">Total Equity </t>
  </si>
  <si>
    <t>Total Equity &amp; Liabilities</t>
  </si>
  <si>
    <t>Balance Sheet *in millions, USD</t>
  </si>
  <si>
    <t>Free Cash Flow *in millions, USD</t>
  </si>
  <si>
    <t>CFFO</t>
  </si>
  <si>
    <t>CapEx</t>
  </si>
  <si>
    <t>United States</t>
  </si>
  <si>
    <t>EMEA</t>
  </si>
  <si>
    <t>APAC</t>
  </si>
  <si>
    <t>Other Americas</t>
  </si>
  <si>
    <t>SBI</t>
  </si>
  <si>
    <t>SBC</t>
  </si>
  <si>
    <t>SBB</t>
  </si>
  <si>
    <t>Dividends</t>
  </si>
  <si>
    <t xml:space="preserve">Revenue Breakdown *in millions, USD </t>
  </si>
  <si>
    <t>Revenue by Regions *in millions, USD</t>
  </si>
  <si>
    <t>Income Statement *in millions, USD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</si>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</sst>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"/>
    <numFmt numFmtId="165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u/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3" fontId="0" fillId="0" borderId="0" xfId="0" applyNumberFormat="1"/>
    <xf numFmtId="4" fontId="0" fillId="0" borderId="0" xfId="0" applyNumberFormat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0" fillId="2" borderId="0" xfId="0" applyFill="1"/>
    <xf numFmtId="9" fontId="0" fillId="2" borderId="0" xfId="0" applyNumberFormat="1" applyFill="1"/>
    <xf numFmtId="8" fontId="0" fillId="0" borderId="0" xfId="0" applyNumberFormat="1"/>
    <xf numFmtId="3" fontId="0" fillId="0" borderId="2" xfId="0" applyNumberFormat="1" applyBorder="1"/>
    <xf numFmtId="3" fontId="0" fillId="0" borderId="4" xfId="0" applyNumberFormat="1" applyBorder="1"/>
    <xf numFmtId="14" fontId="0" fillId="0" borderId="0" xfId="0" applyNumberFormat="1"/>
    <xf numFmtId="3" fontId="2" fillId="0" borderId="3" xfId="0" applyNumberFormat="1" applyFont="1" applyBorder="1"/>
    <xf numFmtId="2" fontId="0" fillId="0" borderId="0" xfId="0" applyNumberFormat="1"/>
    <xf numFmtId="10" fontId="0" fillId="0" borderId="3" xfId="0" applyNumberFormat="1" applyBorder="1"/>
    <xf numFmtId="3" fontId="2" fillId="0" borderId="0" xfId="0" applyNumberFormat="1" applyFont="1"/>
    <xf numFmtId="0" fontId="1" fillId="0" borderId="2" xfId="0" applyFont="1" applyBorder="1"/>
    <xf numFmtId="3" fontId="1" fillId="0" borderId="2" xfId="0" applyNumberFormat="1" applyFont="1" applyBorder="1"/>
    <xf numFmtId="0" fontId="1" fillId="0" borderId="4" xfId="0" applyFont="1" applyBorder="1"/>
    <xf numFmtId="0" fontId="1" fillId="3" borderId="0" xfId="0" applyFont="1" applyFill="1"/>
    <xf numFmtId="0" fontId="0" fillId="3" borderId="0" xfId="0" applyFill="1"/>
    <xf numFmtId="0" fontId="0" fillId="0" borderId="5" xfId="0" applyBorder="1"/>
    <xf numFmtId="0" fontId="0" fillId="4" borderId="0" xfId="0" applyFill="1"/>
    <xf numFmtId="3" fontId="0" fillId="0" borderId="5" xfId="0" applyNumberFormat="1" applyBorder="1"/>
    <xf numFmtId="3" fontId="0" fillId="4" borderId="0" xfId="0" applyNumberFormat="1" applyFill="1"/>
    <xf numFmtId="164" fontId="1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0" fontId="0" fillId="5" borderId="0" xfId="0" applyFill="1"/>
    <xf numFmtId="3" fontId="0" fillId="5" borderId="0" xfId="0" applyNumberFormat="1" applyFill="1"/>
    <xf numFmtId="0" fontId="3" fillId="5" borderId="0" xfId="0" applyFont="1" applyFill="1"/>
    <xf numFmtId="0" fontId="4" fillId="5" borderId="0" xfId="0" applyFont="1" applyFill="1"/>
    <xf numFmtId="3" fontId="4" fillId="5" borderId="3" xfId="0" applyNumberFormat="1" applyFont="1" applyFill="1" applyBorder="1"/>
    <xf numFmtId="3" fontId="4" fillId="5" borderId="0" xfId="0" applyNumberFormat="1" applyFont="1" applyFill="1"/>
    <xf numFmtId="0" fontId="0" fillId="5" borderId="3" xfId="0" applyFill="1" applyBorder="1"/>
    <xf numFmtId="0" fontId="0" fillId="0" borderId="4" xfId="0" applyBorder="1"/>
    <xf numFmtId="0" fontId="5" fillId="4" borderId="0" xfId="0" applyFont="1" applyFill="1"/>
    <xf numFmtId="3" fontId="5" fillId="4" borderId="3" xfId="0" applyNumberFormat="1" applyFont="1" applyFill="1" applyBorder="1"/>
    <xf numFmtId="3" fontId="5" fillId="4" borderId="0" xfId="0" applyNumberFormat="1" applyFont="1" applyFill="1"/>
    <xf numFmtId="3" fontId="1" fillId="0" borderId="9" xfId="0" applyNumberFormat="1" applyFont="1" applyBorder="1"/>
    <xf numFmtId="9" fontId="0" fillId="0" borderId="3" xfId="0" applyNumberFormat="1" applyBorder="1"/>
    <xf numFmtId="0" fontId="1" fillId="0" borderId="3" xfId="0" applyFont="1" applyBorder="1"/>
    <xf numFmtId="0" fontId="5" fillId="4" borderId="3" xfId="0" applyFont="1" applyFill="1" applyBorder="1"/>
    <xf numFmtId="2" fontId="0" fillId="0" borderId="3" xfId="0" applyNumberFormat="1" applyBorder="1"/>
    <xf numFmtId="0" fontId="4" fillId="5" borderId="3" xfId="0" applyFont="1" applyFill="1" applyBorder="1"/>
    <xf numFmtId="3" fontId="1" fillId="0" borderId="1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14" fontId="0" fillId="0" borderId="3" xfId="0" applyNumberFormat="1" applyBorder="1"/>
    <xf numFmtId="0" fontId="6" fillId="0" borderId="0" xfId="0" applyFont="1"/>
    <xf numFmtId="0" fontId="3" fillId="5" borderId="3" xfId="0" applyFont="1" applyFill="1" applyBorder="1"/>
    <xf numFmtId="0" fontId="6" fillId="0" borderId="3" xfId="0" applyFont="1" applyBorder="1"/>
    <xf numFmtId="0" fontId="7" fillId="0" borderId="0" xfId="0" applyFont="1"/>
    <xf numFmtId="0" fontId="7" fillId="0" borderId="3" xfId="0" applyFont="1" applyBorder="1"/>
    <xf numFmtId="14" fontId="6" fillId="0" borderId="0" xfId="0" applyNumberFormat="1" applyFont="1"/>
    <xf numFmtId="0" fontId="8" fillId="4" borderId="3" xfId="0" applyFont="1" applyFill="1" applyBorder="1"/>
    <xf numFmtId="0" fontId="8" fillId="4" borderId="0" xfId="0" applyFont="1" applyFill="1"/>
    <xf numFmtId="3" fontId="8" fillId="4" borderId="0" xfId="0" applyNumberFormat="1" applyFont="1" applyFill="1"/>
    <xf numFmtId="3" fontId="8" fillId="4" borderId="3" xfId="0" applyNumberFormat="1" applyFont="1" applyFill="1" applyBorder="1"/>
    <xf numFmtId="3" fontId="7" fillId="0" borderId="9" xfId="0" applyNumberFormat="1" applyFont="1" applyBorder="1"/>
    <xf numFmtId="3" fontId="7" fillId="0" borderId="10" xfId="0" applyNumberFormat="1" applyFont="1" applyBorder="1"/>
    <xf numFmtId="3" fontId="7" fillId="0" borderId="0" xfId="0" applyNumberFormat="1" applyFont="1"/>
    <xf numFmtId="3" fontId="7" fillId="0" borderId="3" xfId="0" applyNumberFormat="1" applyFont="1" applyBorder="1"/>
    <xf numFmtId="3" fontId="3" fillId="5" borderId="3" xfId="0" applyNumberFormat="1" applyFont="1" applyFill="1" applyBorder="1"/>
    <xf numFmtId="3" fontId="3" fillId="5" borderId="0" xfId="0" applyNumberFormat="1" applyFont="1" applyFill="1"/>
    <xf numFmtId="0" fontId="9" fillId="5" borderId="0" xfId="0" applyFont="1" applyFill="1"/>
    <xf numFmtId="0" fontId="9" fillId="5" borderId="3" xfId="0" applyFont="1" applyFill="1" applyBorder="1"/>
    <xf numFmtId="0" fontId="10" fillId="4" borderId="0" xfId="0" applyFont="1" applyFill="1"/>
    <xf numFmtId="0" fontId="10" fillId="4" borderId="3" xfId="0" applyFont="1" applyFill="1" applyBorder="1"/>
    <xf numFmtId="10" fontId="3" fillId="5" borderId="0" xfId="0" applyNumberFormat="1" applyFont="1" applyFill="1"/>
    <xf numFmtId="14" fontId="6" fillId="0" borderId="3" xfId="0" applyNumberFormat="1" applyFont="1" applyBorder="1"/>
    <xf numFmtId="3" fontId="1" fillId="0" borderId="11" xfId="0" applyNumberFormat="1" applyFont="1" applyBorder="1"/>
    <xf numFmtId="3" fontId="7" fillId="0" borderId="11" xfId="0" applyNumberFormat="1" applyFont="1" applyBorder="1"/>
  </cellXfs>
  <cellStyles count="1">
    <cellStyle name="Normal" xfId="0" builtinId="0"/>
  </cellStyles>
  <dxfs count="4"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1" sqref="B21"/>
    </sheetView>
  </sheetViews>
  <sheetFormatPr defaultRowHeight="14.5" x14ac:dyDescent="0.35"/>
  <cols>
    <col min="2" max="2" width="13.26953125" bestFit="1" customWidth="1"/>
    <col min="5" max="5" width="11.26953125" bestFit="1" customWidth="1"/>
  </cols>
  <sheetData>
    <row r="1" spans="1:6" ht="15" customHeight="1" thickBot="1" x14ac:dyDescent="0.4">
      <c r="A1" t="e">
        <v>#VALUE!</v>
      </c>
    </row>
    <row r="2" spans="1:6" x14ac:dyDescent="0.35">
      <c r="A2" s="34" t="s">
        <v>0</v>
      </c>
      <c r="B2" s="37" t="e" vm="1">
        <f t="array" ref="B2">_FV(A1,"Price")</f>
        <v>#VALUE!</v>
      </c>
    </row>
    <row r="3" spans="1:6" x14ac:dyDescent="0.35">
      <c r="A3" s="35" t="s">
        <v>1</v>
      </c>
      <c r="B3" s="3" t="e" vm="2">
        <f t="array" ref="B3">_FV(A1,"Shares outstanding",TRUE)/1000000</f>
        <v>#VALUE!</v>
      </c>
    </row>
    <row r="4" spans="1:6" x14ac:dyDescent="0.35">
      <c r="A4" s="35" t="s">
        <v>2</v>
      </c>
      <c r="B4" s="3" t="e" vm="3">
        <f>B2*B3</f>
        <v>#VALUE!</v>
      </c>
    </row>
    <row r="5" spans="1:6" x14ac:dyDescent="0.35">
      <c r="A5" s="35" t="s">
        <v>3</v>
      </c>
      <c r="B5" s="3">
        <f>Model!AU57</f>
        <v>113762</v>
      </c>
      <c r="E5" s="3"/>
      <c r="F5" t="s">
        <v>4</v>
      </c>
    </row>
    <row r="6" spans="1:6" x14ac:dyDescent="0.35">
      <c r="A6" s="35" t="s">
        <v>5</v>
      </c>
      <c r="B6" s="3">
        <f>Model!AU75+Model!AU84</f>
        <v>14701</v>
      </c>
      <c r="E6" s="3"/>
    </row>
    <row r="7" spans="1:6" ht="15" customHeight="1" thickBot="1" x14ac:dyDescent="0.4">
      <c r="A7" s="36" t="s">
        <v>6</v>
      </c>
      <c r="B7" s="3" t="e" vm="3">
        <f>B4-B5+B6</f>
        <v>#VALUE!</v>
      </c>
      <c r="E7" s="3"/>
    </row>
    <row r="8" spans="1:6" x14ac:dyDescent="0.35">
      <c r="A8" t="s">
        <v>7</v>
      </c>
      <c r="B8" s="4">
        <f>B5-B6</f>
        <v>99061</v>
      </c>
      <c r="E8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3"/>
  <sheetViews>
    <sheetView tabSelected="1" workbookViewId="0">
      <selection activeCell="AH36" sqref="AH36"/>
    </sheetView>
  </sheetViews>
  <sheetFormatPr defaultRowHeight="14.5" x14ac:dyDescent="0.35"/>
  <cols>
    <col min="8" max="8" width="8.7265625" style="6"/>
    <col min="12" max="12" width="8.7265625" style="6"/>
    <col min="16" max="16" width="8.7265625" style="6"/>
    <col min="18" max="18" width="10.453125" bestFit="1" customWidth="1"/>
    <col min="20" max="20" width="8.7265625" style="6"/>
    <col min="22" max="22" width="10.453125" bestFit="1" customWidth="1"/>
    <col min="24" max="24" width="9.453125" style="6" bestFit="1" customWidth="1"/>
    <col min="27" max="27" width="10.453125" bestFit="1" customWidth="1"/>
    <col min="28" max="28" width="9.453125" style="6" bestFit="1" customWidth="1"/>
    <col min="29" max="29" width="9.453125" bestFit="1" customWidth="1"/>
  </cols>
  <sheetData>
    <row r="1" spans="1:31" s="62" customFormat="1" x14ac:dyDescent="0.35">
      <c r="B1" s="62" t="s">
        <v>1826</v>
      </c>
      <c r="H1" s="63"/>
      <c r="L1" s="63"/>
      <c r="P1" s="63"/>
      <c r="T1" s="63"/>
      <c r="X1" s="63"/>
      <c r="AB1" s="63" t="s">
        <v>1828</v>
      </c>
      <c r="AC1" s="62" t="s">
        <v>1829</v>
      </c>
      <c r="AD1" s="62" t="s">
        <v>1830</v>
      </c>
      <c r="AE1" s="62" t="s">
        <v>1831</v>
      </c>
    </row>
    <row r="2" spans="1:31" x14ac:dyDescent="0.35">
      <c r="A2" t="s">
        <v>8</v>
      </c>
      <c r="B2" t="s">
        <v>9</v>
      </c>
      <c r="E2" s="19">
        <v>42941</v>
      </c>
      <c r="F2" s="19">
        <v>43035</v>
      </c>
      <c r="G2" s="19">
        <v>43137</v>
      </c>
      <c r="I2" s="19">
        <v>43305</v>
      </c>
      <c r="J2" s="19">
        <v>43399</v>
      </c>
      <c r="K2" s="19">
        <v>43501</v>
      </c>
      <c r="L2" s="58">
        <v>43585</v>
      </c>
      <c r="M2" s="19">
        <v>43672</v>
      </c>
      <c r="N2" s="19">
        <v>43767</v>
      </c>
      <c r="O2" s="19">
        <v>43865</v>
      </c>
      <c r="P2" s="58">
        <v>43950</v>
      </c>
      <c r="Q2" s="19">
        <v>44043</v>
      </c>
      <c r="R2" s="19">
        <v>44134</v>
      </c>
      <c r="S2" s="19">
        <v>44230</v>
      </c>
      <c r="T2" s="58">
        <v>44314</v>
      </c>
      <c r="U2" s="19">
        <v>44405</v>
      </c>
      <c r="V2" s="19">
        <v>44496</v>
      </c>
      <c r="W2" s="19">
        <v>44594</v>
      </c>
      <c r="X2" s="58">
        <v>44678</v>
      </c>
      <c r="Y2" s="19">
        <v>44769</v>
      </c>
      <c r="AA2" s="19">
        <v>44960</v>
      </c>
      <c r="AB2" s="58">
        <v>45042</v>
      </c>
      <c r="AC2" s="19">
        <v>45133</v>
      </c>
    </row>
    <row r="3" spans="1:31" s="59" customFormat="1" x14ac:dyDescent="0.35">
      <c r="A3" s="59" t="s">
        <v>10</v>
      </c>
      <c r="B3" s="59" t="s">
        <v>1827</v>
      </c>
      <c r="D3" s="64">
        <v>42825</v>
      </c>
      <c r="E3" s="64">
        <v>42916</v>
      </c>
      <c r="F3" s="64">
        <v>43008</v>
      </c>
      <c r="G3" s="64">
        <v>43100</v>
      </c>
      <c r="H3" s="80">
        <v>43190</v>
      </c>
      <c r="I3" s="64">
        <v>43281</v>
      </c>
      <c r="J3" s="64">
        <v>43373</v>
      </c>
      <c r="K3" s="64">
        <v>43465</v>
      </c>
      <c r="L3" s="80">
        <v>43555</v>
      </c>
      <c r="M3" s="64">
        <v>43646</v>
      </c>
      <c r="N3" s="64">
        <v>43738</v>
      </c>
      <c r="O3" s="64">
        <v>43830</v>
      </c>
      <c r="P3" s="80">
        <v>43921</v>
      </c>
      <c r="Q3" s="64">
        <v>44012</v>
      </c>
      <c r="R3" s="64">
        <v>44104</v>
      </c>
      <c r="S3" s="64">
        <v>44196</v>
      </c>
      <c r="T3" s="80">
        <v>44286</v>
      </c>
      <c r="U3" s="64">
        <v>44377</v>
      </c>
      <c r="V3" s="64">
        <v>44469</v>
      </c>
      <c r="W3" s="64">
        <v>44561</v>
      </c>
      <c r="X3" s="80">
        <v>44651</v>
      </c>
      <c r="Y3" s="64">
        <v>44742</v>
      </c>
      <c r="Z3" s="64">
        <v>44834</v>
      </c>
      <c r="AA3" s="64">
        <v>44926</v>
      </c>
      <c r="AB3" s="80">
        <v>45016</v>
      </c>
      <c r="AC3" s="64">
        <v>45107</v>
      </c>
    </row>
    <row r="4" spans="1:31" s="41" customFormat="1" x14ac:dyDescent="0.35">
      <c r="B4" s="41" t="s">
        <v>1822</v>
      </c>
    </row>
    <row r="5" spans="1:31" s="59" customFormat="1" x14ac:dyDescent="0.35">
      <c r="B5" s="59" t="s">
        <v>1823</v>
      </c>
    </row>
    <row r="6" spans="1:31" s="59" customFormat="1" x14ac:dyDescent="0.35">
      <c r="B6" s="59" t="s">
        <v>1824</v>
      </c>
    </row>
    <row r="7" spans="1:31" x14ac:dyDescent="0.35">
      <c r="B7" t="s">
        <v>1825</v>
      </c>
    </row>
    <row r="9" spans="1:31" s="41" customFormat="1" x14ac:dyDescent="0.35">
      <c r="B9" s="41" t="s">
        <v>1851</v>
      </c>
      <c r="H9" s="54"/>
      <c r="L9" s="54"/>
      <c r="P9" s="54"/>
      <c r="T9" s="54"/>
      <c r="X9" s="54"/>
      <c r="AB9" s="54"/>
    </row>
    <row r="10" spans="1:31" s="77" customFormat="1" x14ac:dyDescent="0.35">
      <c r="B10" s="77" t="s">
        <v>43</v>
      </c>
      <c r="H10" s="78"/>
      <c r="L10" s="78"/>
      <c r="P10" s="78"/>
      <c r="T10" s="78"/>
      <c r="X10" s="78"/>
      <c r="AB10" s="78"/>
    </row>
    <row r="11" spans="1:31" x14ac:dyDescent="0.35">
      <c r="A11" t="s">
        <v>11</v>
      </c>
      <c r="B11" t="s">
        <v>12</v>
      </c>
      <c r="AB11" s="6">
        <v>84</v>
      </c>
      <c r="AC11" s="3">
        <v>3</v>
      </c>
    </row>
    <row r="12" spans="1:31" x14ac:dyDescent="0.35">
      <c r="A12" t="s">
        <v>13</v>
      </c>
      <c r="B12" t="s">
        <v>14</v>
      </c>
      <c r="AB12" s="6">
        <v>288</v>
      </c>
      <c r="AC12" s="3">
        <v>285</v>
      </c>
    </row>
    <row r="13" spans="1:31" x14ac:dyDescent="0.35">
      <c r="A13" t="s">
        <v>15</v>
      </c>
      <c r="B13" t="s">
        <v>16</v>
      </c>
      <c r="AB13" s="6">
        <v>7454</v>
      </c>
      <c r="AC13" s="3">
        <v>8031</v>
      </c>
    </row>
    <row r="14" spans="1:31" x14ac:dyDescent="0.35">
      <c r="AB14" s="6">
        <v>7413</v>
      </c>
      <c r="AC14" s="3">
        <v>8142</v>
      </c>
    </row>
    <row r="15" spans="1:31" s="66" customFormat="1" x14ac:dyDescent="0.35">
      <c r="B15" s="66" t="s">
        <v>49</v>
      </c>
      <c r="H15" s="65"/>
      <c r="L15" s="65"/>
      <c r="P15" s="65"/>
      <c r="T15" s="65"/>
      <c r="X15" s="65"/>
      <c r="AB15" s="65"/>
      <c r="AC15" s="67"/>
    </row>
    <row r="16" spans="1:31" x14ac:dyDescent="0.35">
      <c r="Y16">
        <v>8259</v>
      </c>
      <c r="AB16" s="6">
        <v>7496</v>
      </c>
      <c r="AC16" s="3">
        <v>7850</v>
      </c>
    </row>
    <row r="17" spans="2:33" x14ac:dyDescent="0.35">
      <c r="AB17" s="6">
        <v>6693</v>
      </c>
      <c r="AC17" s="3">
        <v>7665</v>
      </c>
    </row>
    <row r="18" spans="2:33" x14ac:dyDescent="0.35">
      <c r="Y18">
        <v>41689</v>
      </c>
      <c r="AB18" s="6">
        <v>40359</v>
      </c>
      <c r="AC18" s="3">
        <v>42628</v>
      </c>
    </row>
    <row r="19" spans="2:33" s="17" customFormat="1" x14ac:dyDescent="0.35">
      <c r="H19" s="18"/>
      <c r="L19" s="18"/>
      <c r="P19" s="18"/>
      <c r="T19" s="18"/>
      <c r="X19" s="18"/>
      <c r="AB19" s="18"/>
    </row>
    <row r="20" spans="2:33" s="71" customFormat="1" x14ac:dyDescent="0.35">
      <c r="H20" s="72"/>
      <c r="L20" s="72"/>
      <c r="P20" s="72"/>
      <c r="T20" s="72"/>
      <c r="X20" s="72"/>
      <c r="AB20" s="82"/>
    </row>
    <row r="23" spans="2:33" s="75" customFormat="1" x14ac:dyDescent="0.35">
      <c r="B23" s="75" t="s">
        <v>1852</v>
      </c>
      <c r="H23" s="76"/>
      <c r="L23" s="76"/>
      <c r="P23" s="76"/>
      <c r="T23" s="76"/>
      <c r="X23" s="76"/>
      <c r="AB23" s="76"/>
    </row>
    <row r="24" spans="2:33" s="3" customFormat="1" x14ac:dyDescent="0.35">
      <c r="B24" s="3" t="s">
        <v>1843</v>
      </c>
      <c r="H24" s="7"/>
      <c r="L24" s="7"/>
      <c r="P24" s="7"/>
      <c r="R24" s="3">
        <v>21442</v>
      </c>
      <c r="T24" s="7"/>
      <c r="U24" s="3">
        <v>28208</v>
      </c>
      <c r="V24" s="3">
        <v>29824</v>
      </c>
      <c r="X24" s="7">
        <v>31733</v>
      </c>
      <c r="Y24" s="3">
        <v>32727</v>
      </c>
      <c r="Z24" s="3">
        <v>33372</v>
      </c>
      <c r="AB24" s="7">
        <v>32864</v>
      </c>
      <c r="AC24" s="3">
        <v>35073</v>
      </c>
    </row>
    <row r="25" spans="2:33" s="3" customFormat="1" x14ac:dyDescent="0.35">
      <c r="B25" s="3" t="s">
        <v>1844</v>
      </c>
      <c r="H25" s="7"/>
      <c r="L25" s="7"/>
      <c r="P25" s="7"/>
      <c r="R25" s="3">
        <v>13924</v>
      </c>
      <c r="T25" s="7"/>
      <c r="U25" s="3">
        <v>19084</v>
      </c>
      <c r="V25" s="3">
        <v>19839</v>
      </c>
      <c r="X25" s="7">
        <v>20317</v>
      </c>
      <c r="Y25" s="3">
        <v>20533</v>
      </c>
      <c r="Z25" s="3">
        <v>19450</v>
      </c>
      <c r="AB25" s="7">
        <v>21078</v>
      </c>
      <c r="AC25" s="3">
        <v>22289</v>
      </c>
    </row>
    <row r="26" spans="2:33" s="3" customFormat="1" x14ac:dyDescent="0.35">
      <c r="B26" s="3" t="s">
        <v>1845</v>
      </c>
      <c r="H26" s="7"/>
      <c r="L26" s="7"/>
      <c r="P26" s="7"/>
      <c r="R26" s="3">
        <v>8458</v>
      </c>
      <c r="T26" s="7"/>
      <c r="U26" s="3">
        <v>11231</v>
      </c>
      <c r="V26" s="3">
        <v>11705</v>
      </c>
      <c r="X26" s="7">
        <v>11841</v>
      </c>
      <c r="Y26" s="3">
        <v>11710</v>
      </c>
      <c r="Z26" s="3">
        <v>11494</v>
      </c>
      <c r="AB26" s="7">
        <v>11681</v>
      </c>
      <c r="AC26" s="3">
        <v>12728</v>
      </c>
    </row>
    <row r="27" spans="2:33" s="3" customFormat="1" x14ac:dyDescent="0.35">
      <c r="B27" s="3" t="s">
        <v>1846</v>
      </c>
      <c r="H27" s="7"/>
      <c r="L27" s="7"/>
      <c r="P27" s="7"/>
      <c r="R27" s="3">
        <v>2371</v>
      </c>
      <c r="T27" s="7"/>
      <c r="U27" s="3">
        <v>3364</v>
      </c>
      <c r="V27" s="3">
        <v>3688</v>
      </c>
      <c r="X27" s="7">
        <v>3842</v>
      </c>
      <c r="Y27" s="3">
        <v>4340</v>
      </c>
      <c r="Z27" s="3">
        <v>4138</v>
      </c>
      <c r="AB27" s="7">
        <v>4080</v>
      </c>
      <c r="AC27" s="3">
        <v>4511</v>
      </c>
    </row>
    <row r="28" spans="2:33" s="17" customFormat="1" x14ac:dyDescent="0.35">
      <c r="B28" s="17" t="s">
        <v>41</v>
      </c>
      <c r="H28" s="18"/>
      <c r="L28" s="18"/>
      <c r="P28" s="18"/>
      <c r="R28" s="17">
        <v>-22</v>
      </c>
      <c r="T28" s="18"/>
      <c r="U28" s="17">
        <v>-7</v>
      </c>
      <c r="V28" s="17">
        <v>62</v>
      </c>
      <c r="X28" s="18">
        <v>278</v>
      </c>
      <c r="Y28" s="17">
        <v>375</v>
      </c>
      <c r="Z28" s="17">
        <v>638</v>
      </c>
      <c r="AB28" s="18">
        <v>84</v>
      </c>
      <c r="AC28" s="17">
        <v>3</v>
      </c>
    </row>
    <row r="29" spans="2:33" s="71" customFormat="1" x14ac:dyDescent="0.35">
      <c r="H29" s="72"/>
      <c r="L29" s="72"/>
      <c r="P29" s="72"/>
      <c r="R29" s="71" t="s">
        <v>1854</v>
      </c>
      <c r="T29" s="72"/>
      <c r="U29" s="71">
        <f>SUM(U24:U28)</f>
        <v>61880</v>
      </c>
      <c r="V29" s="71">
        <f>SUM(V24:V28)</f>
        <v>65118</v>
      </c>
      <c r="X29" s="72">
        <f>SUM(X24:X28)</f>
        <v>68011</v>
      </c>
      <c r="Y29" s="71">
        <f>SUM(Y24:Y28)</f>
        <v>69685</v>
      </c>
      <c r="Z29" s="71">
        <f t="shared" ref="Z29:AA29" si="0">SUM(Z24:Z28)</f>
        <v>69092</v>
      </c>
      <c r="AA29" s="71">
        <f t="shared" si="0"/>
        <v>0</v>
      </c>
      <c r="AB29" s="82">
        <f>SUM(AB24:AB28)</f>
        <v>69787</v>
      </c>
      <c r="AC29" s="71">
        <f t="shared" ref="AC29:AG29" si="1">SUM(AC24:AC28)</f>
        <v>74604</v>
      </c>
      <c r="AD29" s="71">
        <f t="shared" si="1"/>
        <v>0</v>
      </c>
      <c r="AE29" s="71">
        <f t="shared" si="1"/>
        <v>0</v>
      </c>
      <c r="AF29" s="71">
        <f t="shared" si="1"/>
        <v>0</v>
      </c>
      <c r="AG29" s="71">
        <f t="shared" si="1"/>
        <v>0</v>
      </c>
    </row>
    <row r="31" spans="2:33" x14ac:dyDescent="0.35">
      <c r="B31" t="s">
        <v>1853</v>
      </c>
    </row>
    <row r="32" spans="2:33" x14ac:dyDescent="0.35">
      <c r="AB32" s="6">
        <v>69787</v>
      </c>
      <c r="AC32">
        <v>74604</v>
      </c>
    </row>
    <row r="33" spans="8:29" x14ac:dyDescent="0.35">
      <c r="AB33" s="6">
        <v>30612</v>
      </c>
      <c r="AC33">
        <v>31916</v>
      </c>
    </row>
    <row r="34" spans="8:29" x14ac:dyDescent="0.35">
      <c r="AB34" s="6">
        <f>AB32-AB33</f>
        <v>39175</v>
      </c>
    </row>
    <row r="36" spans="8:29" x14ac:dyDescent="0.35">
      <c r="AB36" s="6">
        <v>11468</v>
      </c>
      <c r="AC36">
        <v>10588</v>
      </c>
    </row>
    <row r="37" spans="8:29" x14ac:dyDescent="0.35">
      <c r="AB37" s="6">
        <v>6533</v>
      </c>
      <c r="AC37">
        <v>6781</v>
      </c>
    </row>
    <row r="38" spans="8:29" x14ac:dyDescent="0.35">
      <c r="AB38" s="6">
        <v>3759</v>
      </c>
      <c r="AC38">
        <v>3481</v>
      </c>
    </row>
    <row r="39" spans="8:29" x14ac:dyDescent="0.35">
      <c r="AB39" s="6">
        <v>0</v>
      </c>
      <c r="AC39">
        <v>0</v>
      </c>
    </row>
    <row r="40" spans="8:29" x14ac:dyDescent="0.35">
      <c r="AB40" s="6">
        <f>SUM(AB36:AB39)</f>
        <v>21760</v>
      </c>
    </row>
    <row r="41" spans="8:29" x14ac:dyDescent="0.35">
      <c r="AB41" s="6">
        <f>AB34-AB40</f>
        <v>17415</v>
      </c>
    </row>
    <row r="42" spans="8:29" x14ac:dyDescent="0.35">
      <c r="AB42" s="6">
        <v>790</v>
      </c>
      <c r="AC42">
        <v>65</v>
      </c>
    </row>
    <row r="43" spans="8:29" x14ac:dyDescent="0.35">
      <c r="AB43" s="6">
        <f>SUM(AB41:AB42)</f>
        <v>18205</v>
      </c>
    </row>
    <row r="44" spans="8:29" x14ac:dyDescent="0.35">
      <c r="AB44" s="6">
        <v>3154</v>
      </c>
      <c r="AC44">
        <v>3535</v>
      </c>
    </row>
    <row r="45" spans="8:29" x14ac:dyDescent="0.35">
      <c r="AB45" s="6">
        <f>AB43-AB44</f>
        <v>15051</v>
      </c>
    </row>
    <row r="46" spans="8:29" s="59" customFormat="1" x14ac:dyDescent="0.35">
      <c r="H46" s="61"/>
      <c r="L46" s="61"/>
      <c r="P46" s="61"/>
      <c r="T46" s="61"/>
      <c r="X46" s="61"/>
      <c r="AB46" s="61"/>
    </row>
    <row r="47" spans="8:29" x14ac:dyDescent="0.35">
      <c r="AB47" s="6">
        <f>AB45/AB48</f>
        <v>1.1853981255414665</v>
      </c>
      <c r="AC47">
        <f>AC45/AC48</f>
        <v>0</v>
      </c>
    </row>
    <row r="48" spans="8:29" x14ac:dyDescent="0.35">
      <c r="AB48" s="6">
        <f>5941+882+5874</f>
        <v>12697</v>
      </c>
      <c r="AC48">
        <f>5993+875+5801</f>
        <v>12669</v>
      </c>
    </row>
    <row r="53" spans="2:29" x14ac:dyDescent="0.35">
      <c r="B53" t="s">
        <v>1839</v>
      </c>
    </row>
    <row r="55" spans="2:29" s="3" customFormat="1" x14ac:dyDescent="0.35">
      <c r="H55" s="7"/>
      <c r="L55" s="7"/>
      <c r="P55" s="7"/>
      <c r="T55" s="7"/>
      <c r="X55" s="7"/>
      <c r="AA55" s="3">
        <f>AU55</f>
        <v>0</v>
      </c>
      <c r="AB55" s="7">
        <v>25924</v>
      </c>
      <c r="AC55" s="3">
        <v>25929</v>
      </c>
    </row>
    <row r="56" spans="2:29" s="3" customFormat="1" x14ac:dyDescent="0.35">
      <c r="H56" s="7"/>
      <c r="L56" s="7"/>
      <c r="P56" s="7"/>
      <c r="T56" s="7"/>
      <c r="X56" s="7"/>
      <c r="AA56" s="3">
        <f>AU56</f>
        <v>0</v>
      </c>
      <c r="AB56" s="7">
        <v>89178</v>
      </c>
      <c r="AC56" s="3">
        <v>92403</v>
      </c>
    </row>
    <row r="57" spans="2:29" s="3" customFormat="1" x14ac:dyDescent="0.35">
      <c r="H57" s="7"/>
      <c r="L57" s="7"/>
      <c r="P57" s="7"/>
      <c r="T57" s="7"/>
      <c r="X57" s="7"/>
      <c r="AB57" s="7"/>
    </row>
    <row r="58" spans="2:29" s="3" customFormat="1" x14ac:dyDescent="0.35">
      <c r="H58" s="7"/>
      <c r="L58" s="7"/>
      <c r="P58" s="7"/>
      <c r="T58" s="7"/>
      <c r="X58" s="7"/>
      <c r="AA58" s="3">
        <f>AU58</f>
        <v>0</v>
      </c>
      <c r="AB58" s="7">
        <v>36036</v>
      </c>
      <c r="AC58" s="3">
        <v>38804</v>
      </c>
    </row>
    <row r="59" spans="2:29" s="3" customFormat="1" x14ac:dyDescent="0.35">
      <c r="H59" s="7"/>
      <c r="L59" s="7"/>
      <c r="P59" s="7"/>
      <c r="T59" s="7"/>
      <c r="X59" s="7"/>
      <c r="AA59" s="3">
        <f>AU59</f>
        <v>0</v>
      </c>
      <c r="AB59" s="7">
        <v>0</v>
      </c>
      <c r="AC59" s="3">
        <v>0</v>
      </c>
    </row>
    <row r="60" spans="2:29" s="3" customFormat="1" x14ac:dyDescent="0.35">
      <c r="H60" s="7"/>
      <c r="L60" s="7"/>
      <c r="P60" s="7"/>
      <c r="T60" s="7"/>
      <c r="X60" s="7"/>
      <c r="AA60" s="3">
        <f>AU60</f>
        <v>0</v>
      </c>
      <c r="AB60" s="7">
        <v>2315</v>
      </c>
      <c r="AC60" s="3">
        <v>2231</v>
      </c>
    </row>
    <row r="61" spans="2:29" s="3" customFormat="1" x14ac:dyDescent="0.35">
      <c r="H61" s="7"/>
      <c r="L61" s="7"/>
      <c r="P61" s="7"/>
      <c r="T61" s="7"/>
      <c r="X61" s="7"/>
      <c r="AA61" s="3">
        <f>AU61</f>
        <v>0</v>
      </c>
      <c r="AB61" s="7">
        <v>8532</v>
      </c>
      <c r="AC61" s="3">
        <v>9421</v>
      </c>
    </row>
    <row r="62" spans="2:29" s="3" customFormat="1" x14ac:dyDescent="0.35">
      <c r="H62" s="7"/>
      <c r="L62" s="7"/>
      <c r="P62" s="7"/>
      <c r="T62" s="7"/>
      <c r="X62" s="7"/>
      <c r="AB62" s="7"/>
    </row>
    <row r="63" spans="2:29" s="3" customFormat="1" x14ac:dyDescent="0.35">
      <c r="H63" s="7"/>
      <c r="L63" s="7"/>
      <c r="P63" s="7"/>
      <c r="T63" s="7"/>
      <c r="X63" s="7"/>
      <c r="AB63" s="7"/>
    </row>
    <row r="64" spans="2:29" s="3" customFormat="1" x14ac:dyDescent="0.35">
      <c r="H64" s="7"/>
      <c r="L64" s="7"/>
      <c r="P64" s="7"/>
      <c r="T64" s="7"/>
      <c r="X64" s="7"/>
      <c r="AA64" s="3">
        <f t="shared" ref="AA64:AA70" si="2">AU64</f>
        <v>0</v>
      </c>
      <c r="AB64" s="7">
        <v>31213</v>
      </c>
      <c r="AC64" s="3">
        <v>31224</v>
      </c>
    </row>
    <row r="65" spans="8:29" s="3" customFormat="1" x14ac:dyDescent="0.35">
      <c r="H65" s="7"/>
      <c r="L65" s="7"/>
      <c r="P65" s="7"/>
      <c r="T65" s="7"/>
      <c r="X65" s="7"/>
      <c r="AA65" s="3">
        <f t="shared" si="2"/>
        <v>0</v>
      </c>
      <c r="AB65" s="7">
        <v>6885</v>
      </c>
      <c r="AC65" s="3">
        <v>9357</v>
      </c>
    </row>
    <row r="66" spans="8:29" s="3" customFormat="1" x14ac:dyDescent="0.35">
      <c r="H66" s="7"/>
      <c r="L66" s="7"/>
      <c r="P66" s="7"/>
      <c r="T66" s="7"/>
      <c r="X66" s="7"/>
      <c r="AA66" s="3">
        <f t="shared" si="2"/>
        <v>0</v>
      </c>
      <c r="AB66" s="7">
        <v>117560</v>
      </c>
      <c r="AC66" s="3">
        <v>121208</v>
      </c>
    </row>
    <row r="67" spans="8:29" s="3" customFormat="1" x14ac:dyDescent="0.35">
      <c r="H67" s="7"/>
      <c r="L67" s="7"/>
      <c r="P67" s="7"/>
      <c r="T67" s="7"/>
      <c r="X67" s="7"/>
      <c r="AA67" s="3">
        <f t="shared" si="2"/>
        <v>0</v>
      </c>
      <c r="AB67" s="7">
        <v>14447</v>
      </c>
      <c r="AC67" s="3">
        <v>14469</v>
      </c>
    </row>
    <row r="68" spans="8:29" s="3" customFormat="1" x14ac:dyDescent="0.35">
      <c r="H68" s="7"/>
      <c r="L68" s="7"/>
      <c r="P68" s="7"/>
      <c r="T68" s="7"/>
      <c r="X68" s="7"/>
      <c r="AA68" s="3">
        <f t="shared" si="2"/>
        <v>0</v>
      </c>
      <c r="AB68" s="7">
        <v>1968</v>
      </c>
      <c r="AC68" s="3">
        <v>1966</v>
      </c>
    </row>
    <row r="69" spans="8:29" s="3" customFormat="1" x14ac:dyDescent="0.35">
      <c r="H69" s="7"/>
      <c r="L69" s="7"/>
      <c r="P69" s="7"/>
      <c r="T69" s="7"/>
      <c r="X69" s="7"/>
      <c r="AA69" s="3">
        <f t="shared" si="2"/>
        <v>0</v>
      </c>
      <c r="AB69" s="7">
        <v>28994</v>
      </c>
      <c r="AC69" s="3">
        <v>29210</v>
      </c>
    </row>
    <row r="70" spans="8:29" s="3" customFormat="1" x14ac:dyDescent="0.35">
      <c r="H70" s="7"/>
      <c r="L70" s="7"/>
      <c r="P70" s="7"/>
      <c r="T70" s="7"/>
      <c r="X70" s="7"/>
      <c r="AA70" s="3">
        <f t="shared" si="2"/>
        <v>0</v>
      </c>
      <c r="AB70" s="7">
        <v>6439</v>
      </c>
      <c r="AC70" s="3">
        <v>6822</v>
      </c>
    </row>
    <row r="71" spans="8:29" s="3" customFormat="1" x14ac:dyDescent="0.35">
      <c r="H71" s="7"/>
      <c r="L71" s="7"/>
      <c r="P71" s="7"/>
      <c r="T71" s="7"/>
      <c r="X71" s="7"/>
      <c r="AB71" s="7"/>
    </row>
    <row r="72" spans="8:29" s="3" customFormat="1" x14ac:dyDescent="0.35">
      <c r="H72" s="7"/>
      <c r="L72" s="7"/>
      <c r="P72" s="7"/>
      <c r="T72" s="7"/>
      <c r="X72" s="7"/>
      <c r="AB72" s="7"/>
    </row>
    <row r="73" spans="8:29" s="3" customFormat="1" x14ac:dyDescent="0.35">
      <c r="H73" s="7"/>
      <c r="L73" s="7"/>
      <c r="P73" s="7"/>
      <c r="T73" s="7"/>
      <c r="X73" s="7"/>
      <c r="AB73" s="7"/>
    </row>
    <row r="74" spans="8:29" s="3" customFormat="1" x14ac:dyDescent="0.35">
      <c r="H74" s="7"/>
      <c r="L74" s="7"/>
      <c r="P74" s="7"/>
      <c r="T74" s="7"/>
      <c r="X74" s="7"/>
      <c r="AA74" s="3">
        <f>AU74</f>
        <v>0</v>
      </c>
      <c r="AB74" s="7">
        <v>4184</v>
      </c>
      <c r="AC74" s="3">
        <v>5313</v>
      </c>
    </row>
    <row r="75" spans="8:29" s="3" customFormat="1" x14ac:dyDescent="0.35">
      <c r="H75" s="7"/>
      <c r="L75" s="7"/>
      <c r="N75" s="3">
        <v>0</v>
      </c>
      <c r="O75" s="3">
        <v>0</v>
      </c>
      <c r="P75" s="7">
        <v>0</v>
      </c>
      <c r="Q75" s="3">
        <v>0</v>
      </c>
      <c r="R75" s="3">
        <v>0</v>
      </c>
      <c r="S75" s="3">
        <v>0</v>
      </c>
      <c r="T75" s="7">
        <v>0</v>
      </c>
      <c r="U75" s="3">
        <v>0</v>
      </c>
      <c r="V75" s="3">
        <v>0</v>
      </c>
      <c r="W75" s="3">
        <v>0</v>
      </c>
      <c r="X75" s="7">
        <v>0</v>
      </c>
      <c r="Y75" s="3">
        <v>0</v>
      </c>
      <c r="Z75" s="3">
        <v>0</v>
      </c>
      <c r="AA75" s="3">
        <v>0</v>
      </c>
      <c r="AB75" s="7">
        <v>0</v>
      </c>
      <c r="AC75" s="3">
        <v>0</v>
      </c>
    </row>
    <row r="76" spans="8:29" s="3" customFormat="1" x14ac:dyDescent="0.35">
      <c r="H76" s="7"/>
      <c r="L76" s="7"/>
      <c r="P76" s="7"/>
      <c r="T76" s="7"/>
      <c r="X76" s="7"/>
      <c r="AA76" s="3">
        <f>AU76</f>
        <v>0</v>
      </c>
      <c r="AB76" s="7">
        <v>9954</v>
      </c>
      <c r="AC76" s="3">
        <v>11260</v>
      </c>
    </row>
    <row r="77" spans="8:29" s="3" customFormat="1" x14ac:dyDescent="0.35">
      <c r="H77" s="7"/>
      <c r="L77" s="7"/>
      <c r="P77" s="7"/>
      <c r="T77" s="7"/>
      <c r="X77" s="7"/>
      <c r="AA77" s="3">
        <f>AU77</f>
        <v>0</v>
      </c>
      <c r="AB77" s="7">
        <v>43185</v>
      </c>
      <c r="AC77" s="3">
        <v>49300</v>
      </c>
    </row>
    <row r="78" spans="8:29" s="3" customFormat="1" x14ac:dyDescent="0.35">
      <c r="H78" s="7"/>
      <c r="L78" s="7"/>
      <c r="P78" s="7"/>
      <c r="T78" s="7"/>
      <c r="X78" s="7"/>
      <c r="AA78" s="3">
        <f>AU78</f>
        <v>0</v>
      </c>
      <c r="AB78" s="7">
        <v>7816</v>
      </c>
      <c r="AC78" s="3">
        <v>7990</v>
      </c>
    </row>
    <row r="79" spans="8:29" s="3" customFormat="1" x14ac:dyDescent="0.35">
      <c r="H79" s="7"/>
      <c r="L79" s="7"/>
      <c r="P79" s="7"/>
      <c r="T79" s="7"/>
      <c r="X79" s="7"/>
      <c r="AA79" s="3">
        <v>0</v>
      </c>
      <c r="AB79" s="7">
        <v>0</v>
      </c>
      <c r="AC79" s="3">
        <v>0</v>
      </c>
    </row>
    <row r="80" spans="8:29" s="3" customFormat="1" x14ac:dyDescent="0.35">
      <c r="H80" s="7"/>
      <c r="L80" s="7"/>
      <c r="P80" s="7"/>
      <c r="T80" s="7"/>
      <c r="X80" s="7"/>
      <c r="AA80" s="3">
        <f>AU80</f>
        <v>0</v>
      </c>
      <c r="AB80" s="7">
        <v>3715</v>
      </c>
      <c r="AC80" s="3">
        <v>3846</v>
      </c>
    </row>
    <row r="81" spans="2:47" s="17" customFormat="1" x14ac:dyDescent="0.35">
      <c r="H81" s="18"/>
      <c r="L81" s="18"/>
      <c r="P81" s="18"/>
      <c r="T81" s="18"/>
      <c r="X81" s="18"/>
      <c r="AA81" s="17">
        <f>AU81</f>
        <v>0</v>
      </c>
      <c r="AB81" s="18">
        <v>0</v>
      </c>
      <c r="AC81" s="17">
        <v>0</v>
      </c>
    </row>
    <row r="82" spans="2:47" s="3" customFormat="1" x14ac:dyDescent="0.35">
      <c r="H82" s="7"/>
      <c r="L82" s="7"/>
      <c r="P82" s="7"/>
      <c r="T82" s="7"/>
      <c r="X82" s="7"/>
      <c r="AB82" s="7">
        <f>SUM(AB74:AB81)</f>
        <v>68854</v>
      </c>
    </row>
    <row r="83" spans="2:47" s="3" customFormat="1" x14ac:dyDescent="0.35">
      <c r="H83" s="7"/>
      <c r="L83" s="7"/>
      <c r="P83" s="7"/>
      <c r="T83" s="7"/>
      <c r="X83" s="7"/>
      <c r="AB83" s="7"/>
    </row>
    <row r="84" spans="2:47" s="3" customFormat="1" x14ac:dyDescent="0.35">
      <c r="H84" s="7"/>
      <c r="L84" s="7"/>
      <c r="P84" s="7"/>
      <c r="T84" s="7"/>
      <c r="X84" s="7"/>
      <c r="Y84" s="3">
        <v>14734</v>
      </c>
      <c r="AA84" s="3">
        <f t="shared" ref="AA84:AA89" si="3">AU84</f>
        <v>0</v>
      </c>
      <c r="AB84" s="7">
        <v>13697</v>
      </c>
      <c r="AC84" s="3">
        <v>13705</v>
      </c>
    </row>
    <row r="85" spans="2:47" s="3" customFormat="1" x14ac:dyDescent="0.35">
      <c r="H85" s="7"/>
      <c r="L85" s="7"/>
      <c r="P85" s="7"/>
      <c r="T85" s="7"/>
      <c r="X85" s="7"/>
      <c r="AA85" s="3">
        <f t="shared" si="3"/>
        <v>0</v>
      </c>
      <c r="AB85" s="7">
        <v>610</v>
      </c>
      <c r="AC85" s="3">
        <v>667</v>
      </c>
    </row>
    <row r="86" spans="2:47" s="3" customFormat="1" x14ac:dyDescent="0.35">
      <c r="H86" s="7"/>
      <c r="L86" s="7"/>
      <c r="P86" s="7"/>
      <c r="T86" s="7"/>
      <c r="X86" s="7"/>
      <c r="AA86" s="3">
        <f t="shared" si="3"/>
        <v>0</v>
      </c>
      <c r="AB86" s="7">
        <v>9722</v>
      </c>
      <c r="AC86" s="3">
        <v>8753</v>
      </c>
    </row>
    <row r="87" spans="2:47" s="3" customFormat="1" x14ac:dyDescent="0.35">
      <c r="H87" s="7"/>
      <c r="L87" s="7"/>
      <c r="P87" s="7"/>
      <c r="T87" s="7"/>
      <c r="X87" s="7"/>
      <c r="AA87" s="3">
        <f t="shared" si="3"/>
        <v>0</v>
      </c>
      <c r="AB87" s="7">
        <v>542</v>
      </c>
      <c r="AC87" s="3">
        <v>558</v>
      </c>
    </row>
    <row r="88" spans="2:47" s="3" customFormat="1" x14ac:dyDescent="0.35">
      <c r="H88" s="7"/>
      <c r="L88" s="7"/>
      <c r="P88" s="7"/>
      <c r="T88" s="7"/>
      <c r="X88" s="7"/>
      <c r="AA88" s="3">
        <f t="shared" si="3"/>
        <v>0</v>
      </c>
      <c r="AB88" s="7">
        <v>12799</v>
      </c>
      <c r="AC88" s="3">
        <v>12746</v>
      </c>
    </row>
    <row r="89" spans="2:47" s="3" customFormat="1" x14ac:dyDescent="0.35">
      <c r="H89" s="7"/>
      <c r="L89" s="7"/>
      <c r="P89" s="7"/>
      <c r="T89" s="7"/>
      <c r="X89" s="7"/>
      <c r="AA89" s="3">
        <f t="shared" si="3"/>
        <v>0</v>
      </c>
      <c r="AB89" s="7">
        <v>2373</v>
      </c>
      <c r="AC89" s="3">
        <v>1765</v>
      </c>
    </row>
    <row r="90" spans="2:47" s="3" customFormat="1" x14ac:dyDescent="0.35">
      <c r="H90" s="7"/>
      <c r="L90" s="7"/>
      <c r="P90" s="7"/>
      <c r="T90" s="7"/>
      <c r="X90" s="7"/>
      <c r="AB90" s="7"/>
    </row>
    <row r="91" spans="2:47" s="3" customFormat="1" x14ac:dyDescent="0.35">
      <c r="H91" s="7"/>
      <c r="L91" s="7"/>
      <c r="P91" s="7"/>
      <c r="T91" s="7"/>
      <c r="X91" s="7"/>
      <c r="AB91" s="7"/>
    </row>
    <row r="92" spans="2:47" s="67" customFormat="1" x14ac:dyDescent="0.35">
      <c r="B92" s="67" t="s">
        <v>1832</v>
      </c>
      <c r="H92" s="68"/>
      <c r="L92" s="68"/>
      <c r="P92" s="68"/>
      <c r="T92" s="68"/>
      <c r="X92" s="68"/>
      <c r="AB92" s="68"/>
    </row>
    <row r="93" spans="2:47" s="3" customFormat="1" x14ac:dyDescent="0.35">
      <c r="B93" s="3" t="s">
        <v>1833</v>
      </c>
      <c r="H93" s="7"/>
      <c r="L93" s="7"/>
      <c r="P93" s="7"/>
      <c r="T93" s="7"/>
      <c r="W93" s="3">
        <v>0</v>
      </c>
      <c r="X93" s="7"/>
      <c r="Y93" s="3">
        <v>0</v>
      </c>
      <c r="Z93" s="3">
        <v>0</v>
      </c>
      <c r="AA93" s="3">
        <v>0</v>
      </c>
      <c r="AB93" s="7">
        <v>0</v>
      </c>
      <c r="AC93" s="3">
        <v>0</v>
      </c>
      <c r="AT93" s="3">
        <v>0</v>
      </c>
      <c r="AU93" s="3">
        <v>0</v>
      </c>
    </row>
    <row r="94" spans="2:47" s="3" customFormat="1" x14ac:dyDescent="0.35">
      <c r="B94" s="3" t="s">
        <v>1834</v>
      </c>
      <c r="H94" s="7"/>
      <c r="L94" s="7"/>
      <c r="P94" s="7"/>
      <c r="T94" s="7"/>
      <c r="W94" s="3">
        <v>61774</v>
      </c>
      <c r="X94" s="7"/>
      <c r="Y94" s="3">
        <v>64402</v>
      </c>
      <c r="Z94" s="3">
        <v>66258</v>
      </c>
      <c r="AA94" s="3">
        <v>68184</v>
      </c>
      <c r="AB94" s="7">
        <v>70269</v>
      </c>
      <c r="AC94" s="3">
        <v>72248</v>
      </c>
      <c r="AT94" s="3">
        <v>61774</v>
      </c>
      <c r="AU94" s="3">
        <v>68184</v>
      </c>
    </row>
    <row r="95" spans="2:47" s="3" customFormat="1" x14ac:dyDescent="0.35">
      <c r="B95" s="3" t="s">
        <v>1835</v>
      </c>
      <c r="H95" s="7"/>
      <c r="L95" s="7"/>
      <c r="P95" s="7"/>
      <c r="T95" s="7"/>
      <c r="W95" s="3">
        <v>-1623</v>
      </c>
      <c r="X95" s="7"/>
      <c r="Y95" s="3">
        <v>-5828</v>
      </c>
      <c r="Z95" s="3">
        <v>-8852</v>
      </c>
      <c r="AA95" s="3">
        <v>-7603</v>
      </c>
      <c r="AB95" s="7">
        <v>-6000</v>
      </c>
      <c r="AC95" s="3">
        <v>-5991</v>
      </c>
      <c r="AT95" s="3">
        <v>-1623</v>
      </c>
      <c r="AU95" s="3">
        <v>-7603</v>
      </c>
    </row>
    <row r="96" spans="2:47" s="17" customFormat="1" x14ac:dyDescent="0.35">
      <c r="B96" s="17" t="s">
        <v>1836</v>
      </c>
      <c r="H96" s="18"/>
      <c r="L96" s="18"/>
      <c r="P96" s="18"/>
      <c r="T96" s="18"/>
      <c r="W96" s="17">
        <v>191484</v>
      </c>
      <c r="X96" s="18"/>
      <c r="Y96" s="17">
        <v>196845</v>
      </c>
      <c r="Z96" s="17">
        <v>196220</v>
      </c>
      <c r="AA96" s="17">
        <v>195563</v>
      </c>
      <c r="AB96" s="18">
        <v>196625</v>
      </c>
      <c r="AC96" s="17">
        <v>200884</v>
      </c>
      <c r="AT96" s="17">
        <v>191484</v>
      </c>
      <c r="AU96" s="17">
        <v>195563</v>
      </c>
    </row>
    <row r="97" spans="2:52" s="69" customFormat="1" x14ac:dyDescent="0.35">
      <c r="B97" s="69" t="s">
        <v>1837</v>
      </c>
      <c r="H97" s="70"/>
      <c r="L97" s="70"/>
      <c r="P97" s="70"/>
      <c r="T97" s="70"/>
      <c r="W97" s="69">
        <f>SUM(W93:W96)</f>
        <v>251635</v>
      </c>
      <c r="X97" s="70"/>
      <c r="Y97" s="69">
        <f>SUM(Y93:Y96)</f>
        <v>255419</v>
      </c>
      <c r="Z97" s="69">
        <f>SUM(Z93:Z96)</f>
        <v>253626</v>
      </c>
      <c r="AA97" s="69">
        <f>SUM(AA93:AA96)</f>
        <v>256144</v>
      </c>
      <c r="AB97" s="70">
        <f>SUM(AB93:AB96)</f>
        <v>260894</v>
      </c>
      <c r="AC97" s="69">
        <f t="shared" ref="AC97" si="4">SUM(AC93:AC96)</f>
        <v>267141</v>
      </c>
      <c r="AN97" s="69">
        <f>SUM(AN93:AN96)</f>
        <v>0</v>
      </c>
      <c r="AO97" s="69">
        <f t="shared" ref="AO97:AZ97" si="5">SUM(AO93:AO96)</f>
        <v>0</v>
      </c>
      <c r="AP97" s="69">
        <f t="shared" si="5"/>
        <v>0</v>
      </c>
      <c r="AQ97" s="69">
        <f t="shared" si="5"/>
        <v>0</v>
      </c>
      <c r="AR97" s="69">
        <f t="shared" si="5"/>
        <v>0</v>
      </c>
      <c r="AS97" s="69">
        <f t="shared" si="5"/>
        <v>0</v>
      </c>
      <c r="AT97" s="69">
        <f t="shared" si="5"/>
        <v>251635</v>
      </c>
      <c r="AU97" s="69">
        <f t="shared" si="5"/>
        <v>256144</v>
      </c>
      <c r="AV97" s="69">
        <f t="shared" si="5"/>
        <v>0</v>
      </c>
      <c r="AW97" s="69">
        <f t="shared" si="5"/>
        <v>0</v>
      </c>
      <c r="AX97" s="69">
        <f t="shared" si="5"/>
        <v>0</v>
      </c>
      <c r="AY97" s="69">
        <f t="shared" si="5"/>
        <v>0</v>
      </c>
      <c r="AZ97" s="69">
        <f t="shared" si="5"/>
        <v>0</v>
      </c>
    </row>
    <row r="98" spans="2:52" s="71" customFormat="1" x14ac:dyDescent="0.35">
      <c r="B98" s="71" t="s">
        <v>1838</v>
      </c>
      <c r="H98" s="72"/>
      <c r="L98" s="72"/>
      <c r="P98" s="72"/>
      <c r="T98" s="72"/>
      <c r="W98" s="71">
        <f>W97+W91</f>
        <v>251635</v>
      </c>
      <c r="X98" s="72"/>
      <c r="Y98" s="71">
        <f>Y97+Y91</f>
        <v>255419</v>
      </c>
      <c r="Z98" s="71">
        <f>Z97+Z91</f>
        <v>253626</v>
      </c>
      <c r="AA98" s="71">
        <f>AA97+AA91</f>
        <v>256144</v>
      </c>
      <c r="AB98" s="72">
        <f>AB97+AB91</f>
        <v>260894</v>
      </c>
      <c r="AC98" s="71">
        <f t="shared" ref="AC98" si="6">AC97+AC91</f>
        <v>267141</v>
      </c>
      <c r="AN98" s="71">
        <f>AN97+AN91</f>
        <v>0</v>
      </c>
      <c r="AO98" s="71">
        <f t="shared" ref="AO98:AZ98" si="7">AO97+AO91</f>
        <v>0</v>
      </c>
      <c r="AP98" s="71">
        <f t="shared" si="7"/>
        <v>0</v>
      </c>
      <c r="AQ98" s="71">
        <f t="shared" si="7"/>
        <v>0</v>
      </c>
      <c r="AR98" s="71">
        <f t="shared" si="7"/>
        <v>0</v>
      </c>
      <c r="AS98" s="71">
        <f t="shared" si="7"/>
        <v>0</v>
      </c>
      <c r="AT98" s="71">
        <f t="shared" si="7"/>
        <v>251635</v>
      </c>
      <c r="AU98" s="71">
        <f t="shared" si="7"/>
        <v>256144</v>
      </c>
      <c r="AV98" s="71">
        <f t="shared" si="7"/>
        <v>0</v>
      </c>
      <c r="AW98" s="71">
        <f t="shared" si="7"/>
        <v>0</v>
      </c>
      <c r="AX98" s="71">
        <f t="shared" si="7"/>
        <v>0</v>
      </c>
      <c r="AY98" s="71">
        <f t="shared" si="7"/>
        <v>0</v>
      </c>
      <c r="AZ98" s="71">
        <f t="shared" si="7"/>
        <v>0</v>
      </c>
    </row>
    <row r="99" spans="2:52" s="75" customFormat="1" x14ac:dyDescent="0.35">
      <c r="B99" s="75" t="s">
        <v>1840</v>
      </c>
      <c r="H99" s="76"/>
      <c r="L99" s="76"/>
      <c r="P99" s="76"/>
      <c r="T99" s="76"/>
      <c r="X99" s="76"/>
      <c r="AB99" s="76"/>
    </row>
    <row r="100" spans="2:52" s="3" customFormat="1" x14ac:dyDescent="0.35">
      <c r="B100" s="3" t="s">
        <v>1841</v>
      </c>
      <c r="H100" s="7"/>
      <c r="L100" s="7"/>
      <c r="P100" s="7"/>
      <c r="T100" s="7"/>
      <c r="U100" s="3">
        <v>41179</v>
      </c>
      <c r="V100" s="3">
        <f>66718-U100</f>
        <v>25539</v>
      </c>
      <c r="X100" s="7">
        <v>25106</v>
      </c>
      <c r="Y100" s="3">
        <f>44528-X100</f>
        <v>19422</v>
      </c>
      <c r="Z100" s="3">
        <f>67881-Y100-X100</f>
        <v>23353</v>
      </c>
      <c r="AB100" s="7">
        <v>23509</v>
      </c>
      <c r="AC100" s="3">
        <f>52175-AB100</f>
        <v>28666</v>
      </c>
      <c r="AS100" s="3">
        <v>65124</v>
      </c>
      <c r="AT100" s="3">
        <v>91652</v>
      </c>
      <c r="AU100" s="3">
        <v>91495</v>
      </c>
    </row>
    <row r="101" spans="2:52" s="17" customFormat="1" x14ac:dyDescent="0.35">
      <c r="B101" s="17" t="s">
        <v>1842</v>
      </c>
      <c r="H101" s="18"/>
      <c r="L101" s="18"/>
      <c r="P101" s="18"/>
      <c r="T101" s="18"/>
      <c r="U101" s="17">
        <v>-11438</v>
      </c>
      <c r="V101" s="17">
        <f>-18257-U101</f>
        <v>-6819</v>
      </c>
      <c r="X101" s="18">
        <v>-9786</v>
      </c>
      <c r="Y101" s="17">
        <f>-16614-X101</f>
        <v>-6828</v>
      </c>
      <c r="Z101" s="17">
        <f>-23890-Y101-X101</f>
        <v>-7276</v>
      </c>
      <c r="AB101" s="18">
        <v>-6289</v>
      </c>
      <c r="AC101" s="17">
        <f>-13177-AB101</f>
        <v>-6888</v>
      </c>
      <c r="AS101" s="17">
        <v>-22281</v>
      </c>
      <c r="AT101" s="17">
        <v>-24640</v>
      </c>
      <c r="AU101" s="17">
        <v>-31485</v>
      </c>
    </row>
    <row r="102" spans="2:52" s="3" customFormat="1" x14ac:dyDescent="0.35">
      <c r="H102" s="7"/>
      <c r="L102" s="7"/>
      <c r="P102" s="7"/>
      <c r="T102" s="7"/>
      <c r="U102" s="3">
        <f>SUM(U100:U101)</f>
        <v>29741</v>
      </c>
      <c r="V102" s="3">
        <f>SUM(V100:V101)</f>
        <v>18720</v>
      </c>
      <c r="X102" s="7">
        <f>SUM(X100:X101)</f>
        <v>15320</v>
      </c>
      <c r="Y102" s="3">
        <f>SUM(Y100:Y101)</f>
        <v>12594</v>
      </c>
      <c r="Z102" s="3">
        <f>SUM(Z100:Z101)</f>
        <v>16077</v>
      </c>
      <c r="AB102" s="7">
        <f>SUM(AB100:AB101)</f>
        <v>17220</v>
      </c>
      <c r="AC102" s="3">
        <f>SUM(AC100:AC101)</f>
        <v>21778</v>
      </c>
      <c r="AN102" s="3">
        <f>SUM(AN100:AN101)</f>
        <v>0</v>
      </c>
      <c r="AO102" s="3">
        <f t="shared" ref="AO102:AZ102" si="8">SUM(AO100:AO101)</f>
        <v>0</v>
      </c>
      <c r="AP102" s="3">
        <f t="shared" si="8"/>
        <v>0</v>
      </c>
      <c r="AQ102" s="3">
        <f t="shared" si="8"/>
        <v>0</v>
      </c>
      <c r="AR102" s="3">
        <f t="shared" si="8"/>
        <v>0</v>
      </c>
      <c r="AS102" s="3">
        <f t="shared" si="8"/>
        <v>42843</v>
      </c>
      <c r="AT102" s="3">
        <f t="shared" si="8"/>
        <v>67012</v>
      </c>
      <c r="AU102" s="3">
        <f t="shared" si="8"/>
        <v>60010</v>
      </c>
      <c r="AV102" s="3">
        <f t="shared" si="8"/>
        <v>0</v>
      </c>
      <c r="AW102" s="3">
        <f t="shared" si="8"/>
        <v>0</v>
      </c>
      <c r="AX102" s="3">
        <f t="shared" si="8"/>
        <v>0</v>
      </c>
      <c r="AY102" s="3">
        <f t="shared" si="8"/>
        <v>0</v>
      </c>
      <c r="AZ102" s="3">
        <f t="shared" si="8"/>
        <v>0</v>
      </c>
    </row>
    <row r="104" spans="2:52" x14ac:dyDescent="0.35">
      <c r="B104" t="s">
        <v>1847</v>
      </c>
      <c r="U104">
        <v>0</v>
      </c>
      <c r="V104">
        <v>0</v>
      </c>
      <c r="X104" s="6">
        <v>0</v>
      </c>
      <c r="Y104">
        <v>0</v>
      </c>
      <c r="Z104">
        <v>0</v>
      </c>
      <c r="AB104" s="6">
        <v>0</v>
      </c>
      <c r="AC104">
        <v>0</v>
      </c>
    </row>
    <row r="105" spans="2:52" x14ac:dyDescent="0.35">
      <c r="B105" t="s">
        <v>1848</v>
      </c>
      <c r="U105">
        <v>7548</v>
      </c>
      <c r="V105">
        <v>11422</v>
      </c>
      <c r="X105" s="6">
        <v>4504</v>
      </c>
      <c r="Y105">
        <f>9286-X105</f>
        <v>4782</v>
      </c>
      <c r="Z105">
        <f>14262-Y105-X105</f>
        <v>4976</v>
      </c>
      <c r="AB105" s="6">
        <v>5284</v>
      </c>
      <c r="AC105">
        <f>11058-AB105</f>
        <v>5774</v>
      </c>
    </row>
    <row r="106" spans="2:52" s="3" customFormat="1" x14ac:dyDescent="0.35">
      <c r="B106" s="3" t="s">
        <v>1849</v>
      </c>
      <c r="H106" s="7"/>
      <c r="L106" s="7"/>
      <c r="P106" s="7"/>
      <c r="T106" s="7"/>
      <c r="U106" s="3">
        <v>-28497</v>
      </c>
      <c r="V106" s="3">
        <v>-36801</v>
      </c>
      <c r="X106" s="7">
        <v>-13300</v>
      </c>
      <c r="Y106" s="3">
        <f>-28497-X106</f>
        <v>-15197</v>
      </c>
      <c r="Z106" s="3">
        <f>-43889-Y106-X106</f>
        <v>-15392</v>
      </c>
      <c r="AB106" s="7">
        <v>-14557</v>
      </c>
      <c r="AC106" s="3">
        <f>-29526-AB106</f>
        <v>-14969</v>
      </c>
    </row>
    <row r="107" spans="2:52" s="3" customFormat="1" x14ac:dyDescent="0.35">
      <c r="B107" s="3" t="s">
        <v>1850</v>
      </c>
      <c r="H107" s="7"/>
      <c r="L107" s="7"/>
      <c r="P107" s="7"/>
      <c r="T107" s="7"/>
      <c r="U107" s="3">
        <v>0</v>
      </c>
      <c r="V107" s="3">
        <v>0</v>
      </c>
      <c r="X107" s="7">
        <v>0</v>
      </c>
      <c r="Y107" s="3">
        <v>0</v>
      </c>
      <c r="Z107" s="3">
        <v>0</v>
      </c>
      <c r="AB107" s="7">
        <v>0</v>
      </c>
      <c r="AC107" s="3">
        <v>0</v>
      </c>
    </row>
    <row r="108" spans="2:52" s="3" customFormat="1" x14ac:dyDescent="0.35">
      <c r="H108" s="7"/>
      <c r="L108" s="7"/>
      <c r="P108" s="7"/>
      <c r="T108" s="7"/>
      <c r="X108" s="7"/>
      <c r="AB108" s="7"/>
    </row>
    <row r="109" spans="2:52" s="3" customFormat="1" x14ac:dyDescent="0.35">
      <c r="H109" s="7"/>
      <c r="L109" s="7"/>
      <c r="P109" s="7"/>
      <c r="T109" s="7"/>
      <c r="X109" s="7"/>
      <c r="AB109" s="7"/>
    </row>
    <row r="110" spans="2:52" s="3" customFormat="1" x14ac:dyDescent="0.35">
      <c r="H110" s="7"/>
      <c r="L110" s="7"/>
      <c r="P110" s="7"/>
      <c r="T110" s="7"/>
      <c r="X110" s="7"/>
      <c r="AB110" s="7"/>
    </row>
    <row r="111" spans="2:52" s="3" customFormat="1" x14ac:dyDescent="0.35">
      <c r="H111" s="7"/>
      <c r="L111" s="7"/>
      <c r="P111" s="7"/>
      <c r="T111" s="7"/>
      <c r="X111" s="7"/>
      <c r="AB111" s="7"/>
    </row>
    <row r="112" spans="2:52" s="3" customFormat="1" x14ac:dyDescent="0.35">
      <c r="H112" s="7"/>
      <c r="L112" s="7"/>
      <c r="P112" s="7"/>
      <c r="T112" s="7"/>
      <c r="X112" s="7"/>
      <c r="AB112" s="7"/>
    </row>
    <row r="113" spans="8:28" s="3" customFormat="1" x14ac:dyDescent="0.35">
      <c r="H113" s="7"/>
      <c r="L113" s="7"/>
      <c r="P113" s="7"/>
      <c r="T113" s="7"/>
      <c r="X113" s="7"/>
      <c r="AB113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171"/>
  <sheetViews>
    <sheetView tabSelected="1" zoomScale="70" zoomScaleNormal="70" workbookViewId="0">
      <pane xSplit="2" ySplit="7" topLeftCell="C8" activePane="bottomRight" state="frozen"/>
      <selection activeCell="N22" sqref="N22"/>
      <selection pane="topRight" activeCell="N22" sqref="N22"/>
      <selection pane="bottomLeft" activeCell="N22" sqref="N22"/>
      <selection pane="bottomRight" activeCell="AH36" sqref="AH36"/>
    </sheetView>
  </sheetViews>
  <sheetFormatPr defaultRowHeight="14.5" x14ac:dyDescent="0.35"/>
  <cols>
    <col min="1" max="1" width="5.36328125" customWidth="1"/>
    <col min="2" max="2" width="19" customWidth="1"/>
    <col min="3" max="7" width="8.7265625" customWidth="1"/>
    <col min="8" max="8" width="8.7265625" style="6" customWidth="1"/>
    <col min="9" max="11" width="8.7265625" customWidth="1"/>
    <col min="12" max="12" width="8.7265625" style="6" customWidth="1"/>
    <col min="13" max="15" width="8.7265625" customWidth="1"/>
    <col min="16" max="16" width="9.90625" style="6" bestFit="1" customWidth="1"/>
    <col min="17" max="17" width="9.90625" bestFit="1" customWidth="1"/>
    <col min="18" max="18" width="10.453125" bestFit="1" customWidth="1"/>
    <col min="19" max="19" width="11" bestFit="1" customWidth="1"/>
    <col min="20" max="20" width="9.90625" style="6" bestFit="1" customWidth="1"/>
    <col min="21" max="21" width="9.90625" bestFit="1" customWidth="1"/>
    <col min="22" max="22" width="10.453125" bestFit="1" customWidth="1"/>
    <col min="23" max="23" width="11" bestFit="1" customWidth="1"/>
    <col min="24" max="24" width="9.453125" style="6" bestFit="1" customWidth="1"/>
    <col min="25" max="25" width="9.90625" bestFit="1" customWidth="1"/>
    <col min="26" max="27" width="10.453125" bestFit="1" customWidth="1"/>
    <col min="28" max="28" width="9.453125" style="6" bestFit="1" customWidth="1"/>
    <col min="29" max="29" width="9.453125" bestFit="1" customWidth="1"/>
  </cols>
  <sheetData>
    <row r="1" spans="1:54" s="10" customFormat="1" x14ac:dyDescent="0.35">
      <c r="B1" s="10" t="s">
        <v>1826</v>
      </c>
      <c r="D1" s="10" t="s">
        <v>18</v>
      </c>
      <c r="E1" s="10" t="s">
        <v>19</v>
      </c>
      <c r="F1" s="10" t="s">
        <v>20</v>
      </c>
      <c r="G1" s="10" t="s">
        <v>21</v>
      </c>
      <c r="H1" s="51" t="s">
        <v>22</v>
      </c>
      <c r="I1" s="10" t="s">
        <v>23</v>
      </c>
      <c r="J1" s="10" t="s">
        <v>24</v>
      </c>
      <c r="K1" s="10" t="s">
        <v>25</v>
      </c>
      <c r="L1" s="51" t="s">
        <v>26</v>
      </c>
      <c r="M1" s="10" t="s">
        <v>27</v>
      </c>
      <c r="N1" s="10" t="s">
        <v>28</v>
      </c>
      <c r="O1" s="10" t="s">
        <v>29</v>
      </c>
      <c r="P1" s="51" t="s">
        <v>30</v>
      </c>
      <c r="Q1" s="10" t="s">
        <v>31</v>
      </c>
      <c r="R1" s="10" t="s">
        <v>32</v>
      </c>
      <c r="S1" s="10" t="s">
        <v>33</v>
      </c>
      <c r="T1" s="51" t="s">
        <v>34</v>
      </c>
      <c r="U1" s="10" t="s">
        <v>35</v>
      </c>
      <c r="V1" s="10" t="s">
        <v>36</v>
      </c>
      <c r="W1" s="10" t="s">
        <v>37</v>
      </c>
      <c r="X1" s="51" t="s">
        <v>4</v>
      </c>
      <c r="Y1" s="10" t="s">
        <v>38</v>
      </c>
      <c r="Z1" s="10" t="s">
        <v>39</v>
      </c>
      <c r="AA1" s="10" t="s">
        <v>40</v>
      </c>
      <c r="AB1" s="51" t="s">
        <v>1828</v>
      </c>
      <c r="AC1" s="10" t="s">
        <v>1829</v>
      </c>
      <c r="AD1" s="10" t="s">
        <v>1830</v>
      </c>
      <c r="AE1" s="10" t="s">
        <v>1831</v>
      </c>
    </row>
    <row r="2" spans="1:54" x14ac:dyDescent="0.35">
      <c r="B2" t="s">
        <v>17</v>
      </c>
      <c r="C2" s="19"/>
      <c r="D2" s="19">
        <v>42857</v>
      </c>
      <c r="E2" s="19">
        <v>42941</v>
      </c>
      <c r="F2" s="19">
        <v>43035</v>
      </c>
      <c r="G2" s="19">
        <v>43137</v>
      </c>
      <c r="H2" s="58">
        <v>43214</v>
      </c>
      <c r="I2" s="19">
        <v>43305</v>
      </c>
      <c r="J2" s="19">
        <v>43399</v>
      </c>
      <c r="K2" s="19">
        <v>43501</v>
      </c>
      <c r="L2" s="58">
        <v>43585</v>
      </c>
      <c r="M2" s="19">
        <v>43672</v>
      </c>
      <c r="N2" s="19">
        <v>43767</v>
      </c>
      <c r="O2" s="19">
        <v>43865</v>
      </c>
      <c r="P2" s="58">
        <v>43950</v>
      </c>
      <c r="Q2" s="19">
        <v>44043</v>
      </c>
      <c r="R2" s="19">
        <v>44134</v>
      </c>
      <c r="S2" s="19">
        <v>44230</v>
      </c>
      <c r="T2" s="58">
        <v>44314</v>
      </c>
      <c r="U2" s="19">
        <v>44405</v>
      </c>
      <c r="V2" s="19">
        <v>44496</v>
      </c>
      <c r="W2" s="19">
        <v>44594</v>
      </c>
      <c r="X2" s="58">
        <v>44678</v>
      </c>
      <c r="Y2" s="19">
        <v>44769</v>
      </c>
      <c r="Z2" s="19">
        <v>44860</v>
      </c>
      <c r="AA2" s="19">
        <v>44960</v>
      </c>
      <c r="AB2" s="58">
        <v>45042</v>
      </c>
      <c r="AC2" s="19">
        <v>45133</v>
      </c>
      <c r="AP2" s="19">
        <v>43137</v>
      </c>
      <c r="AQ2" s="19">
        <v>43501</v>
      </c>
      <c r="AR2" s="19">
        <v>43865</v>
      </c>
      <c r="AS2" s="19">
        <v>44230</v>
      </c>
      <c r="AT2" s="19">
        <v>44594</v>
      </c>
      <c r="AU2" s="19">
        <v>44960</v>
      </c>
    </row>
    <row r="3" spans="1:54" x14ac:dyDescent="0.35">
      <c r="B3" t="s">
        <v>1827</v>
      </c>
      <c r="D3" s="19">
        <v>42825</v>
      </c>
      <c r="E3" s="19">
        <v>42916</v>
      </c>
      <c r="F3" s="19">
        <v>43008</v>
      </c>
      <c r="G3" s="19">
        <v>43100</v>
      </c>
      <c r="H3" s="58">
        <v>43190</v>
      </c>
      <c r="I3" s="19">
        <v>43281</v>
      </c>
      <c r="J3" s="19">
        <v>43373</v>
      </c>
      <c r="K3" s="19">
        <v>43465</v>
      </c>
      <c r="L3" s="58">
        <v>43555</v>
      </c>
      <c r="M3" s="19">
        <v>43646</v>
      </c>
      <c r="N3" s="19">
        <v>43738</v>
      </c>
      <c r="O3" s="19">
        <v>43830</v>
      </c>
      <c r="P3" s="58">
        <v>43921</v>
      </c>
      <c r="Q3" s="19">
        <v>44012</v>
      </c>
      <c r="R3" s="19">
        <v>44104</v>
      </c>
      <c r="S3" s="19">
        <v>44196</v>
      </c>
      <c r="T3" s="58">
        <v>44286</v>
      </c>
      <c r="U3" s="19">
        <v>44377</v>
      </c>
      <c r="V3" s="19">
        <v>44469</v>
      </c>
      <c r="W3" s="19">
        <v>44561</v>
      </c>
      <c r="X3" s="58">
        <v>44651</v>
      </c>
      <c r="Y3" s="19">
        <v>44742</v>
      </c>
      <c r="Z3" s="19">
        <v>44834</v>
      </c>
      <c r="AA3" s="19">
        <v>44926</v>
      </c>
      <c r="AB3" s="58">
        <v>45016</v>
      </c>
      <c r="AC3" s="19">
        <v>45107</v>
      </c>
      <c r="AN3">
        <v>2015</v>
      </c>
      <c r="AO3">
        <f>+AN3+1</f>
        <v>2016</v>
      </c>
      <c r="AP3">
        <f t="shared" ref="AP3:AU3" si="0">AO3+1</f>
        <v>2017</v>
      </c>
      <c r="AQ3">
        <f t="shared" si="0"/>
        <v>2018</v>
      </c>
      <c r="AR3">
        <f t="shared" si="0"/>
        <v>2019</v>
      </c>
      <c r="AS3">
        <f t="shared" si="0"/>
        <v>2020</v>
      </c>
      <c r="AT3">
        <f t="shared" si="0"/>
        <v>2021</v>
      </c>
      <c r="AU3">
        <f t="shared" si="0"/>
        <v>2022</v>
      </c>
    </row>
    <row r="4" spans="1:54" s="40" customFormat="1" x14ac:dyDescent="0.35">
      <c r="B4" s="40" t="s">
        <v>1822</v>
      </c>
    </row>
    <row r="5" spans="1:54" x14ac:dyDescent="0.35">
      <c r="B5" t="s">
        <v>1823</v>
      </c>
      <c r="H5"/>
      <c r="L5"/>
      <c r="P5"/>
      <c r="T5"/>
      <c r="X5"/>
      <c r="AB5"/>
    </row>
    <row r="6" spans="1:54" x14ac:dyDescent="0.35">
      <c r="B6" t="s">
        <v>1824</v>
      </c>
      <c r="H6"/>
      <c r="L6"/>
      <c r="P6"/>
      <c r="T6"/>
      <c r="X6"/>
      <c r="AB6"/>
    </row>
    <row r="7" spans="1:54" s="10" customFormat="1" x14ac:dyDescent="0.35">
      <c r="A7" s="24"/>
      <c r="B7" s="24" t="s">
        <v>1825</v>
      </c>
      <c r="C7" s="24"/>
      <c r="D7" s="24"/>
      <c r="E7" s="24"/>
      <c r="F7" s="24"/>
      <c r="G7" s="24"/>
      <c r="H7" s="26"/>
      <c r="I7" s="24"/>
      <c r="J7" s="24"/>
      <c r="K7" s="24"/>
      <c r="L7" s="26"/>
      <c r="M7" s="24"/>
      <c r="N7" s="24"/>
      <c r="O7" s="24"/>
      <c r="P7" s="26"/>
      <c r="Q7" s="24"/>
      <c r="R7" s="24"/>
      <c r="S7" s="24"/>
      <c r="T7" s="26"/>
      <c r="U7" s="24"/>
      <c r="V7" s="24"/>
      <c r="W7" s="24"/>
      <c r="X7" s="26"/>
      <c r="Y7" s="24"/>
      <c r="Z7" s="24"/>
      <c r="AA7" s="24"/>
      <c r="AB7" s="26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r="8" spans="1:54" s="10" customFormat="1" x14ac:dyDescent="0.35">
      <c r="H8" s="51"/>
      <c r="L8" s="51"/>
      <c r="P8" s="51"/>
      <c r="T8" s="51"/>
      <c r="X8" s="51"/>
      <c r="AB8" s="51"/>
    </row>
    <row r="9" spans="1:54" s="40" customFormat="1" x14ac:dyDescent="0.35">
      <c r="B9" s="40" t="s">
        <v>1851</v>
      </c>
      <c r="H9" s="60"/>
      <c r="L9" s="60"/>
      <c r="P9" s="60"/>
      <c r="T9" s="60"/>
      <c r="X9" s="60"/>
      <c r="AB9" s="60"/>
    </row>
    <row r="10" spans="1:54" s="77" customFormat="1" x14ac:dyDescent="0.35">
      <c r="B10" s="77" t="s">
        <v>43</v>
      </c>
      <c r="H10" s="78"/>
      <c r="L10" s="78"/>
      <c r="P10" s="78"/>
      <c r="T10" s="78"/>
      <c r="X10" s="78"/>
      <c r="AB10" s="78"/>
    </row>
    <row r="11" spans="1:54" x14ac:dyDescent="0.35">
      <c r="B11" t="s">
        <v>41</v>
      </c>
      <c r="P11" s="6">
        <v>49</v>
      </c>
      <c r="Q11">
        <v>151</v>
      </c>
      <c r="R11">
        <v>-22</v>
      </c>
      <c r="S11">
        <v>-2</v>
      </c>
      <c r="T11" s="6">
        <v>-109</v>
      </c>
      <c r="U11">
        <v>-7</v>
      </c>
      <c r="V11" s="3">
        <v>62</v>
      </c>
      <c r="W11">
        <v>203</v>
      </c>
      <c r="X11" s="6">
        <v>278</v>
      </c>
      <c r="Y11">
        <v>375</v>
      </c>
      <c r="Z11">
        <v>638</v>
      </c>
      <c r="AB11" s="6">
        <v>84</v>
      </c>
      <c r="AC11" s="3">
        <v>3</v>
      </c>
      <c r="AN11" s="3" t="s">
        <v>42</v>
      </c>
      <c r="AO11" s="3" t="s">
        <v>42</v>
      </c>
      <c r="AP11" s="3">
        <v>-169</v>
      </c>
      <c r="AQ11" s="3">
        <v>-138</v>
      </c>
      <c r="AR11" s="3">
        <v>455</v>
      </c>
      <c r="AS11" s="3">
        <v>176</v>
      </c>
      <c r="AT11" s="3">
        <v>149</v>
      </c>
      <c r="AU11" s="3">
        <v>1960</v>
      </c>
      <c r="AV11" s="3"/>
      <c r="AW11" s="3"/>
      <c r="AX11" s="3"/>
      <c r="AY11" s="3"/>
      <c r="AZ11" s="3"/>
      <c r="BA11" s="3"/>
      <c r="BB11" s="3"/>
    </row>
    <row r="12" spans="1:54" x14ac:dyDescent="0.35">
      <c r="B12" t="s">
        <v>43</v>
      </c>
      <c r="D12">
        <v>132</v>
      </c>
      <c r="H12" s="6">
        <v>150</v>
      </c>
      <c r="P12" s="6">
        <v>135</v>
      </c>
      <c r="Q12">
        <v>148</v>
      </c>
      <c r="R12">
        <v>178</v>
      </c>
      <c r="S12">
        <v>196</v>
      </c>
      <c r="T12" s="6">
        <v>198</v>
      </c>
      <c r="U12">
        <v>192</v>
      </c>
      <c r="V12" s="3">
        <v>182</v>
      </c>
      <c r="W12">
        <v>181</v>
      </c>
      <c r="X12" s="6">
        <v>440</v>
      </c>
      <c r="Y12">
        <v>193</v>
      </c>
      <c r="Z12">
        <v>209</v>
      </c>
      <c r="AB12" s="6">
        <v>288</v>
      </c>
      <c r="AC12" s="3">
        <v>285</v>
      </c>
      <c r="AN12" s="3" t="s">
        <v>42</v>
      </c>
      <c r="AO12" s="3" t="s">
        <v>42</v>
      </c>
      <c r="AP12" s="3">
        <v>477</v>
      </c>
      <c r="AQ12" s="3">
        <v>595</v>
      </c>
      <c r="AR12" s="3">
        <v>659</v>
      </c>
      <c r="AS12" s="3">
        <v>657</v>
      </c>
      <c r="AT12" s="3">
        <v>753</v>
      </c>
      <c r="AU12" s="3">
        <v>1068</v>
      </c>
      <c r="AV12" s="3"/>
      <c r="AW12" s="3"/>
      <c r="AX12" s="3"/>
      <c r="AY12" s="3"/>
      <c r="AZ12" s="3"/>
      <c r="BA12" s="3"/>
      <c r="BB12" s="3"/>
    </row>
    <row r="13" spans="1:54" x14ac:dyDescent="0.35">
      <c r="B13" t="s">
        <v>44</v>
      </c>
      <c r="P13" s="6">
        <v>2777</v>
      </c>
      <c r="Q13">
        <v>3007</v>
      </c>
      <c r="R13">
        <v>3444</v>
      </c>
      <c r="S13">
        <v>3831</v>
      </c>
      <c r="T13" s="6">
        <v>4047</v>
      </c>
      <c r="U13">
        <v>4628</v>
      </c>
      <c r="V13" s="3">
        <v>4990</v>
      </c>
      <c r="W13">
        <v>5541</v>
      </c>
      <c r="X13" s="6">
        <v>5821</v>
      </c>
      <c r="Y13">
        <v>6276</v>
      </c>
      <c r="Z13">
        <v>6868</v>
      </c>
      <c r="AB13" s="6">
        <v>7454</v>
      </c>
      <c r="AC13" s="3">
        <v>8031</v>
      </c>
      <c r="AN13" s="3" t="s">
        <v>42</v>
      </c>
      <c r="AO13" s="3" t="s">
        <v>42</v>
      </c>
      <c r="AP13" s="3">
        <v>4056</v>
      </c>
      <c r="AQ13" s="3">
        <v>5838</v>
      </c>
      <c r="AR13" s="3">
        <v>8918</v>
      </c>
      <c r="AS13" s="3">
        <v>13059</v>
      </c>
      <c r="AT13" s="3">
        <v>19206</v>
      </c>
      <c r="AU13" s="3">
        <v>26280</v>
      </c>
      <c r="AV13" s="3"/>
      <c r="AW13" s="3"/>
      <c r="AX13" s="8">
        <f>AU13/AT13-1</f>
        <v>0.36832239925023424</v>
      </c>
      <c r="AY13" s="3"/>
      <c r="AZ13" s="3"/>
      <c r="BA13" s="3"/>
      <c r="BB13" s="3"/>
    </row>
    <row r="14" spans="1:54" x14ac:dyDescent="0.35">
      <c r="B14" t="s">
        <v>45</v>
      </c>
      <c r="P14" s="6">
        <v>4435</v>
      </c>
      <c r="Q14">
        <v>5124</v>
      </c>
      <c r="R14">
        <v>5478</v>
      </c>
      <c r="S14">
        <v>6674</v>
      </c>
      <c r="T14" s="6">
        <v>6494</v>
      </c>
      <c r="U14">
        <v>6623</v>
      </c>
      <c r="V14" s="3">
        <v>6754</v>
      </c>
      <c r="W14">
        <v>8161</v>
      </c>
      <c r="X14" s="6">
        <v>6811</v>
      </c>
      <c r="Y14">
        <v>6553</v>
      </c>
      <c r="Z14">
        <v>6895</v>
      </c>
      <c r="AB14" s="6">
        <v>7413</v>
      </c>
      <c r="AC14" s="3">
        <v>8142</v>
      </c>
      <c r="AN14" s="3" t="s">
        <v>42</v>
      </c>
      <c r="AO14" s="3" t="s">
        <v>42</v>
      </c>
      <c r="AP14" s="3">
        <v>10914</v>
      </c>
      <c r="AQ14" s="3">
        <v>14063</v>
      </c>
      <c r="AR14" s="3">
        <v>17014</v>
      </c>
      <c r="AS14" s="3">
        <v>21711</v>
      </c>
      <c r="AT14" s="3">
        <v>28032</v>
      </c>
      <c r="AU14" s="3">
        <v>29055</v>
      </c>
      <c r="AV14" s="3"/>
      <c r="AW14" s="3"/>
      <c r="AX14" s="3"/>
      <c r="AY14" s="3"/>
      <c r="AZ14" s="3"/>
      <c r="BA14" s="3"/>
      <c r="BB14" s="3"/>
    </row>
    <row r="15" spans="1:54" s="46" customFormat="1" x14ac:dyDescent="0.35">
      <c r="B15" s="46" t="s">
        <v>49</v>
      </c>
      <c r="H15" s="52"/>
      <c r="L15" s="52"/>
      <c r="P15" s="52"/>
      <c r="T15" s="52"/>
      <c r="V15" s="48"/>
      <c r="X15" s="52"/>
      <c r="AB15" s="52"/>
      <c r="AC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</row>
    <row r="16" spans="1:54" x14ac:dyDescent="0.35">
      <c r="B16" t="s">
        <v>46</v>
      </c>
      <c r="D16">
        <v>4008</v>
      </c>
      <c r="H16" s="6">
        <v>4644</v>
      </c>
      <c r="P16" s="6">
        <v>5223</v>
      </c>
      <c r="Q16">
        <v>4736</v>
      </c>
      <c r="R16">
        <v>5720</v>
      </c>
      <c r="S16">
        <v>7411</v>
      </c>
      <c r="T16" s="6">
        <v>6800</v>
      </c>
      <c r="U16">
        <v>7597</v>
      </c>
      <c r="V16" s="3">
        <v>7999</v>
      </c>
      <c r="W16">
        <v>9305</v>
      </c>
      <c r="X16" s="6">
        <v>8174</v>
      </c>
      <c r="Y16">
        <v>8259</v>
      </c>
      <c r="Z16">
        <v>7872</v>
      </c>
      <c r="AB16" s="6">
        <v>7496</v>
      </c>
      <c r="AC16" s="3">
        <v>7850</v>
      </c>
      <c r="AN16" s="3" t="s">
        <v>42</v>
      </c>
      <c r="AO16" s="3" t="s">
        <v>42</v>
      </c>
      <c r="AP16" s="3">
        <v>17616</v>
      </c>
      <c r="AQ16" s="3">
        <v>20010</v>
      </c>
      <c r="AR16" s="3">
        <v>21547</v>
      </c>
      <c r="AS16" s="3">
        <v>23090</v>
      </c>
      <c r="AT16" s="3">
        <v>31701</v>
      </c>
      <c r="AU16" s="3">
        <v>32780</v>
      </c>
      <c r="AV16" s="3"/>
      <c r="AW16" s="3"/>
      <c r="AX16" s="3"/>
      <c r="AY16" s="3"/>
      <c r="AZ16" s="3"/>
      <c r="BA16" s="3"/>
      <c r="BB16" s="3"/>
    </row>
    <row r="17" spans="2:54" x14ac:dyDescent="0.35">
      <c r="B17" t="s">
        <v>47</v>
      </c>
      <c r="D17">
        <v>3207</v>
      </c>
      <c r="H17" s="6">
        <v>4354</v>
      </c>
      <c r="P17" s="6">
        <v>4038</v>
      </c>
      <c r="Q17">
        <v>3812</v>
      </c>
      <c r="R17">
        <v>5037</v>
      </c>
      <c r="S17">
        <v>6885</v>
      </c>
      <c r="T17" s="6">
        <v>6005</v>
      </c>
      <c r="U17">
        <v>7002</v>
      </c>
      <c r="V17" s="3">
        <v>7205</v>
      </c>
      <c r="W17">
        <v>8633</v>
      </c>
      <c r="X17" s="6">
        <v>6869</v>
      </c>
      <c r="Y17">
        <v>7340</v>
      </c>
      <c r="Z17">
        <v>7071</v>
      </c>
      <c r="AB17" s="6">
        <v>6693</v>
      </c>
      <c r="AC17" s="3">
        <v>7665</v>
      </c>
      <c r="AN17" s="3" t="s">
        <v>42</v>
      </c>
      <c r="AO17" s="3" t="s">
        <v>42</v>
      </c>
      <c r="AP17" s="3">
        <v>8150</v>
      </c>
      <c r="AQ17" s="3">
        <v>11155</v>
      </c>
      <c r="AR17" s="3">
        <v>15149</v>
      </c>
      <c r="AS17" s="3">
        <v>19772</v>
      </c>
      <c r="AT17" s="3">
        <v>28845</v>
      </c>
      <c r="AU17" s="3">
        <v>29243</v>
      </c>
      <c r="AV17" s="3"/>
      <c r="AW17" s="3"/>
      <c r="AX17" s="3"/>
      <c r="AY17" s="3"/>
      <c r="AZ17" s="3"/>
      <c r="BA17" s="3"/>
      <c r="BB17" s="3"/>
    </row>
    <row r="18" spans="2:54" s="5" customFormat="1" x14ac:dyDescent="0.35">
      <c r="B18" s="5" t="s">
        <v>48</v>
      </c>
      <c r="D18" s="5">
        <v>17403</v>
      </c>
      <c r="H18" s="45">
        <v>21998</v>
      </c>
      <c r="L18" s="45"/>
      <c r="P18" s="45">
        <v>24502</v>
      </c>
      <c r="Q18" s="5">
        <v>21319</v>
      </c>
      <c r="R18" s="5">
        <v>26338</v>
      </c>
      <c r="S18" s="5">
        <v>31903</v>
      </c>
      <c r="T18" s="45">
        <v>31879</v>
      </c>
      <c r="U18" s="5">
        <v>35845</v>
      </c>
      <c r="V18" s="17">
        <v>37926</v>
      </c>
      <c r="W18" s="5">
        <v>43301</v>
      </c>
      <c r="X18" s="45">
        <v>39618</v>
      </c>
      <c r="Y18" s="5">
        <v>41689</v>
      </c>
      <c r="Z18" s="5">
        <v>39539</v>
      </c>
      <c r="AB18" s="45">
        <v>40359</v>
      </c>
      <c r="AC18" s="17">
        <v>42628</v>
      </c>
      <c r="AN18" s="17" t="s">
        <v>42</v>
      </c>
      <c r="AO18" s="17" t="s">
        <v>42</v>
      </c>
      <c r="AP18" s="17">
        <v>69811</v>
      </c>
      <c r="AQ18" s="17">
        <v>85296</v>
      </c>
      <c r="AR18" s="17">
        <v>98115</v>
      </c>
      <c r="AS18" s="17">
        <v>104062</v>
      </c>
      <c r="AT18" s="17">
        <v>148951</v>
      </c>
      <c r="AU18" s="17">
        <v>162450</v>
      </c>
      <c r="AV18" s="17"/>
      <c r="AW18" s="17"/>
      <c r="AX18" s="17"/>
      <c r="AY18" s="17"/>
      <c r="AZ18" s="17"/>
      <c r="BA18" s="17"/>
      <c r="BB18" s="17"/>
    </row>
    <row r="19" spans="2:54" s="25" customFormat="1" x14ac:dyDescent="0.35">
      <c r="B19" s="25" t="s">
        <v>49</v>
      </c>
      <c r="D19" s="25">
        <f t="shared" ref="D19:K19" si="1">D18+D16</f>
        <v>21411</v>
      </c>
      <c r="E19" s="25">
        <f t="shared" si="1"/>
        <v>0</v>
      </c>
      <c r="F19" s="25">
        <f t="shared" si="1"/>
        <v>0</v>
      </c>
      <c r="G19" s="25">
        <f t="shared" si="1"/>
        <v>0</v>
      </c>
      <c r="H19" s="57">
        <f t="shared" si="1"/>
        <v>26642</v>
      </c>
      <c r="I19" s="25">
        <f t="shared" si="1"/>
        <v>0</v>
      </c>
      <c r="J19" s="25">
        <f t="shared" si="1"/>
        <v>0</v>
      </c>
      <c r="K19" s="25">
        <f t="shared" si="1"/>
        <v>0</v>
      </c>
      <c r="L19" s="57"/>
      <c r="P19" s="57">
        <f t="shared" ref="P19:AB19" si="2">SUM(P16:P18)</f>
        <v>33763</v>
      </c>
      <c r="Q19" s="25">
        <f t="shared" si="2"/>
        <v>29867</v>
      </c>
      <c r="R19" s="25">
        <f t="shared" si="2"/>
        <v>37095</v>
      </c>
      <c r="S19" s="25">
        <f t="shared" si="2"/>
        <v>46199</v>
      </c>
      <c r="T19" s="57">
        <f t="shared" si="2"/>
        <v>44684</v>
      </c>
      <c r="U19" s="25">
        <f t="shared" si="2"/>
        <v>50444</v>
      </c>
      <c r="V19" s="25">
        <f t="shared" si="2"/>
        <v>53130</v>
      </c>
      <c r="W19" s="25">
        <f t="shared" si="2"/>
        <v>61239</v>
      </c>
      <c r="X19" s="57">
        <f t="shared" si="2"/>
        <v>54661</v>
      </c>
      <c r="Y19" s="25">
        <f t="shared" si="2"/>
        <v>57288</v>
      </c>
      <c r="Z19" s="25">
        <f t="shared" si="2"/>
        <v>54482</v>
      </c>
      <c r="AB19" s="57">
        <f t="shared" si="2"/>
        <v>54548</v>
      </c>
      <c r="AC19" s="25">
        <f t="shared" ref="AC19" si="3">SUM(AC16:AC18)</f>
        <v>58143</v>
      </c>
      <c r="AK19" s="25">
        <f>SUM(W19:Z19)</f>
        <v>227670</v>
      </c>
      <c r="AP19" s="25">
        <f t="shared" ref="AP19:AU19" si="4">SUM(AP16:AP18)</f>
        <v>95577</v>
      </c>
      <c r="AQ19" s="25">
        <f t="shared" si="4"/>
        <v>116461</v>
      </c>
      <c r="AR19" s="25">
        <f t="shared" si="4"/>
        <v>134811</v>
      </c>
      <c r="AS19" s="25">
        <f t="shared" si="4"/>
        <v>146924</v>
      </c>
      <c r="AT19" s="25">
        <f t="shared" si="4"/>
        <v>209497</v>
      </c>
      <c r="AU19" s="25">
        <f t="shared" si="4"/>
        <v>224473</v>
      </c>
    </row>
    <row r="20" spans="2:54" s="11" customFormat="1" x14ac:dyDescent="0.35">
      <c r="B20" s="11" t="s">
        <v>50</v>
      </c>
      <c r="D20" s="11">
        <f t="shared" ref="D20:Z20" si="5">SUM(D11:D18)</f>
        <v>24750</v>
      </c>
      <c r="E20" s="11">
        <f t="shared" si="5"/>
        <v>0</v>
      </c>
      <c r="F20" s="11">
        <f t="shared" si="5"/>
        <v>0</v>
      </c>
      <c r="G20" s="11">
        <f t="shared" si="5"/>
        <v>0</v>
      </c>
      <c r="H20" s="56">
        <f t="shared" si="5"/>
        <v>31146</v>
      </c>
      <c r="I20" s="11">
        <f t="shared" si="5"/>
        <v>0</v>
      </c>
      <c r="J20" s="11">
        <f t="shared" si="5"/>
        <v>0</v>
      </c>
      <c r="K20" s="11">
        <f t="shared" si="5"/>
        <v>0</v>
      </c>
      <c r="L20" s="56">
        <f t="shared" si="5"/>
        <v>0</v>
      </c>
      <c r="M20" s="11">
        <f t="shared" si="5"/>
        <v>0</v>
      </c>
      <c r="N20" s="11">
        <f t="shared" si="5"/>
        <v>0</v>
      </c>
      <c r="O20" s="11">
        <f t="shared" si="5"/>
        <v>0</v>
      </c>
      <c r="P20" s="56">
        <f t="shared" si="5"/>
        <v>41159</v>
      </c>
      <c r="Q20" s="11">
        <f t="shared" si="5"/>
        <v>38297</v>
      </c>
      <c r="R20" s="11">
        <f t="shared" si="5"/>
        <v>46173</v>
      </c>
      <c r="S20" s="11">
        <f t="shared" si="5"/>
        <v>56898</v>
      </c>
      <c r="T20" s="56">
        <f t="shared" si="5"/>
        <v>55314</v>
      </c>
      <c r="U20" s="11">
        <f t="shared" si="5"/>
        <v>61880</v>
      </c>
      <c r="V20" s="11">
        <f t="shared" si="5"/>
        <v>65118</v>
      </c>
      <c r="W20" s="11">
        <f t="shared" si="5"/>
        <v>75325</v>
      </c>
      <c r="X20" s="56">
        <f t="shared" si="5"/>
        <v>68011</v>
      </c>
      <c r="Y20" s="11">
        <f t="shared" si="5"/>
        <v>70685</v>
      </c>
      <c r="Z20" s="11">
        <f t="shared" si="5"/>
        <v>69092</v>
      </c>
      <c r="AB20" s="81">
        <f t="shared" ref="AB20" si="6">SUM(AB11:AB18)</f>
        <v>69787</v>
      </c>
      <c r="AC20" s="11">
        <f t="shared" ref="AC20" si="7">SUM(AC11:AC18)</f>
        <v>74604</v>
      </c>
      <c r="AP20" s="11">
        <f t="shared" ref="AP20:AU20" si="8">SUM(AP11:AP18)</f>
        <v>110855</v>
      </c>
      <c r="AQ20" s="11">
        <f t="shared" si="8"/>
        <v>136819</v>
      </c>
      <c r="AR20" s="11">
        <f t="shared" si="8"/>
        <v>161857</v>
      </c>
      <c r="AS20" s="11">
        <f t="shared" si="8"/>
        <v>182527</v>
      </c>
      <c r="AT20" s="11">
        <f t="shared" si="8"/>
        <v>257637</v>
      </c>
      <c r="AU20" s="11">
        <f t="shared" si="8"/>
        <v>282836</v>
      </c>
    </row>
    <row r="21" spans="2:54" x14ac:dyDescent="0.35">
      <c r="AN21" s="3"/>
      <c r="AO21" s="3"/>
      <c r="AP21" s="9"/>
      <c r="AU21" s="3"/>
      <c r="AV21" s="3"/>
      <c r="AW21" s="3"/>
      <c r="AX21" s="3"/>
      <c r="AY21" s="3"/>
      <c r="AZ21" s="3"/>
      <c r="BA21" s="3"/>
      <c r="BB21" s="3"/>
    </row>
    <row r="22" spans="2:54" x14ac:dyDescent="0.35">
      <c r="B22" t="s">
        <v>51</v>
      </c>
      <c r="AN22" s="3"/>
      <c r="AO22" s="3"/>
      <c r="AP22" s="9">
        <f t="shared" ref="AP22:AU22" si="9">AP19/AP20</f>
        <v>0.86218032565062463</v>
      </c>
      <c r="AQ22" s="9">
        <f t="shared" si="9"/>
        <v>0.85120487651568866</v>
      </c>
      <c r="AR22" s="9">
        <f t="shared" si="9"/>
        <v>0.83290188252593333</v>
      </c>
      <c r="AS22" s="9">
        <f t="shared" si="9"/>
        <v>0.80494392610408327</v>
      </c>
      <c r="AT22" s="9">
        <f t="shared" si="9"/>
        <v>0.81314795623299452</v>
      </c>
      <c r="AU22" s="9">
        <f t="shared" si="9"/>
        <v>0.79365073752987592</v>
      </c>
      <c r="AV22" s="3"/>
      <c r="AW22" s="3"/>
      <c r="AX22" s="3"/>
      <c r="AY22" s="3"/>
      <c r="AZ22" s="3"/>
      <c r="BA22" s="3"/>
      <c r="BB22" s="3"/>
    </row>
    <row r="23" spans="2:54" s="40" customFormat="1" x14ac:dyDescent="0.35">
      <c r="B23" s="40" t="s">
        <v>1852</v>
      </c>
      <c r="H23" s="60"/>
      <c r="L23" s="60"/>
      <c r="P23" s="73"/>
      <c r="Q23" s="74"/>
      <c r="R23" s="74"/>
      <c r="S23" s="74"/>
      <c r="T23" s="73"/>
      <c r="U23" s="74"/>
      <c r="V23" s="74"/>
      <c r="X23" s="60"/>
      <c r="AB23" s="60"/>
      <c r="AN23" s="74"/>
      <c r="AO23" s="74"/>
      <c r="AP23" s="74"/>
      <c r="AQ23" s="79"/>
      <c r="AR23" s="79"/>
      <c r="AS23" s="79"/>
      <c r="AT23" s="79"/>
      <c r="AU23" s="74"/>
      <c r="AV23" s="74"/>
      <c r="AW23" s="74"/>
      <c r="AX23" s="74"/>
      <c r="AY23" s="74"/>
      <c r="AZ23" s="74"/>
      <c r="BA23" s="74"/>
      <c r="BB23" s="74"/>
    </row>
    <row r="24" spans="2:54" s="3" customFormat="1" x14ac:dyDescent="0.35">
      <c r="B24" s="3" t="s">
        <v>1843</v>
      </c>
      <c r="H24" s="7"/>
      <c r="L24" s="7"/>
      <c r="P24" s="7"/>
      <c r="R24" s="3">
        <v>21442</v>
      </c>
      <c r="T24" s="7"/>
      <c r="U24" s="3">
        <v>28208</v>
      </c>
      <c r="V24" s="3">
        <v>29824</v>
      </c>
      <c r="X24" s="7">
        <v>31733</v>
      </c>
      <c r="Y24" s="3">
        <v>32727</v>
      </c>
      <c r="Z24" s="3">
        <v>33372</v>
      </c>
      <c r="AB24" s="7">
        <v>32864</v>
      </c>
      <c r="AC24" s="3">
        <v>35073</v>
      </c>
    </row>
    <row r="25" spans="2:54" s="3" customFormat="1" x14ac:dyDescent="0.35">
      <c r="B25" s="3" t="s">
        <v>1844</v>
      </c>
      <c r="H25" s="7"/>
      <c r="L25" s="7"/>
      <c r="P25" s="7"/>
      <c r="R25" s="3">
        <v>13924</v>
      </c>
      <c r="T25" s="7"/>
      <c r="U25" s="3">
        <v>19084</v>
      </c>
      <c r="V25" s="3">
        <v>19839</v>
      </c>
      <c r="X25" s="7">
        <v>20317</v>
      </c>
      <c r="Y25" s="3">
        <v>20533</v>
      </c>
      <c r="Z25" s="3">
        <v>19450</v>
      </c>
      <c r="AB25" s="7">
        <v>21078</v>
      </c>
      <c r="AC25" s="3">
        <v>22289</v>
      </c>
    </row>
    <row r="26" spans="2:54" s="3" customFormat="1" x14ac:dyDescent="0.35">
      <c r="B26" s="3" t="s">
        <v>1845</v>
      </c>
      <c r="H26" s="7"/>
      <c r="L26" s="7"/>
      <c r="P26" s="7"/>
      <c r="R26" s="3">
        <v>8458</v>
      </c>
      <c r="T26" s="7"/>
      <c r="U26" s="3">
        <v>11231</v>
      </c>
      <c r="V26" s="3">
        <v>11705</v>
      </c>
      <c r="X26" s="7">
        <v>11841</v>
      </c>
      <c r="Y26" s="3">
        <v>11710</v>
      </c>
      <c r="Z26" s="3">
        <v>11494</v>
      </c>
      <c r="AB26" s="7">
        <v>11681</v>
      </c>
      <c r="AC26" s="3">
        <v>12728</v>
      </c>
    </row>
    <row r="27" spans="2:54" s="3" customFormat="1" x14ac:dyDescent="0.35">
      <c r="B27" s="3" t="s">
        <v>1846</v>
      </c>
      <c r="H27" s="7"/>
      <c r="L27" s="7"/>
      <c r="P27" s="7"/>
      <c r="R27" s="3">
        <v>2371</v>
      </c>
      <c r="T27" s="7"/>
      <c r="U27" s="3">
        <v>3364</v>
      </c>
      <c r="V27" s="3">
        <v>3688</v>
      </c>
      <c r="X27" s="7">
        <v>3842</v>
      </c>
      <c r="Y27" s="3">
        <v>4340</v>
      </c>
      <c r="Z27" s="3">
        <v>4138</v>
      </c>
      <c r="AB27" s="7">
        <v>4080</v>
      </c>
      <c r="AC27" s="3">
        <v>4511</v>
      </c>
    </row>
    <row r="28" spans="2:54" s="17" customFormat="1" x14ac:dyDescent="0.35">
      <c r="B28" s="17" t="s">
        <v>41</v>
      </c>
      <c r="H28" s="18"/>
      <c r="L28" s="18"/>
      <c r="P28" s="18"/>
      <c r="R28" s="17">
        <v>-22</v>
      </c>
      <c r="T28" s="18"/>
      <c r="U28" s="17">
        <v>-7</v>
      </c>
      <c r="V28" s="17">
        <v>62</v>
      </c>
      <c r="X28" s="18">
        <v>278</v>
      </c>
      <c r="Y28" s="17">
        <v>375</v>
      </c>
      <c r="Z28" s="17">
        <v>638</v>
      </c>
      <c r="AB28" s="18">
        <v>84</v>
      </c>
      <c r="AC28" s="17">
        <v>3</v>
      </c>
    </row>
    <row r="29" spans="2:54" s="11" customFormat="1" x14ac:dyDescent="0.35">
      <c r="H29" s="56"/>
      <c r="L29" s="56"/>
      <c r="P29" s="56"/>
      <c r="R29" s="11" t="s">
        <v>1854</v>
      </c>
      <c r="T29" s="56"/>
      <c r="U29" s="11">
        <f>SUM(U24:U28)</f>
        <v>61880</v>
      </c>
      <c r="V29" s="11">
        <f>SUM(V24:V28)</f>
        <v>65118</v>
      </c>
      <c r="X29" s="56">
        <f>SUM(X24:X28)</f>
        <v>68011</v>
      </c>
      <c r="Y29" s="11">
        <f>SUM(Y24:Y28)</f>
        <v>69685</v>
      </c>
      <c r="Z29" s="11">
        <f t="shared" ref="Z29:AA29" si="10">SUM(Z24:Z28)</f>
        <v>69092</v>
      </c>
      <c r="AA29" s="11">
        <f t="shared" si="10"/>
        <v>0</v>
      </c>
      <c r="AB29" s="81">
        <f>SUM(AB24:AB28)</f>
        <v>69787</v>
      </c>
      <c r="AC29" s="11">
        <f t="shared" ref="AC29:AG29" si="11">SUM(AC24:AC28)</f>
        <v>74604</v>
      </c>
      <c r="AD29" s="11">
        <f t="shared" si="11"/>
        <v>0</v>
      </c>
      <c r="AE29" s="11">
        <f t="shared" si="11"/>
        <v>0</v>
      </c>
      <c r="AF29" s="11">
        <f t="shared" si="11"/>
        <v>0</v>
      </c>
      <c r="AG29" s="11">
        <f t="shared" si="11"/>
        <v>0</v>
      </c>
    </row>
    <row r="30" spans="2:54" x14ac:dyDescent="0.35">
      <c r="P30" s="7"/>
      <c r="Q30" s="3"/>
      <c r="R30" s="3"/>
      <c r="S30" s="3"/>
      <c r="T30" s="7"/>
      <c r="U30" s="3"/>
      <c r="V30" s="3"/>
      <c r="AN30" s="3"/>
      <c r="AO30" s="3"/>
      <c r="AP30" s="3"/>
      <c r="AQ30" s="3"/>
      <c r="AR30" s="3"/>
      <c r="AS30" s="3"/>
      <c r="AT30" s="3"/>
      <c r="AU30" s="3"/>
      <c r="AV30" s="9"/>
      <c r="AW30" s="3"/>
      <c r="AX30" s="3"/>
      <c r="AY30" s="3"/>
      <c r="AZ30" s="3"/>
      <c r="BA30" s="3"/>
      <c r="BB30" s="3"/>
    </row>
    <row r="31" spans="2:54" s="38" customFormat="1" x14ac:dyDescent="0.35">
      <c r="B31" s="40" t="s">
        <v>1853</v>
      </c>
      <c r="H31" s="44"/>
      <c r="L31" s="44"/>
      <c r="P31" s="44"/>
      <c r="T31" s="44"/>
      <c r="V31" s="39"/>
      <c r="X31" s="44"/>
      <c r="AB31" s="44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</row>
    <row r="32" spans="2:54" s="10" customFormat="1" x14ac:dyDescent="0.35">
      <c r="B32" s="10" t="s">
        <v>52</v>
      </c>
      <c r="D32" s="10">
        <v>24750</v>
      </c>
      <c r="E32" s="10">
        <v>26010</v>
      </c>
      <c r="H32" s="51">
        <v>31146</v>
      </c>
      <c r="I32" s="10">
        <v>32657</v>
      </c>
      <c r="J32" s="10">
        <v>33740</v>
      </c>
      <c r="L32" s="51">
        <v>36339</v>
      </c>
      <c r="M32" s="10">
        <v>38944</v>
      </c>
      <c r="N32" s="10">
        <v>40499</v>
      </c>
      <c r="O32" s="10">
        <f>AR32-N32-M32-L32</f>
        <v>46075</v>
      </c>
      <c r="P32" s="56">
        <f t="shared" ref="P32:Z32" si="12">SUM(P11:P18)</f>
        <v>41159</v>
      </c>
      <c r="Q32" s="11">
        <f t="shared" si="12"/>
        <v>38297</v>
      </c>
      <c r="R32" s="11">
        <f t="shared" si="12"/>
        <v>46173</v>
      </c>
      <c r="S32" s="11">
        <f t="shared" si="12"/>
        <v>56898</v>
      </c>
      <c r="T32" s="56">
        <f t="shared" si="12"/>
        <v>55314</v>
      </c>
      <c r="U32" s="11">
        <f t="shared" si="12"/>
        <v>61880</v>
      </c>
      <c r="V32" s="11">
        <f t="shared" si="12"/>
        <v>65118</v>
      </c>
      <c r="W32" s="11">
        <f t="shared" si="12"/>
        <v>75325</v>
      </c>
      <c r="X32" s="56">
        <f t="shared" si="12"/>
        <v>68011</v>
      </c>
      <c r="Y32" s="11">
        <f t="shared" si="12"/>
        <v>70685</v>
      </c>
      <c r="Z32" s="11">
        <f t="shared" si="12"/>
        <v>69092</v>
      </c>
      <c r="AB32" s="51">
        <v>69787</v>
      </c>
      <c r="AC32" s="10">
        <v>74604</v>
      </c>
      <c r="AN32" s="3">
        <v>74989</v>
      </c>
      <c r="AO32" s="3">
        <v>90272</v>
      </c>
      <c r="AP32" s="3">
        <v>110855</v>
      </c>
      <c r="AQ32" s="3">
        <v>136819</v>
      </c>
      <c r="AR32" s="3">
        <v>161857</v>
      </c>
      <c r="AS32" s="3">
        <v>182527</v>
      </c>
      <c r="AT32" s="3">
        <v>257637</v>
      </c>
      <c r="AU32" s="3">
        <f>SUM(AU11:AU18)</f>
        <v>282836</v>
      </c>
      <c r="AV32" s="11"/>
      <c r="AW32" s="11"/>
      <c r="AX32" s="11"/>
      <c r="AY32" s="11"/>
      <c r="AZ32" s="11"/>
      <c r="BA32" s="11"/>
      <c r="BB32" s="11"/>
    </row>
    <row r="33" spans="2:88" s="5" customFormat="1" x14ac:dyDescent="0.35">
      <c r="B33" s="5" t="s">
        <v>53</v>
      </c>
      <c r="D33" s="5">
        <v>9795</v>
      </c>
      <c r="E33" s="5">
        <v>10373</v>
      </c>
      <c r="H33" s="45">
        <v>13467</v>
      </c>
      <c r="I33" s="5">
        <v>13883</v>
      </c>
      <c r="J33" s="5">
        <v>14281</v>
      </c>
      <c r="L33" s="45">
        <v>16012</v>
      </c>
      <c r="M33" s="5">
        <v>17296</v>
      </c>
      <c r="N33" s="5">
        <v>17568</v>
      </c>
      <c r="O33" s="5">
        <f>AR33-N33-M33-L33</f>
        <v>21020</v>
      </c>
      <c r="P33" s="18">
        <v>18982</v>
      </c>
      <c r="Q33" s="17">
        <v>18553</v>
      </c>
      <c r="R33" s="17">
        <v>21117</v>
      </c>
      <c r="S33" s="17">
        <v>26080</v>
      </c>
      <c r="T33" s="18">
        <v>24103</v>
      </c>
      <c r="U33" s="17">
        <v>26227</v>
      </c>
      <c r="V33" s="17">
        <v>27621</v>
      </c>
      <c r="W33" s="17">
        <v>32988</v>
      </c>
      <c r="X33" s="18">
        <v>29599</v>
      </c>
      <c r="Y33" s="5">
        <v>30104</v>
      </c>
      <c r="Z33" s="17">
        <v>31158</v>
      </c>
      <c r="AB33" s="45">
        <v>30612</v>
      </c>
      <c r="AC33" s="5">
        <v>31916</v>
      </c>
      <c r="AN33" s="17">
        <v>28164</v>
      </c>
      <c r="AO33" s="17">
        <v>35138</v>
      </c>
      <c r="AP33" s="17">
        <v>45583</v>
      </c>
      <c r="AQ33" s="17">
        <v>59549</v>
      </c>
      <c r="AR33" s="17">
        <v>71896</v>
      </c>
      <c r="AS33" s="17">
        <v>84732</v>
      </c>
      <c r="AT33" s="17">
        <v>110939</v>
      </c>
      <c r="AU33" s="17">
        <v>126203</v>
      </c>
      <c r="AV33" s="17"/>
      <c r="AW33" s="17"/>
      <c r="AX33" s="17"/>
      <c r="AY33" s="17"/>
      <c r="AZ33" s="17"/>
      <c r="BA33" s="17"/>
      <c r="BB33" s="17"/>
    </row>
    <row r="34" spans="2:88" s="10" customFormat="1" x14ac:dyDescent="0.35">
      <c r="B34" s="10" t="s">
        <v>54</v>
      </c>
      <c r="C34" s="11">
        <f t="shared" ref="C34:N34" si="13">C32-C33</f>
        <v>0</v>
      </c>
      <c r="D34" s="11">
        <f t="shared" si="13"/>
        <v>14955</v>
      </c>
      <c r="E34" s="11">
        <f t="shared" si="13"/>
        <v>15637</v>
      </c>
      <c r="F34" s="11">
        <f t="shared" si="13"/>
        <v>0</v>
      </c>
      <c r="G34" s="11">
        <f t="shared" si="13"/>
        <v>0</v>
      </c>
      <c r="H34" s="56">
        <f t="shared" si="13"/>
        <v>17679</v>
      </c>
      <c r="I34" s="11">
        <f t="shared" si="13"/>
        <v>18774</v>
      </c>
      <c r="J34" s="11">
        <f t="shared" si="13"/>
        <v>19459</v>
      </c>
      <c r="K34" s="11">
        <f t="shared" si="13"/>
        <v>0</v>
      </c>
      <c r="L34" s="56">
        <f t="shared" si="13"/>
        <v>20327</v>
      </c>
      <c r="M34" s="11">
        <f t="shared" si="13"/>
        <v>21648</v>
      </c>
      <c r="N34" s="11">
        <f t="shared" si="13"/>
        <v>22931</v>
      </c>
      <c r="O34" s="10">
        <f>AR34-N34-M34-L34</f>
        <v>25055</v>
      </c>
      <c r="P34" s="56">
        <f t="shared" ref="P34:Z34" si="14">P32-P33</f>
        <v>22177</v>
      </c>
      <c r="Q34" s="11">
        <f t="shared" si="14"/>
        <v>19744</v>
      </c>
      <c r="R34" s="11">
        <f t="shared" si="14"/>
        <v>25056</v>
      </c>
      <c r="S34" s="11">
        <f t="shared" si="14"/>
        <v>30818</v>
      </c>
      <c r="T34" s="56">
        <f t="shared" si="14"/>
        <v>31211</v>
      </c>
      <c r="U34" s="11">
        <f t="shared" si="14"/>
        <v>35653</v>
      </c>
      <c r="V34" s="11">
        <f t="shared" si="14"/>
        <v>37497</v>
      </c>
      <c r="W34" s="11">
        <f t="shared" si="14"/>
        <v>42337</v>
      </c>
      <c r="X34" s="56">
        <f t="shared" si="14"/>
        <v>38412</v>
      </c>
      <c r="Y34" s="11">
        <f t="shared" si="14"/>
        <v>40581</v>
      </c>
      <c r="Z34" s="11">
        <f t="shared" si="14"/>
        <v>37934</v>
      </c>
      <c r="AB34" s="51">
        <f>AB32-AB33</f>
        <v>39175</v>
      </c>
      <c r="AC34" s="11">
        <f t="shared" ref="AC34" si="15">AC32-AC33</f>
        <v>42688</v>
      </c>
      <c r="AD34" s="11">
        <f t="shared" ref="AD34" si="16">AD32-AD33</f>
        <v>0</v>
      </c>
      <c r="AE34" s="11">
        <f t="shared" ref="AE34" si="17">AE32-AE33</f>
        <v>0</v>
      </c>
      <c r="AF34" s="11">
        <f t="shared" ref="AF34" si="18">AF32-AF33</f>
        <v>0</v>
      </c>
      <c r="AG34" s="11">
        <f t="shared" ref="AG34" si="19">AG32-AG33</f>
        <v>0</v>
      </c>
      <c r="AN34" s="11">
        <f t="shared" ref="AN34:AU34" si="20">AN32-AN33</f>
        <v>46825</v>
      </c>
      <c r="AO34" s="11">
        <f t="shared" si="20"/>
        <v>55134</v>
      </c>
      <c r="AP34" s="11">
        <f t="shared" si="20"/>
        <v>65272</v>
      </c>
      <c r="AQ34" s="11">
        <f t="shared" si="20"/>
        <v>77270</v>
      </c>
      <c r="AR34" s="11">
        <f t="shared" si="20"/>
        <v>89961</v>
      </c>
      <c r="AS34" s="11">
        <f t="shared" si="20"/>
        <v>97795</v>
      </c>
      <c r="AT34" s="11">
        <f t="shared" si="20"/>
        <v>146698</v>
      </c>
      <c r="AU34" s="11">
        <f t="shared" si="20"/>
        <v>156633</v>
      </c>
      <c r="AV34" s="11"/>
      <c r="AW34" s="11"/>
      <c r="AX34" s="11"/>
      <c r="AY34" s="11"/>
      <c r="AZ34" s="11"/>
      <c r="BA34" s="11"/>
      <c r="BB34" s="11"/>
    </row>
    <row r="35" spans="2:88" s="46" customFormat="1" x14ac:dyDescent="0.35">
      <c r="B35" s="46" t="s">
        <v>55</v>
      </c>
      <c r="C35" s="48"/>
      <c r="D35" s="48"/>
      <c r="E35" s="48"/>
      <c r="F35" s="48"/>
      <c r="G35" s="48"/>
      <c r="H35" s="47"/>
      <c r="I35" s="48"/>
      <c r="J35" s="48"/>
      <c r="K35" s="48"/>
      <c r="L35" s="47"/>
      <c r="M35" s="48"/>
      <c r="N35" s="48"/>
      <c r="P35" s="47"/>
      <c r="Q35" s="48"/>
      <c r="R35" s="48"/>
      <c r="S35" s="48"/>
      <c r="T35" s="47"/>
      <c r="U35" s="48"/>
      <c r="V35" s="48"/>
      <c r="W35" s="48"/>
      <c r="X35" s="47"/>
      <c r="Y35" s="48"/>
      <c r="Z35" s="48"/>
      <c r="AB35" s="52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</row>
    <row r="36" spans="2:88" x14ac:dyDescent="0.35">
      <c r="B36" t="s">
        <v>56</v>
      </c>
      <c r="D36">
        <v>3942</v>
      </c>
      <c r="E36">
        <v>4172</v>
      </c>
      <c r="H36" s="6">
        <v>5039</v>
      </c>
      <c r="I36">
        <v>5114</v>
      </c>
      <c r="J36">
        <v>5232</v>
      </c>
      <c r="L36" s="6">
        <v>6029</v>
      </c>
      <c r="M36">
        <v>6213</v>
      </c>
      <c r="N36">
        <v>6554</v>
      </c>
      <c r="O36">
        <f t="shared" ref="O36:O47" si="21">AR36-N36-M36-L36</f>
        <v>7222</v>
      </c>
      <c r="P36" s="7">
        <v>6820</v>
      </c>
      <c r="Q36" s="3">
        <v>6875</v>
      </c>
      <c r="R36" s="3">
        <v>6856</v>
      </c>
      <c r="S36" s="3">
        <v>7022</v>
      </c>
      <c r="T36" s="7">
        <v>7485</v>
      </c>
      <c r="U36" s="3">
        <v>7675</v>
      </c>
      <c r="V36" s="3">
        <v>7694</v>
      </c>
      <c r="W36" s="3">
        <v>8708</v>
      </c>
      <c r="X36" s="7">
        <v>9119</v>
      </c>
      <c r="Y36" s="3">
        <v>9841</v>
      </c>
      <c r="Z36" s="3">
        <v>10273</v>
      </c>
      <c r="AB36" s="6">
        <v>11468</v>
      </c>
      <c r="AC36">
        <v>10588</v>
      </c>
      <c r="AN36" s="3">
        <v>12282</v>
      </c>
      <c r="AO36" s="3">
        <v>13948</v>
      </c>
      <c r="AP36" s="3">
        <v>16625</v>
      </c>
      <c r="AQ36" s="3">
        <v>21419</v>
      </c>
      <c r="AR36" s="3">
        <v>26018</v>
      </c>
      <c r="AS36" s="3">
        <v>27573</v>
      </c>
      <c r="AT36" s="3">
        <v>31562</v>
      </c>
      <c r="AU36" s="3">
        <v>39500</v>
      </c>
      <c r="AV36" s="3"/>
      <c r="AW36" s="3"/>
      <c r="AX36" s="3"/>
      <c r="AY36" s="3"/>
      <c r="AZ36" s="3"/>
      <c r="BA36" s="3"/>
      <c r="BB36" s="3"/>
    </row>
    <row r="37" spans="2:88" x14ac:dyDescent="0.35">
      <c r="B37" t="s">
        <v>57</v>
      </c>
      <c r="D37">
        <v>2644</v>
      </c>
      <c r="E37">
        <v>2897</v>
      </c>
      <c r="H37" s="6">
        <v>3604</v>
      </c>
      <c r="I37">
        <v>3780</v>
      </c>
      <c r="J37">
        <v>3849</v>
      </c>
      <c r="L37" s="6">
        <v>3905</v>
      </c>
      <c r="M37">
        <v>4212</v>
      </c>
      <c r="N37">
        <v>4609</v>
      </c>
      <c r="O37">
        <f t="shared" si="21"/>
        <v>5738</v>
      </c>
      <c r="P37" s="7">
        <v>4500</v>
      </c>
      <c r="Q37" s="3">
        <v>3901</v>
      </c>
      <c r="R37" s="3">
        <v>4231</v>
      </c>
      <c r="S37" s="3">
        <v>5314</v>
      </c>
      <c r="T37" s="7">
        <v>4516</v>
      </c>
      <c r="U37" s="3">
        <v>5276</v>
      </c>
      <c r="V37" s="3">
        <v>5516</v>
      </c>
      <c r="W37" s="3">
        <v>7604</v>
      </c>
      <c r="X37" s="7">
        <v>5825</v>
      </c>
      <c r="Y37" s="3">
        <v>6630</v>
      </c>
      <c r="Z37" s="3">
        <v>6929</v>
      </c>
      <c r="AB37" s="6">
        <v>6533</v>
      </c>
      <c r="AC37">
        <v>6781</v>
      </c>
      <c r="AN37" s="3">
        <v>9047</v>
      </c>
      <c r="AO37" s="3">
        <v>10485</v>
      </c>
      <c r="AP37" s="3">
        <v>12893</v>
      </c>
      <c r="AQ37" s="3">
        <v>16333</v>
      </c>
      <c r="AR37" s="3">
        <v>18464</v>
      </c>
      <c r="AS37" s="3">
        <v>17946</v>
      </c>
      <c r="AT37" s="3">
        <v>22912</v>
      </c>
      <c r="AU37" s="3">
        <v>26567</v>
      </c>
      <c r="AV37" s="3"/>
      <c r="AW37" s="3"/>
      <c r="AX37" s="3"/>
      <c r="AY37" s="3"/>
      <c r="AZ37" s="3"/>
      <c r="BA37" s="3"/>
      <c r="BB37" s="3"/>
    </row>
    <row r="38" spans="2:88" x14ac:dyDescent="0.35">
      <c r="B38" t="s">
        <v>58</v>
      </c>
      <c r="D38">
        <v>1801</v>
      </c>
      <c r="E38">
        <v>1700</v>
      </c>
      <c r="H38" s="6">
        <v>2035</v>
      </c>
      <c r="I38">
        <v>2002</v>
      </c>
      <c r="J38">
        <v>1753</v>
      </c>
      <c r="L38" s="6">
        <v>2088</v>
      </c>
      <c r="M38">
        <v>2043</v>
      </c>
      <c r="N38">
        <v>2591</v>
      </c>
      <c r="O38">
        <f t="shared" si="21"/>
        <v>2829</v>
      </c>
      <c r="P38" s="7">
        <v>2880</v>
      </c>
      <c r="Q38" s="3">
        <v>2585</v>
      </c>
      <c r="R38" s="3">
        <v>2756</v>
      </c>
      <c r="S38" s="3">
        <v>2831</v>
      </c>
      <c r="T38" s="7">
        <v>2773</v>
      </c>
      <c r="U38" s="3">
        <v>3341</v>
      </c>
      <c r="V38" s="3">
        <v>3256</v>
      </c>
      <c r="W38" s="3">
        <v>4140</v>
      </c>
      <c r="X38" s="7">
        <v>3374</v>
      </c>
      <c r="Y38" s="3">
        <v>3657</v>
      </c>
      <c r="Z38" s="3">
        <v>3597</v>
      </c>
      <c r="AB38" s="6">
        <v>3759</v>
      </c>
      <c r="AC38">
        <v>3481</v>
      </c>
      <c r="AN38" s="3">
        <v>6136</v>
      </c>
      <c r="AO38" s="3">
        <v>6985</v>
      </c>
      <c r="AP38" s="3">
        <v>6840</v>
      </c>
      <c r="AQ38" s="3">
        <v>6923</v>
      </c>
      <c r="AR38" s="3">
        <v>9551</v>
      </c>
      <c r="AS38" s="3">
        <v>11052</v>
      </c>
      <c r="AT38" s="3">
        <v>13510</v>
      </c>
      <c r="AU38" s="3">
        <v>15724</v>
      </c>
      <c r="AV38" s="3"/>
      <c r="AW38" s="3"/>
      <c r="AX38" s="3"/>
      <c r="AY38" s="3"/>
      <c r="AZ38" s="3"/>
      <c r="BA38" s="3"/>
      <c r="BB38" s="3"/>
    </row>
    <row r="39" spans="2:88" s="5" customFormat="1" x14ac:dyDescent="0.35">
      <c r="B39" s="5" t="s">
        <v>59</v>
      </c>
      <c r="D39" s="5">
        <v>0</v>
      </c>
      <c r="E39" s="5">
        <v>2736</v>
      </c>
      <c r="H39" s="45">
        <v>0</v>
      </c>
      <c r="I39" s="5">
        <v>5071</v>
      </c>
      <c r="J39" s="5">
        <v>0</v>
      </c>
      <c r="L39" s="45">
        <v>1697</v>
      </c>
      <c r="M39" s="5">
        <v>0</v>
      </c>
      <c r="N39" s="5">
        <v>0</v>
      </c>
      <c r="O39" s="5">
        <f t="shared" si="21"/>
        <v>0</v>
      </c>
      <c r="P39" s="45">
        <v>0</v>
      </c>
      <c r="Q39" s="5">
        <v>0</v>
      </c>
      <c r="R39" s="5">
        <v>0</v>
      </c>
      <c r="S39" s="5">
        <v>0</v>
      </c>
      <c r="T39" s="45">
        <v>0</v>
      </c>
      <c r="U39" s="5">
        <v>0</v>
      </c>
      <c r="V39" s="5">
        <v>0</v>
      </c>
      <c r="W39" s="5">
        <v>0</v>
      </c>
      <c r="X39" s="45">
        <v>0</v>
      </c>
      <c r="Y39" s="5">
        <v>0</v>
      </c>
      <c r="Z39" s="5">
        <v>0</v>
      </c>
      <c r="AB39" s="45">
        <v>0</v>
      </c>
      <c r="AC39" s="5">
        <v>0</v>
      </c>
      <c r="AN39" s="17">
        <v>0</v>
      </c>
      <c r="AO39" s="17">
        <v>0</v>
      </c>
      <c r="AP39" s="17">
        <v>2736</v>
      </c>
      <c r="AQ39" s="17">
        <v>5071</v>
      </c>
      <c r="AR39" s="17">
        <v>1697</v>
      </c>
      <c r="AS39" s="17">
        <v>0</v>
      </c>
      <c r="AT39" s="17">
        <v>0</v>
      </c>
      <c r="AU39" s="17">
        <v>0</v>
      </c>
      <c r="AV39" s="17"/>
      <c r="AW39" s="17"/>
      <c r="AX39" s="17"/>
      <c r="AY39" s="17"/>
      <c r="AZ39" s="17"/>
      <c r="BA39" s="17"/>
      <c r="BB39" s="17"/>
    </row>
    <row r="40" spans="2:88" s="24" customFormat="1" x14ac:dyDescent="0.35">
      <c r="B40" s="24" t="s">
        <v>55</v>
      </c>
      <c r="C40" s="25">
        <f t="shared" ref="C40:N40" si="22">SUM(C36:C39)</f>
        <v>0</v>
      </c>
      <c r="D40" s="25">
        <f t="shared" si="22"/>
        <v>8387</v>
      </c>
      <c r="E40" s="25">
        <f t="shared" si="22"/>
        <v>11505</v>
      </c>
      <c r="F40" s="25">
        <f t="shared" si="22"/>
        <v>0</v>
      </c>
      <c r="G40" s="25">
        <f t="shared" si="22"/>
        <v>0</v>
      </c>
      <c r="H40" s="57">
        <f t="shared" si="22"/>
        <v>10678</v>
      </c>
      <c r="I40" s="25">
        <f t="shared" si="22"/>
        <v>15967</v>
      </c>
      <c r="J40" s="25">
        <f t="shared" si="22"/>
        <v>10834</v>
      </c>
      <c r="K40" s="25">
        <f t="shared" si="22"/>
        <v>0</v>
      </c>
      <c r="L40" s="57">
        <f t="shared" si="22"/>
        <v>13719</v>
      </c>
      <c r="M40" s="25">
        <f t="shared" si="22"/>
        <v>12468</v>
      </c>
      <c r="N40" s="25">
        <f t="shared" si="22"/>
        <v>13754</v>
      </c>
      <c r="O40" s="24">
        <f t="shared" si="21"/>
        <v>15789</v>
      </c>
      <c r="P40" s="57">
        <f t="shared" ref="P40:Z40" si="23">SUM(P36:P39)</f>
        <v>14200</v>
      </c>
      <c r="Q40" s="25">
        <f t="shared" si="23"/>
        <v>13361</v>
      </c>
      <c r="R40" s="25">
        <f t="shared" si="23"/>
        <v>13843</v>
      </c>
      <c r="S40" s="25">
        <f t="shared" si="23"/>
        <v>15167</v>
      </c>
      <c r="T40" s="57">
        <f t="shared" si="23"/>
        <v>14774</v>
      </c>
      <c r="U40" s="25">
        <f t="shared" si="23"/>
        <v>16292</v>
      </c>
      <c r="V40" s="25">
        <f t="shared" si="23"/>
        <v>16466</v>
      </c>
      <c r="W40" s="25">
        <f t="shared" si="23"/>
        <v>20452</v>
      </c>
      <c r="X40" s="57">
        <f t="shared" si="23"/>
        <v>18318</v>
      </c>
      <c r="Y40" s="25">
        <f t="shared" si="23"/>
        <v>20128</v>
      </c>
      <c r="Z40" s="25">
        <f t="shared" si="23"/>
        <v>20799</v>
      </c>
      <c r="AB40" s="26">
        <f>SUM(AB36:AB39)</f>
        <v>21760</v>
      </c>
      <c r="AC40" s="25">
        <f t="shared" ref="AC40" si="24">SUM(AC36:AC39)</f>
        <v>20850</v>
      </c>
      <c r="AD40" s="25">
        <f t="shared" ref="AD40" si="25">SUM(AD36:AD39)</f>
        <v>0</v>
      </c>
      <c r="AE40" s="25">
        <f t="shared" ref="AE40" si="26">SUM(AE36:AE39)</f>
        <v>0</v>
      </c>
      <c r="AF40" s="25">
        <f t="shared" ref="AF40" si="27">SUM(AF36:AF39)</f>
        <v>0</v>
      </c>
      <c r="AG40" s="25">
        <f t="shared" ref="AG40" si="28">SUM(AG36:AG39)</f>
        <v>0</v>
      </c>
      <c r="AN40" s="25">
        <f t="shared" ref="AN40:AU40" si="29">SUM(AN36:AN39)</f>
        <v>27465</v>
      </c>
      <c r="AO40" s="25">
        <f t="shared" si="29"/>
        <v>31418</v>
      </c>
      <c r="AP40" s="25">
        <f t="shared" si="29"/>
        <v>39094</v>
      </c>
      <c r="AQ40" s="25">
        <f t="shared" si="29"/>
        <v>49746</v>
      </c>
      <c r="AR40" s="25">
        <f t="shared" si="29"/>
        <v>55730</v>
      </c>
      <c r="AS40" s="25">
        <f t="shared" si="29"/>
        <v>56571</v>
      </c>
      <c r="AT40" s="25">
        <f t="shared" si="29"/>
        <v>67984</v>
      </c>
      <c r="AU40" s="25">
        <f t="shared" si="29"/>
        <v>81791</v>
      </c>
      <c r="AV40" s="25"/>
      <c r="AW40" s="25"/>
      <c r="AX40" s="25"/>
      <c r="AY40" s="25"/>
      <c r="AZ40" s="25"/>
      <c r="BA40" s="25"/>
      <c r="BB40" s="25"/>
    </row>
    <row r="41" spans="2:88" s="10" customFormat="1" x14ac:dyDescent="0.35">
      <c r="B41" s="10" t="s">
        <v>60</v>
      </c>
      <c r="C41" s="11">
        <f t="shared" ref="C41:N41" si="30">C34-C40</f>
        <v>0</v>
      </c>
      <c r="D41" s="11">
        <f t="shared" si="30"/>
        <v>6568</v>
      </c>
      <c r="E41" s="11">
        <f t="shared" si="30"/>
        <v>4132</v>
      </c>
      <c r="F41" s="11">
        <f t="shared" si="30"/>
        <v>0</v>
      </c>
      <c r="G41" s="11">
        <f t="shared" si="30"/>
        <v>0</v>
      </c>
      <c r="H41" s="56">
        <f t="shared" si="30"/>
        <v>7001</v>
      </c>
      <c r="I41" s="11">
        <f t="shared" si="30"/>
        <v>2807</v>
      </c>
      <c r="J41" s="11">
        <f t="shared" si="30"/>
        <v>8625</v>
      </c>
      <c r="K41" s="11">
        <f t="shared" si="30"/>
        <v>0</v>
      </c>
      <c r="L41" s="56">
        <f t="shared" si="30"/>
        <v>6608</v>
      </c>
      <c r="M41" s="11">
        <f t="shared" si="30"/>
        <v>9180</v>
      </c>
      <c r="N41" s="11">
        <f t="shared" si="30"/>
        <v>9177</v>
      </c>
      <c r="O41" s="10">
        <f t="shared" si="21"/>
        <v>9266</v>
      </c>
      <c r="P41" s="56">
        <f t="shared" ref="P41:Z41" si="31">P34-P40</f>
        <v>7977</v>
      </c>
      <c r="Q41" s="11">
        <f t="shared" si="31"/>
        <v>6383</v>
      </c>
      <c r="R41" s="11">
        <f t="shared" si="31"/>
        <v>11213</v>
      </c>
      <c r="S41" s="11">
        <f t="shared" si="31"/>
        <v>15651</v>
      </c>
      <c r="T41" s="56">
        <f t="shared" si="31"/>
        <v>16437</v>
      </c>
      <c r="U41" s="11">
        <f t="shared" si="31"/>
        <v>19361</v>
      </c>
      <c r="V41" s="11">
        <f t="shared" si="31"/>
        <v>21031</v>
      </c>
      <c r="W41" s="11">
        <f t="shared" si="31"/>
        <v>21885</v>
      </c>
      <c r="X41" s="56">
        <f t="shared" si="31"/>
        <v>20094</v>
      </c>
      <c r="Y41" s="11">
        <f t="shared" si="31"/>
        <v>20453</v>
      </c>
      <c r="Z41" s="11">
        <f t="shared" si="31"/>
        <v>17135</v>
      </c>
      <c r="AB41" s="51">
        <f>AB34-AB40</f>
        <v>17415</v>
      </c>
      <c r="AC41" s="11">
        <f t="shared" ref="AC41" si="32">AC34-AC40</f>
        <v>21838</v>
      </c>
      <c r="AD41" s="11">
        <f t="shared" ref="AD41" si="33">AD34-AD40</f>
        <v>0</v>
      </c>
      <c r="AE41" s="11">
        <f t="shared" ref="AE41" si="34">AE34-AE40</f>
        <v>0</v>
      </c>
      <c r="AF41" s="11">
        <f t="shared" ref="AF41" si="35">AF34-AF40</f>
        <v>0</v>
      </c>
      <c r="AG41" s="11">
        <f t="shared" ref="AG41" si="36">AG34-AG40</f>
        <v>0</v>
      </c>
      <c r="AN41" s="11">
        <f t="shared" ref="AN41:AU41" si="37">AN34-AN40</f>
        <v>19360</v>
      </c>
      <c r="AO41" s="11">
        <f t="shared" si="37"/>
        <v>23716</v>
      </c>
      <c r="AP41" s="11">
        <f t="shared" si="37"/>
        <v>26178</v>
      </c>
      <c r="AQ41" s="11">
        <f t="shared" si="37"/>
        <v>27524</v>
      </c>
      <c r="AR41" s="11">
        <f t="shared" si="37"/>
        <v>34231</v>
      </c>
      <c r="AS41" s="11">
        <f t="shared" si="37"/>
        <v>41224</v>
      </c>
      <c r="AT41" s="11">
        <f t="shared" si="37"/>
        <v>78714</v>
      </c>
      <c r="AU41" s="11">
        <f t="shared" si="37"/>
        <v>74842</v>
      </c>
      <c r="AV41" s="11"/>
      <c r="AW41" s="11"/>
      <c r="AX41" s="11"/>
      <c r="AY41" s="11"/>
      <c r="AZ41" s="11"/>
      <c r="BA41" s="11"/>
      <c r="BB41" s="11"/>
    </row>
    <row r="42" spans="2:88" s="5" customFormat="1" x14ac:dyDescent="0.35">
      <c r="B42" s="5" t="s">
        <v>61</v>
      </c>
      <c r="D42" s="5">
        <v>251</v>
      </c>
      <c r="E42" s="5">
        <v>245</v>
      </c>
      <c r="H42" s="45">
        <v>3542</v>
      </c>
      <c r="I42" s="5">
        <v>1408</v>
      </c>
      <c r="J42" s="5">
        <v>1458</v>
      </c>
      <c r="L42" s="45">
        <v>1538</v>
      </c>
      <c r="M42" s="5">
        <v>2967</v>
      </c>
      <c r="N42" s="5">
        <v>-549</v>
      </c>
      <c r="O42" s="5">
        <f t="shared" si="21"/>
        <v>1438</v>
      </c>
      <c r="P42" s="18">
        <v>-220</v>
      </c>
      <c r="Q42" s="17">
        <v>1894</v>
      </c>
      <c r="R42" s="17">
        <v>2146</v>
      </c>
      <c r="S42" s="17">
        <v>3038</v>
      </c>
      <c r="T42" s="18">
        <v>4846</v>
      </c>
      <c r="U42" s="17">
        <v>2624</v>
      </c>
      <c r="V42" s="17">
        <v>2033</v>
      </c>
      <c r="W42" s="17">
        <v>2517</v>
      </c>
      <c r="X42" s="18">
        <v>-1160</v>
      </c>
      <c r="Y42" s="17">
        <v>-439</v>
      </c>
      <c r="Z42" s="5">
        <v>-902</v>
      </c>
      <c r="AB42" s="45">
        <v>790</v>
      </c>
      <c r="AC42" s="5">
        <v>65</v>
      </c>
      <c r="AN42" s="17">
        <v>291</v>
      </c>
      <c r="AO42" s="17">
        <v>434</v>
      </c>
      <c r="AP42" s="17">
        <v>1015</v>
      </c>
      <c r="AQ42" s="17">
        <v>7389</v>
      </c>
      <c r="AR42" s="17">
        <v>5394</v>
      </c>
      <c r="AS42" s="17">
        <v>6858</v>
      </c>
      <c r="AT42" s="17">
        <v>12020</v>
      </c>
      <c r="AU42" s="17">
        <v>-3514</v>
      </c>
      <c r="AV42" s="17"/>
      <c r="AW42" s="17"/>
      <c r="AX42" s="17"/>
      <c r="AY42" s="17"/>
      <c r="AZ42" s="17"/>
      <c r="BA42" s="17"/>
      <c r="BB42" s="17"/>
    </row>
    <row r="43" spans="2:88" s="10" customFormat="1" x14ac:dyDescent="0.35">
      <c r="B43" s="10" t="s">
        <v>62</v>
      </c>
      <c r="C43" s="11">
        <f t="shared" ref="C43:N43" si="38">C41+C42</f>
        <v>0</v>
      </c>
      <c r="D43" s="11">
        <f t="shared" si="38"/>
        <v>6819</v>
      </c>
      <c r="E43" s="11">
        <f t="shared" si="38"/>
        <v>4377</v>
      </c>
      <c r="F43" s="11">
        <f t="shared" si="38"/>
        <v>0</v>
      </c>
      <c r="G43" s="11">
        <f t="shared" si="38"/>
        <v>0</v>
      </c>
      <c r="H43" s="56">
        <f t="shared" si="38"/>
        <v>10543</v>
      </c>
      <c r="I43" s="11">
        <f t="shared" si="38"/>
        <v>4215</v>
      </c>
      <c r="J43" s="11">
        <f t="shared" si="38"/>
        <v>10083</v>
      </c>
      <c r="K43" s="11">
        <f t="shared" si="38"/>
        <v>0</v>
      </c>
      <c r="L43" s="56">
        <f t="shared" si="38"/>
        <v>8146</v>
      </c>
      <c r="M43" s="11">
        <f t="shared" si="38"/>
        <v>12147</v>
      </c>
      <c r="N43" s="11">
        <f t="shared" si="38"/>
        <v>8628</v>
      </c>
      <c r="O43" s="10">
        <f t="shared" si="21"/>
        <v>10704</v>
      </c>
      <c r="P43" s="56">
        <f t="shared" ref="P43:Z43" si="39">P41+P42</f>
        <v>7757</v>
      </c>
      <c r="Q43" s="11">
        <f t="shared" si="39"/>
        <v>8277</v>
      </c>
      <c r="R43" s="11">
        <f t="shared" si="39"/>
        <v>13359</v>
      </c>
      <c r="S43" s="11">
        <f t="shared" si="39"/>
        <v>18689</v>
      </c>
      <c r="T43" s="56">
        <f t="shared" si="39"/>
        <v>21283</v>
      </c>
      <c r="U43" s="11">
        <f t="shared" si="39"/>
        <v>21985</v>
      </c>
      <c r="V43" s="11">
        <f t="shared" si="39"/>
        <v>23064</v>
      </c>
      <c r="W43" s="11">
        <f t="shared" si="39"/>
        <v>24402</v>
      </c>
      <c r="X43" s="56">
        <f t="shared" si="39"/>
        <v>18934</v>
      </c>
      <c r="Y43" s="11">
        <f t="shared" si="39"/>
        <v>20014</v>
      </c>
      <c r="Z43" s="11">
        <f t="shared" si="39"/>
        <v>16233</v>
      </c>
      <c r="AB43" s="51">
        <f>SUM(AB41:AB42)</f>
        <v>18205</v>
      </c>
      <c r="AC43" s="11">
        <f t="shared" ref="AC43" si="40">AC41+AC42</f>
        <v>21903</v>
      </c>
      <c r="AD43" s="11">
        <f t="shared" ref="AD43" si="41">AD41+AD42</f>
        <v>0</v>
      </c>
      <c r="AE43" s="11">
        <f t="shared" ref="AE43" si="42">AE41+AE42</f>
        <v>0</v>
      </c>
      <c r="AF43" s="11">
        <f t="shared" ref="AF43" si="43">AF41+AF42</f>
        <v>0</v>
      </c>
      <c r="AG43" s="11">
        <f t="shared" ref="AG43" si="44">AG41+AG42</f>
        <v>0</v>
      </c>
      <c r="AN43" s="11">
        <f t="shared" ref="AN43:AU43" si="45">AN41+AN42</f>
        <v>19651</v>
      </c>
      <c r="AO43" s="11">
        <f t="shared" si="45"/>
        <v>24150</v>
      </c>
      <c r="AP43" s="11">
        <f t="shared" si="45"/>
        <v>27193</v>
      </c>
      <c r="AQ43" s="11">
        <f t="shared" si="45"/>
        <v>34913</v>
      </c>
      <c r="AR43" s="11">
        <f t="shared" si="45"/>
        <v>39625</v>
      </c>
      <c r="AS43" s="11">
        <f t="shared" si="45"/>
        <v>48082</v>
      </c>
      <c r="AT43" s="11">
        <f t="shared" si="45"/>
        <v>90734</v>
      </c>
      <c r="AU43" s="11">
        <f t="shared" si="45"/>
        <v>71328</v>
      </c>
      <c r="AV43" s="11"/>
      <c r="AW43" s="11"/>
      <c r="AX43" s="11"/>
      <c r="AY43" s="11"/>
      <c r="AZ43" s="11"/>
      <c r="BA43" s="11"/>
      <c r="BB43" s="11"/>
    </row>
    <row r="44" spans="2:88" s="5" customFormat="1" x14ac:dyDescent="0.35">
      <c r="B44" s="5" t="s">
        <v>63</v>
      </c>
      <c r="D44" s="5">
        <v>1393</v>
      </c>
      <c r="E44" s="5">
        <v>853</v>
      </c>
      <c r="H44" s="45">
        <v>1142</v>
      </c>
      <c r="I44" s="5">
        <v>1020</v>
      </c>
      <c r="J44" s="5">
        <v>891</v>
      </c>
      <c r="L44" s="45">
        <v>1489</v>
      </c>
      <c r="M44" s="5">
        <v>2200</v>
      </c>
      <c r="N44" s="5">
        <v>1560</v>
      </c>
      <c r="O44" s="5">
        <f t="shared" si="21"/>
        <v>33</v>
      </c>
      <c r="P44" s="18">
        <v>921</v>
      </c>
      <c r="Q44" s="17">
        <v>1318</v>
      </c>
      <c r="R44" s="17">
        <v>2112</v>
      </c>
      <c r="S44" s="17">
        <v>3462</v>
      </c>
      <c r="T44" s="18">
        <v>3353</v>
      </c>
      <c r="U44" s="17">
        <v>3460</v>
      </c>
      <c r="V44" s="17">
        <v>4128</v>
      </c>
      <c r="W44" s="17">
        <v>3760</v>
      </c>
      <c r="X44" s="18">
        <v>2498</v>
      </c>
      <c r="Y44" s="17">
        <v>3012</v>
      </c>
      <c r="Z44" s="5">
        <v>2323</v>
      </c>
      <c r="AB44" s="45">
        <v>3154</v>
      </c>
      <c r="AC44" s="5">
        <v>3535</v>
      </c>
      <c r="AN44" s="17">
        <v>3303</v>
      </c>
      <c r="AO44" s="17">
        <v>4672</v>
      </c>
      <c r="AP44" s="17">
        <v>14531</v>
      </c>
      <c r="AQ44" s="17">
        <v>4177</v>
      </c>
      <c r="AR44" s="17">
        <v>5282</v>
      </c>
      <c r="AS44" s="17">
        <v>7813</v>
      </c>
      <c r="AT44" s="17">
        <v>14701</v>
      </c>
      <c r="AU44" s="17">
        <v>11356</v>
      </c>
      <c r="AV44" s="17"/>
      <c r="AW44" s="17"/>
      <c r="AX44" s="17"/>
      <c r="AY44" s="17"/>
      <c r="AZ44" s="17"/>
      <c r="BA44" s="17"/>
      <c r="BB44" s="17"/>
    </row>
    <row r="45" spans="2:88" s="10" customFormat="1" x14ac:dyDescent="0.35">
      <c r="B45" s="10" t="s">
        <v>64</v>
      </c>
      <c r="C45" s="11">
        <f t="shared" ref="C45:N45" si="46">C43-C44</f>
        <v>0</v>
      </c>
      <c r="D45" s="11">
        <f t="shared" si="46"/>
        <v>5426</v>
      </c>
      <c r="E45" s="11">
        <f t="shared" si="46"/>
        <v>3524</v>
      </c>
      <c r="F45" s="11">
        <f t="shared" si="46"/>
        <v>0</v>
      </c>
      <c r="G45" s="11">
        <f t="shared" si="46"/>
        <v>0</v>
      </c>
      <c r="H45" s="56">
        <f t="shared" si="46"/>
        <v>9401</v>
      </c>
      <c r="I45" s="11">
        <f t="shared" si="46"/>
        <v>3195</v>
      </c>
      <c r="J45" s="11">
        <f t="shared" si="46"/>
        <v>9192</v>
      </c>
      <c r="K45" s="11">
        <f t="shared" si="46"/>
        <v>0</v>
      </c>
      <c r="L45" s="56">
        <f t="shared" si="46"/>
        <v>6657</v>
      </c>
      <c r="M45" s="11">
        <f t="shared" si="46"/>
        <v>9947</v>
      </c>
      <c r="N45" s="11">
        <f t="shared" si="46"/>
        <v>7068</v>
      </c>
      <c r="O45" s="10">
        <f t="shared" si="21"/>
        <v>10671</v>
      </c>
      <c r="P45" s="56">
        <f t="shared" ref="P45:Z45" si="47">P43-P44</f>
        <v>6836</v>
      </c>
      <c r="Q45" s="11">
        <f t="shared" si="47"/>
        <v>6959</v>
      </c>
      <c r="R45" s="11">
        <f t="shared" si="47"/>
        <v>11247</v>
      </c>
      <c r="S45" s="11">
        <f t="shared" si="47"/>
        <v>15227</v>
      </c>
      <c r="T45" s="56">
        <f t="shared" si="47"/>
        <v>17930</v>
      </c>
      <c r="U45" s="11">
        <f t="shared" si="47"/>
        <v>18525</v>
      </c>
      <c r="V45" s="11">
        <f t="shared" si="47"/>
        <v>18936</v>
      </c>
      <c r="W45" s="11">
        <f t="shared" si="47"/>
        <v>20642</v>
      </c>
      <c r="X45" s="56">
        <f t="shared" si="47"/>
        <v>16436</v>
      </c>
      <c r="Y45" s="11">
        <f t="shared" si="47"/>
        <v>17002</v>
      </c>
      <c r="Z45" s="11">
        <f t="shared" si="47"/>
        <v>13910</v>
      </c>
      <c r="AB45" s="51">
        <f>AB43-AB44</f>
        <v>15051</v>
      </c>
      <c r="AC45" s="11">
        <f t="shared" ref="AC45" si="48">AC43-AC44</f>
        <v>18368</v>
      </c>
      <c r="AD45" s="11">
        <f t="shared" ref="AD45" si="49">AD43-AD44</f>
        <v>0</v>
      </c>
      <c r="AE45" s="11">
        <f t="shared" ref="AE45" si="50">AE43-AE44</f>
        <v>0</v>
      </c>
      <c r="AF45" s="11">
        <f t="shared" ref="AF45" si="51">AF43-AF44</f>
        <v>0</v>
      </c>
      <c r="AG45" s="11">
        <f t="shared" ref="AG45" si="52">AG43-AG44</f>
        <v>0</v>
      </c>
      <c r="AN45" s="11">
        <f t="shared" ref="AN45:AU45" si="53">AN43-AN44</f>
        <v>16348</v>
      </c>
      <c r="AO45" s="11">
        <f t="shared" si="53"/>
        <v>19478</v>
      </c>
      <c r="AP45" s="11">
        <f t="shared" si="53"/>
        <v>12662</v>
      </c>
      <c r="AQ45" s="11">
        <f t="shared" si="53"/>
        <v>30736</v>
      </c>
      <c r="AR45" s="11">
        <f t="shared" si="53"/>
        <v>34343</v>
      </c>
      <c r="AS45" s="11">
        <f t="shared" si="53"/>
        <v>40269</v>
      </c>
      <c r="AT45" s="11">
        <f t="shared" si="53"/>
        <v>76033</v>
      </c>
      <c r="AU45" s="11">
        <f t="shared" si="53"/>
        <v>59972</v>
      </c>
      <c r="AV45" s="11"/>
      <c r="AW45" s="11"/>
      <c r="AX45" s="11"/>
      <c r="AY45" s="11"/>
      <c r="AZ45" s="11"/>
      <c r="BA45" s="11"/>
      <c r="BB45" s="11"/>
    </row>
    <row r="46" spans="2:88" x14ac:dyDescent="0.35">
      <c r="C46" s="3"/>
      <c r="D46" s="3"/>
      <c r="E46" s="3"/>
      <c r="F46" s="3"/>
      <c r="G46" s="3"/>
      <c r="H46" s="7"/>
      <c r="I46" s="3"/>
      <c r="J46" s="3"/>
      <c r="K46" s="3"/>
      <c r="L46" s="7"/>
      <c r="M46" s="3"/>
      <c r="N46" s="3"/>
      <c r="P46" s="7"/>
      <c r="Q46" s="3"/>
      <c r="R46" s="3"/>
      <c r="S46" s="3"/>
      <c r="T46" s="7"/>
      <c r="U46" s="3"/>
      <c r="V46" s="3"/>
      <c r="W46" s="3"/>
      <c r="X46" s="7"/>
      <c r="Y46" s="3"/>
      <c r="Z46" s="3"/>
      <c r="AC46" s="3"/>
      <c r="AD46" s="3"/>
      <c r="AE46" s="3"/>
      <c r="AF46" s="3"/>
      <c r="AG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2:88" s="21" customFormat="1" x14ac:dyDescent="0.35">
      <c r="B47" s="21" t="s">
        <v>65</v>
      </c>
      <c r="D47" s="21">
        <v>7.73</v>
      </c>
      <c r="E47" s="21">
        <v>5.01</v>
      </c>
      <c r="H47" s="53">
        <v>13.33</v>
      </c>
      <c r="I47" s="21">
        <v>4.54</v>
      </c>
      <c r="J47" s="21">
        <v>13.06</v>
      </c>
      <c r="L47" s="53">
        <v>9.5</v>
      </c>
      <c r="M47" s="21">
        <v>14.21</v>
      </c>
      <c r="N47" s="21">
        <v>10.119999999999999</v>
      </c>
      <c r="O47">
        <f t="shared" si="21"/>
        <v>-31.372</v>
      </c>
      <c r="P47" s="53">
        <f t="shared" ref="P47:X47" si="54">P45/P48</f>
        <v>9.8748026411774639</v>
      </c>
      <c r="Q47" s="21">
        <f t="shared" si="54"/>
        <v>10.129194904399265</v>
      </c>
      <c r="R47" s="21">
        <f t="shared" si="54"/>
        <v>16.398605528022852</v>
      </c>
      <c r="S47" s="21">
        <f t="shared" si="54"/>
        <v>22.326979472140764</v>
      </c>
      <c r="T47" s="53">
        <f t="shared" si="54"/>
        <v>26.287585896482916</v>
      </c>
      <c r="U47" s="21">
        <f t="shared" si="54"/>
        <v>27.258200267211294</v>
      </c>
      <c r="V47" s="21">
        <f t="shared" si="54"/>
        <v>27.990344690984287</v>
      </c>
      <c r="W47" s="21">
        <f t="shared" si="54"/>
        <v>30.69474329100823</v>
      </c>
      <c r="X47" s="53">
        <f t="shared" si="54"/>
        <v>24.621339792764896</v>
      </c>
      <c r="Y47" s="21">
        <v>1.21</v>
      </c>
      <c r="Z47" s="21">
        <v>1.06</v>
      </c>
      <c r="AB47" s="53">
        <f>AB45/AB48</f>
        <v>1.1853981255414665</v>
      </c>
      <c r="AC47" s="21">
        <f>AC45/AC48</f>
        <v>1.4498381877022655</v>
      </c>
      <c r="AN47">
        <f>23.11/20</f>
        <v>1.1555</v>
      </c>
      <c r="AO47">
        <f>28.32/20</f>
        <v>1.4159999999999999</v>
      </c>
      <c r="AP47">
        <f>18/20</f>
        <v>0.9</v>
      </c>
      <c r="AQ47">
        <f>43.7/20</f>
        <v>2.1850000000000001</v>
      </c>
      <c r="AR47">
        <f>49.16/20</f>
        <v>2.4579999999999997</v>
      </c>
      <c r="AS47">
        <f>58.61/20</f>
        <v>2.9304999999999999</v>
      </c>
      <c r="AT47">
        <f>112.2/20</f>
        <v>5.61</v>
      </c>
      <c r="AU47" s="21">
        <v>4.59</v>
      </c>
    </row>
    <row r="48" spans="2:88" x14ac:dyDescent="0.35">
      <c r="B48" t="s">
        <v>1</v>
      </c>
      <c r="H48" s="6">
        <v>694.4</v>
      </c>
      <c r="I48">
        <v>695.5</v>
      </c>
      <c r="L48" s="6">
        <v>694.2</v>
      </c>
      <c r="M48">
        <v>680</v>
      </c>
      <c r="N48">
        <v>688</v>
      </c>
      <c r="P48" s="7">
        <v>692.26700000000005</v>
      </c>
      <c r="Q48" s="3">
        <v>687.024</v>
      </c>
      <c r="R48" s="3">
        <v>685.851</v>
      </c>
      <c r="S48" s="3">
        <v>682</v>
      </c>
      <c r="T48" s="7">
        <v>682.07100000000003</v>
      </c>
      <c r="U48" s="3">
        <v>679.61199999999997</v>
      </c>
      <c r="V48" s="3">
        <v>676.51900000000001</v>
      </c>
      <c r="W48" s="3">
        <v>672.49300000000005</v>
      </c>
      <c r="X48" s="7">
        <v>667.55100000000004</v>
      </c>
      <c r="Y48" s="3">
        <v>13044</v>
      </c>
      <c r="Z48" s="3">
        <v>12943</v>
      </c>
      <c r="AB48" s="6">
        <f>5941+882+5874</f>
        <v>12697</v>
      </c>
      <c r="AC48">
        <f>5993+875+5801</f>
        <v>12669</v>
      </c>
      <c r="AU48" s="3"/>
      <c r="AV48" s="3"/>
      <c r="AW48" s="3"/>
      <c r="AX48" s="3"/>
      <c r="AY48" s="3"/>
      <c r="AZ48" s="3"/>
      <c r="BA48" s="3"/>
      <c r="BB48" s="3"/>
      <c r="CJ48" t="s">
        <v>66</v>
      </c>
    </row>
    <row r="49" spans="2:54" x14ac:dyDescent="0.35">
      <c r="B49" t="s">
        <v>67</v>
      </c>
      <c r="C49" s="23">
        <f t="shared" ref="C49:X49" si="55">C48*20</f>
        <v>0</v>
      </c>
      <c r="D49" s="23">
        <f t="shared" si="55"/>
        <v>0</v>
      </c>
      <c r="E49" s="23">
        <f t="shared" si="55"/>
        <v>0</v>
      </c>
      <c r="F49" s="23">
        <f t="shared" si="55"/>
        <v>0</v>
      </c>
      <c r="G49" s="23">
        <f t="shared" si="55"/>
        <v>0</v>
      </c>
      <c r="H49" s="20">
        <f t="shared" si="55"/>
        <v>13888</v>
      </c>
      <c r="I49" s="23">
        <f t="shared" si="55"/>
        <v>13910</v>
      </c>
      <c r="J49" s="23">
        <f t="shared" si="55"/>
        <v>0</v>
      </c>
      <c r="K49" s="23">
        <f t="shared" si="55"/>
        <v>0</v>
      </c>
      <c r="L49" s="20">
        <f t="shared" si="55"/>
        <v>13884</v>
      </c>
      <c r="M49" s="23">
        <f t="shared" si="55"/>
        <v>13600</v>
      </c>
      <c r="N49" s="23">
        <f t="shared" si="55"/>
        <v>13760</v>
      </c>
      <c r="O49" s="23">
        <f t="shared" si="55"/>
        <v>0</v>
      </c>
      <c r="P49" s="20">
        <f t="shared" si="55"/>
        <v>13845.34</v>
      </c>
      <c r="Q49" s="23">
        <f t="shared" si="55"/>
        <v>13740.48</v>
      </c>
      <c r="R49" s="23">
        <f t="shared" si="55"/>
        <v>13717.02</v>
      </c>
      <c r="S49" s="23">
        <f t="shared" si="55"/>
        <v>13640</v>
      </c>
      <c r="T49" s="20">
        <f t="shared" si="55"/>
        <v>13641.42</v>
      </c>
      <c r="U49" s="23">
        <f t="shared" si="55"/>
        <v>13592.24</v>
      </c>
      <c r="V49" s="23">
        <f t="shared" si="55"/>
        <v>13530.380000000001</v>
      </c>
      <c r="W49" s="23">
        <f t="shared" si="55"/>
        <v>13449.86</v>
      </c>
      <c r="X49" s="20">
        <f t="shared" si="55"/>
        <v>13351.02</v>
      </c>
      <c r="AU49" s="3"/>
      <c r="AV49" s="3"/>
      <c r="AW49" s="3"/>
      <c r="AX49" s="3"/>
      <c r="AY49" s="3"/>
      <c r="AZ49" s="3"/>
      <c r="BA49" s="3"/>
      <c r="BB49" s="3"/>
    </row>
    <row r="50" spans="2:54" s="8" customFormat="1" x14ac:dyDescent="0.35">
      <c r="H50" s="50"/>
      <c r="L50" s="50"/>
      <c r="P50" s="50"/>
      <c r="T50" s="50"/>
      <c r="X50" s="50"/>
      <c r="AB50" s="50"/>
    </row>
    <row r="51" spans="2:54" s="8" customFormat="1" x14ac:dyDescent="0.35">
      <c r="H51" s="50"/>
      <c r="L51" s="50"/>
      <c r="P51" s="50"/>
      <c r="T51" s="50"/>
      <c r="X51" s="50"/>
      <c r="AB51" s="50"/>
    </row>
    <row r="52" spans="2:54" x14ac:dyDescent="0.35">
      <c r="P52" s="7"/>
      <c r="Q52" s="3"/>
      <c r="R52" s="3"/>
      <c r="S52" s="3"/>
      <c r="T52" s="7"/>
      <c r="U52" s="3"/>
      <c r="V52" s="3"/>
      <c r="W52" s="3"/>
      <c r="X52" s="7"/>
      <c r="AU52" s="3"/>
      <c r="AV52" s="3"/>
      <c r="AW52" s="3"/>
      <c r="AX52" s="3"/>
      <c r="AY52" s="3"/>
      <c r="AZ52" s="3"/>
      <c r="BA52" s="3"/>
      <c r="BB52" s="3"/>
    </row>
    <row r="53" spans="2:54" s="41" customFormat="1" x14ac:dyDescent="0.35">
      <c r="B53" s="40" t="s">
        <v>1839</v>
      </c>
      <c r="H53" s="54"/>
      <c r="L53" s="54"/>
      <c r="P53" s="42"/>
      <c r="Q53" s="43"/>
      <c r="R53" s="43"/>
      <c r="S53" s="43"/>
      <c r="T53" s="42"/>
      <c r="U53" s="43"/>
      <c r="V53" s="43"/>
      <c r="W53" s="43"/>
      <c r="X53" s="42"/>
      <c r="AB53" s="54"/>
      <c r="AU53" s="43"/>
      <c r="AV53" s="43"/>
      <c r="AW53" s="43"/>
      <c r="AX53" s="43"/>
      <c r="AY53" s="43"/>
      <c r="AZ53" s="43"/>
      <c r="BA53" s="43"/>
      <c r="BB53" s="43"/>
    </row>
    <row r="54" spans="2:54" s="46" customFormat="1" x14ac:dyDescent="0.35">
      <c r="B54" s="46" t="s">
        <v>71</v>
      </c>
      <c r="H54" s="52"/>
      <c r="L54" s="52"/>
      <c r="P54" s="47"/>
      <c r="Q54" s="48"/>
      <c r="R54" s="48"/>
      <c r="S54" s="48"/>
      <c r="T54" s="47"/>
      <c r="U54" s="48"/>
      <c r="V54" s="48"/>
      <c r="W54" s="48"/>
      <c r="X54" s="47"/>
      <c r="AB54" s="52"/>
      <c r="AU54" s="48"/>
      <c r="AV54" s="48"/>
      <c r="AW54" s="48"/>
      <c r="AX54" s="48"/>
      <c r="AY54" s="48"/>
      <c r="AZ54" s="48"/>
      <c r="BA54" s="48"/>
      <c r="BB54" s="48"/>
    </row>
    <row r="55" spans="2:54" s="3" customFormat="1" x14ac:dyDescent="0.35">
      <c r="B55" s="3" t="s">
        <v>72</v>
      </c>
      <c r="G55" s="3">
        <v>10715</v>
      </c>
      <c r="H55" s="7">
        <v>12658</v>
      </c>
      <c r="I55" s="3">
        <v>14148</v>
      </c>
      <c r="J55" s="3">
        <v>13443</v>
      </c>
      <c r="K55" s="3">
        <v>16701</v>
      </c>
      <c r="L55" s="7">
        <v>19148</v>
      </c>
      <c r="M55" s="3">
        <v>16587</v>
      </c>
      <c r="N55" s="3">
        <v>16032</v>
      </c>
      <c r="O55" s="3">
        <v>18498</v>
      </c>
      <c r="P55" s="7">
        <v>19644</v>
      </c>
      <c r="Q55" s="3">
        <v>17742</v>
      </c>
      <c r="R55" s="3">
        <v>20129</v>
      </c>
      <c r="S55" s="3">
        <v>26465</v>
      </c>
      <c r="T55" s="7">
        <v>2622</v>
      </c>
      <c r="U55" s="3">
        <v>23630</v>
      </c>
      <c r="V55" s="3">
        <v>23719</v>
      </c>
      <c r="W55" s="3">
        <v>20945</v>
      </c>
      <c r="X55" s="7">
        <v>20886</v>
      </c>
      <c r="Y55" s="3">
        <v>17936</v>
      </c>
      <c r="Z55" s="3">
        <v>21984</v>
      </c>
      <c r="AA55" s="3">
        <f>AU55</f>
        <v>21879</v>
      </c>
      <c r="AB55" s="7">
        <v>25924</v>
      </c>
      <c r="AC55" s="3">
        <v>25929</v>
      </c>
      <c r="AN55" s="3">
        <v>16549</v>
      </c>
      <c r="AO55" s="3">
        <v>12918</v>
      </c>
      <c r="AP55" s="3">
        <v>10715</v>
      </c>
      <c r="AQ55" s="3">
        <v>16701</v>
      </c>
      <c r="AR55" s="3">
        <v>18498</v>
      </c>
      <c r="AS55" s="3">
        <v>26465</v>
      </c>
      <c r="AT55" s="3">
        <v>20945</v>
      </c>
      <c r="AU55" s="3">
        <v>21879</v>
      </c>
    </row>
    <row r="56" spans="2:54" s="17" customFormat="1" x14ac:dyDescent="0.35">
      <c r="B56" s="17" t="s">
        <v>73</v>
      </c>
      <c r="G56" s="17">
        <v>91156</v>
      </c>
      <c r="H56" s="18">
        <v>90227</v>
      </c>
      <c r="I56" s="17">
        <v>88106</v>
      </c>
      <c r="J56" s="17">
        <v>92973</v>
      </c>
      <c r="K56" s="17">
        <v>92439</v>
      </c>
      <c r="L56" s="18">
        <v>94340</v>
      </c>
      <c r="M56" s="17">
        <v>104469</v>
      </c>
      <c r="N56" s="17">
        <v>105145</v>
      </c>
      <c r="O56" s="17">
        <v>101177</v>
      </c>
      <c r="P56" s="18">
        <v>97585</v>
      </c>
      <c r="Q56" s="17">
        <v>103338</v>
      </c>
      <c r="R56" s="17">
        <v>112467</v>
      </c>
      <c r="S56" s="17">
        <v>110229</v>
      </c>
      <c r="T56" s="18">
        <v>108482</v>
      </c>
      <c r="U56" s="17">
        <v>112233</v>
      </c>
      <c r="V56" s="17">
        <v>118284</v>
      </c>
      <c r="W56" s="17">
        <v>118704</v>
      </c>
      <c r="X56" s="18">
        <v>113084</v>
      </c>
      <c r="Y56" s="17">
        <v>107061</v>
      </c>
      <c r="Z56" s="17">
        <v>94275</v>
      </c>
      <c r="AA56" s="3">
        <f>AU56</f>
        <v>91883</v>
      </c>
      <c r="AB56" s="18">
        <v>89178</v>
      </c>
      <c r="AC56" s="17">
        <v>92403</v>
      </c>
      <c r="AN56" s="17">
        <v>56517</v>
      </c>
      <c r="AO56" s="17">
        <v>73415</v>
      </c>
      <c r="AP56" s="17">
        <v>91156</v>
      </c>
      <c r="AQ56" s="17">
        <v>92439</v>
      </c>
      <c r="AR56" s="17">
        <v>101177</v>
      </c>
      <c r="AS56" s="17">
        <v>110229</v>
      </c>
      <c r="AT56" s="17">
        <v>118704</v>
      </c>
      <c r="AU56" s="17">
        <v>91883</v>
      </c>
    </row>
    <row r="57" spans="2:54" s="11" customFormat="1" x14ac:dyDescent="0.35">
      <c r="B57" s="11" t="s">
        <v>74</v>
      </c>
      <c r="C57" s="11">
        <f t="shared" ref="C57:AE57" si="56">C55+C56</f>
        <v>0</v>
      </c>
      <c r="D57" s="11">
        <f t="shared" si="56"/>
        <v>0</v>
      </c>
      <c r="E57" s="11">
        <f t="shared" si="56"/>
        <v>0</v>
      </c>
      <c r="F57" s="11">
        <f t="shared" si="56"/>
        <v>0</v>
      </c>
      <c r="G57" s="11">
        <f t="shared" si="56"/>
        <v>101871</v>
      </c>
      <c r="H57" s="56">
        <f t="shared" si="56"/>
        <v>102885</v>
      </c>
      <c r="I57" s="11">
        <f t="shared" si="56"/>
        <v>102254</v>
      </c>
      <c r="J57" s="11">
        <f t="shared" si="56"/>
        <v>106416</v>
      </c>
      <c r="K57" s="11">
        <f t="shared" si="56"/>
        <v>109140</v>
      </c>
      <c r="L57" s="56">
        <f t="shared" si="56"/>
        <v>113488</v>
      </c>
      <c r="M57" s="11">
        <f t="shared" si="56"/>
        <v>121056</v>
      </c>
      <c r="N57" s="11">
        <f t="shared" si="56"/>
        <v>121177</v>
      </c>
      <c r="O57" s="11">
        <f t="shared" si="56"/>
        <v>119675</v>
      </c>
      <c r="P57" s="56">
        <f t="shared" si="56"/>
        <v>117229</v>
      </c>
      <c r="Q57" s="11">
        <f t="shared" si="56"/>
        <v>121080</v>
      </c>
      <c r="R57" s="11">
        <f t="shared" si="56"/>
        <v>132596</v>
      </c>
      <c r="S57" s="11">
        <f t="shared" si="56"/>
        <v>136694</v>
      </c>
      <c r="T57" s="56">
        <f t="shared" si="56"/>
        <v>111104</v>
      </c>
      <c r="U57" s="11">
        <f t="shared" si="56"/>
        <v>135863</v>
      </c>
      <c r="V57" s="11">
        <f t="shared" si="56"/>
        <v>142003</v>
      </c>
      <c r="W57" s="11">
        <f t="shared" si="56"/>
        <v>139649</v>
      </c>
      <c r="X57" s="56">
        <f t="shared" si="56"/>
        <v>133970</v>
      </c>
      <c r="Y57" s="11">
        <f t="shared" si="56"/>
        <v>124997</v>
      </c>
      <c r="Z57" s="11">
        <f t="shared" si="56"/>
        <v>116259</v>
      </c>
      <c r="AA57" s="11">
        <f t="shared" si="56"/>
        <v>113762</v>
      </c>
      <c r="AB57" s="56">
        <f t="shared" si="56"/>
        <v>115102</v>
      </c>
      <c r="AC57" s="11">
        <f t="shared" si="56"/>
        <v>118332</v>
      </c>
      <c r="AD57" s="11">
        <f t="shared" si="56"/>
        <v>0</v>
      </c>
      <c r="AE57" s="11">
        <f t="shared" si="56"/>
        <v>0</v>
      </c>
      <c r="AN57" s="11">
        <f t="shared" ref="AN57:AT57" si="57">AN55+AN56</f>
        <v>73066</v>
      </c>
      <c r="AO57" s="11">
        <f t="shared" si="57"/>
        <v>86333</v>
      </c>
      <c r="AP57" s="11">
        <f t="shared" si="57"/>
        <v>101871</v>
      </c>
      <c r="AQ57" s="11">
        <f t="shared" si="57"/>
        <v>109140</v>
      </c>
      <c r="AR57" s="11">
        <f t="shared" si="57"/>
        <v>119675</v>
      </c>
      <c r="AS57" s="11">
        <f t="shared" si="57"/>
        <v>136694</v>
      </c>
      <c r="AT57" s="11">
        <f t="shared" si="57"/>
        <v>139649</v>
      </c>
      <c r="AU57" s="11">
        <f>SUM(AU55:AU56)</f>
        <v>113762</v>
      </c>
      <c r="AV57" s="11">
        <f t="shared" ref="AV57:AZ57" si="58">SUM(AV55:AV56)</f>
        <v>0</v>
      </c>
      <c r="AW57" s="11">
        <f t="shared" si="58"/>
        <v>0</v>
      </c>
      <c r="AX57" s="11">
        <f t="shared" si="58"/>
        <v>0</v>
      </c>
      <c r="AY57" s="11">
        <f t="shared" si="58"/>
        <v>0</v>
      </c>
      <c r="AZ57" s="11">
        <f t="shared" si="58"/>
        <v>0</v>
      </c>
    </row>
    <row r="58" spans="2:54" s="3" customFormat="1" x14ac:dyDescent="0.35">
      <c r="B58" s="3" t="s">
        <v>75</v>
      </c>
      <c r="G58" s="3">
        <v>18336</v>
      </c>
      <c r="H58" s="7">
        <v>16777</v>
      </c>
      <c r="I58" s="3">
        <v>17043</v>
      </c>
      <c r="J58" s="3">
        <v>17897</v>
      </c>
      <c r="K58" s="3">
        <v>20838</v>
      </c>
      <c r="L58" s="7">
        <v>19149</v>
      </c>
      <c r="M58" s="3">
        <v>20965</v>
      </c>
      <c r="N58" s="3">
        <v>20889</v>
      </c>
      <c r="O58" s="3">
        <v>25326</v>
      </c>
      <c r="P58" s="7">
        <v>21825</v>
      </c>
      <c r="Q58" s="3">
        <v>21201</v>
      </c>
      <c r="R58" s="3">
        <v>24925</v>
      </c>
      <c r="S58" s="3">
        <v>30930</v>
      </c>
      <c r="T58" s="7">
        <v>28006</v>
      </c>
      <c r="U58" s="3">
        <v>31967</v>
      </c>
      <c r="V58" s="3">
        <v>34047</v>
      </c>
      <c r="W58" s="3">
        <v>39304</v>
      </c>
      <c r="X58" s="7">
        <v>34703</v>
      </c>
      <c r="Y58" s="3">
        <v>35707</v>
      </c>
      <c r="Z58" s="3">
        <v>34697</v>
      </c>
      <c r="AA58" s="3">
        <f>AU58</f>
        <v>40258</v>
      </c>
      <c r="AB58" s="7">
        <v>36036</v>
      </c>
      <c r="AC58" s="3">
        <v>38804</v>
      </c>
      <c r="AN58" s="3">
        <f>11556+450</f>
        <v>12006</v>
      </c>
      <c r="AO58" s="3">
        <v>14137</v>
      </c>
      <c r="AP58" s="3">
        <v>18336</v>
      </c>
      <c r="AQ58" s="3">
        <v>20838</v>
      </c>
      <c r="AR58" s="3">
        <v>25326</v>
      </c>
      <c r="AS58" s="3">
        <v>30930</v>
      </c>
      <c r="AT58" s="3">
        <v>39304</v>
      </c>
      <c r="AU58" s="3">
        <v>40258</v>
      </c>
    </row>
    <row r="59" spans="2:54" s="3" customFormat="1" x14ac:dyDescent="0.35">
      <c r="B59" s="3" t="s">
        <v>76</v>
      </c>
      <c r="G59" s="3">
        <v>369</v>
      </c>
      <c r="H59" s="7">
        <v>37</v>
      </c>
      <c r="I59" s="3">
        <v>201</v>
      </c>
      <c r="J59" s="3">
        <v>170</v>
      </c>
      <c r="K59" s="3">
        <v>355</v>
      </c>
      <c r="L59" s="7">
        <v>111</v>
      </c>
      <c r="M59" s="3">
        <v>352</v>
      </c>
      <c r="N59" s="3">
        <v>192</v>
      </c>
      <c r="O59" s="3">
        <v>2166</v>
      </c>
      <c r="P59" s="7">
        <v>1910</v>
      </c>
      <c r="Q59" s="3">
        <v>394</v>
      </c>
      <c r="R59" s="3">
        <v>588</v>
      </c>
      <c r="S59" s="3">
        <v>454</v>
      </c>
      <c r="T59" s="7">
        <v>493</v>
      </c>
      <c r="U59" s="3">
        <v>884</v>
      </c>
      <c r="V59" s="3">
        <v>753</v>
      </c>
      <c r="W59" s="3">
        <v>966</v>
      </c>
      <c r="X59" s="7">
        <v>919</v>
      </c>
      <c r="Y59" s="3">
        <v>1366</v>
      </c>
      <c r="Z59" s="3">
        <v>1479</v>
      </c>
      <c r="AA59" s="3">
        <f>AU59</f>
        <v>0</v>
      </c>
      <c r="AB59" s="7">
        <v>0</v>
      </c>
      <c r="AC59" s="3">
        <v>0</v>
      </c>
      <c r="AN59" s="3">
        <v>1903</v>
      </c>
      <c r="AO59" s="3">
        <v>95</v>
      </c>
      <c r="AP59" s="3">
        <v>369</v>
      </c>
      <c r="AQ59" s="3">
        <v>355</v>
      </c>
      <c r="AR59" s="3">
        <v>2166</v>
      </c>
      <c r="AS59" s="3">
        <v>454</v>
      </c>
      <c r="AT59" s="3">
        <v>966</v>
      </c>
      <c r="AU59" s="3">
        <v>0</v>
      </c>
    </row>
    <row r="60" spans="2:54" s="3" customFormat="1" x14ac:dyDescent="0.35">
      <c r="B60" s="3" t="s">
        <v>77</v>
      </c>
      <c r="G60" s="3">
        <v>749</v>
      </c>
      <c r="H60" s="7">
        <v>636</v>
      </c>
      <c r="I60" s="3">
        <v>698</v>
      </c>
      <c r="J60" s="3">
        <v>1212</v>
      </c>
      <c r="K60" s="3">
        <v>1107</v>
      </c>
      <c r="L60" s="7">
        <v>1053</v>
      </c>
      <c r="M60" s="3">
        <v>964</v>
      </c>
      <c r="N60" s="3">
        <v>1401</v>
      </c>
      <c r="O60" s="3">
        <v>999</v>
      </c>
      <c r="P60" s="7">
        <v>889</v>
      </c>
      <c r="Q60" s="3">
        <v>815</v>
      </c>
      <c r="R60" s="3">
        <v>835</v>
      </c>
      <c r="S60" s="3">
        <v>728</v>
      </c>
      <c r="T60" s="7">
        <v>888</v>
      </c>
      <c r="U60" s="3">
        <v>907</v>
      </c>
      <c r="V60" s="3">
        <v>1278</v>
      </c>
      <c r="W60" s="3">
        <v>1170</v>
      </c>
      <c r="X60" s="7">
        <v>1369</v>
      </c>
      <c r="Y60" s="3">
        <v>1980</v>
      </c>
      <c r="Z60" s="3">
        <v>3156</v>
      </c>
      <c r="AA60" s="3">
        <f>AU60</f>
        <v>2670</v>
      </c>
      <c r="AB60" s="7">
        <v>2315</v>
      </c>
      <c r="AC60" s="3">
        <v>2231</v>
      </c>
      <c r="AN60" s="3">
        <v>491</v>
      </c>
      <c r="AO60" s="3">
        <v>268</v>
      </c>
      <c r="AP60" s="3">
        <v>749</v>
      </c>
      <c r="AQ60" s="3">
        <v>1107</v>
      </c>
      <c r="AR60" s="3">
        <v>999</v>
      </c>
      <c r="AS60" s="3">
        <v>728</v>
      </c>
      <c r="AT60" s="3">
        <v>1170</v>
      </c>
      <c r="AU60" s="3">
        <v>2670</v>
      </c>
    </row>
    <row r="61" spans="2:54" s="17" customFormat="1" x14ac:dyDescent="0.35">
      <c r="B61" s="17" t="s">
        <v>78</v>
      </c>
      <c r="G61" s="17">
        <v>2983</v>
      </c>
      <c r="H61" s="18">
        <v>3426</v>
      </c>
      <c r="I61" s="17">
        <v>3961</v>
      </c>
      <c r="J61" s="17">
        <v>4007</v>
      </c>
      <c r="K61" s="17">
        <v>4236</v>
      </c>
      <c r="L61" s="18">
        <v>4406</v>
      </c>
      <c r="M61" s="17">
        <v>4100</v>
      </c>
      <c r="N61" s="17">
        <v>4699</v>
      </c>
      <c r="O61" s="17">
        <v>4412</v>
      </c>
      <c r="P61" s="18">
        <v>5165</v>
      </c>
      <c r="Q61" s="17">
        <v>5579</v>
      </c>
      <c r="R61" s="17">
        <v>5425</v>
      </c>
      <c r="S61" s="17">
        <v>5490</v>
      </c>
      <c r="T61" s="18">
        <v>7646</v>
      </c>
      <c r="U61" s="17">
        <v>6076</v>
      </c>
      <c r="V61" s="17">
        <v>6029</v>
      </c>
      <c r="W61" s="17">
        <v>7054</v>
      </c>
      <c r="X61" s="18">
        <v>6892</v>
      </c>
      <c r="Y61" s="17">
        <v>8321</v>
      </c>
      <c r="Z61" s="17">
        <v>10518</v>
      </c>
      <c r="AA61" s="3">
        <f>AU61</f>
        <v>8105</v>
      </c>
      <c r="AB61" s="18">
        <v>8532</v>
      </c>
      <c r="AC61" s="17">
        <v>9421</v>
      </c>
      <c r="AN61" s="17">
        <v>2648</v>
      </c>
      <c r="AO61" s="17">
        <v>4575</v>
      </c>
      <c r="AP61" s="17">
        <v>2983</v>
      </c>
      <c r="AQ61" s="17">
        <v>4236</v>
      </c>
      <c r="AR61" s="17">
        <v>4412</v>
      </c>
      <c r="AS61" s="17">
        <v>5490</v>
      </c>
      <c r="AT61" s="17">
        <v>7054</v>
      </c>
      <c r="AU61" s="17">
        <v>8105</v>
      </c>
    </row>
    <row r="62" spans="2:54" s="11" customFormat="1" x14ac:dyDescent="0.35">
      <c r="B62" s="11" t="s">
        <v>79</v>
      </c>
      <c r="C62" s="11">
        <f t="shared" ref="C62:AE62" si="59">SUM(C57:C61)</f>
        <v>0</v>
      </c>
      <c r="D62" s="11">
        <f t="shared" si="59"/>
        <v>0</v>
      </c>
      <c r="E62" s="11">
        <f t="shared" si="59"/>
        <v>0</v>
      </c>
      <c r="F62" s="11">
        <f t="shared" si="59"/>
        <v>0</v>
      </c>
      <c r="G62" s="11">
        <f t="shared" si="59"/>
        <v>124308</v>
      </c>
      <c r="H62" s="56">
        <f t="shared" si="59"/>
        <v>123761</v>
      </c>
      <c r="I62" s="11">
        <f t="shared" si="59"/>
        <v>124157</v>
      </c>
      <c r="J62" s="11">
        <f t="shared" si="59"/>
        <v>129702</v>
      </c>
      <c r="K62" s="11">
        <f t="shared" si="59"/>
        <v>135676</v>
      </c>
      <c r="L62" s="56">
        <f t="shared" si="59"/>
        <v>138207</v>
      </c>
      <c r="M62" s="11">
        <f t="shared" si="59"/>
        <v>147437</v>
      </c>
      <c r="N62" s="11">
        <f t="shared" si="59"/>
        <v>148358</v>
      </c>
      <c r="O62" s="11">
        <f t="shared" si="59"/>
        <v>152578</v>
      </c>
      <c r="P62" s="56">
        <f t="shared" si="59"/>
        <v>147018</v>
      </c>
      <c r="Q62" s="11">
        <f t="shared" si="59"/>
        <v>149069</v>
      </c>
      <c r="R62" s="11">
        <f t="shared" si="59"/>
        <v>164369</v>
      </c>
      <c r="S62" s="11">
        <f t="shared" si="59"/>
        <v>174296</v>
      </c>
      <c r="T62" s="56">
        <f t="shared" si="59"/>
        <v>148137</v>
      </c>
      <c r="U62" s="11">
        <f t="shared" si="59"/>
        <v>175697</v>
      </c>
      <c r="V62" s="11">
        <f t="shared" si="59"/>
        <v>184110</v>
      </c>
      <c r="W62" s="11">
        <f t="shared" si="59"/>
        <v>188143</v>
      </c>
      <c r="X62" s="56">
        <f t="shared" si="59"/>
        <v>177853</v>
      </c>
      <c r="Y62" s="11">
        <f t="shared" si="59"/>
        <v>172371</v>
      </c>
      <c r="Z62" s="11">
        <f t="shared" si="59"/>
        <v>166109</v>
      </c>
      <c r="AA62" s="11">
        <f t="shared" si="59"/>
        <v>164795</v>
      </c>
      <c r="AB62" s="56">
        <f t="shared" si="59"/>
        <v>161985</v>
      </c>
      <c r="AC62" s="11">
        <f t="shared" si="59"/>
        <v>168788</v>
      </c>
      <c r="AD62" s="11">
        <f t="shared" si="59"/>
        <v>0</v>
      </c>
      <c r="AE62" s="11">
        <f t="shared" si="59"/>
        <v>0</v>
      </c>
      <c r="AN62" s="11">
        <f t="shared" ref="AN62:AU62" si="60">SUM(AN57:AN61)</f>
        <v>90114</v>
      </c>
      <c r="AO62" s="11">
        <f t="shared" si="60"/>
        <v>105408</v>
      </c>
      <c r="AP62" s="11">
        <f t="shared" si="60"/>
        <v>124308</v>
      </c>
      <c r="AQ62" s="11">
        <f t="shared" si="60"/>
        <v>135676</v>
      </c>
      <c r="AR62" s="11">
        <f t="shared" si="60"/>
        <v>152578</v>
      </c>
      <c r="AS62" s="11">
        <f t="shared" si="60"/>
        <v>174296</v>
      </c>
      <c r="AT62" s="11">
        <f t="shared" si="60"/>
        <v>188143</v>
      </c>
      <c r="AU62" s="11">
        <f t="shared" si="60"/>
        <v>164795</v>
      </c>
      <c r="AV62" s="11">
        <f t="shared" ref="AV62" si="61">SUM(AV57:AV61)</f>
        <v>0</v>
      </c>
      <c r="AW62" s="11">
        <f t="shared" ref="AW62" si="62">SUM(AW57:AW61)</f>
        <v>0</v>
      </c>
      <c r="AX62" s="11">
        <f t="shared" ref="AX62" si="63">SUM(AX57:AX61)</f>
        <v>0</v>
      </c>
      <c r="AY62" s="11">
        <f t="shared" ref="AY62" si="64">SUM(AY57:AY61)</f>
        <v>0</v>
      </c>
      <c r="AZ62" s="11">
        <f t="shared" ref="AZ62" si="65">SUM(AZ57:AZ61)</f>
        <v>0</v>
      </c>
    </row>
    <row r="63" spans="2:54" s="48" customFormat="1" x14ac:dyDescent="0.35">
      <c r="B63" s="48" t="s">
        <v>80</v>
      </c>
      <c r="H63" s="47"/>
      <c r="L63" s="47"/>
      <c r="P63" s="47"/>
      <c r="T63" s="47"/>
      <c r="X63" s="47"/>
      <c r="AB63" s="47"/>
    </row>
    <row r="64" spans="2:54" s="3" customFormat="1" x14ac:dyDescent="0.35">
      <c r="B64" s="3" t="s">
        <v>81</v>
      </c>
      <c r="G64" s="3">
        <v>7813</v>
      </c>
      <c r="H64" s="7">
        <v>10976</v>
      </c>
      <c r="I64" s="3">
        <v>11487</v>
      </c>
      <c r="J64" s="3">
        <v>12673</v>
      </c>
      <c r="K64" s="3">
        <v>13859</v>
      </c>
      <c r="L64" s="7">
        <v>14474</v>
      </c>
      <c r="M64" s="3">
        <v>12112</v>
      </c>
      <c r="N64" s="3">
        <v>12488</v>
      </c>
      <c r="O64" s="3">
        <v>13078</v>
      </c>
      <c r="P64" s="7">
        <v>12367</v>
      </c>
      <c r="Q64" s="3">
        <v>12961</v>
      </c>
      <c r="R64" s="3">
        <v>14656</v>
      </c>
      <c r="S64" s="3">
        <v>20703</v>
      </c>
      <c r="T64" s="7">
        <v>25294</v>
      </c>
      <c r="U64" s="3">
        <v>25532</v>
      </c>
      <c r="V64" s="3">
        <v>26101</v>
      </c>
      <c r="W64" s="3">
        <v>29549</v>
      </c>
      <c r="X64" s="7">
        <v>30544</v>
      </c>
      <c r="Y64" s="3">
        <v>30665</v>
      </c>
      <c r="Z64" s="3">
        <v>30419</v>
      </c>
      <c r="AA64" s="3">
        <f t="shared" ref="AA64:AA70" si="66">AU64</f>
        <v>30492</v>
      </c>
      <c r="AB64" s="7">
        <v>31213</v>
      </c>
      <c r="AC64" s="3">
        <v>31224</v>
      </c>
      <c r="AN64" s="3">
        <v>5183</v>
      </c>
      <c r="AO64" s="3">
        <v>5878</v>
      </c>
      <c r="AP64" s="3">
        <v>7813</v>
      </c>
      <c r="AQ64" s="3">
        <v>13859</v>
      </c>
      <c r="AR64" s="3">
        <v>13078</v>
      </c>
      <c r="AS64" s="3">
        <v>20703</v>
      </c>
      <c r="AT64" s="3">
        <v>29549</v>
      </c>
      <c r="AU64" s="3">
        <v>30492</v>
      </c>
    </row>
    <row r="65" spans="2:52" s="3" customFormat="1" x14ac:dyDescent="0.35">
      <c r="B65" s="3" t="s">
        <v>82</v>
      </c>
      <c r="G65" s="3">
        <v>680</v>
      </c>
      <c r="H65" s="7">
        <v>678</v>
      </c>
      <c r="I65" s="3">
        <v>685</v>
      </c>
      <c r="J65" s="3">
        <v>682</v>
      </c>
      <c r="K65" s="3">
        <v>737</v>
      </c>
      <c r="L65" s="7">
        <v>750</v>
      </c>
      <c r="M65" s="3">
        <v>585</v>
      </c>
      <c r="N65" s="3">
        <v>564</v>
      </c>
      <c r="O65" s="3">
        <v>721</v>
      </c>
      <c r="P65" s="7">
        <v>730</v>
      </c>
      <c r="Q65" s="3">
        <v>895</v>
      </c>
      <c r="R65" s="3">
        <v>972</v>
      </c>
      <c r="S65" s="3">
        <v>1084</v>
      </c>
      <c r="T65" s="7">
        <v>1129</v>
      </c>
      <c r="U65" s="3">
        <v>1153</v>
      </c>
      <c r="V65" s="3">
        <v>1195</v>
      </c>
      <c r="W65" s="3">
        <v>1284</v>
      </c>
      <c r="X65" s="7">
        <v>1388</v>
      </c>
      <c r="Y65" s="3">
        <v>1490</v>
      </c>
      <c r="Z65" s="3">
        <v>2991</v>
      </c>
      <c r="AA65" s="3">
        <f t="shared" si="66"/>
        <v>5261</v>
      </c>
      <c r="AB65" s="7">
        <v>6885</v>
      </c>
      <c r="AC65" s="3">
        <v>9357</v>
      </c>
      <c r="AN65" s="3">
        <v>251</v>
      </c>
      <c r="AO65" s="3">
        <v>383</v>
      </c>
      <c r="AP65" s="3">
        <v>680</v>
      </c>
      <c r="AQ65" s="3">
        <v>737</v>
      </c>
      <c r="AR65" s="3">
        <v>721</v>
      </c>
      <c r="AS65" s="3">
        <v>1084</v>
      </c>
      <c r="AT65" s="3">
        <v>1284</v>
      </c>
      <c r="AU65" s="3">
        <v>5261</v>
      </c>
    </row>
    <row r="66" spans="2:52" s="3" customFormat="1" x14ac:dyDescent="0.35">
      <c r="B66" s="3" t="s">
        <v>83</v>
      </c>
      <c r="G66" s="3">
        <v>42383</v>
      </c>
      <c r="H66" s="7">
        <v>48845</v>
      </c>
      <c r="I66" s="3">
        <v>51672</v>
      </c>
      <c r="J66" s="3">
        <v>55300</v>
      </c>
      <c r="K66" s="3">
        <v>59719</v>
      </c>
      <c r="L66" s="7">
        <v>60528</v>
      </c>
      <c r="M66" s="3">
        <v>64891</v>
      </c>
      <c r="N66" s="3">
        <v>69252</v>
      </c>
      <c r="O66" s="3">
        <v>73646</v>
      </c>
      <c r="P66" s="7">
        <v>76747</v>
      </c>
      <c r="Q66" s="3">
        <v>78748</v>
      </c>
      <c r="R66" s="3">
        <v>81636</v>
      </c>
      <c r="S66" s="3">
        <v>84749</v>
      </c>
      <c r="T66" s="7">
        <v>87606</v>
      </c>
      <c r="U66" s="3">
        <v>91697</v>
      </c>
      <c r="V66" s="3">
        <v>94631</v>
      </c>
      <c r="W66" s="3">
        <v>97599</v>
      </c>
      <c r="X66" s="7">
        <v>104218</v>
      </c>
      <c r="Y66" s="3">
        <v>106223</v>
      </c>
      <c r="Z66" s="3">
        <v>108363</v>
      </c>
      <c r="AA66" s="3">
        <f t="shared" si="66"/>
        <v>112668</v>
      </c>
      <c r="AB66" s="7">
        <v>117560</v>
      </c>
      <c r="AC66" s="3">
        <v>121208</v>
      </c>
      <c r="AN66" s="3">
        <v>29016</v>
      </c>
      <c r="AO66" s="3">
        <v>34234</v>
      </c>
      <c r="AP66" s="3">
        <v>42383</v>
      </c>
      <c r="AQ66" s="3">
        <v>59719</v>
      </c>
      <c r="AR66" s="3">
        <v>73646</v>
      </c>
      <c r="AS66" s="3">
        <v>84749</v>
      </c>
      <c r="AT66" s="3">
        <v>97599</v>
      </c>
      <c r="AU66" s="3">
        <v>112668</v>
      </c>
    </row>
    <row r="67" spans="2:52" s="3" customFormat="1" x14ac:dyDescent="0.35">
      <c r="B67" s="3" t="s">
        <v>84</v>
      </c>
      <c r="G67" s="3">
        <v>0</v>
      </c>
      <c r="H67" s="7">
        <v>0</v>
      </c>
      <c r="I67" s="3">
        <v>0</v>
      </c>
      <c r="J67" s="3">
        <v>0</v>
      </c>
      <c r="K67" s="3">
        <v>0</v>
      </c>
      <c r="L67" s="7">
        <v>8837</v>
      </c>
      <c r="M67" s="3">
        <v>9713</v>
      </c>
      <c r="N67" s="3">
        <v>10341</v>
      </c>
      <c r="O67" s="3">
        <v>10941</v>
      </c>
      <c r="P67" s="7">
        <v>11219</v>
      </c>
      <c r="Q67" s="3">
        <v>11567</v>
      </c>
      <c r="R67" s="3">
        <v>11946</v>
      </c>
      <c r="S67" s="3">
        <v>12211</v>
      </c>
      <c r="T67" s="7">
        <v>12598</v>
      </c>
      <c r="U67" s="3">
        <v>12978</v>
      </c>
      <c r="V67" s="3">
        <v>12918</v>
      </c>
      <c r="W67" s="3">
        <v>12959</v>
      </c>
      <c r="X67" s="7">
        <v>12992</v>
      </c>
      <c r="Y67" s="3">
        <v>13398</v>
      </c>
      <c r="Z67" s="3">
        <v>13677</v>
      </c>
      <c r="AA67" s="3">
        <f t="shared" si="66"/>
        <v>14381</v>
      </c>
      <c r="AB67" s="7">
        <v>14447</v>
      </c>
      <c r="AC67" s="3">
        <v>14469</v>
      </c>
      <c r="AN67" s="3">
        <v>0</v>
      </c>
      <c r="AO67" s="3">
        <v>0</v>
      </c>
      <c r="AP67" s="3">
        <v>0</v>
      </c>
      <c r="AQ67" s="3">
        <v>0</v>
      </c>
      <c r="AR67" s="3">
        <v>10941</v>
      </c>
      <c r="AS67" s="3">
        <v>12211</v>
      </c>
      <c r="AT67" s="3">
        <v>12959</v>
      </c>
      <c r="AU67" s="3">
        <v>14381</v>
      </c>
    </row>
    <row r="68" spans="2:52" s="3" customFormat="1" x14ac:dyDescent="0.35">
      <c r="B68" s="3" t="s">
        <v>85</v>
      </c>
      <c r="G68" s="3">
        <v>2692</v>
      </c>
      <c r="H68" s="7">
        <v>2809</v>
      </c>
      <c r="I68" s="3">
        <v>2662</v>
      </c>
      <c r="J68" s="3">
        <v>2448</v>
      </c>
      <c r="K68" s="3">
        <v>2220</v>
      </c>
      <c r="L68" s="7">
        <v>2063</v>
      </c>
      <c r="M68" s="3">
        <v>1902</v>
      </c>
      <c r="N68" s="3">
        <v>1747</v>
      </c>
      <c r="O68" s="3">
        <v>1979</v>
      </c>
      <c r="P68" s="7">
        <v>1840</v>
      </c>
      <c r="Q68" s="3">
        <v>1697</v>
      </c>
      <c r="R68" s="3">
        <v>1520</v>
      </c>
      <c r="S68" s="3">
        <v>1445</v>
      </c>
      <c r="T68" s="7">
        <v>1823</v>
      </c>
      <c r="U68" s="3">
        <v>1626</v>
      </c>
      <c r="V68" s="3">
        <v>1549</v>
      </c>
      <c r="W68" s="3">
        <v>1417</v>
      </c>
      <c r="X68" s="7">
        <v>1313</v>
      </c>
      <c r="Y68" s="3">
        <v>1377</v>
      </c>
      <c r="Z68" s="3">
        <v>2192</v>
      </c>
      <c r="AA68" s="3">
        <f t="shared" si="66"/>
        <v>2084</v>
      </c>
      <c r="AB68" s="7">
        <v>1968</v>
      </c>
      <c r="AC68" s="3">
        <v>1966</v>
      </c>
      <c r="AN68" s="3">
        <v>3847</v>
      </c>
      <c r="AO68" s="3">
        <v>3307</v>
      </c>
      <c r="AP68" s="3">
        <v>2692</v>
      </c>
      <c r="AQ68" s="3">
        <v>2220</v>
      </c>
      <c r="AR68" s="3">
        <v>1979</v>
      </c>
      <c r="AS68" s="3">
        <v>1445</v>
      </c>
      <c r="AT68" s="3">
        <v>1417</v>
      </c>
      <c r="AU68" s="3">
        <v>2084</v>
      </c>
    </row>
    <row r="69" spans="2:52" s="3" customFormat="1" x14ac:dyDescent="0.35">
      <c r="B69" s="3" t="s">
        <v>86</v>
      </c>
      <c r="G69" s="3">
        <v>16747</v>
      </c>
      <c r="H69" s="7">
        <v>17862</v>
      </c>
      <c r="I69" s="3">
        <v>17895</v>
      </c>
      <c r="J69" s="3">
        <v>17895</v>
      </c>
      <c r="K69" s="3">
        <v>17888</v>
      </c>
      <c r="L69" s="7">
        <v>17943</v>
      </c>
      <c r="M69" s="3">
        <v>18000</v>
      </c>
      <c r="N69" s="3">
        <v>18069</v>
      </c>
      <c r="O69" s="3">
        <v>20624</v>
      </c>
      <c r="P69" s="7">
        <v>20734</v>
      </c>
      <c r="Q69" s="3">
        <v>20824</v>
      </c>
      <c r="R69" s="3">
        <v>20870</v>
      </c>
      <c r="S69" s="3">
        <v>21175</v>
      </c>
      <c r="T69" s="7">
        <v>22341</v>
      </c>
      <c r="U69" s="3">
        <v>22406</v>
      </c>
      <c r="V69" s="3">
        <v>22623</v>
      </c>
      <c r="W69" s="3">
        <v>22956</v>
      </c>
      <c r="X69" s="7">
        <v>23010</v>
      </c>
      <c r="Y69" s="3">
        <v>23949</v>
      </c>
      <c r="Z69" s="3">
        <v>28834</v>
      </c>
      <c r="AA69" s="3">
        <f t="shared" si="66"/>
        <v>28960</v>
      </c>
      <c r="AB69" s="7">
        <v>28994</v>
      </c>
      <c r="AC69" s="3">
        <v>29210</v>
      </c>
      <c r="AN69" s="3">
        <v>15869</v>
      </c>
      <c r="AO69" s="3">
        <v>16468</v>
      </c>
      <c r="AP69" s="3">
        <v>16747</v>
      </c>
      <c r="AQ69" s="3">
        <v>17888</v>
      </c>
      <c r="AR69" s="3">
        <v>20624</v>
      </c>
      <c r="AS69" s="3">
        <v>21175</v>
      </c>
      <c r="AT69" s="3">
        <v>22956</v>
      </c>
      <c r="AU69" s="3">
        <v>28960</v>
      </c>
    </row>
    <row r="70" spans="2:52" s="17" customFormat="1" x14ac:dyDescent="0.35">
      <c r="B70" s="17" t="s">
        <v>87</v>
      </c>
      <c r="G70" s="17">
        <v>2672</v>
      </c>
      <c r="H70" s="18">
        <v>2004</v>
      </c>
      <c r="I70" s="17">
        <v>3052</v>
      </c>
      <c r="J70" s="17">
        <v>2838</v>
      </c>
      <c r="K70" s="17">
        <v>2693</v>
      </c>
      <c r="L70" s="18">
        <v>2547</v>
      </c>
      <c r="M70" s="17">
        <v>2461</v>
      </c>
      <c r="N70" s="17">
        <v>2225</v>
      </c>
      <c r="O70" s="17">
        <v>2342</v>
      </c>
      <c r="P70" s="18">
        <v>2748</v>
      </c>
      <c r="Q70" s="17">
        <v>2731</v>
      </c>
      <c r="R70" s="17">
        <v>3274</v>
      </c>
      <c r="S70" s="17">
        <v>3953</v>
      </c>
      <c r="T70" s="18">
        <v>4167</v>
      </c>
      <c r="U70" s="17">
        <v>4298</v>
      </c>
      <c r="V70" s="17">
        <v>4276</v>
      </c>
      <c r="W70" s="17">
        <v>5361</v>
      </c>
      <c r="X70" s="18">
        <v>5778</v>
      </c>
      <c r="Y70" s="17">
        <v>5712</v>
      </c>
      <c r="Z70" s="17">
        <v>5670</v>
      </c>
      <c r="AA70" s="3">
        <f t="shared" si="66"/>
        <v>6623</v>
      </c>
      <c r="AB70" s="18">
        <v>6439</v>
      </c>
      <c r="AC70" s="17">
        <v>6822</v>
      </c>
      <c r="AN70" s="17">
        <v>3181</v>
      </c>
      <c r="AO70" s="17">
        <v>1819</v>
      </c>
      <c r="AP70" s="17">
        <v>2672</v>
      </c>
      <c r="AQ70" s="17">
        <v>2693</v>
      </c>
      <c r="AR70" s="17">
        <v>2342</v>
      </c>
      <c r="AS70" s="17">
        <v>3953</v>
      </c>
      <c r="AT70" s="17">
        <v>5361</v>
      </c>
      <c r="AU70" s="17">
        <v>6623</v>
      </c>
    </row>
    <row r="71" spans="2:52" s="49" customFormat="1" x14ac:dyDescent="0.35">
      <c r="B71" s="49" t="s">
        <v>88</v>
      </c>
      <c r="G71" s="49">
        <f t="shared" ref="G71:AE71" si="67">SUM(G64:G70)</f>
        <v>72987</v>
      </c>
      <c r="H71" s="55">
        <f t="shared" si="67"/>
        <v>83174</v>
      </c>
      <c r="I71" s="49">
        <f t="shared" si="67"/>
        <v>87453</v>
      </c>
      <c r="J71" s="49">
        <f t="shared" si="67"/>
        <v>91836</v>
      </c>
      <c r="K71" s="49">
        <f t="shared" si="67"/>
        <v>97116</v>
      </c>
      <c r="L71" s="55">
        <f t="shared" si="67"/>
        <v>107142</v>
      </c>
      <c r="M71" s="49">
        <f t="shared" si="67"/>
        <v>109664</v>
      </c>
      <c r="N71" s="49">
        <f t="shared" si="67"/>
        <v>114686</v>
      </c>
      <c r="O71" s="49">
        <f t="shared" si="67"/>
        <v>123331</v>
      </c>
      <c r="P71" s="55">
        <f t="shared" si="67"/>
        <v>126385</v>
      </c>
      <c r="Q71" s="49">
        <f t="shared" si="67"/>
        <v>129423</v>
      </c>
      <c r="R71" s="49">
        <f t="shared" si="67"/>
        <v>134874</v>
      </c>
      <c r="S71" s="49">
        <f t="shared" si="67"/>
        <v>145320</v>
      </c>
      <c r="T71" s="55">
        <f t="shared" si="67"/>
        <v>154958</v>
      </c>
      <c r="U71" s="49">
        <f t="shared" si="67"/>
        <v>159690</v>
      </c>
      <c r="V71" s="49">
        <f t="shared" si="67"/>
        <v>163293</v>
      </c>
      <c r="W71" s="49">
        <f t="shared" si="67"/>
        <v>171125</v>
      </c>
      <c r="X71" s="55">
        <f t="shared" si="67"/>
        <v>179243</v>
      </c>
      <c r="Y71" s="49">
        <f t="shared" si="67"/>
        <v>182814</v>
      </c>
      <c r="Z71" s="49">
        <f t="shared" si="67"/>
        <v>192146</v>
      </c>
      <c r="AA71" s="49">
        <f t="shared" si="67"/>
        <v>200469</v>
      </c>
      <c r="AB71" s="55">
        <f t="shared" si="67"/>
        <v>207506</v>
      </c>
      <c r="AC71" s="49">
        <f t="shared" si="67"/>
        <v>214256</v>
      </c>
      <c r="AD71" s="49">
        <f t="shared" si="67"/>
        <v>0</v>
      </c>
      <c r="AE71" s="49">
        <f t="shared" si="67"/>
        <v>0</v>
      </c>
      <c r="AN71" s="49">
        <f t="shared" ref="AN71:AU71" si="68">SUM(AN64:AN70)</f>
        <v>57347</v>
      </c>
      <c r="AO71" s="49">
        <f t="shared" si="68"/>
        <v>62089</v>
      </c>
      <c r="AP71" s="49">
        <f t="shared" si="68"/>
        <v>72987</v>
      </c>
      <c r="AQ71" s="49">
        <f t="shared" si="68"/>
        <v>97116</v>
      </c>
      <c r="AR71" s="49">
        <f t="shared" si="68"/>
        <v>123331</v>
      </c>
      <c r="AS71" s="49">
        <f t="shared" si="68"/>
        <v>145320</v>
      </c>
      <c r="AT71" s="49">
        <f t="shared" si="68"/>
        <v>171125</v>
      </c>
      <c r="AU71" s="49">
        <f t="shared" si="68"/>
        <v>200469</v>
      </c>
      <c r="AV71" s="49">
        <f t="shared" ref="AV71" si="69">SUM(AV64:AV70)</f>
        <v>0</v>
      </c>
      <c r="AW71" s="49">
        <f t="shared" ref="AW71" si="70">SUM(AW64:AW70)</f>
        <v>0</v>
      </c>
      <c r="AX71" s="49">
        <f t="shared" ref="AX71" si="71">SUM(AX64:AX70)</f>
        <v>0</v>
      </c>
      <c r="AY71" s="49">
        <f t="shared" ref="AY71" si="72">SUM(AY64:AY70)</f>
        <v>0</v>
      </c>
      <c r="AZ71" s="49">
        <f t="shared" ref="AZ71" si="73">SUM(AZ64:AZ70)</f>
        <v>0</v>
      </c>
    </row>
    <row r="72" spans="2:52" s="11" customFormat="1" x14ac:dyDescent="0.35">
      <c r="B72" s="11" t="s">
        <v>89</v>
      </c>
      <c r="C72" s="11">
        <f>SUM(C62:C70)</f>
        <v>0</v>
      </c>
      <c r="D72" s="11">
        <f>SUM(D62:D70)</f>
        <v>0</v>
      </c>
      <c r="E72" s="11">
        <f>SUM(E62:E70)</f>
        <v>0</v>
      </c>
      <c r="F72" s="11">
        <f>SUM(F62:F70)</f>
        <v>0</v>
      </c>
      <c r="G72" s="11">
        <f t="shared" ref="G72:AE72" si="74">G71+G62</f>
        <v>197295</v>
      </c>
      <c r="H72" s="56">
        <f t="shared" si="74"/>
        <v>206935</v>
      </c>
      <c r="I72" s="11">
        <f t="shared" si="74"/>
        <v>211610</v>
      </c>
      <c r="J72" s="11">
        <f t="shared" si="74"/>
        <v>221538</v>
      </c>
      <c r="K72" s="11">
        <f t="shared" si="74"/>
        <v>232792</v>
      </c>
      <c r="L72" s="56">
        <f t="shared" si="74"/>
        <v>245349</v>
      </c>
      <c r="M72" s="11">
        <f t="shared" si="74"/>
        <v>257101</v>
      </c>
      <c r="N72" s="11">
        <f t="shared" si="74"/>
        <v>263044</v>
      </c>
      <c r="O72" s="11">
        <f t="shared" si="74"/>
        <v>275909</v>
      </c>
      <c r="P72" s="56">
        <f t="shared" si="74"/>
        <v>273403</v>
      </c>
      <c r="Q72" s="11">
        <f t="shared" si="74"/>
        <v>278492</v>
      </c>
      <c r="R72" s="11">
        <f t="shared" si="74"/>
        <v>299243</v>
      </c>
      <c r="S72" s="11">
        <f t="shared" si="74"/>
        <v>319616</v>
      </c>
      <c r="T72" s="56">
        <f t="shared" si="74"/>
        <v>303095</v>
      </c>
      <c r="U72" s="11">
        <f t="shared" si="74"/>
        <v>335387</v>
      </c>
      <c r="V72" s="11">
        <f t="shared" si="74"/>
        <v>347403</v>
      </c>
      <c r="W72" s="11">
        <f t="shared" si="74"/>
        <v>359268</v>
      </c>
      <c r="X72" s="56">
        <f t="shared" si="74"/>
        <v>357096</v>
      </c>
      <c r="Y72" s="11">
        <f t="shared" si="74"/>
        <v>355185</v>
      </c>
      <c r="Z72" s="11">
        <f t="shared" si="74"/>
        <v>358255</v>
      </c>
      <c r="AA72" s="11">
        <f t="shared" si="74"/>
        <v>365264</v>
      </c>
      <c r="AB72" s="56">
        <f t="shared" si="74"/>
        <v>369491</v>
      </c>
      <c r="AC72" s="11">
        <f t="shared" si="74"/>
        <v>383044</v>
      </c>
      <c r="AD72" s="11">
        <f t="shared" si="74"/>
        <v>0</v>
      </c>
      <c r="AE72" s="11">
        <f t="shared" si="74"/>
        <v>0</v>
      </c>
      <c r="AN72" s="11">
        <f t="shared" ref="AN72:AU72" si="75">AN71+AN62</f>
        <v>147461</v>
      </c>
      <c r="AO72" s="11">
        <f t="shared" si="75"/>
        <v>167497</v>
      </c>
      <c r="AP72" s="11">
        <f t="shared" si="75"/>
        <v>197295</v>
      </c>
      <c r="AQ72" s="11">
        <f t="shared" si="75"/>
        <v>232792</v>
      </c>
      <c r="AR72" s="11">
        <f t="shared" si="75"/>
        <v>275909</v>
      </c>
      <c r="AS72" s="11">
        <f t="shared" si="75"/>
        <v>319616</v>
      </c>
      <c r="AT72" s="11">
        <f t="shared" si="75"/>
        <v>359268</v>
      </c>
      <c r="AU72" s="11">
        <f t="shared" si="75"/>
        <v>365264</v>
      </c>
      <c r="AV72" s="11">
        <f t="shared" ref="AV72" si="76">AV71+AV62</f>
        <v>0</v>
      </c>
      <c r="AW72" s="11">
        <f t="shared" ref="AW72" si="77">AW71+AW62</f>
        <v>0</v>
      </c>
      <c r="AX72" s="11">
        <f t="shared" ref="AX72" si="78">AX71+AX62</f>
        <v>0</v>
      </c>
      <c r="AY72" s="11">
        <f t="shared" ref="AY72" si="79">AY71+AY62</f>
        <v>0</v>
      </c>
      <c r="AZ72" s="11">
        <f t="shared" ref="AZ72" si="80">AZ71+AZ62</f>
        <v>0</v>
      </c>
    </row>
    <row r="73" spans="2:52" s="48" customFormat="1" x14ac:dyDescent="0.35">
      <c r="B73" s="48" t="s">
        <v>90</v>
      </c>
      <c r="H73" s="47"/>
      <c r="L73" s="47"/>
      <c r="P73" s="47"/>
      <c r="T73" s="47"/>
      <c r="X73" s="47"/>
      <c r="AB73" s="47"/>
    </row>
    <row r="74" spans="2:52" s="3" customFormat="1" x14ac:dyDescent="0.35">
      <c r="B74" s="3" t="s">
        <v>91</v>
      </c>
      <c r="G74" s="3">
        <v>3137</v>
      </c>
      <c r="H74" s="7">
        <v>3526</v>
      </c>
      <c r="I74" s="3">
        <v>3369</v>
      </c>
      <c r="J74" s="3">
        <v>3789</v>
      </c>
      <c r="K74" s="3">
        <v>4378</v>
      </c>
      <c r="L74" s="7">
        <v>3710</v>
      </c>
      <c r="M74" s="3">
        <v>3925</v>
      </c>
      <c r="N74" s="3">
        <v>4142</v>
      </c>
      <c r="O74" s="3">
        <v>5561</v>
      </c>
      <c r="P74" s="7">
        <v>4099</v>
      </c>
      <c r="Q74" s="3">
        <v>4064</v>
      </c>
      <c r="R74" s="3">
        <v>4391</v>
      </c>
      <c r="S74" s="3">
        <v>5589</v>
      </c>
      <c r="T74" s="7">
        <v>4801</v>
      </c>
      <c r="U74" s="3">
        <v>4708</v>
      </c>
      <c r="V74" s="3">
        <v>4616</v>
      </c>
      <c r="W74" s="3">
        <v>6037</v>
      </c>
      <c r="X74" s="7">
        <v>3436</v>
      </c>
      <c r="Y74" s="3">
        <v>4409</v>
      </c>
      <c r="Z74" s="3">
        <v>6303</v>
      </c>
      <c r="AA74" s="3">
        <f>AU74</f>
        <v>5128</v>
      </c>
      <c r="AB74" s="7">
        <v>4184</v>
      </c>
      <c r="AC74" s="3">
        <v>5313</v>
      </c>
      <c r="AN74" s="3">
        <v>1931</v>
      </c>
      <c r="AO74" s="3">
        <v>2041</v>
      </c>
      <c r="AP74" s="3">
        <v>3137</v>
      </c>
      <c r="AQ74" s="3">
        <v>4378</v>
      </c>
      <c r="AR74" s="3">
        <v>5561</v>
      </c>
      <c r="AS74" s="3">
        <v>5589</v>
      </c>
      <c r="AT74" s="3">
        <v>6037</v>
      </c>
      <c r="AU74" s="3">
        <v>5128</v>
      </c>
    </row>
    <row r="75" spans="2:52" s="3" customFormat="1" x14ac:dyDescent="0.35">
      <c r="B75" s="3" t="s">
        <v>92</v>
      </c>
      <c r="G75" s="3">
        <v>0</v>
      </c>
      <c r="H75" s="7">
        <v>1329</v>
      </c>
      <c r="I75" s="3">
        <v>0</v>
      </c>
      <c r="J75" s="3">
        <v>0</v>
      </c>
      <c r="L75" s="7">
        <v>0</v>
      </c>
      <c r="M75" s="3">
        <v>0</v>
      </c>
      <c r="N75" s="3">
        <v>0</v>
      </c>
      <c r="O75" s="3">
        <v>0</v>
      </c>
      <c r="P75" s="7">
        <v>0</v>
      </c>
      <c r="Q75" s="3">
        <v>0</v>
      </c>
      <c r="R75" s="3">
        <v>0</v>
      </c>
      <c r="S75" s="3">
        <v>0</v>
      </c>
      <c r="T75" s="7">
        <v>0</v>
      </c>
      <c r="U75" s="3">
        <v>0</v>
      </c>
      <c r="V75" s="3">
        <v>0</v>
      </c>
      <c r="W75" s="3">
        <v>0</v>
      </c>
      <c r="X75" s="7">
        <v>0</v>
      </c>
      <c r="Y75" s="3">
        <v>0</v>
      </c>
      <c r="Z75" s="3">
        <v>0</v>
      </c>
      <c r="AA75" s="3">
        <v>0</v>
      </c>
      <c r="AB75" s="7">
        <v>0</v>
      </c>
      <c r="AC75" s="3">
        <v>0</v>
      </c>
      <c r="AN75" s="3">
        <v>3225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</row>
    <row r="76" spans="2:52" s="3" customFormat="1" x14ac:dyDescent="0.35">
      <c r="B76" s="3" t="s">
        <v>93</v>
      </c>
      <c r="G76" s="3">
        <v>4581</v>
      </c>
      <c r="H76" s="7">
        <v>3812</v>
      </c>
      <c r="I76" s="3">
        <v>4642</v>
      </c>
      <c r="J76" s="3">
        <v>5946</v>
      </c>
      <c r="K76" s="3">
        <v>6839</v>
      </c>
      <c r="L76" s="7">
        <v>5072</v>
      </c>
      <c r="M76" s="3">
        <v>6432</v>
      </c>
      <c r="N76" s="3">
        <v>7399</v>
      </c>
      <c r="O76" s="3">
        <v>8495</v>
      </c>
      <c r="P76" s="7">
        <v>5656</v>
      </c>
      <c r="Q76" s="3">
        <v>7127</v>
      </c>
      <c r="R76" s="3">
        <v>8747</v>
      </c>
      <c r="S76" s="3">
        <v>11086</v>
      </c>
      <c r="T76" s="7">
        <v>8375</v>
      </c>
      <c r="U76" s="3">
        <v>10088</v>
      </c>
      <c r="V76" s="3">
        <v>12170</v>
      </c>
      <c r="W76" s="3">
        <v>13889</v>
      </c>
      <c r="X76" s="7">
        <v>9803</v>
      </c>
      <c r="Y76" s="3">
        <v>10852</v>
      </c>
      <c r="Z76" s="3">
        <v>12366</v>
      </c>
      <c r="AA76" s="3">
        <f>AU76</f>
        <v>14028</v>
      </c>
      <c r="AB76" s="7">
        <v>9954</v>
      </c>
      <c r="AC76" s="3">
        <v>11260</v>
      </c>
      <c r="AN76" s="3">
        <v>3539</v>
      </c>
      <c r="AO76" s="3">
        <v>3976</v>
      </c>
      <c r="AP76" s="3">
        <v>4581</v>
      </c>
      <c r="AQ76" s="3">
        <v>6839</v>
      </c>
      <c r="AR76" s="3">
        <v>8495</v>
      </c>
      <c r="AS76" s="3">
        <v>11086</v>
      </c>
      <c r="AT76" s="3">
        <v>13889</v>
      </c>
      <c r="AU76" s="3">
        <v>14028</v>
      </c>
    </row>
    <row r="77" spans="2:52" s="3" customFormat="1" x14ac:dyDescent="0.35">
      <c r="B77" s="3" t="s">
        <v>94</v>
      </c>
      <c r="G77" s="3">
        <v>10177</v>
      </c>
      <c r="H77" s="7">
        <v>10065</v>
      </c>
      <c r="I77" s="3">
        <v>15261</v>
      </c>
      <c r="J77" s="3">
        <v>15936</v>
      </c>
      <c r="K77" s="3">
        <v>16958</v>
      </c>
      <c r="L77" s="7">
        <v>19382</v>
      </c>
      <c r="M77" s="3">
        <v>19823</v>
      </c>
      <c r="N77" s="3">
        <v>21038</v>
      </c>
      <c r="O77" s="3">
        <v>23067</v>
      </c>
      <c r="P77" s="7">
        <v>22601</v>
      </c>
      <c r="Q77" s="3">
        <v>24426</v>
      </c>
      <c r="R77" s="3">
        <v>25631</v>
      </c>
      <c r="S77" s="3">
        <v>28631</v>
      </c>
      <c r="T77" s="7">
        <v>30732</v>
      </c>
      <c r="U77" s="3">
        <v>28981</v>
      </c>
      <c r="V77" s="3">
        <v>30113</v>
      </c>
      <c r="W77" s="3">
        <v>31236</v>
      </c>
      <c r="X77" s="7">
        <v>33051</v>
      </c>
      <c r="Y77" s="3">
        <v>32976</v>
      </c>
      <c r="Z77" s="3">
        <v>35038</v>
      </c>
      <c r="AA77" s="3">
        <f>AU77</f>
        <v>37886</v>
      </c>
      <c r="AB77" s="7">
        <v>43185</v>
      </c>
      <c r="AC77" s="3">
        <v>49300</v>
      </c>
      <c r="AN77" s="3">
        <v>4768</v>
      </c>
      <c r="AO77" s="3">
        <v>6144</v>
      </c>
      <c r="AP77" s="3">
        <v>10177</v>
      </c>
      <c r="AQ77" s="3">
        <v>16958</v>
      </c>
      <c r="AR77" s="3">
        <v>23067</v>
      </c>
      <c r="AS77" s="3">
        <v>28631</v>
      </c>
      <c r="AT77" s="3">
        <v>31236</v>
      </c>
      <c r="AU77" s="3">
        <v>37886</v>
      </c>
    </row>
    <row r="78" spans="2:52" s="3" customFormat="1" x14ac:dyDescent="0.35">
      <c r="B78" s="3" t="s">
        <v>95</v>
      </c>
      <c r="G78" s="3">
        <v>3975</v>
      </c>
      <c r="H78" s="7">
        <v>3723</v>
      </c>
      <c r="I78" s="3">
        <v>3728</v>
      </c>
      <c r="J78" s="3">
        <v>3878</v>
      </c>
      <c r="K78" s="3">
        <v>4592</v>
      </c>
      <c r="L78" s="7">
        <v>4318</v>
      </c>
      <c r="M78" s="3">
        <v>4567</v>
      </c>
      <c r="N78" s="3">
        <v>4835</v>
      </c>
      <c r="O78" s="3">
        <v>5916</v>
      </c>
      <c r="P78" s="7">
        <v>4982</v>
      </c>
      <c r="Q78" s="3">
        <v>5005</v>
      </c>
      <c r="R78" s="3">
        <v>6030</v>
      </c>
      <c r="S78" s="3">
        <v>7500</v>
      </c>
      <c r="T78" s="7">
        <v>6962</v>
      </c>
      <c r="U78" s="3">
        <v>7438</v>
      </c>
      <c r="V78" s="3">
        <v>7745</v>
      </c>
      <c r="W78" s="3">
        <v>8996</v>
      </c>
      <c r="X78" s="7">
        <v>8116</v>
      </c>
      <c r="Y78" s="3">
        <v>7889</v>
      </c>
      <c r="Z78" s="3">
        <v>7662</v>
      </c>
      <c r="AA78" s="3">
        <f>AU78</f>
        <v>8370</v>
      </c>
      <c r="AB78" s="7">
        <v>7816</v>
      </c>
      <c r="AC78" s="3">
        <v>7990</v>
      </c>
      <c r="AN78" s="3">
        <v>2329</v>
      </c>
      <c r="AO78" s="3">
        <v>2942</v>
      </c>
      <c r="AP78" s="3">
        <v>3975</v>
      </c>
      <c r="AQ78" s="3">
        <v>4592</v>
      </c>
      <c r="AR78" s="3">
        <v>5916</v>
      </c>
      <c r="AS78" s="3">
        <v>7500</v>
      </c>
      <c r="AT78" s="3">
        <v>8996</v>
      </c>
      <c r="AU78" s="3">
        <v>8370</v>
      </c>
    </row>
    <row r="79" spans="2:52" s="3" customFormat="1" x14ac:dyDescent="0.35">
      <c r="B79" s="3" t="s">
        <v>96</v>
      </c>
      <c r="G79" s="3">
        <v>0</v>
      </c>
      <c r="H79" s="7">
        <v>0</v>
      </c>
      <c r="I79" s="3">
        <v>0</v>
      </c>
      <c r="J79" s="3">
        <v>0</v>
      </c>
      <c r="L79" s="7">
        <v>0</v>
      </c>
      <c r="M79" s="3">
        <v>0</v>
      </c>
      <c r="N79" s="3">
        <v>0</v>
      </c>
      <c r="O79" s="3">
        <v>0</v>
      </c>
      <c r="P79" s="7">
        <v>0</v>
      </c>
      <c r="Q79" s="3">
        <v>0</v>
      </c>
      <c r="R79" s="3">
        <v>0</v>
      </c>
      <c r="S79" s="3">
        <v>0</v>
      </c>
      <c r="T79" s="7">
        <v>0</v>
      </c>
      <c r="U79" s="3">
        <v>0</v>
      </c>
      <c r="V79" s="3">
        <v>0</v>
      </c>
      <c r="W79" s="3">
        <v>0</v>
      </c>
      <c r="X79" s="7">
        <v>0</v>
      </c>
      <c r="Y79" s="3">
        <v>0</v>
      </c>
      <c r="Z79" s="3">
        <v>0</v>
      </c>
      <c r="AA79" s="3">
        <v>0</v>
      </c>
      <c r="AB79" s="7">
        <v>0</v>
      </c>
      <c r="AC79" s="3">
        <v>0</v>
      </c>
      <c r="AN79" s="3">
        <v>2428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</row>
    <row r="80" spans="2:52" s="3" customFormat="1" x14ac:dyDescent="0.35">
      <c r="B80" s="3" t="s">
        <v>97</v>
      </c>
      <c r="G80" s="3">
        <v>1432</v>
      </c>
      <c r="H80" s="7">
        <v>1596</v>
      </c>
      <c r="I80" s="3">
        <v>1714</v>
      </c>
      <c r="J80" s="3">
        <v>1752</v>
      </c>
      <c r="K80" s="3">
        <v>1784</v>
      </c>
      <c r="L80" s="7">
        <v>1667</v>
      </c>
      <c r="M80" s="3">
        <v>1717</v>
      </c>
      <c r="N80" s="3">
        <v>1679</v>
      </c>
      <c r="O80" s="3">
        <v>1908</v>
      </c>
      <c r="P80" s="7">
        <v>1938</v>
      </c>
      <c r="Q80" s="3">
        <v>2061</v>
      </c>
      <c r="R80" s="3">
        <v>2302</v>
      </c>
      <c r="S80" s="3">
        <v>2543</v>
      </c>
      <c r="T80" s="7">
        <v>2690</v>
      </c>
      <c r="U80" s="3">
        <v>2715</v>
      </c>
      <c r="V80" s="3">
        <v>2968</v>
      </c>
      <c r="W80" s="3">
        <v>3288</v>
      </c>
      <c r="X80" s="7">
        <v>3198</v>
      </c>
      <c r="Y80" s="3">
        <v>3272</v>
      </c>
      <c r="Z80" s="3">
        <v>3585</v>
      </c>
      <c r="AA80" s="3">
        <f>AU80</f>
        <v>3908</v>
      </c>
      <c r="AB80" s="7">
        <v>3715</v>
      </c>
      <c r="AC80" s="3">
        <v>3846</v>
      </c>
      <c r="AN80" s="3">
        <v>788</v>
      </c>
      <c r="AO80" s="3">
        <v>1099</v>
      </c>
      <c r="AP80" s="3">
        <v>1432</v>
      </c>
      <c r="AQ80" s="3">
        <v>1784</v>
      </c>
      <c r="AR80" s="3">
        <v>1908</v>
      </c>
      <c r="AS80" s="3">
        <v>2543</v>
      </c>
      <c r="AT80" s="3">
        <v>3288</v>
      </c>
      <c r="AU80" s="3">
        <v>3908</v>
      </c>
    </row>
    <row r="81" spans="2:52" s="17" customFormat="1" x14ac:dyDescent="0.35">
      <c r="B81" s="17" t="s">
        <v>98</v>
      </c>
      <c r="G81" s="17">
        <v>881</v>
      </c>
      <c r="H81" s="18">
        <v>1343</v>
      </c>
      <c r="I81" s="17">
        <v>1189</v>
      </c>
      <c r="J81" s="17">
        <v>0</v>
      </c>
      <c r="K81" s="17">
        <v>69</v>
      </c>
      <c r="L81" s="18">
        <v>761</v>
      </c>
      <c r="M81" s="17">
        <v>536</v>
      </c>
      <c r="N81" s="17">
        <v>131</v>
      </c>
      <c r="O81" s="17">
        <v>274</v>
      </c>
      <c r="P81" s="18">
        <v>913</v>
      </c>
      <c r="Q81" s="17">
        <v>975</v>
      </c>
      <c r="R81" s="17">
        <v>1099</v>
      </c>
      <c r="S81" s="17">
        <v>1485</v>
      </c>
      <c r="T81" s="18">
        <v>1893</v>
      </c>
      <c r="U81" s="17">
        <v>1811</v>
      </c>
      <c r="V81" s="17">
        <v>4170</v>
      </c>
      <c r="W81" s="17">
        <v>808</v>
      </c>
      <c r="X81" s="18">
        <v>4344</v>
      </c>
      <c r="Y81" s="17">
        <v>1956</v>
      </c>
      <c r="Z81" s="17">
        <v>1025</v>
      </c>
      <c r="AA81" s="17">
        <f>AU81</f>
        <v>0</v>
      </c>
      <c r="AB81" s="18">
        <v>0</v>
      </c>
      <c r="AC81" s="17">
        <v>0</v>
      </c>
      <c r="AN81" s="17">
        <v>302</v>
      </c>
      <c r="AO81" s="17">
        <v>554</v>
      </c>
      <c r="AP81" s="17">
        <v>881</v>
      </c>
      <c r="AQ81" s="17">
        <v>69</v>
      </c>
      <c r="AR81" s="17">
        <v>274</v>
      </c>
      <c r="AS81" s="17">
        <v>1485</v>
      </c>
      <c r="AT81" s="17">
        <v>808</v>
      </c>
      <c r="AU81" s="17">
        <v>0</v>
      </c>
    </row>
    <row r="82" spans="2:52" s="11" customFormat="1" x14ac:dyDescent="0.35">
      <c r="B82" s="11" t="s">
        <v>99</v>
      </c>
      <c r="C82" s="11">
        <f t="shared" ref="C82:AC82" si="81">SUM(C74:C81)</f>
        <v>0</v>
      </c>
      <c r="D82" s="11">
        <f t="shared" si="81"/>
        <v>0</v>
      </c>
      <c r="E82" s="11">
        <f t="shared" si="81"/>
        <v>0</v>
      </c>
      <c r="F82" s="11">
        <f t="shared" si="81"/>
        <v>0</v>
      </c>
      <c r="G82" s="11">
        <f t="shared" si="81"/>
        <v>24183</v>
      </c>
      <c r="H82" s="56">
        <f t="shared" si="81"/>
        <v>25394</v>
      </c>
      <c r="I82" s="11">
        <f t="shared" si="81"/>
        <v>29903</v>
      </c>
      <c r="J82" s="11">
        <f t="shared" si="81"/>
        <v>31301</v>
      </c>
      <c r="K82" s="11">
        <f t="shared" si="81"/>
        <v>34620</v>
      </c>
      <c r="L82" s="56">
        <f t="shared" si="81"/>
        <v>34910</v>
      </c>
      <c r="M82" s="11">
        <f t="shared" si="81"/>
        <v>37000</v>
      </c>
      <c r="N82" s="11">
        <f t="shared" si="81"/>
        <v>39224</v>
      </c>
      <c r="O82" s="11">
        <f t="shared" si="81"/>
        <v>45221</v>
      </c>
      <c r="P82" s="56">
        <f t="shared" si="81"/>
        <v>40189</v>
      </c>
      <c r="Q82" s="11">
        <f t="shared" si="81"/>
        <v>43658</v>
      </c>
      <c r="R82" s="11">
        <f t="shared" si="81"/>
        <v>48200</v>
      </c>
      <c r="S82" s="11">
        <f t="shared" si="81"/>
        <v>56834</v>
      </c>
      <c r="T82" s="56">
        <f t="shared" si="81"/>
        <v>55453</v>
      </c>
      <c r="U82" s="11">
        <f t="shared" si="81"/>
        <v>55741</v>
      </c>
      <c r="V82" s="11">
        <f t="shared" si="81"/>
        <v>61782</v>
      </c>
      <c r="W82" s="11">
        <f t="shared" si="81"/>
        <v>64254</v>
      </c>
      <c r="X82" s="56">
        <f t="shared" si="81"/>
        <v>61948</v>
      </c>
      <c r="Y82" s="11">
        <f t="shared" si="81"/>
        <v>61354</v>
      </c>
      <c r="Z82" s="11">
        <f t="shared" si="81"/>
        <v>65979</v>
      </c>
      <c r="AA82" s="11">
        <f t="shared" si="81"/>
        <v>69320</v>
      </c>
      <c r="AB82" s="56">
        <f>SUM(AB74:AB81)</f>
        <v>68854</v>
      </c>
      <c r="AC82" s="11">
        <f t="shared" si="81"/>
        <v>77709</v>
      </c>
      <c r="AN82" s="11">
        <f t="shared" ref="AN82:AU82" si="82">SUM(AN74:AN81)</f>
        <v>19310</v>
      </c>
      <c r="AO82" s="11">
        <f t="shared" si="82"/>
        <v>16756</v>
      </c>
      <c r="AP82" s="11">
        <f t="shared" si="82"/>
        <v>24183</v>
      </c>
      <c r="AQ82" s="11">
        <f t="shared" si="82"/>
        <v>34620</v>
      </c>
      <c r="AR82" s="11">
        <f t="shared" si="82"/>
        <v>45221</v>
      </c>
      <c r="AS82" s="11">
        <f t="shared" si="82"/>
        <v>56834</v>
      </c>
      <c r="AT82" s="11">
        <f t="shared" si="82"/>
        <v>64254</v>
      </c>
      <c r="AU82" s="11">
        <f t="shared" si="82"/>
        <v>69320</v>
      </c>
      <c r="AV82" s="11">
        <f t="shared" ref="AV82" si="83">SUM(AV74:AV81)</f>
        <v>0</v>
      </c>
      <c r="AW82" s="11">
        <f t="shared" ref="AW82" si="84">SUM(AW74:AW81)</f>
        <v>0</v>
      </c>
      <c r="AX82" s="11">
        <f t="shared" ref="AX82" si="85">SUM(AX74:AX81)</f>
        <v>0</v>
      </c>
      <c r="AY82" s="11">
        <f t="shared" ref="AY82" si="86">SUM(AY74:AY81)</f>
        <v>0</v>
      </c>
      <c r="AZ82" s="11">
        <f t="shared" ref="AZ82" si="87">SUM(AZ74:AZ81)</f>
        <v>0</v>
      </c>
    </row>
    <row r="83" spans="2:52" s="48" customFormat="1" x14ac:dyDescent="0.35">
      <c r="B83" s="48" t="s">
        <v>100</v>
      </c>
      <c r="H83" s="47"/>
      <c r="L83" s="47"/>
      <c r="P83" s="47"/>
      <c r="T83" s="47"/>
      <c r="X83" s="47"/>
      <c r="AB83" s="47"/>
    </row>
    <row r="84" spans="2:52" s="3" customFormat="1" x14ac:dyDescent="0.35">
      <c r="B84" s="3" t="s">
        <v>101</v>
      </c>
      <c r="G84" s="3">
        <v>3969</v>
      </c>
      <c r="H84" s="7">
        <v>3973</v>
      </c>
      <c r="I84" s="3">
        <v>3981</v>
      </c>
      <c r="J84" s="3">
        <v>3986</v>
      </c>
      <c r="K84" s="3">
        <v>4012</v>
      </c>
      <c r="L84" s="7">
        <v>4066</v>
      </c>
      <c r="M84" s="3">
        <v>4074</v>
      </c>
      <c r="N84" s="3">
        <v>4082</v>
      </c>
      <c r="O84" s="3">
        <v>4554</v>
      </c>
      <c r="P84" s="7">
        <v>5016</v>
      </c>
      <c r="Q84" s="3">
        <v>4018</v>
      </c>
      <c r="R84" s="3">
        <v>13902</v>
      </c>
      <c r="S84" s="3">
        <v>13932</v>
      </c>
      <c r="T84" s="7">
        <v>13887</v>
      </c>
      <c r="U84" s="3">
        <v>14328</v>
      </c>
      <c r="V84" s="3">
        <v>14288</v>
      </c>
      <c r="W84" s="3">
        <v>14817</v>
      </c>
      <c r="X84" s="7">
        <v>14791</v>
      </c>
      <c r="Y84" s="3">
        <v>14734</v>
      </c>
      <c r="Z84" s="3">
        <v>14653</v>
      </c>
      <c r="AA84" s="3">
        <f t="shared" ref="AA84:AA89" si="88">AU84</f>
        <v>14701</v>
      </c>
      <c r="AB84" s="7">
        <v>13697</v>
      </c>
      <c r="AC84" s="3">
        <v>13705</v>
      </c>
      <c r="AN84" s="3">
        <v>1995</v>
      </c>
      <c r="AO84" s="3">
        <v>3935</v>
      </c>
      <c r="AP84" s="3">
        <v>3969</v>
      </c>
      <c r="AQ84" s="3">
        <v>4012</v>
      </c>
      <c r="AR84" s="3">
        <v>4554</v>
      </c>
      <c r="AS84" s="3">
        <v>13932</v>
      </c>
      <c r="AT84" s="3">
        <v>14817</v>
      </c>
      <c r="AU84" s="3">
        <v>14701</v>
      </c>
    </row>
    <row r="85" spans="2:52" s="3" customFormat="1" x14ac:dyDescent="0.35">
      <c r="B85" s="3" t="s">
        <v>97</v>
      </c>
      <c r="G85" s="3">
        <v>340</v>
      </c>
      <c r="H85" s="7">
        <v>315</v>
      </c>
      <c r="I85" s="3">
        <v>358</v>
      </c>
      <c r="J85" s="3">
        <v>317</v>
      </c>
      <c r="K85" s="3">
        <v>396</v>
      </c>
      <c r="L85" s="7">
        <v>391</v>
      </c>
      <c r="M85" s="3">
        <v>387</v>
      </c>
      <c r="N85" s="3">
        <v>364</v>
      </c>
      <c r="O85" s="3">
        <v>358</v>
      </c>
      <c r="P85" s="7">
        <v>350</v>
      </c>
      <c r="Q85" s="3">
        <v>397</v>
      </c>
      <c r="R85" s="3">
        <v>454</v>
      </c>
      <c r="S85" s="3">
        <v>481</v>
      </c>
      <c r="T85" s="7">
        <v>530</v>
      </c>
      <c r="U85" s="3">
        <v>510</v>
      </c>
      <c r="V85" s="3">
        <v>510</v>
      </c>
      <c r="W85" s="3">
        <v>535</v>
      </c>
      <c r="X85" s="7">
        <v>499</v>
      </c>
      <c r="Y85" s="3">
        <v>472</v>
      </c>
      <c r="Z85" s="3">
        <v>594</v>
      </c>
      <c r="AA85" s="3">
        <f t="shared" si="88"/>
        <v>599</v>
      </c>
      <c r="AB85" s="7">
        <v>610</v>
      </c>
      <c r="AC85" s="3">
        <v>667</v>
      </c>
      <c r="AN85" s="3">
        <v>151</v>
      </c>
      <c r="AO85" s="3">
        <v>202</v>
      </c>
      <c r="AP85" s="3">
        <v>340</v>
      </c>
      <c r="AQ85" s="3">
        <v>396</v>
      </c>
      <c r="AR85" s="3">
        <v>358</v>
      </c>
      <c r="AS85" s="3">
        <v>481</v>
      </c>
      <c r="AT85" s="3">
        <v>535</v>
      </c>
      <c r="AU85" s="3">
        <v>599</v>
      </c>
    </row>
    <row r="86" spans="2:52" s="3" customFormat="1" x14ac:dyDescent="0.35">
      <c r="B86" s="3" t="s">
        <v>102</v>
      </c>
      <c r="G86" s="3">
        <v>12812</v>
      </c>
      <c r="H86" s="7">
        <v>12885</v>
      </c>
      <c r="I86" s="3">
        <v>11652</v>
      </c>
      <c r="J86" s="3">
        <v>11562</v>
      </c>
      <c r="K86" s="3">
        <v>11327</v>
      </c>
      <c r="L86" s="7">
        <v>11605</v>
      </c>
      <c r="M86" s="3">
        <v>10969</v>
      </c>
      <c r="N86" s="3">
        <v>11355</v>
      </c>
      <c r="O86" s="3">
        <v>9885</v>
      </c>
      <c r="P86" s="7">
        <v>9207</v>
      </c>
      <c r="Q86" s="3">
        <v>8599</v>
      </c>
      <c r="R86" s="3">
        <v>8616</v>
      </c>
      <c r="S86" s="3">
        <v>8849</v>
      </c>
      <c r="T86" s="7">
        <v>9278</v>
      </c>
      <c r="U86" s="3">
        <v>8651</v>
      </c>
      <c r="V86" s="3">
        <v>8984</v>
      </c>
      <c r="W86" s="3">
        <v>9176</v>
      </c>
      <c r="X86" s="7">
        <v>9406</v>
      </c>
      <c r="Y86" s="3">
        <v>8163</v>
      </c>
      <c r="Z86" s="3">
        <v>8572</v>
      </c>
      <c r="AA86" s="3">
        <f t="shared" si="88"/>
        <v>9258</v>
      </c>
      <c r="AB86" s="7">
        <v>9722</v>
      </c>
      <c r="AC86" s="3">
        <v>8753</v>
      </c>
      <c r="AN86" s="3">
        <v>3663</v>
      </c>
      <c r="AO86" s="3">
        <v>4677</v>
      </c>
      <c r="AP86" s="3">
        <v>12812</v>
      </c>
      <c r="AQ86" s="3">
        <v>11327</v>
      </c>
      <c r="AR86" s="3">
        <v>9885</v>
      </c>
      <c r="AS86" s="3">
        <v>8849</v>
      </c>
      <c r="AT86" s="3">
        <v>9176</v>
      </c>
      <c r="AU86" s="3">
        <v>9258</v>
      </c>
    </row>
    <row r="87" spans="2:52" s="3" customFormat="1" x14ac:dyDescent="0.35">
      <c r="B87" s="3" t="s">
        <v>82</v>
      </c>
      <c r="G87" s="3">
        <v>430</v>
      </c>
      <c r="H87" s="7">
        <v>394</v>
      </c>
      <c r="I87" s="3">
        <v>479</v>
      </c>
      <c r="J87" s="3">
        <v>1318</v>
      </c>
      <c r="K87" s="3">
        <v>1264</v>
      </c>
      <c r="L87" s="7">
        <v>1282</v>
      </c>
      <c r="M87" s="3">
        <v>1892</v>
      </c>
      <c r="N87" s="3">
        <v>1747</v>
      </c>
      <c r="O87" s="3">
        <v>1701</v>
      </c>
      <c r="P87" s="7">
        <v>2079</v>
      </c>
      <c r="Q87" s="3">
        <v>1797</v>
      </c>
      <c r="R87" s="3">
        <v>1973</v>
      </c>
      <c r="S87" s="3">
        <v>3561</v>
      </c>
      <c r="T87" s="7">
        <v>4406</v>
      </c>
      <c r="U87" s="3">
        <v>4703</v>
      </c>
      <c r="V87" s="3">
        <v>3551</v>
      </c>
      <c r="W87" s="3">
        <v>5257</v>
      </c>
      <c r="X87" s="7">
        <v>2843</v>
      </c>
      <c r="Y87" s="3">
        <v>924</v>
      </c>
      <c r="Z87" s="3">
        <v>476</v>
      </c>
      <c r="AA87" s="3">
        <f t="shared" si="88"/>
        <v>514</v>
      </c>
      <c r="AB87" s="7">
        <v>542</v>
      </c>
      <c r="AC87" s="3">
        <v>558</v>
      </c>
      <c r="AN87" s="3">
        <v>189</v>
      </c>
      <c r="AO87" s="3">
        <v>226</v>
      </c>
      <c r="AP87" s="3">
        <v>430</v>
      </c>
      <c r="AQ87" s="3">
        <v>1264</v>
      </c>
      <c r="AR87" s="3">
        <v>1701</v>
      </c>
      <c r="AS87" s="3">
        <v>3561</v>
      </c>
      <c r="AT87" s="3">
        <v>5257</v>
      </c>
      <c r="AU87" s="3">
        <v>514</v>
      </c>
    </row>
    <row r="88" spans="2:52" s="3" customFormat="1" x14ac:dyDescent="0.35">
      <c r="B88" s="3" t="s">
        <v>103</v>
      </c>
      <c r="G88" s="3">
        <v>0</v>
      </c>
      <c r="H88" s="7">
        <v>0</v>
      </c>
      <c r="I88" s="3">
        <v>0</v>
      </c>
      <c r="J88" s="3">
        <v>0</v>
      </c>
      <c r="K88" s="3">
        <v>0</v>
      </c>
      <c r="L88" s="7">
        <v>8206</v>
      </c>
      <c r="M88" s="3">
        <v>9088</v>
      </c>
      <c r="N88" s="3">
        <v>9666</v>
      </c>
      <c r="O88" s="3">
        <v>10214</v>
      </c>
      <c r="P88" s="7">
        <v>10476</v>
      </c>
      <c r="Q88" s="3">
        <v>10709</v>
      </c>
      <c r="R88" s="3">
        <v>10984</v>
      </c>
      <c r="S88" s="3">
        <v>11146</v>
      </c>
      <c r="T88" s="7">
        <v>11382</v>
      </c>
      <c r="U88" s="3">
        <v>11619</v>
      </c>
      <c r="V88" s="3">
        <v>11471</v>
      </c>
      <c r="W88" s="3">
        <v>11389</v>
      </c>
      <c r="X88" s="7">
        <v>11363</v>
      </c>
      <c r="Y88" s="3">
        <v>11697</v>
      </c>
      <c r="Z88" s="3">
        <v>11984</v>
      </c>
      <c r="AA88" s="3">
        <f t="shared" si="88"/>
        <v>12501</v>
      </c>
      <c r="AB88" s="7">
        <v>12799</v>
      </c>
      <c r="AC88" s="3">
        <v>12746</v>
      </c>
      <c r="AN88" s="3">
        <v>0</v>
      </c>
      <c r="AO88" s="3">
        <v>0</v>
      </c>
      <c r="AP88" s="3">
        <v>0</v>
      </c>
      <c r="AQ88" s="3">
        <v>0</v>
      </c>
      <c r="AR88" s="3">
        <v>10214</v>
      </c>
      <c r="AS88" s="3">
        <v>11146</v>
      </c>
      <c r="AT88" s="3">
        <v>11389</v>
      </c>
      <c r="AU88" s="3">
        <v>12501</v>
      </c>
    </row>
    <row r="89" spans="2:52" s="17" customFormat="1" x14ac:dyDescent="0.35">
      <c r="B89" s="17" t="s">
        <v>104</v>
      </c>
      <c r="G89" s="17">
        <v>3059</v>
      </c>
      <c r="H89" s="18">
        <v>3149</v>
      </c>
      <c r="I89" s="17">
        <v>3237</v>
      </c>
      <c r="J89" s="17">
        <v>3214</v>
      </c>
      <c r="K89" s="17">
        <v>3545</v>
      </c>
      <c r="L89" s="18">
        <v>1417</v>
      </c>
      <c r="M89" s="17">
        <v>1499</v>
      </c>
      <c r="N89" s="17">
        <v>1637</v>
      </c>
      <c r="O89" s="17">
        <v>2534</v>
      </c>
      <c r="P89" s="18">
        <v>2427</v>
      </c>
      <c r="Q89" s="17">
        <v>1992</v>
      </c>
      <c r="R89" s="17">
        <v>2194</v>
      </c>
      <c r="S89" s="17">
        <v>2269</v>
      </c>
      <c r="T89" s="18">
        <v>2146</v>
      </c>
      <c r="U89" s="17">
        <v>2270</v>
      </c>
      <c r="V89" s="17">
        <v>2250</v>
      </c>
      <c r="W89" s="17">
        <v>2205</v>
      </c>
      <c r="X89" s="18">
        <v>2242</v>
      </c>
      <c r="Y89" s="17">
        <v>2422</v>
      </c>
      <c r="Z89" s="17">
        <v>2371</v>
      </c>
      <c r="AA89" s="3">
        <f t="shared" si="88"/>
        <v>2247</v>
      </c>
      <c r="AB89" s="18">
        <v>2373</v>
      </c>
      <c r="AC89" s="17">
        <v>1765</v>
      </c>
      <c r="AN89" s="17">
        <v>1822</v>
      </c>
      <c r="AO89" s="17">
        <v>2665</v>
      </c>
      <c r="AP89" s="17">
        <v>3059</v>
      </c>
      <c r="AQ89" s="17">
        <v>3545</v>
      </c>
      <c r="AR89" s="17">
        <v>2534</v>
      </c>
      <c r="AS89" s="17">
        <v>2269</v>
      </c>
      <c r="AT89" s="17">
        <v>2205</v>
      </c>
      <c r="AU89" s="17">
        <v>2247</v>
      </c>
    </row>
    <row r="90" spans="2:52" s="49" customFormat="1" x14ac:dyDescent="0.35">
      <c r="B90" s="49" t="s">
        <v>105</v>
      </c>
      <c r="G90" s="49">
        <f t="shared" ref="G90:AE90" si="89">SUM(G84:G89)</f>
        <v>20610</v>
      </c>
      <c r="H90" s="55">
        <f t="shared" si="89"/>
        <v>20716</v>
      </c>
      <c r="I90" s="49">
        <f t="shared" si="89"/>
        <v>19707</v>
      </c>
      <c r="J90" s="49">
        <f t="shared" si="89"/>
        <v>20397</v>
      </c>
      <c r="K90" s="49">
        <f t="shared" si="89"/>
        <v>20544</v>
      </c>
      <c r="L90" s="55">
        <f t="shared" si="89"/>
        <v>26967</v>
      </c>
      <c r="M90" s="49">
        <f t="shared" si="89"/>
        <v>27909</v>
      </c>
      <c r="N90" s="49">
        <f t="shared" si="89"/>
        <v>28851</v>
      </c>
      <c r="O90" s="49">
        <f t="shared" si="89"/>
        <v>29246</v>
      </c>
      <c r="P90" s="55">
        <f t="shared" si="89"/>
        <v>29555</v>
      </c>
      <c r="Q90" s="49">
        <f t="shared" si="89"/>
        <v>27512</v>
      </c>
      <c r="R90" s="49">
        <f t="shared" si="89"/>
        <v>38123</v>
      </c>
      <c r="S90" s="49">
        <f t="shared" si="89"/>
        <v>40238</v>
      </c>
      <c r="T90" s="55">
        <f t="shared" si="89"/>
        <v>41629</v>
      </c>
      <c r="U90" s="49">
        <f t="shared" si="89"/>
        <v>42081</v>
      </c>
      <c r="V90" s="49">
        <f t="shared" si="89"/>
        <v>41054</v>
      </c>
      <c r="W90" s="49">
        <f t="shared" si="89"/>
        <v>43379</v>
      </c>
      <c r="X90" s="55">
        <f t="shared" si="89"/>
        <v>41144</v>
      </c>
      <c r="Y90" s="49">
        <f t="shared" si="89"/>
        <v>38412</v>
      </c>
      <c r="Z90" s="49">
        <f t="shared" si="89"/>
        <v>38650</v>
      </c>
      <c r="AA90" s="49">
        <f t="shared" si="89"/>
        <v>39820</v>
      </c>
      <c r="AB90" s="55">
        <f t="shared" si="89"/>
        <v>39743</v>
      </c>
      <c r="AC90" s="49">
        <f t="shared" si="89"/>
        <v>38194</v>
      </c>
      <c r="AD90" s="49">
        <f t="shared" si="89"/>
        <v>0</v>
      </c>
      <c r="AE90" s="49">
        <f t="shared" si="89"/>
        <v>0</v>
      </c>
      <c r="AN90" s="49">
        <f t="shared" ref="AN90:AU90" si="90">SUM(AN84:AN89)</f>
        <v>7820</v>
      </c>
      <c r="AO90" s="49">
        <f t="shared" si="90"/>
        <v>11705</v>
      </c>
      <c r="AP90" s="49">
        <f t="shared" si="90"/>
        <v>20610</v>
      </c>
      <c r="AQ90" s="49">
        <f t="shared" si="90"/>
        <v>20544</v>
      </c>
      <c r="AR90" s="49">
        <f t="shared" si="90"/>
        <v>29246</v>
      </c>
      <c r="AS90" s="49">
        <f t="shared" si="90"/>
        <v>40238</v>
      </c>
      <c r="AT90" s="49">
        <f t="shared" si="90"/>
        <v>43379</v>
      </c>
      <c r="AU90" s="49">
        <f t="shared" si="90"/>
        <v>39820</v>
      </c>
      <c r="AV90" s="49">
        <f t="shared" ref="AV90" si="91">SUM(AV84:AV89)</f>
        <v>0</v>
      </c>
      <c r="AW90" s="49">
        <f t="shared" ref="AW90" si="92">SUM(AW84:AW89)</f>
        <v>0</v>
      </c>
      <c r="AX90" s="49">
        <f t="shared" ref="AX90" si="93">SUM(AX84:AX89)</f>
        <v>0</v>
      </c>
      <c r="AY90" s="49">
        <f t="shared" ref="AY90" si="94">SUM(AY84:AY89)</f>
        <v>0</v>
      </c>
      <c r="AZ90" s="49">
        <f t="shared" ref="AZ90" si="95">SUM(AZ84:AZ89)</f>
        <v>0</v>
      </c>
    </row>
    <row r="91" spans="2:52" s="11" customFormat="1" x14ac:dyDescent="0.35">
      <c r="B91" s="11" t="s">
        <v>106</v>
      </c>
      <c r="C91" s="11">
        <f>SUM(C82:C89)</f>
        <v>0</v>
      </c>
      <c r="D91" s="11">
        <f>SUM(D82:D89)</f>
        <v>0</v>
      </c>
      <c r="E91" s="11">
        <f>SUM(E82:E89)</f>
        <v>0</v>
      </c>
      <c r="F91" s="11">
        <f>SUM(F82:F89)</f>
        <v>0</v>
      </c>
      <c r="G91" s="11">
        <f t="shared" ref="G91:AE91" si="96">G90+G82</f>
        <v>44793</v>
      </c>
      <c r="H91" s="56">
        <f t="shared" si="96"/>
        <v>46110</v>
      </c>
      <c r="I91" s="11">
        <f t="shared" si="96"/>
        <v>49610</v>
      </c>
      <c r="J91" s="11">
        <f t="shared" si="96"/>
        <v>51698</v>
      </c>
      <c r="K91" s="11">
        <f t="shared" si="96"/>
        <v>55164</v>
      </c>
      <c r="L91" s="56">
        <f t="shared" si="96"/>
        <v>61877</v>
      </c>
      <c r="M91" s="11">
        <f t="shared" si="96"/>
        <v>64909</v>
      </c>
      <c r="N91" s="11">
        <f t="shared" si="96"/>
        <v>68075</v>
      </c>
      <c r="O91" s="11">
        <f t="shared" si="96"/>
        <v>74467</v>
      </c>
      <c r="P91" s="56">
        <f t="shared" si="96"/>
        <v>69744</v>
      </c>
      <c r="Q91" s="11">
        <f t="shared" si="96"/>
        <v>71170</v>
      </c>
      <c r="R91" s="11">
        <f t="shared" si="96"/>
        <v>86323</v>
      </c>
      <c r="S91" s="11">
        <f t="shared" si="96"/>
        <v>97072</v>
      </c>
      <c r="T91" s="56">
        <f t="shared" si="96"/>
        <v>97082</v>
      </c>
      <c r="U91" s="11">
        <f t="shared" si="96"/>
        <v>97822</v>
      </c>
      <c r="V91" s="11">
        <f t="shared" si="96"/>
        <v>102836</v>
      </c>
      <c r="W91" s="11">
        <f t="shared" si="96"/>
        <v>107633</v>
      </c>
      <c r="X91" s="56">
        <f t="shared" si="96"/>
        <v>103092</v>
      </c>
      <c r="Y91" s="11">
        <f t="shared" si="96"/>
        <v>99766</v>
      </c>
      <c r="Z91" s="11">
        <f t="shared" si="96"/>
        <v>104629</v>
      </c>
      <c r="AA91" s="11">
        <f t="shared" si="96"/>
        <v>109140</v>
      </c>
      <c r="AB91" s="56">
        <f t="shared" si="96"/>
        <v>108597</v>
      </c>
      <c r="AC91" s="11">
        <f t="shared" si="96"/>
        <v>115903</v>
      </c>
      <c r="AD91" s="11">
        <f t="shared" si="96"/>
        <v>0</v>
      </c>
      <c r="AE91" s="11">
        <f t="shared" si="96"/>
        <v>0</v>
      </c>
      <c r="AN91" s="11">
        <f t="shared" ref="AN91:AU91" si="97">AN90+AN82</f>
        <v>27130</v>
      </c>
      <c r="AO91" s="11">
        <f t="shared" si="97"/>
        <v>28461</v>
      </c>
      <c r="AP91" s="11">
        <f t="shared" si="97"/>
        <v>44793</v>
      </c>
      <c r="AQ91" s="11">
        <f t="shared" si="97"/>
        <v>55164</v>
      </c>
      <c r="AR91" s="11">
        <f t="shared" si="97"/>
        <v>74467</v>
      </c>
      <c r="AS91" s="11">
        <f t="shared" si="97"/>
        <v>97072</v>
      </c>
      <c r="AT91" s="11">
        <f t="shared" si="97"/>
        <v>107633</v>
      </c>
      <c r="AU91" s="11">
        <f t="shared" si="97"/>
        <v>109140</v>
      </c>
      <c r="AV91" s="11">
        <f t="shared" ref="AV91" si="98">AV90+AV82</f>
        <v>0</v>
      </c>
      <c r="AW91" s="11">
        <f t="shared" ref="AW91" si="99">AW90+AW82</f>
        <v>0</v>
      </c>
      <c r="AX91" s="11">
        <f t="shared" ref="AX91" si="100">AX90+AX82</f>
        <v>0</v>
      </c>
      <c r="AY91" s="11">
        <f t="shared" ref="AY91" si="101">AY90+AY82</f>
        <v>0</v>
      </c>
      <c r="AZ91" s="11">
        <f t="shared" ref="AZ91" si="102">AZ90+AZ82</f>
        <v>0</v>
      </c>
    </row>
    <row r="92" spans="2:52" s="48" customFormat="1" x14ac:dyDescent="0.35">
      <c r="B92" s="48" t="s">
        <v>1832</v>
      </c>
      <c r="H92" s="47"/>
      <c r="L92" s="47"/>
      <c r="P92" s="47"/>
      <c r="T92" s="47"/>
      <c r="X92" s="47"/>
      <c r="AB92" s="47"/>
    </row>
    <row r="93" spans="2:52" s="3" customFormat="1" x14ac:dyDescent="0.35">
      <c r="B93" s="3" t="s">
        <v>1833</v>
      </c>
      <c r="H93" s="7"/>
      <c r="L93" s="7"/>
      <c r="P93" s="7"/>
      <c r="T93" s="7"/>
      <c r="W93" s="3">
        <v>0</v>
      </c>
      <c r="X93" s="7"/>
      <c r="Y93" s="3">
        <v>0</v>
      </c>
      <c r="Z93" s="3">
        <v>0</v>
      </c>
      <c r="AA93" s="3">
        <v>0</v>
      </c>
      <c r="AB93" s="7">
        <v>0</v>
      </c>
      <c r="AC93" s="3">
        <v>0</v>
      </c>
      <c r="AT93" s="3">
        <v>0</v>
      </c>
      <c r="AU93" s="3">
        <v>0</v>
      </c>
    </row>
    <row r="94" spans="2:52" s="3" customFormat="1" x14ac:dyDescent="0.35">
      <c r="B94" s="3" t="s">
        <v>1834</v>
      </c>
      <c r="H94" s="7"/>
      <c r="L94" s="7"/>
      <c r="P94" s="7"/>
      <c r="T94" s="7"/>
      <c r="W94" s="3">
        <v>61774</v>
      </c>
      <c r="X94" s="7"/>
      <c r="Y94" s="3">
        <v>64402</v>
      </c>
      <c r="Z94" s="3">
        <v>66258</v>
      </c>
      <c r="AA94" s="3">
        <v>68184</v>
      </c>
      <c r="AB94" s="7">
        <v>70269</v>
      </c>
      <c r="AC94" s="3">
        <v>72248</v>
      </c>
      <c r="AT94" s="3">
        <v>61774</v>
      </c>
      <c r="AU94" s="3">
        <v>68184</v>
      </c>
    </row>
    <row r="95" spans="2:52" s="3" customFormat="1" x14ac:dyDescent="0.35">
      <c r="B95" s="3" t="s">
        <v>1835</v>
      </c>
      <c r="H95" s="7"/>
      <c r="L95" s="7"/>
      <c r="P95" s="7"/>
      <c r="T95" s="7"/>
      <c r="W95" s="3">
        <v>-1623</v>
      </c>
      <c r="X95" s="7"/>
      <c r="Y95" s="3">
        <v>-5828</v>
      </c>
      <c r="Z95" s="3">
        <v>-8852</v>
      </c>
      <c r="AA95" s="3">
        <v>-7603</v>
      </c>
      <c r="AB95" s="7">
        <v>-6000</v>
      </c>
      <c r="AC95" s="3">
        <v>-5991</v>
      </c>
      <c r="AT95" s="3">
        <v>-1623</v>
      </c>
      <c r="AU95" s="3">
        <v>-7603</v>
      </c>
    </row>
    <row r="96" spans="2:52" s="17" customFormat="1" x14ac:dyDescent="0.35">
      <c r="B96" s="17" t="s">
        <v>1836</v>
      </c>
      <c r="H96" s="18"/>
      <c r="L96" s="18"/>
      <c r="P96" s="18"/>
      <c r="T96" s="18"/>
      <c r="W96" s="17">
        <v>191484</v>
      </c>
      <c r="X96" s="18"/>
      <c r="Y96" s="17">
        <v>196845</v>
      </c>
      <c r="Z96" s="17">
        <v>196220</v>
      </c>
      <c r="AA96" s="17">
        <v>195563</v>
      </c>
      <c r="AB96" s="18">
        <v>196625</v>
      </c>
      <c r="AC96" s="17">
        <v>200884</v>
      </c>
      <c r="AT96" s="17">
        <v>191484</v>
      </c>
      <c r="AU96" s="17">
        <v>195563</v>
      </c>
    </row>
    <row r="97" spans="2:54" s="49" customFormat="1" x14ac:dyDescent="0.35">
      <c r="B97" s="49" t="s">
        <v>1837</v>
      </c>
      <c r="H97" s="55"/>
      <c r="L97" s="55"/>
      <c r="P97" s="55"/>
      <c r="T97" s="55"/>
      <c r="W97" s="49">
        <f>SUM(W93:W96)</f>
        <v>251635</v>
      </c>
      <c r="X97" s="55"/>
      <c r="Y97" s="49">
        <f>SUM(Y93:Y96)</f>
        <v>255419</v>
      </c>
      <c r="Z97" s="49">
        <f>SUM(Z93:Z96)</f>
        <v>253626</v>
      </c>
      <c r="AA97" s="49">
        <f>SUM(AA93:AA96)</f>
        <v>256144</v>
      </c>
      <c r="AB97" s="55">
        <f>SUM(AB93:AB96)</f>
        <v>260894</v>
      </c>
      <c r="AC97" s="49">
        <f t="shared" ref="AC97" si="103">SUM(AC93:AC96)</f>
        <v>267141</v>
      </c>
      <c r="AN97" s="49">
        <f>SUM(AN93:AN96)</f>
        <v>0</v>
      </c>
      <c r="AO97" s="49">
        <f t="shared" ref="AO97:AZ97" si="104">SUM(AO93:AO96)</f>
        <v>0</v>
      </c>
      <c r="AP97" s="49">
        <f t="shared" si="104"/>
        <v>0</v>
      </c>
      <c r="AQ97" s="49">
        <f t="shared" si="104"/>
        <v>0</v>
      </c>
      <c r="AR97" s="49">
        <f t="shared" si="104"/>
        <v>0</v>
      </c>
      <c r="AS97" s="49">
        <f t="shared" si="104"/>
        <v>0</v>
      </c>
      <c r="AT97" s="49">
        <f t="shared" si="104"/>
        <v>251635</v>
      </c>
      <c r="AU97" s="49">
        <f t="shared" si="104"/>
        <v>256144</v>
      </c>
      <c r="AV97" s="49">
        <f t="shared" si="104"/>
        <v>0</v>
      </c>
      <c r="AW97" s="49">
        <f t="shared" si="104"/>
        <v>0</v>
      </c>
      <c r="AX97" s="49">
        <f t="shared" si="104"/>
        <v>0</v>
      </c>
      <c r="AY97" s="49">
        <f t="shared" si="104"/>
        <v>0</v>
      </c>
      <c r="AZ97" s="49">
        <f t="shared" si="104"/>
        <v>0</v>
      </c>
    </row>
    <row r="98" spans="2:54" s="11" customFormat="1" x14ac:dyDescent="0.35">
      <c r="B98" s="11" t="s">
        <v>1838</v>
      </c>
      <c r="H98" s="56"/>
      <c r="L98" s="56"/>
      <c r="P98" s="56"/>
      <c r="T98" s="56"/>
      <c r="W98" s="11">
        <f>W97+W91</f>
        <v>359268</v>
      </c>
      <c r="X98" s="56"/>
      <c r="Y98" s="11">
        <f>Y97+Y91</f>
        <v>355185</v>
      </c>
      <c r="Z98" s="11">
        <f>Z97+Z91</f>
        <v>358255</v>
      </c>
      <c r="AA98" s="11">
        <f>AA97+AA91</f>
        <v>365284</v>
      </c>
      <c r="AB98" s="56">
        <f>AB97+AB91</f>
        <v>369491</v>
      </c>
      <c r="AC98" s="11">
        <f t="shared" ref="AC98" si="105">AC97+AC91</f>
        <v>383044</v>
      </c>
      <c r="AN98" s="11">
        <f>AN97+AN91</f>
        <v>27130</v>
      </c>
      <c r="AO98" s="11">
        <f t="shared" ref="AO98:AZ98" si="106">AO97+AO91</f>
        <v>28461</v>
      </c>
      <c r="AP98" s="11">
        <f t="shared" si="106"/>
        <v>44793</v>
      </c>
      <c r="AQ98" s="11">
        <f t="shared" si="106"/>
        <v>55164</v>
      </c>
      <c r="AR98" s="11">
        <f t="shared" si="106"/>
        <v>74467</v>
      </c>
      <c r="AS98" s="11">
        <f t="shared" si="106"/>
        <v>97072</v>
      </c>
      <c r="AT98" s="11">
        <f t="shared" si="106"/>
        <v>359268</v>
      </c>
      <c r="AU98" s="11">
        <f t="shared" si="106"/>
        <v>365284</v>
      </c>
      <c r="AV98" s="11">
        <f t="shared" si="106"/>
        <v>0</v>
      </c>
      <c r="AW98" s="11">
        <f t="shared" si="106"/>
        <v>0</v>
      </c>
      <c r="AX98" s="11">
        <f t="shared" si="106"/>
        <v>0</v>
      </c>
      <c r="AY98" s="11">
        <f t="shared" si="106"/>
        <v>0</v>
      </c>
      <c r="AZ98" s="11">
        <f t="shared" si="106"/>
        <v>0</v>
      </c>
    </row>
    <row r="99" spans="2:54" s="40" customFormat="1" x14ac:dyDescent="0.35">
      <c r="B99" s="40" t="s">
        <v>1840</v>
      </c>
      <c r="H99" s="60"/>
      <c r="L99" s="60"/>
      <c r="P99" s="73"/>
      <c r="Q99" s="74"/>
      <c r="R99" s="74"/>
      <c r="S99" s="74"/>
      <c r="T99" s="73"/>
      <c r="U99" s="74"/>
      <c r="V99" s="74"/>
      <c r="W99" s="74"/>
      <c r="X99" s="73"/>
      <c r="AB99" s="60"/>
      <c r="AU99" s="74"/>
      <c r="AV99" s="74"/>
      <c r="AW99" s="74"/>
      <c r="AX99" s="74"/>
      <c r="AY99" s="74"/>
      <c r="AZ99" s="74"/>
      <c r="BA99" s="74"/>
      <c r="BB99" s="74"/>
    </row>
    <row r="100" spans="2:54" s="3" customFormat="1" x14ac:dyDescent="0.35">
      <c r="B100" s="3" t="s">
        <v>1841</v>
      </c>
      <c r="H100" s="7"/>
      <c r="L100" s="7"/>
      <c r="P100" s="7"/>
      <c r="T100" s="7"/>
      <c r="U100" s="3">
        <v>41179</v>
      </c>
      <c r="V100" s="3">
        <f>66718-U100</f>
        <v>25539</v>
      </c>
      <c r="X100" s="7">
        <v>25106</v>
      </c>
      <c r="Y100" s="3">
        <f>44528-X100</f>
        <v>19422</v>
      </c>
      <c r="Z100" s="3">
        <f>67881-Y100-X100</f>
        <v>23353</v>
      </c>
      <c r="AB100" s="7">
        <v>23509</v>
      </c>
      <c r="AC100" s="3">
        <f>52175-AB100</f>
        <v>28666</v>
      </c>
      <c r="AS100" s="3">
        <v>65124</v>
      </c>
      <c r="AT100" s="3">
        <v>91652</v>
      </c>
      <c r="AU100" s="3">
        <v>91495</v>
      </c>
    </row>
    <row r="101" spans="2:54" s="17" customFormat="1" x14ac:dyDescent="0.35">
      <c r="B101" s="17" t="s">
        <v>1842</v>
      </c>
      <c r="H101" s="18"/>
      <c r="L101" s="18"/>
      <c r="P101" s="18"/>
      <c r="T101" s="18"/>
      <c r="U101" s="17">
        <v>-11438</v>
      </c>
      <c r="V101" s="17">
        <f>-18257-U101</f>
        <v>-6819</v>
      </c>
      <c r="X101" s="18">
        <v>-9786</v>
      </c>
      <c r="Y101" s="17">
        <f>-16614-X101</f>
        <v>-6828</v>
      </c>
      <c r="Z101" s="17">
        <f>-23890-Y101-X101</f>
        <v>-7276</v>
      </c>
      <c r="AB101" s="18">
        <v>-6289</v>
      </c>
      <c r="AC101" s="17">
        <f>-13177-AB101</f>
        <v>-6888</v>
      </c>
      <c r="AS101" s="17">
        <v>-22281</v>
      </c>
      <c r="AT101" s="17">
        <v>-24640</v>
      </c>
      <c r="AU101" s="17">
        <v>-31485</v>
      </c>
    </row>
    <row r="102" spans="2:54" s="3" customFormat="1" x14ac:dyDescent="0.35">
      <c r="H102" s="7"/>
      <c r="L102" s="7"/>
      <c r="P102" s="7"/>
      <c r="T102" s="7"/>
      <c r="U102" s="3">
        <f>SUM(U100:U101)</f>
        <v>29741</v>
      </c>
      <c r="V102" s="3">
        <f>SUM(V100:V101)</f>
        <v>18720</v>
      </c>
      <c r="X102" s="7">
        <f>SUM(X100:X101)</f>
        <v>15320</v>
      </c>
      <c r="Y102" s="3">
        <f>SUM(Y100:Y101)</f>
        <v>12594</v>
      </c>
      <c r="Z102" s="3">
        <f>SUM(Z100:Z101)</f>
        <v>16077</v>
      </c>
      <c r="AB102" s="7">
        <f>SUM(AB100:AB101)</f>
        <v>17220</v>
      </c>
      <c r="AC102" s="3">
        <f>SUM(AC100:AC101)</f>
        <v>21778</v>
      </c>
      <c r="AN102" s="3">
        <f>SUM(AN100:AN101)</f>
        <v>0</v>
      </c>
      <c r="AO102" s="3">
        <f t="shared" ref="AO102:AZ102" si="107">SUM(AO100:AO101)</f>
        <v>0</v>
      </c>
      <c r="AP102" s="3">
        <f t="shared" si="107"/>
        <v>0</v>
      </c>
      <c r="AQ102" s="3">
        <f t="shared" si="107"/>
        <v>0</v>
      </c>
      <c r="AR102" s="3">
        <f t="shared" si="107"/>
        <v>0</v>
      </c>
      <c r="AS102" s="3">
        <f t="shared" si="107"/>
        <v>42843</v>
      </c>
      <c r="AT102" s="3">
        <f t="shared" si="107"/>
        <v>67012</v>
      </c>
      <c r="AU102" s="3">
        <f t="shared" si="107"/>
        <v>60010</v>
      </c>
      <c r="AV102" s="3">
        <f t="shared" si="107"/>
        <v>0</v>
      </c>
      <c r="AW102" s="3">
        <f t="shared" si="107"/>
        <v>0</v>
      </c>
      <c r="AX102" s="3">
        <f t="shared" si="107"/>
        <v>0</v>
      </c>
      <c r="AY102" s="3">
        <f t="shared" si="107"/>
        <v>0</v>
      </c>
      <c r="AZ102" s="3">
        <f t="shared" si="107"/>
        <v>0</v>
      </c>
    </row>
    <row r="103" spans="2:54" x14ac:dyDescent="0.35">
      <c r="P103" s="7"/>
      <c r="Q103" s="3"/>
      <c r="R103" s="3"/>
      <c r="S103" s="3"/>
      <c r="T103" s="7"/>
      <c r="U103" s="3"/>
      <c r="V103" s="3"/>
      <c r="W103" s="3"/>
      <c r="X103" s="7"/>
      <c r="AN103" s="4"/>
      <c r="AO103" s="4"/>
      <c r="AP103" s="4"/>
      <c r="AQ103" s="4"/>
      <c r="AR103" s="4"/>
      <c r="AS103" s="4"/>
      <c r="AT103" s="4"/>
      <c r="AU103" s="4"/>
      <c r="AV103" s="3"/>
      <c r="AW103" s="3"/>
      <c r="AX103" s="3"/>
      <c r="AY103" s="3"/>
      <c r="AZ103" s="3"/>
      <c r="BA103" s="3"/>
      <c r="BB103" s="3"/>
    </row>
    <row r="104" spans="2:54" x14ac:dyDescent="0.35">
      <c r="B104" t="s">
        <v>1847</v>
      </c>
      <c r="P104" s="7"/>
      <c r="Q104" s="3"/>
      <c r="R104" s="3"/>
      <c r="S104" s="3"/>
      <c r="T104" s="7"/>
      <c r="U104" s="3">
        <v>0</v>
      </c>
      <c r="V104" s="3">
        <v>0</v>
      </c>
      <c r="W104" s="3"/>
      <c r="X104" s="7">
        <v>0</v>
      </c>
      <c r="Y104">
        <v>0</v>
      </c>
      <c r="Z104">
        <v>0</v>
      </c>
      <c r="AB104" s="6">
        <v>0</v>
      </c>
      <c r="AC104">
        <v>0</v>
      </c>
      <c r="AU104" s="3"/>
      <c r="AV104" s="3"/>
      <c r="AW104" s="3"/>
      <c r="AX104" s="3"/>
      <c r="AY104" s="3"/>
      <c r="AZ104" s="3"/>
      <c r="BA104" s="3"/>
      <c r="BB104" s="3"/>
    </row>
    <row r="105" spans="2:54" x14ac:dyDescent="0.35">
      <c r="B105" t="s">
        <v>1848</v>
      </c>
      <c r="U105">
        <v>7548</v>
      </c>
      <c r="V105">
        <v>11422</v>
      </c>
      <c r="X105" s="6">
        <v>4504</v>
      </c>
      <c r="Y105">
        <f>9286-X105</f>
        <v>4782</v>
      </c>
      <c r="Z105">
        <f>14262-Y105-X105</f>
        <v>4976</v>
      </c>
      <c r="AB105" s="6">
        <v>5284</v>
      </c>
      <c r="AC105">
        <f>11058-AB105</f>
        <v>5774</v>
      </c>
      <c r="AN105" s="9"/>
      <c r="AO105" s="9"/>
      <c r="AP105" s="9"/>
      <c r="AQ105" s="9"/>
      <c r="AR105" s="9"/>
      <c r="AS105" s="9"/>
      <c r="AT105" s="9"/>
      <c r="AU105" s="9"/>
    </row>
    <row r="106" spans="2:54" s="3" customFormat="1" x14ac:dyDescent="0.35">
      <c r="B106" s="3" t="s">
        <v>1849</v>
      </c>
      <c r="H106" s="7"/>
      <c r="L106" s="7"/>
      <c r="P106" s="7"/>
      <c r="T106" s="7"/>
      <c r="U106" s="3">
        <v>-28497</v>
      </c>
      <c r="V106" s="3">
        <v>-36801</v>
      </c>
      <c r="X106" s="7">
        <v>-13300</v>
      </c>
      <c r="Y106" s="3">
        <f>-28497-X106</f>
        <v>-15197</v>
      </c>
      <c r="Z106" s="3">
        <f>-43889-Y106-X106</f>
        <v>-15392</v>
      </c>
      <c r="AB106" s="7">
        <v>-14557</v>
      </c>
      <c r="AC106" s="3">
        <f>-29526-AB106</f>
        <v>-14969</v>
      </c>
    </row>
    <row r="107" spans="2:54" s="3" customFormat="1" x14ac:dyDescent="0.35">
      <c r="B107" s="3" t="s">
        <v>1850</v>
      </c>
      <c r="H107" s="7"/>
      <c r="L107" s="7"/>
      <c r="P107" s="7"/>
      <c r="T107" s="7"/>
      <c r="U107" s="3">
        <v>0</v>
      </c>
      <c r="V107" s="3">
        <v>0</v>
      </c>
      <c r="X107" s="7">
        <v>0</v>
      </c>
      <c r="Y107" s="3">
        <v>0</v>
      </c>
      <c r="Z107" s="3">
        <v>0</v>
      </c>
      <c r="AB107" s="7">
        <v>0</v>
      </c>
      <c r="AC107" s="3">
        <v>0</v>
      </c>
    </row>
    <row r="108" spans="2:54" s="3" customFormat="1" x14ac:dyDescent="0.35">
      <c r="H108" s="7"/>
      <c r="L108" s="7"/>
      <c r="P108" s="7"/>
      <c r="T108" s="7"/>
      <c r="X108" s="7"/>
      <c r="AB108" s="7"/>
    </row>
    <row r="109" spans="2:54" s="3" customFormat="1" x14ac:dyDescent="0.35">
      <c r="H109" s="7"/>
      <c r="L109" s="7"/>
      <c r="P109" s="7"/>
      <c r="T109" s="7"/>
      <c r="X109" s="7"/>
      <c r="AB109" s="7"/>
    </row>
    <row r="110" spans="2:54" s="3" customFormat="1" x14ac:dyDescent="0.35">
      <c r="H110" s="7"/>
      <c r="L110" s="7"/>
      <c r="P110" s="7"/>
      <c r="T110" s="7"/>
      <c r="X110" s="7"/>
      <c r="AB110" s="7"/>
    </row>
    <row r="111" spans="2:54" s="3" customFormat="1" x14ac:dyDescent="0.35">
      <c r="H111" s="7"/>
      <c r="L111" s="7"/>
      <c r="P111" s="7"/>
      <c r="T111" s="7"/>
      <c r="X111" s="7"/>
      <c r="AB111" s="7"/>
    </row>
    <row r="112" spans="2:54" s="3" customFormat="1" x14ac:dyDescent="0.35">
      <c r="H112" s="7"/>
      <c r="L112" s="7"/>
      <c r="P112" s="7"/>
      <c r="T112" s="7"/>
      <c r="X112" s="7"/>
      <c r="AB112" s="7"/>
    </row>
    <row r="113" spans="8:28" s="3" customFormat="1" x14ac:dyDescent="0.35">
      <c r="H113" s="7"/>
      <c r="L113" s="7"/>
      <c r="P113" s="7"/>
      <c r="T113" s="7"/>
      <c r="X113" s="7"/>
      <c r="AB113" s="7"/>
    </row>
    <row r="114" spans="8:28" s="8" customFormat="1" x14ac:dyDescent="0.35">
      <c r="H114" s="50"/>
      <c r="L114" s="50"/>
      <c r="P114" s="50"/>
      <c r="T114" s="50"/>
      <c r="X114" s="50"/>
      <c r="AB114" s="50"/>
    </row>
    <row r="115" spans="8:28" x14ac:dyDescent="0.35">
      <c r="P115" s="50"/>
      <c r="Q115" s="8"/>
      <c r="R115" s="8"/>
      <c r="S115" s="8"/>
      <c r="T115" s="50"/>
      <c r="U115" s="8"/>
      <c r="V115" s="8"/>
      <c r="W115" s="8"/>
      <c r="X115" s="50"/>
    </row>
    <row r="116" spans="8:28" x14ac:dyDescent="0.35">
      <c r="P116" s="22"/>
      <c r="Q116" s="9"/>
      <c r="R116" s="9"/>
      <c r="S116" s="9"/>
      <c r="T116" s="22"/>
      <c r="U116" s="9"/>
      <c r="V116" s="9"/>
      <c r="W116" s="9"/>
      <c r="X116" s="22"/>
    </row>
    <row r="166" spans="22:24" x14ac:dyDescent="0.35">
      <c r="V166">
        <f>12409*(0.01)-12409</f>
        <v>-12284.91</v>
      </c>
      <c r="X166" s="6">
        <f>5.3-4.8</f>
        <v>0.5</v>
      </c>
    </row>
    <row r="169" spans="22:24" x14ac:dyDescent="0.35">
      <c r="X169" s="6">
        <f>-2*0.5</f>
        <v>-1</v>
      </c>
    </row>
    <row r="170" spans="22:24" x14ac:dyDescent="0.35">
      <c r="V170">
        <f>-2*(4-5)</f>
        <v>2</v>
      </c>
    </row>
    <row r="171" spans="22:24" x14ac:dyDescent="0.35">
      <c r="X171" s="6">
        <f>16573.4*-0.01</f>
        <v>-165.73400000000001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5"/>
  <sheetViews>
    <sheetView workbookViewId="0">
      <selection activeCell="A27" sqref="A27"/>
    </sheetView>
  </sheetViews>
  <sheetFormatPr defaultRowHeight="14.5" x14ac:dyDescent="0.35"/>
  <cols>
    <col min="1" max="1" width="19.26953125" customWidth="1"/>
    <col min="2" max="18" width="10.6328125" customWidth="1"/>
  </cols>
  <sheetData>
    <row r="1" spans="1:18" x14ac:dyDescent="0.3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 x14ac:dyDescent="0.35">
      <c r="A2" s="1" t="s">
        <v>126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</row>
    <row r="3" spans="1:18" x14ac:dyDescent="0.35">
      <c r="A3" s="1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  <c r="I3" t="s">
        <v>152</v>
      </c>
      <c r="J3" t="s">
        <v>153</v>
      </c>
      <c r="K3" t="s">
        <v>154</v>
      </c>
      <c r="L3" t="s">
        <v>155</v>
      </c>
      <c r="M3" t="s">
        <v>156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</row>
    <row r="4" spans="1:18" x14ac:dyDescent="0.35">
      <c r="A4" s="1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176</v>
      </c>
      <c r="P4" t="s">
        <v>177</v>
      </c>
      <c r="Q4" t="s">
        <v>178</v>
      </c>
      <c r="R4" t="s">
        <v>179</v>
      </c>
    </row>
    <row r="5" spans="1:18" x14ac:dyDescent="0.35">
      <c r="A5" s="1" t="s">
        <v>180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181</v>
      </c>
      <c r="K5" t="s">
        <v>181</v>
      </c>
      <c r="L5" t="s">
        <v>181</v>
      </c>
      <c r="M5" t="s">
        <v>181</v>
      </c>
      <c r="N5" t="s">
        <v>181</v>
      </c>
      <c r="O5" t="s">
        <v>181</v>
      </c>
      <c r="P5" t="s">
        <v>181</v>
      </c>
      <c r="Q5" t="s">
        <v>181</v>
      </c>
      <c r="R5" t="s">
        <v>181</v>
      </c>
    </row>
    <row r="6" spans="1:18" x14ac:dyDescent="0.35">
      <c r="A6" s="1" t="s">
        <v>182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</row>
    <row r="7" spans="1:18" x14ac:dyDescent="0.35">
      <c r="A7" s="1" t="s">
        <v>200</v>
      </c>
      <c r="B7" t="s">
        <v>201</v>
      </c>
      <c r="C7" t="s">
        <v>202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</row>
    <row r="8" spans="1:18" x14ac:dyDescent="0.35">
      <c r="A8" s="1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230</v>
      </c>
      <c r="P8" t="s">
        <v>232</v>
      </c>
      <c r="Q8" t="s">
        <v>233</v>
      </c>
      <c r="R8" t="s">
        <v>226</v>
      </c>
    </row>
    <row r="9" spans="1:18" x14ac:dyDescent="0.35">
      <c r="A9" s="1" t="s">
        <v>234</v>
      </c>
      <c r="B9" t="s">
        <v>235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238</v>
      </c>
      <c r="I9" t="s">
        <v>240</v>
      </c>
      <c r="J9" t="s">
        <v>241</v>
      </c>
      <c r="K9" t="s">
        <v>242</v>
      </c>
      <c r="L9" t="s">
        <v>242</v>
      </c>
      <c r="M9" t="s">
        <v>243</v>
      </c>
      <c r="N9" t="s">
        <v>242</v>
      </c>
      <c r="O9" t="s">
        <v>240</v>
      </c>
      <c r="P9" t="s">
        <v>240</v>
      </c>
      <c r="Q9">
        <v>1.1000000000000001</v>
      </c>
      <c r="R9" t="s">
        <v>244</v>
      </c>
    </row>
    <row r="10" spans="1:18" x14ac:dyDescent="0.35">
      <c r="A10" s="1" t="s">
        <v>245</v>
      </c>
      <c r="B10" t="s">
        <v>246</v>
      </c>
      <c r="C10" t="s">
        <v>246</v>
      </c>
      <c r="D10" t="s">
        <v>246</v>
      </c>
      <c r="E10" t="s">
        <v>247</v>
      </c>
      <c r="F10" t="s">
        <v>247</v>
      </c>
      <c r="G10" t="s">
        <v>246</v>
      </c>
      <c r="H10" t="s">
        <v>246</v>
      </c>
      <c r="I10" t="s">
        <v>246</v>
      </c>
      <c r="J10" t="s">
        <v>246</v>
      </c>
      <c r="K10" t="s">
        <v>246</v>
      </c>
      <c r="L10" t="s">
        <v>246</v>
      </c>
      <c r="M10" t="s">
        <v>246</v>
      </c>
      <c r="N10" t="s">
        <v>246</v>
      </c>
      <c r="O10" t="s">
        <v>247</v>
      </c>
      <c r="P10" t="s">
        <v>247</v>
      </c>
      <c r="Q10" t="s">
        <v>247</v>
      </c>
      <c r="R10" t="s">
        <v>237</v>
      </c>
    </row>
    <row r="11" spans="1:18" x14ac:dyDescent="0.35">
      <c r="A11" s="1" t="s">
        <v>248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</row>
    <row r="12" spans="1:18" x14ac:dyDescent="0.35">
      <c r="A12" s="1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255</v>
      </c>
      <c r="H12" t="s">
        <v>256</v>
      </c>
      <c r="I12" t="s">
        <v>257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264</v>
      </c>
      <c r="Q12" t="s">
        <v>265</v>
      </c>
      <c r="R12" t="s">
        <v>266</v>
      </c>
    </row>
    <row r="13" spans="1:18" x14ac:dyDescent="0.35">
      <c r="A13" s="1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273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  <c r="N13" t="s">
        <v>280</v>
      </c>
      <c r="O13" t="s">
        <v>281</v>
      </c>
      <c r="P13" t="s">
        <v>282</v>
      </c>
      <c r="Q13" t="s">
        <v>269</v>
      </c>
      <c r="R13" t="s">
        <v>283</v>
      </c>
    </row>
    <row r="14" spans="1:18" x14ac:dyDescent="0.35">
      <c r="A14" s="1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</row>
    <row r="15" spans="1:18" x14ac:dyDescent="0.35">
      <c r="A15" s="1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308</v>
      </c>
      <c r="H15" t="s">
        <v>309</v>
      </c>
      <c r="I15" t="s">
        <v>310</v>
      </c>
      <c r="J15" t="s">
        <v>311</v>
      </c>
      <c r="K15" t="s">
        <v>312</v>
      </c>
      <c r="L15" t="s">
        <v>313</v>
      </c>
      <c r="M15" t="s">
        <v>314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</row>
    <row r="16" spans="1:18" x14ac:dyDescent="0.35">
      <c r="A16" s="1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326</v>
      </c>
      <c r="H16" t="s">
        <v>327</v>
      </c>
      <c r="I16" t="s">
        <v>328</v>
      </c>
      <c r="J16" t="s">
        <v>281</v>
      </c>
      <c r="K16" t="s">
        <v>329</v>
      </c>
      <c r="L16" t="s">
        <v>330</v>
      </c>
      <c r="M16" t="s">
        <v>331</v>
      </c>
      <c r="N16" t="s">
        <v>332</v>
      </c>
      <c r="O16" t="s">
        <v>333</v>
      </c>
      <c r="P16" t="s">
        <v>334</v>
      </c>
      <c r="Q16" t="s">
        <v>334</v>
      </c>
      <c r="R16" t="s">
        <v>335</v>
      </c>
    </row>
    <row r="17" spans="1:18" x14ac:dyDescent="0.35">
      <c r="A17" s="1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337</v>
      </c>
      <c r="G17" t="s">
        <v>341</v>
      </c>
      <c r="H17" t="s">
        <v>321</v>
      </c>
      <c r="I17" t="s">
        <v>342</v>
      </c>
      <c r="J17" t="s">
        <v>343</v>
      </c>
      <c r="K17" t="s">
        <v>344</v>
      </c>
      <c r="L17" t="s">
        <v>345</v>
      </c>
      <c r="M17" t="s">
        <v>346</v>
      </c>
      <c r="N17" t="s">
        <v>347</v>
      </c>
      <c r="O17" t="s">
        <v>325</v>
      </c>
      <c r="P17" t="s">
        <v>348</v>
      </c>
      <c r="Q17" t="s">
        <v>349</v>
      </c>
      <c r="R17" t="s">
        <v>340</v>
      </c>
    </row>
    <row r="18" spans="1:18" x14ac:dyDescent="0.35">
      <c r="A18" s="1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  <c r="J18" t="s">
        <v>359</v>
      </c>
      <c r="K18" t="s">
        <v>360</v>
      </c>
      <c r="L18" t="s">
        <v>361</v>
      </c>
      <c r="M18" t="s">
        <v>362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</row>
    <row r="19" spans="1:18" x14ac:dyDescent="0.35">
      <c r="A19" s="1" t="s">
        <v>368</v>
      </c>
      <c r="B19" t="s">
        <v>181</v>
      </c>
      <c r="C19" t="s">
        <v>181</v>
      </c>
      <c r="D19" t="s">
        <v>181</v>
      </c>
      <c r="E19" t="s">
        <v>181</v>
      </c>
      <c r="F19" t="s">
        <v>181</v>
      </c>
      <c r="G19" t="s">
        <v>369</v>
      </c>
      <c r="H19" t="s">
        <v>370</v>
      </c>
      <c r="I19" t="s">
        <v>371</v>
      </c>
      <c r="J19" t="s">
        <v>372</v>
      </c>
      <c r="K19" t="s">
        <v>373</v>
      </c>
      <c r="L19" t="s">
        <v>374</v>
      </c>
      <c r="M19" t="s">
        <v>375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</row>
    <row r="20" spans="1:18" x14ac:dyDescent="0.35">
      <c r="A20" s="1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</row>
    <row r="21" spans="1:18" x14ac:dyDescent="0.35">
      <c r="A21" s="1" t="s">
        <v>399</v>
      </c>
      <c r="B21" t="s">
        <v>400</v>
      </c>
      <c r="C21" t="s">
        <v>401</v>
      </c>
      <c r="D21" t="s">
        <v>402</v>
      </c>
      <c r="E21" t="s">
        <v>331</v>
      </c>
      <c r="F21" t="s">
        <v>403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410</v>
      </c>
      <c r="N21" t="s">
        <v>335</v>
      </c>
      <c r="O21" t="s">
        <v>411</v>
      </c>
      <c r="P21" t="s">
        <v>404</v>
      </c>
      <c r="Q21" t="s">
        <v>322</v>
      </c>
      <c r="R21" t="s">
        <v>412</v>
      </c>
    </row>
    <row r="22" spans="1:18" x14ac:dyDescent="0.35">
      <c r="A22" s="1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419</v>
      </c>
      <c r="H22" t="s">
        <v>420</v>
      </c>
      <c r="I22" t="s">
        <v>421</v>
      </c>
      <c r="J22" t="s">
        <v>405</v>
      </c>
      <c r="K22" t="s">
        <v>422</v>
      </c>
      <c r="L22" t="s">
        <v>423</v>
      </c>
      <c r="M22" t="s">
        <v>424</v>
      </c>
      <c r="N22" t="s">
        <v>425</v>
      </c>
      <c r="O22" t="s">
        <v>426</v>
      </c>
      <c r="P22" t="s">
        <v>427</v>
      </c>
      <c r="Q22" t="s">
        <v>412</v>
      </c>
      <c r="R22" t="s">
        <v>428</v>
      </c>
    </row>
    <row r="23" spans="1:18" x14ac:dyDescent="0.35">
      <c r="A23" s="1" t="s">
        <v>429</v>
      </c>
      <c r="B23" t="s">
        <v>430</v>
      </c>
      <c r="C23" t="s">
        <v>431</v>
      </c>
      <c r="D23" t="s">
        <v>425</v>
      </c>
      <c r="E23" t="s">
        <v>430</v>
      </c>
      <c r="F23" t="s">
        <v>416</v>
      </c>
      <c r="G23" t="s">
        <v>432</v>
      </c>
      <c r="H23" t="s">
        <v>425</v>
      </c>
      <c r="I23" t="s">
        <v>420</v>
      </c>
      <c r="J23" t="s">
        <v>433</v>
      </c>
      <c r="K23" t="s">
        <v>406</v>
      </c>
      <c r="L23" t="s">
        <v>421</v>
      </c>
      <c r="M23" t="s">
        <v>410</v>
      </c>
      <c r="N23" t="s">
        <v>331</v>
      </c>
      <c r="O23" t="s">
        <v>434</v>
      </c>
      <c r="P23" t="s">
        <v>430</v>
      </c>
      <c r="Q23" t="s">
        <v>435</v>
      </c>
      <c r="R23" t="s">
        <v>436</v>
      </c>
    </row>
    <row r="24" spans="1:18" x14ac:dyDescent="0.35">
      <c r="A24" s="1" t="s">
        <v>437</v>
      </c>
      <c r="B24" t="s">
        <v>438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</row>
    <row r="25" spans="1:18" x14ac:dyDescent="0.35">
      <c r="A25" s="1" t="s">
        <v>439</v>
      </c>
      <c r="B25" t="s">
        <v>440</v>
      </c>
      <c r="C25" t="s">
        <v>181</v>
      </c>
      <c r="D25" t="s">
        <v>181</v>
      </c>
      <c r="E25" t="s">
        <v>181</v>
      </c>
      <c r="F25" t="s">
        <v>441</v>
      </c>
      <c r="G25" t="s">
        <v>181</v>
      </c>
      <c r="H25" t="s">
        <v>181</v>
      </c>
      <c r="I25" t="s">
        <v>181</v>
      </c>
      <c r="J25" t="s">
        <v>181</v>
      </c>
      <c r="K25" t="s">
        <v>442</v>
      </c>
      <c r="L25" t="s">
        <v>402</v>
      </c>
      <c r="M25" t="s">
        <v>443</v>
      </c>
      <c r="N25" t="s">
        <v>444</v>
      </c>
      <c r="O25" t="s">
        <v>445</v>
      </c>
      <c r="P25" t="s">
        <v>446</v>
      </c>
      <c r="Q25" t="s">
        <v>447</v>
      </c>
      <c r="R25" t="s">
        <v>448</v>
      </c>
    </row>
    <row r="28" spans="1:18" x14ac:dyDescent="0.35">
      <c r="A28" s="2" t="s">
        <v>449</v>
      </c>
      <c r="B28">
        <f t="shared" ref="B28:R28" si="0">B3*B9</f>
        <v>10.220000000000001</v>
      </c>
      <c r="C28">
        <f t="shared" si="0"/>
        <v>13.54</v>
      </c>
      <c r="D28">
        <f t="shared" si="0"/>
        <v>11.458</v>
      </c>
      <c r="E28">
        <f t="shared" si="0"/>
        <v>11.352000000000002</v>
      </c>
      <c r="F28">
        <f t="shared" si="0"/>
        <v>13.36</v>
      </c>
      <c r="G28">
        <f t="shared" si="0"/>
        <v>13.59</v>
      </c>
      <c r="H28">
        <f t="shared" si="0"/>
        <v>16.420000000000002</v>
      </c>
      <c r="I28">
        <f t="shared" si="0"/>
        <v>22.979999999999997</v>
      </c>
      <c r="J28">
        <f t="shared" si="0"/>
        <v>29.273999999999997</v>
      </c>
      <c r="K28">
        <f t="shared" si="0"/>
        <v>31.031000000000002</v>
      </c>
      <c r="L28">
        <f t="shared" si="0"/>
        <v>36.816000000000003</v>
      </c>
      <c r="M28">
        <f t="shared" si="0"/>
        <v>47.502000000000002</v>
      </c>
      <c r="N28">
        <f t="shared" si="0"/>
        <v>57.485999999999997</v>
      </c>
      <c r="O28">
        <f t="shared" si="0"/>
        <v>59.508000000000003</v>
      </c>
      <c r="P28">
        <f t="shared" si="0"/>
        <v>70.97999999999999</v>
      </c>
      <c r="Q28">
        <f t="shared" si="0"/>
        <v>125.268</v>
      </c>
      <c r="R28">
        <f t="shared" si="0"/>
        <v>2320.056</v>
      </c>
    </row>
    <row r="29" spans="1:18" x14ac:dyDescent="0.35">
      <c r="A29" s="2" t="s">
        <v>450</v>
      </c>
      <c r="B29" s="3">
        <f>B28*'Income Statement'!B26</f>
        <v>868.7</v>
      </c>
      <c r="C29" s="3">
        <f>C28*'Income Statement'!C26</f>
        <v>1814.36</v>
      </c>
      <c r="D29" s="3">
        <f>D28*'Income Statement'!D26</f>
        <v>4273.8339999999998</v>
      </c>
      <c r="E29" s="3">
        <f>E28*'Income Statement'!E26</f>
        <v>5823.5760000000009</v>
      </c>
      <c r="F29" s="3">
        <f>F28*'Income Statement'!F26</f>
        <v>6853.6799999999994</v>
      </c>
      <c r="G29" s="3">
        <f>G28*'Income Statement'!G26</f>
        <v>7406.55</v>
      </c>
      <c r="H29" s="3">
        <f>H28*'Income Statement'!H26</f>
        <v>9572.86</v>
      </c>
      <c r="I29" s="3">
        <f>I28*'Income Statement'!I26</f>
        <v>14224.619999999997</v>
      </c>
      <c r="J29" s="3">
        <f>J28*'Income Statement'!J26</f>
        <v>18501.167999999998</v>
      </c>
      <c r="K29" s="3">
        <f>K28*'Income Statement'!K26</f>
        <v>19673.654000000002</v>
      </c>
      <c r="L29" s="3">
        <f>L28*'Income Statement'!L26</f>
        <v>23488.608</v>
      </c>
      <c r="M29" s="3">
        <f>M28*'Income Statement'!M26</f>
        <v>30686.292000000001</v>
      </c>
      <c r="N29" s="3">
        <f>N28*'Income Statement'!N26</f>
        <v>37595.843999999997</v>
      </c>
      <c r="O29" s="3">
        <f>O28*'Income Statement'!O26</f>
        <v>39513.312000000005</v>
      </c>
      <c r="P29" s="3">
        <f>P28*'Income Statement'!P26</f>
        <v>48053.459999999992</v>
      </c>
      <c r="Q29" s="3">
        <f>Q28*'Income Statement'!Q26</f>
        <v>86059.115999999995</v>
      </c>
      <c r="R29" s="3">
        <f>R28*'Income Statement'!R26</f>
        <v>1607798.808</v>
      </c>
    </row>
    <row r="30" spans="1:18" x14ac:dyDescent="0.35">
      <c r="A30" s="2" t="s">
        <v>451</v>
      </c>
      <c r="B30" s="3">
        <f>B28*'Income Statement'!B25</f>
        <v>868.7</v>
      </c>
      <c r="C30" s="3">
        <f>C28*'Income Statement'!C25</f>
        <v>1814.36</v>
      </c>
      <c r="D30" s="3">
        <f>D28*'Income Statement'!D25</f>
        <v>2165.5619999999999</v>
      </c>
      <c r="E30" s="3">
        <f>E28*'Income Statement'!E25</f>
        <v>3121.8000000000006</v>
      </c>
      <c r="F30" s="3">
        <f>F28*'Income Statement'!F25</f>
        <v>3674</v>
      </c>
      <c r="G30" s="3">
        <f>G28*'Income Statement'!G25</f>
        <v>5245.74</v>
      </c>
      <c r="H30" s="3">
        <f>H28*'Income Statement'!H25</f>
        <v>9047.42</v>
      </c>
      <c r="I30" s="3">
        <f>I28*'Income Statement'!I25</f>
        <v>13833.959999999997</v>
      </c>
      <c r="J30" s="3">
        <f>J28*'Income Statement'!J25</f>
        <v>18179.153999999999</v>
      </c>
      <c r="K30" s="3">
        <f>K28*'Income Statement'!K25</f>
        <v>19456.437000000002</v>
      </c>
      <c r="L30" s="3">
        <f>L28*'Income Statement'!L25</f>
        <v>23267.712000000003</v>
      </c>
      <c r="M30" s="3">
        <f>M28*'Income Statement'!M25</f>
        <v>30258.774000000001</v>
      </c>
      <c r="N30" s="3">
        <f>N28*'Income Statement'!N25</f>
        <v>37078.47</v>
      </c>
      <c r="O30" s="3">
        <f>O28*'Income Statement'!O25</f>
        <v>38918.232000000004</v>
      </c>
      <c r="P30" s="3">
        <f>P28*'Income Statement'!P25</f>
        <v>47201.69999999999</v>
      </c>
      <c r="Q30" s="3">
        <f>Q28*'Income Statement'!Q25</f>
        <v>84681.168000000005</v>
      </c>
      <c r="R30" s="3">
        <f>R28*'Income Statement'!R25</f>
        <v>1589238.36</v>
      </c>
    </row>
    <row r="35" spans="1:2" x14ac:dyDescent="0.35">
      <c r="A35" t="s">
        <v>452</v>
      </c>
      <c r="B35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D47"/>
  <sheetViews>
    <sheetView topLeftCell="A4" workbookViewId="0">
      <selection activeCell="I40" sqref="I40"/>
    </sheetView>
  </sheetViews>
  <sheetFormatPr defaultRowHeight="14.5" x14ac:dyDescent="0.35"/>
  <cols>
    <col min="2" max="2" width="7.453125" customWidth="1"/>
    <col min="3" max="3" width="28" customWidth="1"/>
    <col min="4" max="4" width="9.7265625" customWidth="1"/>
  </cols>
  <sheetData>
    <row r="3" spans="2:4" x14ac:dyDescent="0.35">
      <c r="B3" s="27" t="s">
        <v>454</v>
      </c>
      <c r="C3" s="28"/>
      <c r="D3" s="28"/>
    </row>
    <row r="4" spans="2:4" x14ac:dyDescent="0.35">
      <c r="B4" s="10" t="s">
        <v>50</v>
      </c>
      <c r="D4" s="11">
        <v>69092</v>
      </c>
    </row>
    <row r="5" spans="2:4" s="29" customFormat="1" ht="15" customHeight="1" thickBot="1" x14ac:dyDescent="0.4">
      <c r="B5" s="29" t="s">
        <v>455</v>
      </c>
      <c r="D5" s="31">
        <v>31158</v>
      </c>
    </row>
    <row r="6" spans="2:4" x14ac:dyDescent="0.35">
      <c r="B6" s="10" t="s">
        <v>456</v>
      </c>
      <c r="D6" s="11">
        <f>D4-D5</f>
        <v>37934</v>
      </c>
    </row>
    <row r="7" spans="2:4" x14ac:dyDescent="0.35">
      <c r="C7" s="30" t="s">
        <v>55</v>
      </c>
      <c r="D7" s="32"/>
    </row>
    <row r="8" spans="2:4" x14ac:dyDescent="0.35">
      <c r="C8" t="s">
        <v>457</v>
      </c>
      <c r="D8" s="3">
        <v>10273</v>
      </c>
    </row>
    <row r="9" spans="2:4" x14ac:dyDescent="0.35">
      <c r="C9" t="s">
        <v>458</v>
      </c>
      <c r="D9" s="3">
        <f>6929+3597</f>
        <v>10526</v>
      </c>
    </row>
    <row r="10" spans="2:4" x14ac:dyDescent="0.35">
      <c r="C10" t="s">
        <v>459</v>
      </c>
      <c r="D10" s="3" t="s">
        <v>42</v>
      </c>
    </row>
    <row r="11" spans="2:4" s="5" customFormat="1" x14ac:dyDescent="0.35">
      <c r="C11" s="5" t="s">
        <v>460</v>
      </c>
      <c r="D11" s="17" t="s">
        <v>42</v>
      </c>
    </row>
    <row r="12" spans="2:4" x14ac:dyDescent="0.35">
      <c r="C12" t="s">
        <v>461</v>
      </c>
      <c r="D12" s="3">
        <f>SUM(D8:D9)</f>
        <v>20799</v>
      </c>
    </row>
    <row r="13" spans="2:4" s="29" customFormat="1" ht="15" customHeight="1" thickBot="1" x14ac:dyDescent="0.4">
      <c r="D13" s="31"/>
    </row>
    <row r="14" spans="2:4" x14ac:dyDescent="0.35">
      <c r="B14" s="10" t="s">
        <v>462</v>
      </c>
      <c r="D14" s="11">
        <f>D6-D12</f>
        <v>17135</v>
      </c>
    </row>
    <row r="15" spans="2:4" x14ac:dyDescent="0.35">
      <c r="D15" s="3"/>
    </row>
    <row r="16" spans="2:4" x14ac:dyDescent="0.35">
      <c r="C16" s="30" t="s">
        <v>463</v>
      </c>
      <c r="D16" s="32"/>
    </row>
    <row r="17" spans="2:4" x14ac:dyDescent="0.35">
      <c r="C17" t="s">
        <v>464</v>
      </c>
      <c r="D17" s="3">
        <v>-902</v>
      </c>
    </row>
    <row r="18" spans="2:4" x14ac:dyDescent="0.35">
      <c r="C18" t="s">
        <v>465</v>
      </c>
      <c r="D18" s="3" t="s">
        <v>42</v>
      </c>
    </row>
    <row r="19" spans="2:4" x14ac:dyDescent="0.35">
      <c r="C19" t="s">
        <v>466</v>
      </c>
      <c r="D19" s="3">
        <f>D14+D17</f>
        <v>16233</v>
      </c>
    </row>
    <row r="20" spans="2:4" x14ac:dyDescent="0.35">
      <c r="C20" t="s">
        <v>467</v>
      </c>
      <c r="D20" s="3">
        <v>2323</v>
      </c>
    </row>
    <row r="21" spans="2:4" s="5" customFormat="1" x14ac:dyDescent="0.35">
      <c r="C21" s="5" t="s">
        <v>468</v>
      </c>
      <c r="D21" s="17" t="s">
        <v>42</v>
      </c>
    </row>
    <row r="22" spans="2:4" x14ac:dyDescent="0.35">
      <c r="C22" t="s">
        <v>469</v>
      </c>
      <c r="D22" s="3">
        <f>D19-D20</f>
        <v>13910</v>
      </c>
    </row>
    <row r="23" spans="2:4" x14ac:dyDescent="0.35">
      <c r="D23" s="3"/>
    </row>
    <row r="24" spans="2:4" x14ac:dyDescent="0.35">
      <c r="C24" s="30" t="s">
        <v>470</v>
      </c>
      <c r="D24" s="32"/>
    </row>
    <row r="25" spans="2:4" x14ac:dyDescent="0.35">
      <c r="C25" t="s">
        <v>471</v>
      </c>
      <c r="D25" s="3" t="s">
        <v>42</v>
      </c>
    </row>
    <row r="26" spans="2:4" x14ac:dyDescent="0.35">
      <c r="C26" t="s">
        <v>472</v>
      </c>
      <c r="D26" s="3" t="s">
        <v>42</v>
      </c>
    </row>
    <row r="27" spans="2:4" x14ac:dyDescent="0.35">
      <c r="C27" t="s">
        <v>473</v>
      </c>
      <c r="D27" s="3" t="s">
        <v>42</v>
      </c>
    </row>
    <row r="28" spans="2:4" x14ac:dyDescent="0.35">
      <c r="C28" t="s">
        <v>474</v>
      </c>
      <c r="D28" s="3" t="s">
        <v>42</v>
      </c>
    </row>
    <row r="29" spans="2:4" s="29" customFormat="1" ht="15" customHeight="1" thickBot="1" x14ac:dyDescent="0.4">
      <c r="D29" s="31"/>
    </row>
    <row r="30" spans="2:4" s="10" customFormat="1" x14ac:dyDescent="0.35">
      <c r="B30" s="10" t="s">
        <v>475</v>
      </c>
      <c r="D30" s="11">
        <f>D22</f>
        <v>13910</v>
      </c>
    </row>
    <row r="31" spans="2:4" s="29" customFormat="1" ht="15" customHeight="1" thickBot="1" x14ac:dyDescent="0.4">
      <c r="B31" s="29" t="s">
        <v>476</v>
      </c>
      <c r="D31" s="31" t="s">
        <v>42</v>
      </c>
    </row>
    <row r="32" spans="2:4" s="10" customFormat="1" x14ac:dyDescent="0.35">
      <c r="B32" s="10" t="s">
        <v>477</v>
      </c>
      <c r="D32" s="33">
        <f>D30</f>
        <v>13910</v>
      </c>
    </row>
    <row r="35" spans="2:4" x14ac:dyDescent="0.35">
      <c r="B35" s="27" t="s">
        <v>454</v>
      </c>
      <c r="C35" s="28"/>
      <c r="D35" s="28"/>
    </row>
    <row r="37" spans="2:4" x14ac:dyDescent="0.35">
      <c r="C37" s="30" t="s">
        <v>478</v>
      </c>
      <c r="D37" s="30"/>
    </row>
    <row r="38" spans="2:4" x14ac:dyDescent="0.35">
      <c r="C38" t="s">
        <v>479</v>
      </c>
      <c r="D38" s="3">
        <v>39539</v>
      </c>
    </row>
    <row r="39" spans="2:4" x14ac:dyDescent="0.35">
      <c r="C39" t="s">
        <v>480</v>
      </c>
      <c r="D39" s="3">
        <v>7071</v>
      </c>
    </row>
    <row r="40" spans="2:4" s="5" customFormat="1" x14ac:dyDescent="0.35">
      <c r="C40" s="5" t="s">
        <v>46</v>
      </c>
      <c r="D40" s="17">
        <v>7872</v>
      </c>
    </row>
    <row r="41" spans="2:4" s="10" customFormat="1" x14ac:dyDescent="0.35">
      <c r="C41" s="10" t="s">
        <v>49</v>
      </c>
      <c r="D41" s="11">
        <f>SUM(D38:D40)</f>
        <v>54482</v>
      </c>
    </row>
    <row r="42" spans="2:4" s="5" customFormat="1" x14ac:dyDescent="0.35">
      <c r="C42" s="5" t="s">
        <v>481</v>
      </c>
      <c r="D42" s="17">
        <v>6895</v>
      </c>
    </row>
    <row r="43" spans="2:4" s="10" customFormat="1" x14ac:dyDescent="0.35">
      <c r="C43" s="10" t="s">
        <v>482</v>
      </c>
      <c r="D43" s="11">
        <f>D41+D42</f>
        <v>61377</v>
      </c>
    </row>
    <row r="44" spans="2:4" x14ac:dyDescent="0.35">
      <c r="C44" t="s">
        <v>483</v>
      </c>
      <c r="D44" s="3">
        <v>6868</v>
      </c>
    </row>
    <row r="45" spans="2:4" x14ac:dyDescent="0.35">
      <c r="C45" t="s">
        <v>43</v>
      </c>
      <c r="D45" s="3">
        <v>209</v>
      </c>
    </row>
    <row r="46" spans="2:4" s="5" customFormat="1" x14ac:dyDescent="0.35">
      <c r="C46" s="5" t="s">
        <v>484</v>
      </c>
      <c r="D46" s="17">
        <v>638</v>
      </c>
    </row>
    <row r="47" spans="2:4" s="10" customFormat="1" x14ac:dyDescent="0.35">
      <c r="C47" s="10" t="s">
        <v>485</v>
      </c>
      <c r="D47" s="11">
        <f>SUM(D43:D46)</f>
        <v>69092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Q47"/>
  <sheetViews>
    <sheetView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4.5" x14ac:dyDescent="0.35"/>
  <cols>
    <col min="1" max="1" width="29.7265625" customWidth="1"/>
    <col min="2" max="24" width="10.6328125" customWidth="1"/>
    <col min="25" max="27" width="8.90625" bestFit="1" customWidth="1"/>
    <col min="28" max="28" width="14.36328125" bestFit="1" customWidth="1"/>
    <col min="29" max="31" width="8.90625" bestFit="1" customWidth="1"/>
    <col min="32" max="39" width="9" bestFit="1" customWidth="1"/>
    <col min="40" max="40" width="10.08984375" bestFit="1" customWidth="1"/>
  </cols>
  <sheetData>
    <row r="1" spans="1:40" x14ac:dyDescent="0.35">
      <c r="A1" s="1" t="s">
        <v>108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>
        <v>2022</v>
      </c>
      <c r="Z1">
        <f t="shared" ref="Z1:AN1" si="0">Y1+1</f>
        <v>2023</v>
      </c>
      <c r="AA1">
        <f t="shared" si="0"/>
        <v>2024</v>
      </c>
      <c r="AB1">
        <f t="shared" si="0"/>
        <v>2025</v>
      </c>
      <c r="AC1">
        <f t="shared" si="0"/>
        <v>2026</v>
      </c>
      <c r="AD1">
        <f t="shared" si="0"/>
        <v>2027</v>
      </c>
      <c r="AE1">
        <f t="shared" si="0"/>
        <v>2028</v>
      </c>
      <c r="AF1">
        <f t="shared" si="0"/>
        <v>2029</v>
      </c>
      <c r="AG1">
        <f t="shared" si="0"/>
        <v>2030</v>
      </c>
      <c r="AH1">
        <f t="shared" si="0"/>
        <v>2031</v>
      </c>
      <c r="AI1">
        <f t="shared" si="0"/>
        <v>2032</v>
      </c>
      <c r="AJ1">
        <f t="shared" si="0"/>
        <v>2033</v>
      </c>
      <c r="AK1">
        <f t="shared" si="0"/>
        <v>2034</v>
      </c>
      <c r="AL1">
        <f t="shared" si="0"/>
        <v>2035</v>
      </c>
      <c r="AM1">
        <f t="shared" si="0"/>
        <v>2036</v>
      </c>
      <c r="AN1">
        <f t="shared" si="0"/>
        <v>2037</v>
      </c>
    </row>
    <row r="2" spans="1:40" s="10" customFormat="1" x14ac:dyDescent="0.35">
      <c r="A2" s="1" t="s">
        <v>52</v>
      </c>
      <c r="B2" s="10" t="s">
        <v>181</v>
      </c>
      <c r="C2" s="10" t="s">
        <v>493</v>
      </c>
      <c r="D2" s="10" t="s">
        <v>494</v>
      </c>
      <c r="E2" s="10" t="s">
        <v>495</v>
      </c>
      <c r="F2" s="10" t="s">
        <v>496</v>
      </c>
      <c r="G2" s="10" t="s">
        <v>497</v>
      </c>
      <c r="H2" s="10" t="s">
        <v>498</v>
      </c>
      <c r="I2" s="10" t="s">
        <v>250</v>
      </c>
      <c r="J2" s="10" t="s">
        <v>251</v>
      </c>
      <c r="K2" s="10" t="s">
        <v>252</v>
      </c>
      <c r="L2" s="10" t="s">
        <v>253</v>
      </c>
      <c r="M2" s="10" t="s">
        <v>254</v>
      </c>
      <c r="N2" s="10" t="s">
        <v>255</v>
      </c>
      <c r="O2" s="10" t="s">
        <v>256</v>
      </c>
      <c r="P2" s="10" t="s">
        <v>257</v>
      </c>
      <c r="Q2" s="10" t="s">
        <v>258</v>
      </c>
      <c r="R2" s="10" t="s">
        <v>259</v>
      </c>
      <c r="S2" s="10" t="s">
        <v>260</v>
      </c>
      <c r="T2" s="10" t="s">
        <v>261</v>
      </c>
      <c r="U2" s="10" t="s">
        <v>262</v>
      </c>
      <c r="V2" s="10" t="s">
        <v>263</v>
      </c>
      <c r="W2" s="10" t="s">
        <v>264</v>
      </c>
      <c r="X2" s="10" t="s">
        <v>265</v>
      </c>
      <c r="Y2" s="11">
        <f>X2*1.2</f>
        <v>309164.39999999997</v>
      </c>
      <c r="Z2" s="11">
        <f>Y2*1.2</f>
        <v>370997.27999999997</v>
      </c>
      <c r="AA2" s="11">
        <f>Z2*1.2</f>
        <v>445196.73599999998</v>
      </c>
      <c r="AB2" s="11">
        <f t="shared" ref="AB2:AN2" si="1">AA2*1.15</f>
        <v>511976.24639999995</v>
      </c>
      <c r="AC2" s="11">
        <f t="shared" si="1"/>
        <v>588772.68335999991</v>
      </c>
      <c r="AD2" s="11">
        <f t="shared" si="1"/>
        <v>677088.58586399979</v>
      </c>
      <c r="AE2" s="11">
        <f t="shared" si="1"/>
        <v>778651.87374359975</v>
      </c>
      <c r="AF2" s="11">
        <f t="shared" si="1"/>
        <v>895449.65480513964</v>
      </c>
      <c r="AG2" s="11">
        <f t="shared" si="1"/>
        <v>1029767.1030259106</v>
      </c>
      <c r="AH2" s="11">
        <f t="shared" si="1"/>
        <v>1184232.168479797</v>
      </c>
      <c r="AI2" s="11">
        <f t="shared" si="1"/>
        <v>1361866.9937517664</v>
      </c>
      <c r="AJ2" s="11">
        <f t="shared" si="1"/>
        <v>1566147.0428145311</v>
      </c>
      <c r="AK2" s="11">
        <f t="shared" si="1"/>
        <v>1801069.0992367107</v>
      </c>
      <c r="AL2" s="11">
        <f t="shared" si="1"/>
        <v>2071229.4641222171</v>
      </c>
      <c r="AM2" s="11">
        <f t="shared" si="1"/>
        <v>2381913.8837405494</v>
      </c>
      <c r="AN2" s="11">
        <f t="shared" si="1"/>
        <v>2739200.9663016316</v>
      </c>
    </row>
    <row r="3" spans="1:40" x14ac:dyDescent="0.35">
      <c r="A3" s="1" t="s">
        <v>53</v>
      </c>
      <c r="B3" t="s">
        <v>499</v>
      </c>
      <c r="C3" t="s">
        <v>500</v>
      </c>
      <c r="D3" t="s">
        <v>501</v>
      </c>
      <c r="E3" t="s">
        <v>502</v>
      </c>
      <c r="F3" t="s">
        <v>503</v>
      </c>
      <c r="G3" t="s">
        <v>504</v>
      </c>
      <c r="H3" t="s">
        <v>505</v>
      </c>
      <c r="I3" t="s">
        <v>506</v>
      </c>
      <c r="J3" t="s">
        <v>507</v>
      </c>
      <c r="K3" t="s">
        <v>508</v>
      </c>
      <c r="L3" t="s">
        <v>509</v>
      </c>
      <c r="M3" t="s">
        <v>510</v>
      </c>
      <c r="N3" t="s">
        <v>511</v>
      </c>
      <c r="O3" t="s">
        <v>512</v>
      </c>
      <c r="P3" t="s">
        <v>513</v>
      </c>
      <c r="Q3" t="s">
        <v>514</v>
      </c>
      <c r="R3" t="s">
        <v>515</v>
      </c>
      <c r="S3" t="s">
        <v>516</v>
      </c>
      <c r="T3" t="s">
        <v>517</v>
      </c>
      <c r="U3" t="s">
        <v>518</v>
      </c>
      <c r="V3" t="s">
        <v>519</v>
      </c>
      <c r="W3" t="s">
        <v>520</v>
      </c>
      <c r="X3" t="s">
        <v>521</v>
      </c>
    </row>
    <row r="4" spans="1:40" s="10" customFormat="1" x14ac:dyDescent="0.35">
      <c r="A4" s="1" t="s">
        <v>54</v>
      </c>
      <c r="B4" s="10" t="s">
        <v>522</v>
      </c>
      <c r="C4" s="10" t="s">
        <v>523</v>
      </c>
      <c r="D4" s="10" t="s">
        <v>524</v>
      </c>
      <c r="E4" s="10" t="s">
        <v>525</v>
      </c>
      <c r="F4" s="10" t="s">
        <v>526</v>
      </c>
      <c r="G4" s="10" t="s">
        <v>527</v>
      </c>
      <c r="H4" s="10" t="s">
        <v>528</v>
      </c>
      <c r="I4" s="10" t="s">
        <v>529</v>
      </c>
      <c r="J4" s="10" t="s">
        <v>530</v>
      </c>
      <c r="K4" s="10" t="s">
        <v>531</v>
      </c>
      <c r="L4" s="10" t="s">
        <v>532</v>
      </c>
      <c r="M4" s="10" t="s">
        <v>533</v>
      </c>
      <c r="N4" s="10" t="s">
        <v>534</v>
      </c>
      <c r="O4" s="10" t="s">
        <v>535</v>
      </c>
      <c r="P4" s="10" t="s">
        <v>536</v>
      </c>
      <c r="Q4" s="10" t="s">
        <v>537</v>
      </c>
      <c r="R4" s="10" t="s">
        <v>538</v>
      </c>
      <c r="S4" s="10" t="s">
        <v>539</v>
      </c>
      <c r="T4" s="10" t="s">
        <v>540</v>
      </c>
      <c r="U4" s="10" t="s">
        <v>541</v>
      </c>
      <c r="V4" s="10" t="s">
        <v>542</v>
      </c>
      <c r="W4" s="10" t="s">
        <v>543</v>
      </c>
      <c r="X4" s="10" t="s">
        <v>544</v>
      </c>
      <c r="Y4" s="11">
        <f t="shared" ref="Y4:AN4" si="2">Y2*0.55</f>
        <v>170040.41999999998</v>
      </c>
      <c r="Z4" s="11">
        <f t="shared" si="2"/>
        <v>204048.50399999999</v>
      </c>
      <c r="AA4" s="11">
        <f t="shared" si="2"/>
        <v>244858.20480000001</v>
      </c>
      <c r="AB4" s="11">
        <f t="shared" si="2"/>
        <v>281586.93552</v>
      </c>
      <c r="AC4" s="11">
        <f t="shared" si="2"/>
        <v>323824.97584799997</v>
      </c>
      <c r="AD4" s="11">
        <f t="shared" si="2"/>
        <v>372398.72222519992</v>
      </c>
      <c r="AE4" s="11">
        <f t="shared" si="2"/>
        <v>428258.5305589799</v>
      </c>
      <c r="AF4" s="11">
        <f t="shared" si="2"/>
        <v>492497.31014282681</v>
      </c>
      <c r="AG4" s="11">
        <f t="shared" si="2"/>
        <v>566371.90666425088</v>
      </c>
      <c r="AH4" s="11">
        <f t="shared" si="2"/>
        <v>651327.69266388833</v>
      </c>
      <c r="AI4" s="11">
        <f t="shared" si="2"/>
        <v>749026.8465634716</v>
      </c>
      <c r="AJ4" s="11">
        <f t="shared" si="2"/>
        <v>861380.8735479922</v>
      </c>
      <c r="AK4" s="11">
        <f t="shared" si="2"/>
        <v>990588.00458019099</v>
      </c>
      <c r="AL4" s="11">
        <f t="shared" si="2"/>
        <v>1139176.2052672196</v>
      </c>
      <c r="AM4" s="11">
        <f t="shared" si="2"/>
        <v>1310052.6360573024</v>
      </c>
      <c r="AN4" s="11">
        <f t="shared" si="2"/>
        <v>1506560.5314658976</v>
      </c>
    </row>
    <row r="5" spans="1:40" x14ac:dyDescent="0.35">
      <c r="A5" s="1" t="s">
        <v>545</v>
      </c>
      <c r="B5" t="s">
        <v>546</v>
      </c>
      <c r="C5" t="s">
        <v>547</v>
      </c>
      <c r="D5" t="s">
        <v>548</v>
      </c>
      <c r="E5" t="s">
        <v>549</v>
      </c>
      <c r="F5" t="s">
        <v>550</v>
      </c>
      <c r="G5" t="s">
        <v>551</v>
      </c>
      <c r="H5" t="s">
        <v>552</v>
      </c>
      <c r="I5" t="s">
        <v>553</v>
      </c>
      <c r="J5" t="s">
        <v>554</v>
      </c>
      <c r="K5" t="s">
        <v>555</v>
      </c>
      <c r="L5" t="s">
        <v>556</v>
      </c>
      <c r="M5" t="s">
        <v>557</v>
      </c>
      <c r="N5" t="s">
        <v>558</v>
      </c>
      <c r="O5" t="s">
        <v>559</v>
      </c>
      <c r="P5" t="s">
        <v>560</v>
      </c>
      <c r="Q5" t="s">
        <v>561</v>
      </c>
      <c r="R5" t="s">
        <v>562</v>
      </c>
      <c r="S5" t="s">
        <v>563</v>
      </c>
      <c r="T5" t="s">
        <v>564</v>
      </c>
      <c r="U5" t="s">
        <v>565</v>
      </c>
      <c r="V5" t="s">
        <v>566</v>
      </c>
      <c r="W5" t="s">
        <v>567</v>
      </c>
      <c r="X5" t="s">
        <v>568</v>
      </c>
    </row>
    <row r="6" spans="1:40" x14ac:dyDescent="0.35">
      <c r="A6" s="1" t="s">
        <v>55</v>
      </c>
      <c r="B6" t="s">
        <v>500</v>
      </c>
      <c r="C6" t="s">
        <v>569</v>
      </c>
      <c r="D6" t="s">
        <v>570</v>
      </c>
      <c r="E6" t="s">
        <v>571</v>
      </c>
      <c r="F6" t="s">
        <v>572</v>
      </c>
      <c r="G6" t="s">
        <v>573</v>
      </c>
      <c r="H6" t="s">
        <v>574</v>
      </c>
      <c r="I6" t="s">
        <v>575</v>
      </c>
      <c r="J6" t="s">
        <v>576</v>
      </c>
      <c r="K6" t="s">
        <v>577</v>
      </c>
      <c r="L6" t="s">
        <v>578</v>
      </c>
      <c r="M6" t="s">
        <v>579</v>
      </c>
      <c r="N6" t="s">
        <v>580</v>
      </c>
      <c r="O6" t="s">
        <v>581</v>
      </c>
      <c r="P6" t="s">
        <v>582</v>
      </c>
      <c r="Q6" t="s">
        <v>583</v>
      </c>
      <c r="R6" t="s">
        <v>584</v>
      </c>
      <c r="S6" t="s">
        <v>585</v>
      </c>
      <c r="T6" t="s">
        <v>586</v>
      </c>
      <c r="U6" t="s">
        <v>587</v>
      </c>
      <c r="V6" t="s">
        <v>588</v>
      </c>
      <c r="W6" t="s">
        <v>589</v>
      </c>
      <c r="X6" t="s">
        <v>590</v>
      </c>
    </row>
    <row r="7" spans="1:40" x14ac:dyDescent="0.35">
      <c r="A7" s="1" t="s">
        <v>591</v>
      </c>
      <c r="B7" t="s">
        <v>592</v>
      </c>
      <c r="C7" t="s">
        <v>593</v>
      </c>
      <c r="D7" t="s">
        <v>594</v>
      </c>
      <c r="E7" t="s">
        <v>595</v>
      </c>
      <c r="F7" t="s">
        <v>596</v>
      </c>
      <c r="G7" t="s">
        <v>597</v>
      </c>
      <c r="H7" t="s">
        <v>598</v>
      </c>
      <c r="I7" t="s">
        <v>599</v>
      </c>
      <c r="J7" t="s">
        <v>600</v>
      </c>
      <c r="K7" t="s">
        <v>601</v>
      </c>
      <c r="L7" t="s">
        <v>602</v>
      </c>
      <c r="M7" t="s">
        <v>603</v>
      </c>
      <c r="N7" t="s">
        <v>604</v>
      </c>
      <c r="O7" t="s">
        <v>605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611</v>
      </c>
      <c r="V7" t="s">
        <v>612</v>
      </c>
      <c r="W7" t="s">
        <v>613</v>
      </c>
      <c r="X7" t="s">
        <v>614</v>
      </c>
    </row>
    <row r="8" spans="1:40" x14ac:dyDescent="0.35">
      <c r="A8" s="1" t="s">
        <v>615</v>
      </c>
      <c r="B8" t="s">
        <v>592</v>
      </c>
      <c r="C8" t="s">
        <v>616</v>
      </c>
      <c r="D8" t="s">
        <v>617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618</v>
      </c>
      <c r="K8" t="s">
        <v>619</v>
      </c>
      <c r="L8" t="s">
        <v>620</v>
      </c>
      <c r="M8" t="s">
        <v>621</v>
      </c>
      <c r="N8" t="s">
        <v>622</v>
      </c>
      <c r="O8" t="s">
        <v>623</v>
      </c>
      <c r="P8" t="s">
        <v>624</v>
      </c>
      <c r="Q8" t="s">
        <v>625</v>
      </c>
      <c r="R8" t="s">
        <v>626</v>
      </c>
      <c r="S8" t="s">
        <v>627</v>
      </c>
      <c r="T8" t="s">
        <v>628</v>
      </c>
      <c r="U8" t="s">
        <v>629</v>
      </c>
      <c r="V8" t="s">
        <v>630</v>
      </c>
      <c r="W8" t="s">
        <v>631</v>
      </c>
      <c r="X8" t="s">
        <v>632</v>
      </c>
    </row>
    <row r="9" spans="1:40" x14ac:dyDescent="0.35">
      <c r="A9" s="1" t="s">
        <v>633</v>
      </c>
      <c r="B9" t="s">
        <v>181</v>
      </c>
      <c r="C9" t="s">
        <v>634</v>
      </c>
      <c r="D9" t="s">
        <v>635</v>
      </c>
      <c r="E9" t="s">
        <v>636</v>
      </c>
      <c r="F9" t="s">
        <v>637</v>
      </c>
      <c r="G9" t="s">
        <v>638</v>
      </c>
      <c r="H9" t="s">
        <v>639</v>
      </c>
      <c r="I9" t="s">
        <v>640</v>
      </c>
      <c r="J9" t="s">
        <v>641</v>
      </c>
      <c r="K9" t="s">
        <v>642</v>
      </c>
      <c r="L9" t="s">
        <v>643</v>
      </c>
      <c r="M9" t="s">
        <v>644</v>
      </c>
      <c r="N9" t="s">
        <v>645</v>
      </c>
      <c r="O9" t="s">
        <v>646</v>
      </c>
      <c r="P9" t="s">
        <v>647</v>
      </c>
      <c r="Q9" t="s">
        <v>648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</row>
    <row r="10" spans="1:40" x14ac:dyDescent="0.35">
      <c r="A10" s="1" t="s">
        <v>649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650</v>
      </c>
      <c r="K10" t="s">
        <v>651</v>
      </c>
      <c r="L10" t="s">
        <v>596</v>
      </c>
      <c r="M10" t="s">
        <v>652</v>
      </c>
      <c r="N10" t="s">
        <v>653</v>
      </c>
      <c r="O10" t="s">
        <v>654</v>
      </c>
      <c r="P10" t="s">
        <v>655</v>
      </c>
      <c r="Q10" t="s">
        <v>656</v>
      </c>
      <c r="R10" t="s">
        <v>657</v>
      </c>
      <c r="S10" t="s">
        <v>658</v>
      </c>
      <c r="T10" t="s">
        <v>659</v>
      </c>
      <c r="U10" t="s">
        <v>660</v>
      </c>
      <c r="V10" t="s">
        <v>661</v>
      </c>
      <c r="W10" t="s">
        <v>662</v>
      </c>
      <c r="X10" t="s">
        <v>663</v>
      </c>
    </row>
    <row r="11" spans="1:40" x14ac:dyDescent="0.35">
      <c r="A11" s="1" t="s">
        <v>465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499</v>
      </c>
      <c r="K11" t="s">
        <v>181</v>
      </c>
      <c r="L11" t="s">
        <v>181</v>
      </c>
      <c r="M11" t="s">
        <v>181</v>
      </c>
      <c r="N11" t="s">
        <v>664</v>
      </c>
      <c r="O11" t="s">
        <v>665</v>
      </c>
      <c r="P11" t="s">
        <v>666</v>
      </c>
      <c r="Q11" t="s">
        <v>667</v>
      </c>
      <c r="R11" t="s">
        <v>668</v>
      </c>
      <c r="S11" t="s">
        <v>669</v>
      </c>
      <c r="T11" t="s">
        <v>670</v>
      </c>
      <c r="U11" t="s">
        <v>671</v>
      </c>
      <c r="V11" t="s">
        <v>672</v>
      </c>
      <c r="W11" t="s">
        <v>673</v>
      </c>
      <c r="X11" t="s">
        <v>674</v>
      </c>
    </row>
    <row r="12" spans="1:40" x14ac:dyDescent="0.35">
      <c r="A12" s="1" t="s">
        <v>675</v>
      </c>
      <c r="B12" t="s">
        <v>181</v>
      </c>
      <c r="C12" t="s">
        <v>181</v>
      </c>
      <c r="D12" t="s">
        <v>676</v>
      </c>
      <c r="E12" t="s">
        <v>677</v>
      </c>
      <c r="F12" t="s">
        <v>678</v>
      </c>
      <c r="G12" t="s">
        <v>679</v>
      </c>
      <c r="H12" t="s">
        <v>680</v>
      </c>
      <c r="I12" t="s">
        <v>285</v>
      </c>
      <c r="J12" t="s">
        <v>286</v>
      </c>
      <c r="K12" t="s">
        <v>287</v>
      </c>
      <c r="L12" t="s">
        <v>288</v>
      </c>
      <c r="M12" t="s">
        <v>289</v>
      </c>
      <c r="N12" t="s">
        <v>290</v>
      </c>
      <c r="O12" t="s">
        <v>291</v>
      </c>
      <c r="P12" t="s">
        <v>292</v>
      </c>
      <c r="Q12" t="s">
        <v>293</v>
      </c>
      <c r="R12" t="s">
        <v>294</v>
      </c>
      <c r="S12" t="s">
        <v>295</v>
      </c>
      <c r="T12" t="s">
        <v>296</v>
      </c>
      <c r="U12" t="s">
        <v>297</v>
      </c>
      <c r="V12" t="s">
        <v>298</v>
      </c>
      <c r="W12" t="s">
        <v>299</v>
      </c>
      <c r="X12" t="s">
        <v>300</v>
      </c>
    </row>
    <row r="13" spans="1:40" x14ac:dyDescent="0.35">
      <c r="A13" s="1" t="s">
        <v>681</v>
      </c>
      <c r="B13" t="s">
        <v>682</v>
      </c>
      <c r="C13" t="s">
        <v>683</v>
      </c>
      <c r="D13" t="s">
        <v>684</v>
      </c>
      <c r="E13" t="s">
        <v>685</v>
      </c>
      <c r="F13" t="s">
        <v>686</v>
      </c>
      <c r="G13" t="s">
        <v>687</v>
      </c>
      <c r="H13" t="s">
        <v>688</v>
      </c>
      <c r="I13" t="s">
        <v>689</v>
      </c>
      <c r="J13" t="s">
        <v>690</v>
      </c>
      <c r="K13" t="s">
        <v>691</v>
      </c>
      <c r="L13" t="s">
        <v>692</v>
      </c>
      <c r="M13" t="s">
        <v>693</v>
      </c>
      <c r="N13" t="s">
        <v>694</v>
      </c>
      <c r="O13" t="s">
        <v>695</v>
      </c>
      <c r="P13" t="s">
        <v>696</v>
      </c>
      <c r="Q13" t="s">
        <v>697</v>
      </c>
      <c r="R13" t="s">
        <v>698</v>
      </c>
      <c r="S13" t="s">
        <v>699</v>
      </c>
      <c r="T13" t="s">
        <v>700</v>
      </c>
      <c r="U13" t="s">
        <v>701</v>
      </c>
      <c r="V13" t="s">
        <v>702</v>
      </c>
      <c r="W13" t="s">
        <v>703</v>
      </c>
      <c r="X13" t="s">
        <v>704</v>
      </c>
    </row>
    <row r="14" spans="1:40" x14ac:dyDescent="0.35">
      <c r="A14" s="1" t="s">
        <v>705</v>
      </c>
      <c r="B14" t="s">
        <v>546</v>
      </c>
      <c r="C14" t="s">
        <v>706</v>
      </c>
      <c r="D14" t="s">
        <v>707</v>
      </c>
      <c r="E14" t="s">
        <v>708</v>
      </c>
      <c r="F14" t="s">
        <v>709</v>
      </c>
      <c r="G14" t="s">
        <v>710</v>
      </c>
      <c r="H14" t="s">
        <v>711</v>
      </c>
      <c r="I14" t="s">
        <v>712</v>
      </c>
      <c r="J14" t="s">
        <v>713</v>
      </c>
      <c r="K14" t="s">
        <v>714</v>
      </c>
      <c r="L14" t="s">
        <v>715</v>
      </c>
      <c r="M14" t="s">
        <v>716</v>
      </c>
      <c r="N14" t="s">
        <v>717</v>
      </c>
      <c r="O14" t="s">
        <v>718</v>
      </c>
      <c r="P14" t="s">
        <v>719</v>
      </c>
      <c r="Q14" t="s">
        <v>720</v>
      </c>
      <c r="R14" t="s">
        <v>721</v>
      </c>
      <c r="S14" t="s">
        <v>722</v>
      </c>
      <c r="T14" t="s">
        <v>723</v>
      </c>
      <c r="U14" t="s">
        <v>724</v>
      </c>
      <c r="V14" t="s">
        <v>725</v>
      </c>
      <c r="W14" t="s">
        <v>726</v>
      </c>
      <c r="X14" t="s">
        <v>727</v>
      </c>
    </row>
    <row r="15" spans="1:40" x14ac:dyDescent="0.35">
      <c r="A15" s="1" t="s">
        <v>60</v>
      </c>
      <c r="B15" t="s">
        <v>728</v>
      </c>
      <c r="C15" t="s">
        <v>683</v>
      </c>
      <c r="D15" t="s">
        <v>729</v>
      </c>
      <c r="E15" t="s">
        <v>730</v>
      </c>
      <c r="F15" t="s">
        <v>731</v>
      </c>
      <c r="G15" t="s">
        <v>732</v>
      </c>
      <c r="H15" t="s">
        <v>733</v>
      </c>
      <c r="I15" t="s">
        <v>734</v>
      </c>
      <c r="J15" t="s">
        <v>735</v>
      </c>
      <c r="K15" t="s">
        <v>736</v>
      </c>
      <c r="L15" t="s">
        <v>737</v>
      </c>
      <c r="M15" t="s">
        <v>738</v>
      </c>
      <c r="N15" t="s">
        <v>739</v>
      </c>
      <c r="O15" t="s">
        <v>740</v>
      </c>
      <c r="P15" t="s">
        <v>741</v>
      </c>
      <c r="Q15" t="s">
        <v>742</v>
      </c>
      <c r="R15" t="s">
        <v>743</v>
      </c>
      <c r="S15" t="s">
        <v>744</v>
      </c>
      <c r="T15" t="s">
        <v>745</v>
      </c>
      <c r="U15" t="s">
        <v>746</v>
      </c>
      <c r="V15" t="s">
        <v>747</v>
      </c>
      <c r="W15" t="s">
        <v>748</v>
      </c>
      <c r="X15" t="s">
        <v>749</v>
      </c>
    </row>
    <row r="16" spans="1:40" x14ac:dyDescent="0.35">
      <c r="A16" s="1" t="s">
        <v>750</v>
      </c>
      <c r="B16" t="s">
        <v>546</v>
      </c>
      <c r="C16" t="s">
        <v>751</v>
      </c>
      <c r="D16" t="s">
        <v>752</v>
      </c>
      <c r="E16" t="s">
        <v>753</v>
      </c>
      <c r="F16" t="s">
        <v>754</v>
      </c>
      <c r="G16" t="s">
        <v>755</v>
      </c>
      <c r="H16" t="s">
        <v>756</v>
      </c>
      <c r="I16" t="s">
        <v>757</v>
      </c>
      <c r="J16" t="s">
        <v>758</v>
      </c>
      <c r="K16" t="s">
        <v>759</v>
      </c>
      <c r="L16" t="s">
        <v>760</v>
      </c>
      <c r="M16" t="s">
        <v>761</v>
      </c>
      <c r="N16" t="s">
        <v>762</v>
      </c>
      <c r="O16" t="s">
        <v>763</v>
      </c>
      <c r="P16" t="s">
        <v>764</v>
      </c>
      <c r="Q16" t="s">
        <v>765</v>
      </c>
      <c r="R16" t="s">
        <v>766</v>
      </c>
      <c r="S16" t="s">
        <v>767</v>
      </c>
      <c r="T16" t="s">
        <v>768</v>
      </c>
      <c r="U16" t="s">
        <v>769</v>
      </c>
      <c r="V16" t="s">
        <v>770</v>
      </c>
      <c r="W16" t="s">
        <v>771</v>
      </c>
      <c r="X16" t="s">
        <v>772</v>
      </c>
    </row>
    <row r="17" spans="1:199" x14ac:dyDescent="0.35">
      <c r="A17" s="1" t="s">
        <v>773</v>
      </c>
      <c r="B17" t="s">
        <v>499</v>
      </c>
      <c r="C17" t="s">
        <v>634</v>
      </c>
      <c r="D17" t="s">
        <v>522</v>
      </c>
      <c r="E17" t="s">
        <v>522</v>
      </c>
      <c r="F17" t="s">
        <v>774</v>
      </c>
      <c r="G17" t="s">
        <v>676</v>
      </c>
      <c r="H17" t="s">
        <v>775</v>
      </c>
      <c r="I17" t="s">
        <v>776</v>
      </c>
      <c r="J17" t="s">
        <v>777</v>
      </c>
      <c r="K17" t="s">
        <v>778</v>
      </c>
      <c r="L17" t="s">
        <v>779</v>
      </c>
      <c r="M17" t="s">
        <v>780</v>
      </c>
      <c r="N17" t="s">
        <v>781</v>
      </c>
      <c r="O17" t="s">
        <v>782</v>
      </c>
      <c r="P17" t="s">
        <v>783</v>
      </c>
      <c r="Q17" t="s">
        <v>784</v>
      </c>
      <c r="R17" t="s">
        <v>785</v>
      </c>
      <c r="S17" t="s">
        <v>786</v>
      </c>
      <c r="T17" t="s">
        <v>787</v>
      </c>
      <c r="U17" t="s">
        <v>788</v>
      </c>
      <c r="V17" t="s">
        <v>789</v>
      </c>
      <c r="W17" t="s">
        <v>790</v>
      </c>
      <c r="X17" t="s">
        <v>791</v>
      </c>
    </row>
    <row r="18" spans="1:199" x14ac:dyDescent="0.35">
      <c r="A18" s="1" t="s">
        <v>792</v>
      </c>
      <c r="B18" t="s">
        <v>682</v>
      </c>
      <c r="C18" t="s">
        <v>683</v>
      </c>
      <c r="D18" t="s">
        <v>676</v>
      </c>
      <c r="E18" t="s">
        <v>793</v>
      </c>
      <c r="F18" t="s">
        <v>794</v>
      </c>
      <c r="G18" t="s">
        <v>795</v>
      </c>
      <c r="H18" t="s">
        <v>796</v>
      </c>
      <c r="I18" t="s">
        <v>797</v>
      </c>
      <c r="J18" t="s">
        <v>798</v>
      </c>
      <c r="K18" t="s">
        <v>799</v>
      </c>
      <c r="L18" t="s">
        <v>800</v>
      </c>
      <c r="M18" t="s">
        <v>801</v>
      </c>
      <c r="N18" t="s">
        <v>802</v>
      </c>
      <c r="O18" t="s">
        <v>803</v>
      </c>
      <c r="P18" t="s">
        <v>804</v>
      </c>
      <c r="Q18" t="s">
        <v>805</v>
      </c>
      <c r="R18" t="s">
        <v>806</v>
      </c>
      <c r="S18" t="s">
        <v>807</v>
      </c>
      <c r="T18" t="s">
        <v>808</v>
      </c>
      <c r="U18" t="s">
        <v>809</v>
      </c>
      <c r="V18" t="s">
        <v>810</v>
      </c>
      <c r="W18" t="s">
        <v>811</v>
      </c>
      <c r="X18" t="s">
        <v>812</v>
      </c>
    </row>
    <row r="19" spans="1:199" x14ac:dyDescent="0.35">
      <c r="A19" s="1" t="s">
        <v>813</v>
      </c>
      <c r="B19" t="s">
        <v>546</v>
      </c>
      <c r="C19" t="s">
        <v>706</v>
      </c>
      <c r="D19" t="s">
        <v>814</v>
      </c>
      <c r="E19" t="s">
        <v>815</v>
      </c>
      <c r="F19" t="s">
        <v>816</v>
      </c>
      <c r="G19" t="s">
        <v>817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823</v>
      </c>
      <c r="N19" t="s">
        <v>824</v>
      </c>
      <c r="O19" t="s">
        <v>825</v>
      </c>
      <c r="P19" t="s">
        <v>826</v>
      </c>
      <c r="Q19" t="s">
        <v>827</v>
      </c>
      <c r="R19" t="s">
        <v>828</v>
      </c>
      <c r="S19" t="s">
        <v>829</v>
      </c>
      <c r="T19" t="s">
        <v>830</v>
      </c>
      <c r="U19" t="s">
        <v>831</v>
      </c>
      <c r="V19" t="s">
        <v>832</v>
      </c>
      <c r="W19" t="s">
        <v>833</v>
      </c>
      <c r="X19" t="s">
        <v>834</v>
      </c>
    </row>
    <row r="20" spans="1:199" x14ac:dyDescent="0.35">
      <c r="A20" s="1" t="s">
        <v>835</v>
      </c>
      <c r="B20" t="s">
        <v>181</v>
      </c>
      <c r="C20" t="s">
        <v>181</v>
      </c>
      <c r="D20" t="s">
        <v>592</v>
      </c>
      <c r="E20" t="s">
        <v>836</v>
      </c>
      <c r="F20" t="s">
        <v>837</v>
      </c>
      <c r="G20" t="s">
        <v>838</v>
      </c>
      <c r="H20" t="s">
        <v>227</v>
      </c>
      <c r="I20" t="s">
        <v>839</v>
      </c>
      <c r="J20" t="s">
        <v>840</v>
      </c>
      <c r="K20" t="s">
        <v>841</v>
      </c>
      <c r="L20" t="s">
        <v>842</v>
      </c>
      <c r="M20" t="s">
        <v>843</v>
      </c>
      <c r="N20" t="s">
        <v>844</v>
      </c>
      <c r="O20" t="s">
        <v>845</v>
      </c>
      <c r="P20" t="s">
        <v>846</v>
      </c>
      <c r="Q20" t="s">
        <v>847</v>
      </c>
      <c r="R20" t="s">
        <v>848</v>
      </c>
      <c r="S20" t="s">
        <v>849</v>
      </c>
      <c r="T20" t="s">
        <v>850</v>
      </c>
      <c r="U20" t="s">
        <v>851</v>
      </c>
      <c r="V20" t="s">
        <v>852</v>
      </c>
      <c r="W20" t="s">
        <v>853</v>
      </c>
      <c r="X20" t="s">
        <v>854</v>
      </c>
    </row>
    <row r="21" spans="1:199" x14ac:dyDescent="0.35">
      <c r="A21" s="1" t="s">
        <v>64</v>
      </c>
      <c r="B21" t="s">
        <v>682</v>
      </c>
      <c r="C21" t="s">
        <v>683</v>
      </c>
      <c r="D21" t="s">
        <v>855</v>
      </c>
      <c r="E21" t="s">
        <v>672</v>
      </c>
      <c r="F21" t="s">
        <v>856</v>
      </c>
      <c r="G21" t="s">
        <v>857</v>
      </c>
      <c r="H21" t="s">
        <v>858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  <c r="S21" t="s">
        <v>313</v>
      </c>
      <c r="T21" t="s">
        <v>314</v>
      </c>
      <c r="U21" t="s">
        <v>315</v>
      </c>
      <c r="V21" t="s">
        <v>316</v>
      </c>
      <c r="W21" t="s">
        <v>317</v>
      </c>
      <c r="X21" s="3">
        <v>76033</v>
      </c>
      <c r="Y21" s="3">
        <f t="shared" ref="Y21:AD21" si="3">X21*1.37</f>
        <v>104165.21</v>
      </c>
      <c r="Z21" s="3">
        <f t="shared" si="3"/>
        <v>142706.33770000003</v>
      </c>
      <c r="AA21" s="3">
        <f t="shared" si="3"/>
        <v>195507.68264900005</v>
      </c>
      <c r="AB21" s="3">
        <f t="shared" si="3"/>
        <v>267845.52522913011</v>
      </c>
      <c r="AC21" s="3">
        <f t="shared" si="3"/>
        <v>366948.36956390826</v>
      </c>
      <c r="AD21" s="3">
        <f t="shared" si="3"/>
        <v>502719.26630255434</v>
      </c>
      <c r="AE21" s="3">
        <f>AD21*1.05</f>
        <v>527855.22961768205</v>
      </c>
      <c r="AF21" s="3">
        <f>AE21*1.37</f>
        <v>723161.66457622452</v>
      </c>
      <c r="AG21" s="3">
        <f>AF21*1.37</f>
        <v>990731.48046942765</v>
      </c>
      <c r="AH21" s="3">
        <f t="shared" ref="AH21:BM21" si="4">AG21*(1+$AB$41)</f>
        <v>941194.90644595621</v>
      </c>
      <c r="AI21" s="3">
        <f t="shared" si="4"/>
        <v>894135.1611236583</v>
      </c>
      <c r="AJ21" s="3">
        <f t="shared" si="4"/>
        <v>849428.4030674753</v>
      </c>
      <c r="AK21" s="3">
        <f t="shared" si="4"/>
        <v>806956.98291410145</v>
      </c>
      <c r="AL21" s="3">
        <f t="shared" si="4"/>
        <v>766609.13376839634</v>
      </c>
      <c r="AM21" s="3">
        <f t="shared" si="4"/>
        <v>728278.67707997654</v>
      </c>
      <c r="AN21" s="3">
        <f t="shared" si="4"/>
        <v>691864.74322597764</v>
      </c>
      <c r="AO21" s="3">
        <f t="shared" si="4"/>
        <v>657271.50606467878</v>
      </c>
      <c r="AP21" s="3">
        <f t="shared" si="4"/>
        <v>624407.93076144485</v>
      </c>
      <c r="AQ21" s="3">
        <f t="shared" si="4"/>
        <v>593187.53422337258</v>
      </c>
      <c r="AR21" s="3">
        <f t="shared" si="4"/>
        <v>563528.15751220391</v>
      </c>
      <c r="AS21" s="3">
        <f t="shared" si="4"/>
        <v>535351.74963659374</v>
      </c>
      <c r="AT21" s="3">
        <f t="shared" si="4"/>
        <v>508584.16215476405</v>
      </c>
      <c r="AU21" s="3">
        <f t="shared" si="4"/>
        <v>483154.95404702582</v>
      </c>
      <c r="AV21" s="3">
        <f t="shared" si="4"/>
        <v>458997.20634467452</v>
      </c>
      <c r="AW21" s="3">
        <f t="shared" si="4"/>
        <v>436047.34602744074</v>
      </c>
      <c r="AX21" s="3">
        <f t="shared" si="4"/>
        <v>414244.97872606869</v>
      </c>
      <c r="AY21" s="3">
        <f t="shared" si="4"/>
        <v>393532.72978976526</v>
      </c>
      <c r="AZ21" s="3">
        <f t="shared" si="4"/>
        <v>373856.09330027696</v>
      </c>
      <c r="BA21" s="3">
        <f t="shared" si="4"/>
        <v>355163.2886352631</v>
      </c>
      <c r="BB21" s="3">
        <f t="shared" si="4"/>
        <v>337405.12420349993</v>
      </c>
      <c r="BC21" s="3">
        <f t="shared" si="4"/>
        <v>320534.86799332494</v>
      </c>
      <c r="BD21" s="3">
        <f t="shared" si="4"/>
        <v>304508.12459365866</v>
      </c>
      <c r="BE21" s="3">
        <f t="shared" si="4"/>
        <v>289282.7183639757</v>
      </c>
      <c r="BF21" s="3">
        <f t="shared" si="4"/>
        <v>274818.5824457769</v>
      </c>
      <c r="BG21" s="3">
        <f t="shared" si="4"/>
        <v>261077.65332348805</v>
      </c>
      <c r="BH21" s="3">
        <f t="shared" si="4"/>
        <v>248023.77065731364</v>
      </c>
      <c r="BI21" s="3">
        <f t="shared" si="4"/>
        <v>235622.58212444794</v>
      </c>
      <c r="BJ21" s="3">
        <f t="shared" si="4"/>
        <v>223841.45301822553</v>
      </c>
      <c r="BK21" s="3">
        <f t="shared" si="4"/>
        <v>212649.38036731424</v>
      </c>
      <c r="BL21" s="3">
        <f t="shared" si="4"/>
        <v>202016.91134894852</v>
      </c>
      <c r="BM21" s="3">
        <f t="shared" si="4"/>
        <v>191916.06578150109</v>
      </c>
      <c r="BN21" s="3">
        <f t="shared" ref="BN21:CS21" si="5">BM21*(1+$AB$41)</f>
        <v>182320.26249242603</v>
      </c>
      <c r="BO21" s="3">
        <f t="shared" si="5"/>
        <v>173204.24936780473</v>
      </c>
      <c r="BP21" s="3">
        <f t="shared" si="5"/>
        <v>164544.0368994145</v>
      </c>
      <c r="BQ21" s="3">
        <f t="shared" si="5"/>
        <v>156316.83505444377</v>
      </c>
      <c r="BR21" s="3">
        <f t="shared" si="5"/>
        <v>148500.99330172158</v>
      </c>
      <c r="BS21" s="3">
        <f t="shared" si="5"/>
        <v>141075.94363663549</v>
      </c>
      <c r="BT21" s="3">
        <f t="shared" si="5"/>
        <v>134022.1464548037</v>
      </c>
      <c r="BU21" s="3">
        <f t="shared" si="5"/>
        <v>127321.03913206351</v>
      </c>
      <c r="BV21" s="3">
        <f t="shared" si="5"/>
        <v>120954.98717546032</v>
      </c>
      <c r="BW21" s="3">
        <f t="shared" si="5"/>
        <v>114907.23781668729</v>
      </c>
      <c r="BX21" s="3">
        <f t="shared" si="5"/>
        <v>109161.87592585293</v>
      </c>
      <c r="BY21" s="3">
        <f t="shared" si="5"/>
        <v>103703.78212956028</v>
      </c>
      <c r="BZ21" s="3">
        <f t="shared" si="5"/>
        <v>98518.593023082256</v>
      </c>
      <c r="CA21" s="3">
        <f t="shared" si="5"/>
        <v>93592.663371928138</v>
      </c>
      <c r="CB21" s="3">
        <f t="shared" si="5"/>
        <v>88913.030203331728</v>
      </c>
      <c r="CC21" s="3">
        <f t="shared" si="5"/>
        <v>84467.378693165141</v>
      </c>
      <c r="CD21" s="3">
        <f t="shared" si="5"/>
        <v>80244.009758506887</v>
      </c>
      <c r="CE21" s="3">
        <f t="shared" si="5"/>
        <v>76231.809270581536</v>
      </c>
      <c r="CF21" s="3">
        <f t="shared" si="5"/>
        <v>72420.218807052457</v>
      </c>
      <c r="CG21" s="3">
        <f t="shared" si="5"/>
        <v>68799.207866699828</v>
      </c>
      <c r="CH21" s="3">
        <f t="shared" si="5"/>
        <v>65359.247473364834</v>
      </c>
      <c r="CI21" s="3">
        <f t="shared" si="5"/>
        <v>62091.285099696586</v>
      </c>
      <c r="CJ21" s="3">
        <f t="shared" si="5"/>
        <v>58986.720844711752</v>
      </c>
      <c r="CK21" s="3">
        <f t="shared" si="5"/>
        <v>56037.384802476161</v>
      </c>
      <c r="CL21" s="3">
        <f t="shared" si="5"/>
        <v>53235.515562352353</v>
      </c>
      <c r="CM21" s="3">
        <f t="shared" si="5"/>
        <v>50573.739784234735</v>
      </c>
      <c r="CN21" s="3">
        <f t="shared" si="5"/>
        <v>48045.052795022995</v>
      </c>
      <c r="CO21" s="3">
        <f t="shared" si="5"/>
        <v>45642.800155271842</v>
      </c>
      <c r="CP21" s="3">
        <f t="shared" si="5"/>
        <v>43360.66014750825</v>
      </c>
      <c r="CQ21" s="3">
        <f t="shared" si="5"/>
        <v>41192.627140132834</v>
      </c>
      <c r="CR21" s="3">
        <f t="shared" si="5"/>
        <v>39132.995783126193</v>
      </c>
      <c r="CS21" s="3">
        <f t="shared" si="5"/>
        <v>37176.345993969881</v>
      </c>
      <c r="CT21" s="3">
        <f t="shared" ref="CT21:DY21" si="6">CS21*(1+$AB$41)</f>
        <v>35317.528694271386</v>
      </c>
      <c r="CU21" s="3">
        <f t="shared" si="6"/>
        <v>33551.652259557814</v>
      </c>
      <c r="CV21" s="3">
        <f t="shared" si="6"/>
        <v>31874.069646579923</v>
      </c>
      <c r="CW21" s="3">
        <f t="shared" si="6"/>
        <v>30280.366164250925</v>
      </c>
      <c r="CX21" s="3">
        <f t="shared" si="6"/>
        <v>28766.347856038377</v>
      </c>
      <c r="CY21" s="3">
        <f t="shared" si="6"/>
        <v>27328.030463236457</v>
      </c>
      <c r="CZ21" s="3">
        <f t="shared" si="6"/>
        <v>25961.628940074632</v>
      </c>
      <c r="DA21" s="3">
        <f t="shared" si="6"/>
        <v>24663.547493070899</v>
      </c>
      <c r="DB21" s="3">
        <f t="shared" si="6"/>
        <v>23430.370118417351</v>
      </c>
      <c r="DC21" s="3">
        <f t="shared" si="6"/>
        <v>22258.851612496484</v>
      </c>
      <c r="DD21" s="3">
        <f t="shared" si="6"/>
        <v>21145.909031871659</v>
      </c>
      <c r="DE21" s="3">
        <f t="shared" si="6"/>
        <v>20088.613580278074</v>
      </c>
      <c r="DF21" s="3">
        <f t="shared" si="6"/>
        <v>19084.182901264168</v>
      </c>
      <c r="DG21" s="3">
        <f t="shared" si="6"/>
        <v>18129.973756200958</v>
      </c>
      <c r="DH21" s="3">
        <f t="shared" si="6"/>
        <v>17223.475068390908</v>
      </c>
      <c r="DI21" s="3">
        <f t="shared" si="6"/>
        <v>16362.301314971362</v>
      </c>
      <c r="DJ21" s="3">
        <f t="shared" si="6"/>
        <v>15544.186249222794</v>
      </c>
      <c r="DK21" s="3">
        <f t="shared" si="6"/>
        <v>14766.976936761654</v>
      </c>
      <c r="DL21" s="3">
        <f t="shared" si="6"/>
        <v>14028.62808992357</v>
      </c>
      <c r="DM21" s="3">
        <f t="shared" si="6"/>
        <v>13327.196685427391</v>
      </c>
      <c r="DN21" s="3">
        <f t="shared" si="6"/>
        <v>12660.83685115602</v>
      </c>
      <c r="DO21" s="3">
        <f t="shared" si="6"/>
        <v>12027.795008598219</v>
      </c>
      <c r="DP21" s="3">
        <f t="shared" si="6"/>
        <v>11426.405258168308</v>
      </c>
      <c r="DQ21" s="3">
        <f t="shared" si="6"/>
        <v>10855.084995259893</v>
      </c>
      <c r="DR21" s="3">
        <f t="shared" si="6"/>
        <v>10312.330745496898</v>
      </c>
      <c r="DS21" s="3">
        <f t="shared" si="6"/>
        <v>9796.7142082220525</v>
      </c>
      <c r="DT21" s="3">
        <f t="shared" si="6"/>
        <v>9306.8784978109488</v>
      </c>
      <c r="DU21" s="3">
        <f t="shared" si="6"/>
        <v>8841.5345729204018</v>
      </c>
      <c r="DV21" s="3">
        <f t="shared" si="6"/>
        <v>8399.4578442743805</v>
      </c>
      <c r="DW21" s="3">
        <f t="shared" si="6"/>
        <v>7979.4849520606613</v>
      </c>
      <c r="DX21" s="3">
        <f t="shared" si="6"/>
        <v>7580.510704457628</v>
      </c>
      <c r="DY21" s="3">
        <f t="shared" si="6"/>
        <v>7201.4851692347465</v>
      </c>
      <c r="DZ21" s="3">
        <f t="shared" ref="DZ21:FE21" si="7">DY21*(1+$AB$41)</f>
        <v>6841.4109107730092</v>
      </c>
      <c r="EA21" s="3">
        <f t="shared" si="7"/>
        <v>6499.3403652343586</v>
      </c>
      <c r="EB21" s="3">
        <f t="shared" si="7"/>
        <v>6174.3733469726403</v>
      </c>
      <c r="EC21" s="3">
        <f t="shared" si="7"/>
        <v>5865.6546796240082</v>
      </c>
      <c r="ED21" s="3">
        <f t="shared" si="7"/>
        <v>5572.3719456428071</v>
      </c>
      <c r="EE21" s="3">
        <f t="shared" si="7"/>
        <v>5293.7533483606667</v>
      </c>
      <c r="EF21" s="3">
        <f t="shared" si="7"/>
        <v>5029.0656809426328</v>
      </c>
      <c r="EG21" s="3">
        <f t="shared" si="7"/>
        <v>4777.6123968955008</v>
      </c>
      <c r="EH21" s="3">
        <f t="shared" si="7"/>
        <v>4538.7317770507252</v>
      </c>
      <c r="EI21" s="3">
        <f t="shared" si="7"/>
        <v>4311.795188198189</v>
      </c>
      <c r="EJ21" s="3">
        <f t="shared" si="7"/>
        <v>4096.2054287882793</v>
      </c>
      <c r="EK21" s="3">
        <f t="shared" si="7"/>
        <v>3891.3951573488653</v>
      </c>
      <c r="EL21" s="3">
        <f t="shared" si="7"/>
        <v>3696.8253994814218</v>
      </c>
      <c r="EM21" s="3">
        <f t="shared" si="7"/>
        <v>3511.9841295073506</v>
      </c>
      <c r="EN21" s="3">
        <f t="shared" si="7"/>
        <v>3336.3849230319829</v>
      </c>
      <c r="EO21" s="3">
        <f t="shared" si="7"/>
        <v>3169.5656768803838</v>
      </c>
      <c r="EP21" s="3">
        <f t="shared" si="7"/>
        <v>3011.0873930363646</v>
      </c>
      <c r="EQ21" s="3">
        <f t="shared" si="7"/>
        <v>2860.5330233845461</v>
      </c>
      <c r="ER21" s="3">
        <f t="shared" si="7"/>
        <v>2717.5063722153186</v>
      </c>
      <c r="ES21" s="3">
        <f t="shared" si="7"/>
        <v>2581.6310536045526</v>
      </c>
      <c r="ET21" s="3">
        <f t="shared" si="7"/>
        <v>2452.549500924325</v>
      </c>
      <c r="EU21" s="3">
        <f t="shared" si="7"/>
        <v>2329.9220258781088</v>
      </c>
      <c r="EV21" s="3">
        <f t="shared" si="7"/>
        <v>2213.4259245842031</v>
      </c>
      <c r="EW21" s="3">
        <f t="shared" si="7"/>
        <v>2102.7546283549927</v>
      </c>
      <c r="EX21" s="3">
        <f t="shared" si="7"/>
        <v>1997.6168969372429</v>
      </c>
      <c r="EY21" s="3">
        <f t="shared" si="7"/>
        <v>1897.7360520903808</v>
      </c>
      <c r="EZ21" s="3">
        <f t="shared" si="7"/>
        <v>1802.8492494858617</v>
      </c>
      <c r="FA21" s="3">
        <f t="shared" si="7"/>
        <v>1712.7067870115686</v>
      </c>
      <c r="FB21" s="3">
        <f t="shared" si="7"/>
        <v>1627.0714476609901</v>
      </c>
      <c r="FC21" s="3">
        <f t="shared" si="7"/>
        <v>1545.7178752779405</v>
      </c>
      <c r="FD21" s="3">
        <f t="shared" si="7"/>
        <v>1468.4319815140434</v>
      </c>
      <c r="FE21" s="3">
        <f t="shared" si="7"/>
        <v>1395.0103824383411</v>
      </c>
      <c r="FF21" s="3">
        <f t="shared" ref="FF21:GK21" si="8">FE21*(1+$AB$41)</f>
        <v>1325.2598633164241</v>
      </c>
      <c r="FG21" s="3">
        <f t="shared" si="8"/>
        <v>1258.9968701506029</v>
      </c>
      <c r="FH21" s="3">
        <f t="shared" si="8"/>
        <v>1196.0470266430727</v>
      </c>
      <c r="FI21" s="3">
        <f t="shared" si="8"/>
        <v>1136.2446753109191</v>
      </c>
      <c r="FJ21" s="3">
        <f t="shared" si="8"/>
        <v>1079.4324415453732</v>
      </c>
      <c r="FK21" s="3">
        <f t="shared" si="8"/>
        <v>1025.4608194681045</v>
      </c>
      <c r="FL21" s="3">
        <f t="shared" si="8"/>
        <v>974.18777849469927</v>
      </c>
      <c r="FM21" s="3">
        <f t="shared" si="8"/>
        <v>925.47838956996429</v>
      </c>
      <c r="FN21" s="3">
        <f t="shared" si="8"/>
        <v>879.20447009146608</v>
      </c>
      <c r="FO21" s="3">
        <f t="shared" si="8"/>
        <v>835.2442465868927</v>
      </c>
      <c r="FP21" s="3">
        <f t="shared" si="8"/>
        <v>793.48203425754798</v>
      </c>
      <c r="FQ21" s="3">
        <f t="shared" si="8"/>
        <v>753.80793254467051</v>
      </c>
      <c r="FR21" s="3">
        <f t="shared" si="8"/>
        <v>716.11753591743695</v>
      </c>
      <c r="FS21" s="3">
        <f t="shared" si="8"/>
        <v>680.31165912156507</v>
      </c>
      <c r="FT21" s="3">
        <f t="shared" si="8"/>
        <v>646.29607616548674</v>
      </c>
      <c r="FU21" s="3">
        <f t="shared" si="8"/>
        <v>613.98127235721233</v>
      </c>
      <c r="FV21" s="3">
        <f t="shared" si="8"/>
        <v>583.28220873935174</v>
      </c>
      <c r="FW21" s="3">
        <f t="shared" si="8"/>
        <v>554.11809830238417</v>
      </c>
      <c r="FX21" s="3">
        <f t="shared" si="8"/>
        <v>526.41219338726489</v>
      </c>
      <c r="FY21" s="3">
        <f t="shared" si="8"/>
        <v>500.09158371790164</v>
      </c>
      <c r="FZ21" s="3">
        <f t="shared" si="8"/>
        <v>475.08700453200652</v>
      </c>
      <c r="GA21" s="3">
        <f t="shared" si="8"/>
        <v>451.33265430540615</v>
      </c>
      <c r="GB21" s="3">
        <f t="shared" si="8"/>
        <v>428.76602159013584</v>
      </c>
      <c r="GC21" s="3">
        <f t="shared" si="8"/>
        <v>407.32772051062904</v>
      </c>
      <c r="GD21" s="3">
        <f t="shared" si="8"/>
        <v>386.96133448509755</v>
      </c>
      <c r="GE21" s="3">
        <f t="shared" si="8"/>
        <v>367.61326776084263</v>
      </c>
      <c r="GF21" s="3">
        <f t="shared" si="8"/>
        <v>349.23260437280049</v>
      </c>
      <c r="GG21" s="3">
        <f t="shared" si="8"/>
        <v>331.77097415416046</v>
      </c>
      <c r="GH21" s="3">
        <f t="shared" si="8"/>
        <v>315.18242544645244</v>
      </c>
      <c r="GI21" s="3">
        <f t="shared" si="8"/>
        <v>299.42330417412978</v>
      </c>
      <c r="GJ21" s="3">
        <f t="shared" si="8"/>
        <v>284.45213896542327</v>
      </c>
      <c r="GK21" s="3">
        <f t="shared" si="8"/>
        <v>270.22953201715211</v>
      </c>
      <c r="GL21" s="3">
        <f t="shared" ref="GL21:GQ21" si="9">GK21*(1+$AB$41)</f>
        <v>256.71805541629448</v>
      </c>
      <c r="GM21" s="3">
        <f t="shared" si="9"/>
        <v>243.88215264547975</v>
      </c>
      <c r="GN21" s="3">
        <f t="shared" si="9"/>
        <v>231.68804501320574</v>
      </c>
      <c r="GO21" s="3">
        <f t="shared" si="9"/>
        <v>220.10364276254543</v>
      </c>
      <c r="GP21" s="3">
        <f t="shared" si="9"/>
        <v>209.09846062441815</v>
      </c>
      <c r="GQ21" s="3">
        <f t="shared" si="9"/>
        <v>198.64353759319724</v>
      </c>
    </row>
    <row r="22" spans="1:199" x14ac:dyDescent="0.35">
      <c r="A22" s="1" t="s">
        <v>859</v>
      </c>
      <c r="B22" t="s">
        <v>546</v>
      </c>
      <c r="C22" t="s">
        <v>706</v>
      </c>
      <c r="D22" t="s">
        <v>860</v>
      </c>
      <c r="E22" t="s">
        <v>861</v>
      </c>
      <c r="F22" t="s">
        <v>862</v>
      </c>
      <c r="G22" t="s">
        <v>863</v>
      </c>
      <c r="H22" t="s">
        <v>864</v>
      </c>
      <c r="I22" t="s">
        <v>865</v>
      </c>
      <c r="J22" t="s">
        <v>866</v>
      </c>
      <c r="K22" t="s">
        <v>867</v>
      </c>
      <c r="L22" t="s">
        <v>868</v>
      </c>
      <c r="M22" t="s">
        <v>865</v>
      </c>
      <c r="N22" t="s">
        <v>869</v>
      </c>
      <c r="O22" t="s">
        <v>870</v>
      </c>
      <c r="P22" t="s">
        <v>871</v>
      </c>
      <c r="Q22" t="s">
        <v>872</v>
      </c>
      <c r="R22" t="s">
        <v>873</v>
      </c>
      <c r="S22" t="s">
        <v>874</v>
      </c>
      <c r="T22" t="s">
        <v>875</v>
      </c>
      <c r="U22" t="s">
        <v>876</v>
      </c>
      <c r="V22" t="s">
        <v>877</v>
      </c>
      <c r="W22" t="s">
        <v>878</v>
      </c>
      <c r="X22" t="s">
        <v>879</v>
      </c>
    </row>
    <row r="23" spans="1:199" x14ac:dyDescent="0.35">
      <c r="A23" s="1" t="s">
        <v>65</v>
      </c>
      <c r="B23" t="s">
        <v>880</v>
      </c>
      <c r="C23" t="s">
        <v>881</v>
      </c>
      <c r="D23" t="s">
        <v>882</v>
      </c>
      <c r="E23" t="s">
        <v>883</v>
      </c>
      <c r="F23" t="s">
        <v>883</v>
      </c>
      <c r="G23" t="s">
        <v>884</v>
      </c>
      <c r="H23" t="s">
        <v>885</v>
      </c>
      <c r="I23" t="s">
        <v>145</v>
      </c>
      <c r="J23" t="s">
        <v>146</v>
      </c>
      <c r="K23" t="s">
        <v>147</v>
      </c>
      <c r="L23" t="s">
        <v>148</v>
      </c>
      <c r="M23" t="s">
        <v>149</v>
      </c>
      <c r="N23" t="s">
        <v>150</v>
      </c>
      <c r="O23" t="s">
        <v>151</v>
      </c>
      <c r="P23" t="s">
        <v>886</v>
      </c>
      <c r="Q23" t="s">
        <v>887</v>
      </c>
      <c r="R23" t="s">
        <v>888</v>
      </c>
      <c r="S23" t="s">
        <v>155</v>
      </c>
      <c r="T23" t="s">
        <v>156</v>
      </c>
      <c r="U23" t="s">
        <v>157</v>
      </c>
      <c r="V23" t="s">
        <v>158</v>
      </c>
      <c r="W23" t="s">
        <v>159</v>
      </c>
      <c r="X23" t="s">
        <v>160</v>
      </c>
    </row>
    <row r="24" spans="1:199" x14ac:dyDescent="0.35">
      <c r="A24" s="1" t="s">
        <v>889</v>
      </c>
      <c r="B24" t="s">
        <v>880</v>
      </c>
      <c r="C24" t="s">
        <v>881</v>
      </c>
      <c r="D24" t="s">
        <v>890</v>
      </c>
      <c r="E24" t="s">
        <v>891</v>
      </c>
      <c r="F24" t="s">
        <v>891</v>
      </c>
      <c r="G24" t="s">
        <v>892</v>
      </c>
      <c r="H24" t="s">
        <v>893</v>
      </c>
      <c r="I24" t="s">
        <v>894</v>
      </c>
      <c r="J24" t="s">
        <v>895</v>
      </c>
      <c r="K24" t="s">
        <v>896</v>
      </c>
      <c r="L24" t="s">
        <v>897</v>
      </c>
      <c r="M24" t="s">
        <v>898</v>
      </c>
      <c r="N24" t="s">
        <v>899</v>
      </c>
      <c r="O24" t="s">
        <v>900</v>
      </c>
      <c r="P24" t="s">
        <v>901</v>
      </c>
      <c r="Q24" t="s">
        <v>902</v>
      </c>
      <c r="R24" t="s">
        <v>903</v>
      </c>
      <c r="S24" t="s">
        <v>904</v>
      </c>
      <c r="T24" t="s">
        <v>905</v>
      </c>
      <c r="U24" t="s">
        <v>906</v>
      </c>
      <c r="V24" t="s">
        <v>907</v>
      </c>
      <c r="W24" t="s">
        <v>908</v>
      </c>
      <c r="X24" t="s">
        <v>909</v>
      </c>
    </row>
    <row r="25" spans="1:199" x14ac:dyDescent="0.35">
      <c r="A25" s="1" t="s">
        <v>910</v>
      </c>
      <c r="B25" t="s">
        <v>836</v>
      </c>
      <c r="C25" t="s">
        <v>911</v>
      </c>
      <c r="D25" t="s">
        <v>912</v>
      </c>
      <c r="E25" t="s">
        <v>913</v>
      </c>
      <c r="F25" t="s">
        <v>913</v>
      </c>
      <c r="G25" t="s">
        <v>914</v>
      </c>
      <c r="H25" t="s">
        <v>915</v>
      </c>
      <c r="I25" t="s">
        <v>219</v>
      </c>
      <c r="J25" t="s">
        <v>220</v>
      </c>
      <c r="K25" t="s">
        <v>221</v>
      </c>
      <c r="L25" t="s">
        <v>222</v>
      </c>
      <c r="M25" t="s">
        <v>223</v>
      </c>
      <c r="N25" t="s">
        <v>224</v>
      </c>
      <c r="O25" t="s">
        <v>225</v>
      </c>
      <c r="P25" t="s">
        <v>226</v>
      </c>
      <c r="Q25" t="s">
        <v>227</v>
      </c>
      <c r="R25" t="s">
        <v>228</v>
      </c>
      <c r="S25" t="s">
        <v>229</v>
      </c>
      <c r="T25" t="s">
        <v>230</v>
      </c>
      <c r="U25" t="s">
        <v>231</v>
      </c>
      <c r="V25" t="s">
        <v>230</v>
      </c>
      <c r="W25" t="s">
        <v>232</v>
      </c>
      <c r="X25" t="s">
        <v>233</v>
      </c>
    </row>
    <row r="26" spans="1:199" x14ac:dyDescent="0.35">
      <c r="A26" s="1" t="s">
        <v>916</v>
      </c>
      <c r="B26">
        <v>85</v>
      </c>
      <c r="C26">
        <v>134</v>
      </c>
      <c r="D26" t="s">
        <v>917</v>
      </c>
      <c r="E26" t="s">
        <v>918</v>
      </c>
      <c r="F26" t="s">
        <v>918</v>
      </c>
      <c r="G26" t="s">
        <v>919</v>
      </c>
      <c r="H26" t="s">
        <v>920</v>
      </c>
      <c r="I26" t="s">
        <v>921</v>
      </c>
      <c r="J26" t="s">
        <v>222</v>
      </c>
      <c r="K26" t="s">
        <v>503</v>
      </c>
      <c r="L26" t="s">
        <v>922</v>
      </c>
      <c r="M26" t="s">
        <v>923</v>
      </c>
      <c r="N26" t="s">
        <v>225</v>
      </c>
      <c r="O26" t="s">
        <v>924</v>
      </c>
      <c r="P26" t="s">
        <v>925</v>
      </c>
      <c r="Q26" t="s">
        <v>926</v>
      </c>
      <c r="R26" t="s">
        <v>230</v>
      </c>
      <c r="S26" t="s">
        <v>927</v>
      </c>
      <c r="T26" t="s">
        <v>928</v>
      </c>
      <c r="U26" t="s">
        <v>928</v>
      </c>
      <c r="V26" t="s">
        <v>927</v>
      </c>
      <c r="W26" t="s">
        <v>926</v>
      </c>
      <c r="X26" t="s">
        <v>929</v>
      </c>
    </row>
    <row r="31" spans="1:199" s="13" customFormat="1" x14ac:dyDescent="0.35">
      <c r="A31" s="13" t="s">
        <v>70</v>
      </c>
      <c r="C31" s="13" t="e">
        <f t="shared" ref="C31:X31" si="10">C2/B2-1</f>
        <v>#VALUE!</v>
      </c>
      <c r="D31" s="13">
        <f t="shared" si="10"/>
        <v>3.5263157894736841</v>
      </c>
      <c r="E31" s="13">
        <f t="shared" si="10"/>
        <v>4.1162790697674421</v>
      </c>
      <c r="F31" s="13">
        <f t="shared" si="10"/>
        <v>2.331818181818182</v>
      </c>
      <c r="G31" s="13">
        <f t="shared" si="10"/>
        <v>1.1753069577080493</v>
      </c>
      <c r="H31" s="13">
        <f t="shared" si="10"/>
        <v>0.92505487613671988</v>
      </c>
      <c r="I31" s="13">
        <f t="shared" si="10"/>
        <v>0.7274800456100341</v>
      </c>
      <c r="J31" s="13">
        <f t="shared" si="10"/>
        <v>0.56473361621876483</v>
      </c>
      <c r="K31" s="13">
        <f t="shared" si="10"/>
        <v>0.31348680245872007</v>
      </c>
      <c r="L31" s="13">
        <f t="shared" si="10"/>
        <v>8.5107359148467676E-2</v>
      </c>
      <c r="M31" s="13">
        <f t="shared" si="10"/>
        <v>0.23973616337575576</v>
      </c>
      <c r="N31" s="13">
        <f t="shared" si="10"/>
        <v>0.2927594556802291</v>
      </c>
      <c r="O31" s="13">
        <f t="shared" si="10"/>
        <v>0.21458910433979694</v>
      </c>
      <c r="P31" s="13">
        <f t="shared" si="10"/>
        <v>0.2059123786355046</v>
      </c>
      <c r="Q31" s="13">
        <f t="shared" si="10"/>
        <v>0.18880023055170292</v>
      </c>
      <c r="R31" s="13">
        <f t="shared" si="10"/>
        <v>0.13617975485219924</v>
      </c>
      <c r="S31" s="13">
        <f t="shared" si="10"/>
        <v>0.20380322447292265</v>
      </c>
      <c r="T31" s="13">
        <f t="shared" si="10"/>
        <v>0.22801090038993266</v>
      </c>
      <c r="U31" s="13">
        <f t="shared" si="10"/>
        <v>0.23421586757475987</v>
      </c>
      <c r="V31" s="13">
        <f t="shared" si="10"/>
        <v>0.18300089899794614</v>
      </c>
      <c r="W31" s="13">
        <f t="shared" si="10"/>
        <v>0.12770532012826141</v>
      </c>
      <c r="X31" s="13">
        <f t="shared" si="10"/>
        <v>0.41150076427049154</v>
      </c>
      <c r="Y31" s="13">
        <f>AVERAGE(R31:X31)</f>
        <v>0.21777381866950193</v>
      </c>
      <c r="Z31" s="13">
        <f t="shared" ref="Z31:AN31" si="11">Z2/Y2-1</f>
        <v>0.19999999999999996</v>
      </c>
      <c r="AA31" s="13">
        <f t="shared" si="11"/>
        <v>0.19999999999999996</v>
      </c>
      <c r="AB31" s="13">
        <f t="shared" si="11"/>
        <v>0.14999999999999991</v>
      </c>
      <c r="AC31" s="13">
        <f t="shared" si="11"/>
        <v>0.14999999999999991</v>
      </c>
      <c r="AD31" s="13">
        <f t="shared" si="11"/>
        <v>0.14999999999999991</v>
      </c>
      <c r="AE31" s="13">
        <f t="shared" si="11"/>
        <v>0.14999999999999991</v>
      </c>
      <c r="AF31" s="13">
        <f t="shared" si="11"/>
        <v>0.14999999999999991</v>
      </c>
      <c r="AG31" s="13">
        <f t="shared" si="11"/>
        <v>0.14999999999999991</v>
      </c>
      <c r="AH31" s="13">
        <f t="shared" si="11"/>
        <v>0.14999999999999991</v>
      </c>
      <c r="AI31" s="13">
        <f t="shared" si="11"/>
        <v>0.14999999999999991</v>
      </c>
      <c r="AJ31" s="13">
        <f t="shared" si="11"/>
        <v>0.14999999999999991</v>
      </c>
      <c r="AK31" s="13">
        <f t="shared" si="11"/>
        <v>0.14999999999999991</v>
      </c>
      <c r="AL31" s="13">
        <f t="shared" si="11"/>
        <v>0.14999999999999991</v>
      </c>
      <c r="AM31" s="13">
        <f t="shared" si="11"/>
        <v>0.14999999999999991</v>
      </c>
      <c r="AN31" s="13">
        <f t="shared" si="11"/>
        <v>0.14999999999999991</v>
      </c>
    </row>
    <row r="32" spans="1:199" x14ac:dyDescent="0.35">
      <c r="A32" t="s">
        <v>68</v>
      </c>
      <c r="C32" s="8">
        <f t="shared" ref="C32:X32" si="12">C4/C2</f>
        <v>0.68421052631578949</v>
      </c>
      <c r="D32" s="8">
        <f t="shared" si="12"/>
        <v>0.82558139534883723</v>
      </c>
      <c r="E32" s="8">
        <f t="shared" si="12"/>
        <v>0.69772727272727275</v>
      </c>
      <c r="F32" s="8">
        <f t="shared" si="12"/>
        <v>0.56753069577080495</v>
      </c>
      <c r="G32" s="8">
        <f t="shared" si="12"/>
        <v>0.53935402947632483</v>
      </c>
      <c r="H32" s="8">
        <f t="shared" si="12"/>
        <v>0.58022479231145141</v>
      </c>
      <c r="I32" s="8">
        <f t="shared" si="12"/>
        <v>0.60160301744460165</v>
      </c>
      <c r="J32" s="8">
        <f t="shared" si="12"/>
        <v>0.5993130047004942</v>
      </c>
      <c r="K32" s="8">
        <f t="shared" si="12"/>
        <v>0.60442282987704166</v>
      </c>
      <c r="L32" s="8">
        <f t="shared" si="12"/>
        <v>0.62606232294617559</v>
      </c>
      <c r="M32" s="8">
        <f t="shared" si="12"/>
        <v>0.64472562327342176</v>
      </c>
      <c r="N32" s="8">
        <f t="shared" si="12"/>
        <v>0.65207756232686975</v>
      </c>
      <c r="O32" s="8">
        <f t="shared" si="12"/>
        <v>0.6269249983709464</v>
      </c>
      <c r="P32" s="8">
        <f t="shared" si="12"/>
        <v>0.60386534339595455</v>
      </c>
      <c r="Q32" s="8">
        <f t="shared" si="12"/>
        <v>0.61647550794684924</v>
      </c>
      <c r="R32" s="8">
        <f t="shared" si="12"/>
        <v>0.62442491565429592</v>
      </c>
      <c r="S32" s="8">
        <f t="shared" si="12"/>
        <v>0.61075416518964909</v>
      </c>
      <c r="T32" s="8">
        <f t="shared" si="12"/>
        <v>0.58880519597672631</v>
      </c>
      <c r="U32" s="8">
        <f t="shared" si="12"/>
        <v>0.5647607422945643</v>
      </c>
      <c r="V32" s="8">
        <f t="shared" si="12"/>
        <v>0.5558054331910266</v>
      </c>
      <c r="W32" s="8">
        <f t="shared" si="12"/>
        <v>0.53578374706207854</v>
      </c>
      <c r="X32" s="8">
        <f t="shared" si="12"/>
        <v>0.5693980290098084</v>
      </c>
      <c r="Y32" s="8">
        <v>0.55000000000000004</v>
      </c>
    </row>
    <row r="33" spans="1:28" s="10" customFormat="1" x14ac:dyDescent="0.35">
      <c r="A33" s="10" t="s">
        <v>930</v>
      </c>
      <c r="C33" s="12">
        <f t="shared" ref="C33:X33" si="13">C21/B21</f>
        <v>2.5</v>
      </c>
      <c r="D33" s="12">
        <f t="shared" si="13"/>
        <v>-0.46666666666666667</v>
      </c>
      <c r="E33" s="12">
        <f t="shared" si="13"/>
        <v>14.285714285714286</v>
      </c>
      <c r="F33" s="12">
        <f t="shared" si="13"/>
        <v>1.06</v>
      </c>
      <c r="G33" s="12">
        <f t="shared" si="13"/>
        <v>3.7641509433962264</v>
      </c>
      <c r="H33" s="12">
        <f t="shared" si="13"/>
        <v>3.6716791979949877</v>
      </c>
      <c r="I33" s="12">
        <f t="shared" si="13"/>
        <v>2.1003412969283275</v>
      </c>
      <c r="J33" s="12">
        <f t="shared" si="13"/>
        <v>1.3662658433539161</v>
      </c>
      <c r="K33" s="12">
        <f t="shared" si="13"/>
        <v>1.0054709800190296</v>
      </c>
      <c r="L33" s="12">
        <f t="shared" si="13"/>
        <v>1.5424651052756091</v>
      </c>
      <c r="M33" s="12">
        <f t="shared" si="13"/>
        <v>1.3044478527607362</v>
      </c>
      <c r="N33" s="12">
        <f t="shared" si="13"/>
        <v>1.1448559670781893</v>
      </c>
      <c r="O33" s="12">
        <f t="shared" si="13"/>
        <v>1.1027010372804766</v>
      </c>
      <c r="P33" s="12">
        <f t="shared" si="13"/>
        <v>1.1858992269721524</v>
      </c>
      <c r="Q33" s="12">
        <f t="shared" si="13"/>
        <v>1.1101861305269771</v>
      </c>
      <c r="R33" s="12">
        <f t="shared" si="13"/>
        <v>1.156479909451047</v>
      </c>
      <c r="S33" s="12">
        <f t="shared" si="13"/>
        <v>1.1914607291411794</v>
      </c>
      <c r="T33" s="12">
        <f t="shared" si="13"/>
        <v>0.65006674196529413</v>
      </c>
      <c r="U33" s="12">
        <f t="shared" si="13"/>
        <v>2.4274206286526616</v>
      </c>
      <c r="V33" s="12">
        <f t="shared" si="13"/>
        <v>1.1173542425819885</v>
      </c>
      <c r="W33" s="12">
        <f t="shared" si="13"/>
        <v>1.1725533587630668</v>
      </c>
      <c r="X33" s="12">
        <f t="shared" si="13"/>
        <v>1.8881273436141945</v>
      </c>
      <c r="Y33" s="12">
        <f>AVERAGE(R33:X33)</f>
        <v>1.3719232791670619</v>
      </c>
    </row>
    <row r="34" spans="1:28" s="14" customFormat="1" x14ac:dyDescent="0.35">
      <c r="A34" s="14" t="s">
        <v>931</v>
      </c>
      <c r="C34" s="15">
        <f t="shared" ref="C34:X34" si="14">C8/B8</f>
        <v>5.333333333333333</v>
      </c>
      <c r="D34" s="15">
        <f t="shared" si="14"/>
        <v>2.4375</v>
      </c>
      <c r="E34" s="15" t="e">
        <f t="shared" si="14"/>
        <v>#VALUE!</v>
      </c>
      <c r="F34" s="15" t="e">
        <f t="shared" si="14"/>
        <v>#VALUE!</v>
      </c>
      <c r="G34" s="15" t="e">
        <f t="shared" si="14"/>
        <v>#VALUE!</v>
      </c>
      <c r="H34" s="15" t="e">
        <f t="shared" si="14"/>
        <v>#VALUE!</v>
      </c>
      <c r="I34" s="15" t="e">
        <f t="shared" si="14"/>
        <v>#VALUE!</v>
      </c>
      <c r="J34" s="15" t="e">
        <f t="shared" si="14"/>
        <v>#VALUE!</v>
      </c>
      <c r="K34" s="15">
        <f t="shared" si="14"/>
        <v>1.4096950742767786</v>
      </c>
      <c r="L34" s="15">
        <f t="shared" si="14"/>
        <v>0.92457016084303933</v>
      </c>
      <c r="M34" s="15">
        <f t="shared" si="14"/>
        <v>1.1769646070785842</v>
      </c>
      <c r="N34" s="15">
        <f t="shared" si="14"/>
        <v>1.6432212028542303</v>
      </c>
      <c r="O34" s="15">
        <f t="shared" si="14"/>
        <v>1.1926178660049629</v>
      </c>
      <c r="P34" s="15">
        <f t="shared" si="14"/>
        <v>1.247334200260078</v>
      </c>
      <c r="Q34" s="15">
        <f t="shared" si="14"/>
        <v>1.2199749791492911</v>
      </c>
      <c r="R34" s="15">
        <f t="shared" si="14"/>
        <v>2.5949410357203897</v>
      </c>
      <c r="S34" s="15">
        <f t="shared" si="14"/>
        <v>1.1506289929526443</v>
      </c>
      <c r="T34" s="15">
        <f t="shared" si="14"/>
        <v>1.1313680595306239</v>
      </c>
      <c r="U34" s="15">
        <f t="shared" si="14"/>
        <v>1.2374905135340248</v>
      </c>
      <c r="V34" s="15">
        <f t="shared" si="14"/>
        <v>1.1453861564250378</v>
      </c>
      <c r="W34" s="15">
        <f t="shared" si="14"/>
        <v>1.0350883455291808</v>
      </c>
      <c r="X34" s="15">
        <f t="shared" si="14"/>
        <v>1.2560176563900958</v>
      </c>
      <c r="Y34" s="15">
        <f>AVERAGE(R34:X34)</f>
        <v>1.3644172514402853</v>
      </c>
    </row>
    <row r="35" spans="1:28" x14ac:dyDescent="0.35">
      <c r="A35" t="s">
        <v>932</v>
      </c>
      <c r="C35" s="8">
        <f t="shared" ref="C35:X35" si="15">C8/C4</f>
        <v>1.2307692307692308</v>
      </c>
      <c r="D35" s="8">
        <f t="shared" si="15"/>
        <v>0.54929577464788737</v>
      </c>
      <c r="E35" s="8" t="e">
        <f t="shared" si="15"/>
        <v>#VALUE!</v>
      </c>
      <c r="F35" s="8" t="e">
        <f t="shared" si="15"/>
        <v>#VALUE!</v>
      </c>
      <c r="G35" s="8" t="e">
        <f t="shared" si="15"/>
        <v>#VALUE!</v>
      </c>
      <c r="H35" s="8" t="e">
        <f t="shared" si="15"/>
        <v>#VALUE!</v>
      </c>
      <c r="I35" s="8" t="e">
        <f t="shared" si="15"/>
        <v>#VALUE!</v>
      </c>
      <c r="J35" s="8">
        <f t="shared" si="15"/>
        <v>0.12860734037204624</v>
      </c>
      <c r="K35" s="8">
        <f t="shared" si="15"/>
        <v>0.13686048276909063</v>
      </c>
      <c r="L35" s="8">
        <f t="shared" si="15"/>
        <v>0.11258188694536368</v>
      </c>
      <c r="M35" s="8">
        <f t="shared" si="15"/>
        <v>0.10378755818874312</v>
      </c>
      <c r="N35" s="8">
        <f t="shared" si="15"/>
        <v>0.13043654165149493</v>
      </c>
      <c r="O35" s="8">
        <f t="shared" si="15"/>
        <v>0.13321553546062434</v>
      </c>
      <c r="P35" s="8">
        <f t="shared" si="15"/>
        <v>0.14305315277694924</v>
      </c>
      <c r="Q35" s="8">
        <f t="shared" si="15"/>
        <v>0.14380161226897364</v>
      </c>
      <c r="R35" s="8">
        <f t="shared" si="15"/>
        <v>0.32424986652429255</v>
      </c>
      <c r="S35" s="8">
        <f t="shared" si="15"/>
        <v>0.3168643668153952</v>
      </c>
      <c r="T35" s="8">
        <f t="shared" si="15"/>
        <v>0.30280978061036889</v>
      </c>
      <c r="U35" s="8">
        <f t="shared" si="15"/>
        <v>0.3165394072731979</v>
      </c>
      <c r="V35" s="8">
        <f t="shared" si="15"/>
        <v>0.31141272329120395</v>
      </c>
      <c r="W35" s="8">
        <f t="shared" si="15"/>
        <v>0.29651822690321589</v>
      </c>
      <c r="X35" s="8">
        <f t="shared" si="15"/>
        <v>0.2482787768067731</v>
      </c>
      <c r="Y35" s="8">
        <v>0.23</v>
      </c>
    </row>
    <row r="36" spans="1:28" s="14" customFormat="1" x14ac:dyDescent="0.35">
      <c r="A36" s="14" t="s">
        <v>933</v>
      </c>
      <c r="C36" s="15">
        <f t="shared" ref="C36:X36" si="16">C7/B7</f>
        <v>4</v>
      </c>
      <c r="D36" s="15">
        <f t="shared" si="16"/>
        <v>1.75</v>
      </c>
      <c r="E36" s="15">
        <f t="shared" si="16"/>
        <v>1.9047619047619047</v>
      </c>
      <c r="F36" s="15">
        <f t="shared" si="16"/>
        <v>5.75</v>
      </c>
      <c r="G36" s="15">
        <f t="shared" si="16"/>
        <v>1.7173913043478262</v>
      </c>
      <c r="H36" s="15">
        <f t="shared" si="16"/>
        <v>1.518987341772152</v>
      </c>
      <c r="I36" s="15">
        <f t="shared" si="16"/>
        <v>2.0483333333333333</v>
      </c>
      <c r="J36" s="15">
        <f t="shared" si="16"/>
        <v>1.7249796582587469</v>
      </c>
      <c r="K36" s="15">
        <f t="shared" si="16"/>
        <v>1.3174528301886792</v>
      </c>
      <c r="L36" s="15">
        <f t="shared" si="16"/>
        <v>1.0179018976011458</v>
      </c>
      <c r="M36" s="15">
        <f t="shared" si="16"/>
        <v>1.3232500879352795</v>
      </c>
      <c r="N36" s="15">
        <f t="shared" si="16"/>
        <v>1.3721424774056352</v>
      </c>
      <c r="O36" s="15">
        <f t="shared" si="16"/>
        <v>1.1784192173576133</v>
      </c>
      <c r="P36" s="15">
        <f t="shared" si="16"/>
        <v>1.173269768206477</v>
      </c>
      <c r="Q36" s="15">
        <f t="shared" si="16"/>
        <v>1.377609639904722</v>
      </c>
      <c r="R36" s="15">
        <f t="shared" si="16"/>
        <v>1.249186330349878</v>
      </c>
      <c r="S36" s="15">
        <f t="shared" si="16"/>
        <v>1.1356456603159095</v>
      </c>
      <c r="T36" s="15">
        <f t="shared" si="16"/>
        <v>1.191927158015486</v>
      </c>
      <c r="U36" s="15">
        <f t="shared" si="16"/>
        <v>1.288360902255639</v>
      </c>
      <c r="V36" s="15">
        <f t="shared" si="16"/>
        <v>1.2147159064382091</v>
      </c>
      <c r="W36" s="15">
        <f t="shared" si="16"/>
        <v>1.0597663156276425</v>
      </c>
      <c r="X36" s="15">
        <f t="shared" si="16"/>
        <v>1.1446705110071447</v>
      </c>
      <c r="Y36" s="15">
        <f>AVERAGE(R36:X36)</f>
        <v>1.1834675405728439</v>
      </c>
      <c r="AA36" s="14" t="s">
        <v>934</v>
      </c>
    </row>
    <row r="37" spans="1:28" s="8" customFormat="1" x14ac:dyDescent="0.35">
      <c r="A37" s="8" t="s">
        <v>935</v>
      </c>
      <c r="B37" s="8">
        <f t="shared" ref="B37:X37" si="17">B7/B4</f>
        <v>-3</v>
      </c>
      <c r="C37" s="8">
        <f t="shared" si="17"/>
        <v>0.92307692307692313</v>
      </c>
      <c r="D37" s="8">
        <f t="shared" si="17"/>
        <v>0.29577464788732394</v>
      </c>
      <c r="E37" s="8">
        <f t="shared" si="17"/>
        <v>0.13029315960912052</v>
      </c>
      <c r="F37" s="8">
        <f t="shared" si="17"/>
        <v>0.27644230769230771</v>
      </c>
      <c r="G37" s="8">
        <f t="shared" si="17"/>
        <v>0.22965116279069767</v>
      </c>
      <c r="H37" s="8">
        <f t="shared" si="17"/>
        <v>0.16844469399213924</v>
      </c>
      <c r="I37" s="8">
        <f t="shared" si="17"/>
        <v>0.1926332288401254</v>
      </c>
      <c r="J37" s="8">
        <f t="shared" si="17"/>
        <v>0.21317244846656611</v>
      </c>
      <c r="K37" s="8">
        <f t="shared" si="17"/>
        <v>0.21200850159404888</v>
      </c>
      <c r="L37" s="8">
        <f t="shared" si="17"/>
        <v>0.19200378199500237</v>
      </c>
      <c r="M37" s="8">
        <f t="shared" si="17"/>
        <v>0.199005501481168</v>
      </c>
      <c r="N37" s="8">
        <f t="shared" si="17"/>
        <v>0.20884411538617145</v>
      </c>
      <c r="O37" s="8">
        <f t="shared" si="17"/>
        <v>0.21075425284966912</v>
      </c>
      <c r="P37" s="8">
        <f t="shared" si="17"/>
        <v>0.21287955616536419</v>
      </c>
      <c r="Q37" s="8">
        <f t="shared" si="17"/>
        <v>0.24164372788045616</v>
      </c>
      <c r="R37" s="8">
        <f t="shared" si="17"/>
        <v>0.26229578216764549</v>
      </c>
      <c r="S37" s="8">
        <f t="shared" si="17"/>
        <v>0.25298363985925199</v>
      </c>
      <c r="T37" s="8">
        <f t="shared" si="17"/>
        <v>0.25470339502389999</v>
      </c>
      <c r="U37" s="8">
        <f t="shared" si="17"/>
        <v>0.27719684224149088</v>
      </c>
      <c r="V37" s="8">
        <f t="shared" si="17"/>
        <v>0.28921421504874334</v>
      </c>
      <c r="W37" s="8">
        <f t="shared" si="17"/>
        <v>0.28194692980213715</v>
      </c>
      <c r="X37" s="8">
        <f t="shared" si="17"/>
        <v>0.21514949079060383</v>
      </c>
    </row>
    <row r="38" spans="1:28" s="15" customFormat="1" x14ac:dyDescent="0.35">
      <c r="A38" s="15" t="s">
        <v>936</v>
      </c>
      <c r="C38" s="15">
        <f t="shared" ref="C38:X38" si="18">C6/B6-1</f>
        <v>3.666666666666667</v>
      </c>
      <c r="D38" s="15">
        <f t="shared" si="18"/>
        <v>-0.3928571428571429</v>
      </c>
      <c r="E38" s="15">
        <f t="shared" si="18"/>
        <v>6.1764705882352944</v>
      </c>
      <c r="F38" s="15">
        <f t="shared" si="18"/>
        <v>3.081967213114754</v>
      </c>
      <c r="G38" s="15">
        <f t="shared" si="18"/>
        <v>1.1907630522088355</v>
      </c>
      <c r="H38" s="15">
        <f t="shared" si="18"/>
        <v>0.42071494042163149</v>
      </c>
      <c r="I38" s="15">
        <f t="shared" si="18"/>
        <v>0.82580645161290334</v>
      </c>
      <c r="J38" s="15">
        <f t="shared" si="18"/>
        <v>0.71766784452296828</v>
      </c>
      <c r="K38" s="15">
        <f t="shared" si="18"/>
        <v>0.34581361859699644</v>
      </c>
      <c r="L38" s="15">
        <f t="shared" si="18"/>
        <v>-7.3372057474778707E-3</v>
      </c>
      <c r="M38" s="15">
        <f t="shared" si="18"/>
        <v>0.31244225438866646</v>
      </c>
      <c r="N38" s="15">
        <f t="shared" si="18"/>
        <v>0.52235128475888781</v>
      </c>
      <c r="O38" s="15">
        <f t="shared" si="18"/>
        <v>0.29333333333333322</v>
      </c>
      <c r="P38" s="15">
        <f t="shared" si="18"/>
        <v>0.19188367796913175</v>
      </c>
      <c r="Q38" s="15">
        <f t="shared" si="18"/>
        <v>0.19064046797660117</v>
      </c>
      <c r="R38" s="15">
        <f t="shared" si="18"/>
        <v>0.15331317712270098</v>
      </c>
      <c r="S38" s="15">
        <f t="shared" si="18"/>
        <v>0.14392863644638632</v>
      </c>
      <c r="T38" s="15">
        <f t="shared" si="18"/>
        <v>0.15825323063212182</v>
      </c>
      <c r="U38" s="15">
        <f t="shared" si="18"/>
        <v>0.26073097004671619</v>
      </c>
      <c r="V38" s="15">
        <f t="shared" si="18"/>
        <v>0.17775404333231615</v>
      </c>
      <c r="W38" s="15">
        <f t="shared" si="18"/>
        <v>4.6971295319526929E-2</v>
      </c>
      <c r="X38" s="15">
        <f t="shared" si="18"/>
        <v>0.20174647787735767</v>
      </c>
    </row>
    <row r="39" spans="1:28" x14ac:dyDescent="0.35">
      <c r="A39" t="s">
        <v>69</v>
      </c>
    </row>
    <row r="40" spans="1:28" x14ac:dyDescent="0.35">
      <c r="A40" t="s">
        <v>937</v>
      </c>
    </row>
    <row r="41" spans="1:28" x14ac:dyDescent="0.35">
      <c r="AA41" t="s">
        <v>938</v>
      </c>
      <c r="AB41" s="8">
        <v>-0.05</v>
      </c>
    </row>
    <row r="42" spans="1:28" x14ac:dyDescent="0.35">
      <c r="AA42" t="s">
        <v>939</v>
      </c>
      <c r="AB42" s="8">
        <v>0.05</v>
      </c>
    </row>
    <row r="43" spans="1:28" x14ac:dyDescent="0.35">
      <c r="AA43" t="s">
        <v>940</v>
      </c>
      <c r="AB43" s="16">
        <f>NPV(AB42,G21:GQ21)</f>
        <v>8501745.5096908752</v>
      </c>
    </row>
    <row r="44" spans="1:28" x14ac:dyDescent="0.35">
      <c r="AA44" t="s">
        <v>7</v>
      </c>
    </row>
    <row r="45" spans="1:28" x14ac:dyDescent="0.35">
      <c r="A45" s="10" t="s">
        <v>70</v>
      </c>
      <c r="D45" s="13">
        <f t="shared" ref="D45:X45" si="19">D2/C2-1</f>
        <v>3.5263157894736841</v>
      </c>
      <c r="E45" s="13">
        <f t="shared" si="19"/>
        <v>4.1162790697674421</v>
      </c>
      <c r="F45" s="13">
        <f t="shared" si="19"/>
        <v>2.331818181818182</v>
      </c>
      <c r="G45" s="13">
        <f t="shared" si="19"/>
        <v>1.1753069577080493</v>
      </c>
      <c r="H45" s="13">
        <f t="shared" si="19"/>
        <v>0.92505487613671988</v>
      </c>
      <c r="I45" s="13">
        <f t="shared" si="19"/>
        <v>0.7274800456100341</v>
      </c>
      <c r="J45" s="13">
        <f t="shared" si="19"/>
        <v>0.56473361621876483</v>
      </c>
      <c r="K45" s="13">
        <f t="shared" si="19"/>
        <v>0.31348680245872007</v>
      </c>
      <c r="L45" s="13">
        <f t="shared" si="19"/>
        <v>8.5107359148467676E-2</v>
      </c>
      <c r="M45" s="13">
        <f t="shared" si="19"/>
        <v>0.23973616337575576</v>
      </c>
      <c r="N45" s="13">
        <f t="shared" si="19"/>
        <v>0.2927594556802291</v>
      </c>
      <c r="O45" s="13">
        <f t="shared" si="19"/>
        <v>0.21458910433979694</v>
      </c>
      <c r="P45" s="13">
        <f t="shared" si="19"/>
        <v>0.2059123786355046</v>
      </c>
      <c r="Q45" s="13">
        <f t="shared" si="19"/>
        <v>0.18880023055170292</v>
      </c>
      <c r="R45" s="13">
        <f t="shared" si="19"/>
        <v>0.13617975485219924</v>
      </c>
      <c r="S45" s="13">
        <f t="shared" si="19"/>
        <v>0.20380322447292265</v>
      </c>
      <c r="T45" s="13">
        <f t="shared" si="19"/>
        <v>0.22801090038993266</v>
      </c>
      <c r="U45" s="13">
        <f t="shared" si="19"/>
        <v>0.23421586757475987</v>
      </c>
      <c r="V45" s="13">
        <f t="shared" si="19"/>
        <v>0.18300089899794614</v>
      </c>
      <c r="W45" s="13">
        <f t="shared" si="19"/>
        <v>0.12770532012826141</v>
      </c>
      <c r="X45" s="13">
        <f t="shared" si="19"/>
        <v>0.41150076427049154</v>
      </c>
    </row>
    <row r="47" spans="1:28" x14ac:dyDescent="0.35">
      <c r="K47" s="9">
        <f>(X2/G2)-1</f>
        <v>79.789275634995292</v>
      </c>
    </row>
  </sheetData>
  <conditionalFormatting sqref="A45:XFD45">
    <cfRule type="expression" dxfId="3" priority="2">
      <formula>E45&gt;D45</formula>
    </cfRule>
  </conditionalFormatting>
  <conditionalFormatting sqref="C2:X2">
    <cfRule type="expression" dxfId="2" priority="1">
      <formula>C$2&gt;B$2</formula>
    </cfRule>
  </conditionalFormatting>
  <conditionalFormatting sqref="D31:X31">
    <cfRule type="expression" dxfId="1" priority="4">
      <formula>E31&lt;D31</formula>
    </cfRule>
  </conditionalFormatting>
  <conditionalFormatting sqref="I32:X32">
    <cfRule type="expression" dxfId="0" priority="6">
      <formula>J31&gt;I32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43"/>
  <sheetViews>
    <sheetView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4.5" x14ac:dyDescent="0.35"/>
  <cols>
    <col min="1" max="1" width="22.6328125" customWidth="1"/>
  </cols>
  <sheetData>
    <row r="1" spans="1:24" x14ac:dyDescent="0.35">
      <c r="A1" s="1" t="s">
        <v>108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</row>
    <row r="2" spans="1:24" x14ac:dyDescent="0.35">
      <c r="A2" s="1" t="s">
        <v>941</v>
      </c>
      <c r="B2" t="s">
        <v>181</v>
      </c>
      <c r="C2" t="s">
        <v>181</v>
      </c>
      <c r="D2" t="s">
        <v>181</v>
      </c>
      <c r="E2" t="s">
        <v>664</v>
      </c>
      <c r="F2" t="s">
        <v>942</v>
      </c>
      <c r="G2" t="s">
        <v>943</v>
      </c>
      <c r="H2" t="s">
        <v>944</v>
      </c>
      <c r="I2" t="s">
        <v>945</v>
      </c>
      <c r="J2" t="s">
        <v>946</v>
      </c>
      <c r="K2" t="s">
        <v>947</v>
      </c>
      <c r="L2" t="s">
        <v>948</v>
      </c>
      <c r="M2" t="s">
        <v>949</v>
      </c>
      <c r="N2" t="s">
        <v>950</v>
      </c>
      <c r="O2" t="s">
        <v>951</v>
      </c>
      <c r="P2" t="s">
        <v>952</v>
      </c>
      <c r="Q2" t="s">
        <v>953</v>
      </c>
      <c r="R2" t="s">
        <v>954</v>
      </c>
      <c r="S2" t="s">
        <v>955</v>
      </c>
      <c r="T2" t="s">
        <v>956</v>
      </c>
      <c r="U2" t="s">
        <v>957</v>
      </c>
      <c r="V2" t="s">
        <v>958</v>
      </c>
      <c r="W2" t="s">
        <v>959</v>
      </c>
      <c r="X2" t="s">
        <v>960</v>
      </c>
    </row>
    <row r="3" spans="1:24" x14ac:dyDescent="0.35">
      <c r="A3" s="1" t="s">
        <v>961</v>
      </c>
      <c r="B3" t="s">
        <v>181</v>
      </c>
      <c r="C3" t="s">
        <v>181</v>
      </c>
      <c r="D3" t="s">
        <v>181</v>
      </c>
      <c r="E3" t="s">
        <v>962</v>
      </c>
      <c r="F3" t="s">
        <v>730</v>
      </c>
      <c r="G3" t="s">
        <v>963</v>
      </c>
      <c r="H3" t="s">
        <v>964</v>
      </c>
      <c r="I3" t="s">
        <v>965</v>
      </c>
      <c r="J3" t="s">
        <v>966</v>
      </c>
      <c r="K3" t="s">
        <v>967</v>
      </c>
      <c r="L3" t="s">
        <v>968</v>
      </c>
      <c r="M3" t="s">
        <v>969</v>
      </c>
      <c r="N3" t="s">
        <v>970</v>
      </c>
      <c r="O3" t="s">
        <v>971</v>
      </c>
      <c r="P3" t="s">
        <v>972</v>
      </c>
      <c r="Q3" t="s">
        <v>973</v>
      </c>
      <c r="R3" t="s">
        <v>974</v>
      </c>
      <c r="S3" t="s">
        <v>975</v>
      </c>
      <c r="T3" t="s">
        <v>976</v>
      </c>
      <c r="U3" t="s">
        <v>977</v>
      </c>
      <c r="V3" t="s">
        <v>978</v>
      </c>
      <c r="W3" t="s">
        <v>979</v>
      </c>
      <c r="X3" t="s">
        <v>980</v>
      </c>
    </row>
    <row r="4" spans="1:24" x14ac:dyDescent="0.35">
      <c r="A4" s="1" t="s">
        <v>981</v>
      </c>
      <c r="B4" t="s">
        <v>181</v>
      </c>
      <c r="C4" t="s">
        <v>181</v>
      </c>
      <c r="D4" t="s">
        <v>181</v>
      </c>
      <c r="E4" t="s">
        <v>982</v>
      </c>
      <c r="F4" t="s">
        <v>983</v>
      </c>
      <c r="G4" t="s">
        <v>984</v>
      </c>
      <c r="H4" t="s">
        <v>985</v>
      </c>
      <c r="I4" t="s">
        <v>986</v>
      </c>
      <c r="J4" t="s">
        <v>987</v>
      </c>
      <c r="K4" t="s">
        <v>988</v>
      </c>
      <c r="L4" t="s">
        <v>989</v>
      </c>
      <c r="M4" t="s">
        <v>990</v>
      </c>
      <c r="N4" t="s">
        <v>991</v>
      </c>
      <c r="O4" t="s">
        <v>992</v>
      </c>
      <c r="P4" t="s">
        <v>993</v>
      </c>
      <c r="Q4" t="s">
        <v>994</v>
      </c>
      <c r="R4" t="s">
        <v>995</v>
      </c>
      <c r="S4" t="s">
        <v>996</v>
      </c>
      <c r="T4" t="s">
        <v>997</v>
      </c>
      <c r="U4" t="s">
        <v>998</v>
      </c>
      <c r="V4" t="s">
        <v>999</v>
      </c>
      <c r="W4" t="s">
        <v>1000</v>
      </c>
      <c r="X4" t="s">
        <v>1001</v>
      </c>
    </row>
    <row r="5" spans="1:24" x14ac:dyDescent="0.35">
      <c r="A5" s="1" t="s">
        <v>1002</v>
      </c>
      <c r="B5" t="s">
        <v>181</v>
      </c>
      <c r="C5" t="s">
        <v>181</v>
      </c>
      <c r="D5" t="s">
        <v>181</v>
      </c>
      <c r="E5" t="s">
        <v>1003</v>
      </c>
      <c r="F5" t="s">
        <v>1004</v>
      </c>
      <c r="G5" t="s">
        <v>1005</v>
      </c>
      <c r="H5" t="s">
        <v>229</v>
      </c>
      <c r="I5" t="s">
        <v>1006</v>
      </c>
      <c r="J5" t="s">
        <v>1007</v>
      </c>
      <c r="K5" t="s">
        <v>1008</v>
      </c>
      <c r="L5" t="s">
        <v>1009</v>
      </c>
      <c r="M5" t="s">
        <v>1010</v>
      </c>
      <c r="N5" t="s">
        <v>1011</v>
      </c>
      <c r="O5" t="s">
        <v>1012</v>
      </c>
      <c r="P5" t="s">
        <v>1013</v>
      </c>
      <c r="Q5" t="s">
        <v>1014</v>
      </c>
      <c r="R5" t="s">
        <v>1015</v>
      </c>
      <c r="S5" t="s">
        <v>1016</v>
      </c>
      <c r="T5" t="s">
        <v>1017</v>
      </c>
      <c r="U5" t="s">
        <v>1018</v>
      </c>
      <c r="V5" t="s">
        <v>1019</v>
      </c>
      <c r="W5" t="s">
        <v>1020</v>
      </c>
      <c r="X5" t="s">
        <v>1021</v>
      </c>
    </row>
    <row r="6" spans="1:24" x14ac:dyDescent="0.35">
      <c r="A6" s="1" t="s">
        <v>77</v>
      </c>
      <c r="B6" t="s">
        <v>181</v>
      </c>
      <c r="C6" t="s">
        <v>181</v>
      </c>
      <c r="D6" t="s">
        <v>181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  <c r="J6" t="s">
        <v>181</v>
      </c>
      <c r="K6" t="s">
        <v>181</v>
      </c>
      <c r="L6" t="s">
        <v>181</v>
      </c>
      <c r="M6" t="s">
        <v>181</v>
      </c>
      <c r="N6" t="s">
        <v>1022</v>
      </c>
      <c r="O6" t="s">
        <v>1023</v>
      </c>
      <c r="P6" t="s">
        <v>181</v>
      </c>
      <c r="Q6" t="s">
        <v>181</v>
      </c>
      <c r="R6" t="s">
        <v>181</v>
      </c>
      <c r="S6" t="s">
        <v>637</v>
      </c>
      <c r="T6" t="s">
        <v>1024</v>
      </c>
      <c r="U6" t="s">
        <v>1025</v>
      </c>
      <c r="V6" t="s">
        <v>657</v>
      </c>
      <c r="W6" t="s">
        <v>1026</v>
      </c>
      <c r="X6" t="s">
        <v>1027</v>
      </c>
    </row>
    <row r="7" spans="1:24" x14ac:dyDescent="0.35">
      <c r="A7" s="1" t="s">
        <v>1028</v>
      </c>
      <c r="B7" t="s">
        <v>181</v>
      </c>
      <c r="C7" t="s">
        <v>181</v>
      </c>
      <c r="D7" t="s">
        <v>181</v>
      </c>
      <c r="E7" t="s">
        <v>1029</v>
      </c>
      <c r="F7" t="s">
        <v>1030</v>
      </c>
      <c r="G7" t="s">
        <v>1031</v>
      </c>
      <c r="H7" t="s">
        <v>1032</v>
      </c>
      <c r="I7" t="s">
        <v>1033</v>
      </c>
      <c r="J7" t="s">
        <v>1034</v>
      </c>
      <c r="K7" t="s">
        <v>1035</v>
      </c>
      <c r="L7" t="s">
        <v>1036</v>
      </c>
      <c r="M7" t="s">
        <v>1037</v>
      </c>
      <c r="N7" t="s">
        <v>1038</v>
      </c>
      <c r="O7" t="s">
        <v>1039</v>
      </c>
      <c r="P7" t="s">
        <v>1040</v>
      </c>
      <c r="Q7" t="s">
        <v>1041</v>
      </c>
      <c r="R7" t="s">
        <v>1042</v>
      </c>
      <c r="S7" t="s">
        <v>1043</v>
      </c>
      <c r="T7" t="s">
        <v>1044</v>
      </c>
      <c r="U7" t="s">
        <v>1045</v>
      </c>
      <c r="V7" t="s">
        <v>1046</v>
      </c>
      <c r="W7" t="s">
        <v>1047</v>
      </c>
      <c r="X7" t="s">
        <v>1048</v>
      </c>
    </row>
    <row r="8" spans="1:24" x14ac:dyDescent="0.35">
      <c r="A8" s="1" t="s">
        <v>79</v>
      </c>
      <c r="B8" t="s">
        <v>181</v>
      </c>
      <c r="C8" t="s">
        <v>181</v>
      </c>
      <c r="D8" t="s">
        <v>181</v>
      </c>
      <c r="E8" t="s">
        <v>1049</v>
      </c>
      <c r="F8" t="s">
        <v>1050</v>
      </c>
      <c r="G8" t="s">
        <v>1051</v>
      </c>
      <c r="H8" t="s">
        <v>1052</v>
      </c>
      <c r="I8" t="s">
        <v>1053</v>
      </c>
      <c r="J8" t="s">
        <v>1054</v>
      </c>
      <c r="K8" t="s">
        <v>1055</v>
      </c>
      <c r="L8" t="s">
        <v>1056</v>
      </c>
      <c r="M8" t="s">
        <v>1057</v>
      </c>
      <c r="N8" t="s">
        <v>1058</v>
      </c>
      <c r="O8" t="s">
        <v>1059</v>
      </c>
      <c r="P8" t="s">
        <v>1060</v>
      </c>
      <c r="Q8" t="s">
        <v>1061</v>
      </c>
      <c r="R8" t="s">
        <v>1062</v>
      </c>
      <c r="S8" t="s">
        <v>1063</v>
      </c>
      <c r="T8" t="s">
        <v>1064</v>
      </c>
      <c r="U8" t="s">
        <v>1065</v>
      </c>
      <c r="V8" t="s">
        <v>1066</v>
      </c>
      <c r="W8" t="s">
        <v>1067</v>
      </c>
      <c r="X8" t="s">
        <v>1068</v>
      </c>
    </row>
    <row r="9" spans="1:24" x14ac:dyDescent="0.35">
      <c r="A9" s="1" t="s">
        <v>83</v>
      </c>
      <c r="B9" t="s">
        <v>181</v>
      </c>
      <c r="C9" t="s">
        <v>181</v>
      </c>
      <c r="D9" t="s">
        <v>181</v>
      </c>
      <c r="E9" t="s">
        <v>1069</v>
      </c>
      <c r="F9" t="s">
        <v>1070</v>
      </c>
      <c r="G9" t="s">
        <v>1071</v>
      </c>
      <c r="H9" t="s">
        <v>1072</v>
      </c>
      <c r="I9" t="s">
        <v>1073</v>
      </c>
      <c r="J9" t="s">
        <v>1074</v>
      </c>
      <c r="K9" t="s">
        <v>1075</v>
      </c>
      <c r="L9" t="s">
        <v>1076</v>
      </c>
      <c r="M9" t="s">
        <v>1077</v>
      </c>
      <c r="N9" t="s">
        <v>1078</v>
      </c>
      <c r="O9" t="s">
        <v>1079</v>
      </c>
      <c r="P9" t="s">
        <v>1080</v>
      </c>
      <c r="Q9" t="s">
        <v>1081</v>
      </c>
      <c r="R9" t="s">
        <v>1082</v>
      </c>
      <c r="S9" t="s">
        <v>1083</v>
      </c>
      <c r="T9" t="s">
        <v>1084</v>
      </c>
      <c r="U9" t="s">
        <v>1085</v>
      </c>
      <c r="V9" t="s">
        <v>1086</v>
      </c>
      <c r="W9" t="s">
        <v>1087</v>
      </c>
      <c r="X9" t="s">
        <v>1088</v>
      </c>
    </row>
    <row r="10" spans="1:24" x14ac:dyDescent="0.35">
      <c r="A10" s="1" t="s">
        <v>86</v>
      </c>
      <c r="B10" t="s">
        <v>181</v>
      </c>
      <c r="C10" t="s">
        <v>181</v>
      </c>
      <c r="D10" t="s">
        <v>181</v>
      </c>
      <c r="E10" t="s">
        <v>181</v>
      </c>
      <c r="F10" t="s">
        <v>1089</v>
      </c>
      <c r="G10" t="s">
        <v>1090</v>
      </c>
      <c r="H10" t="s">
        <v>1091</v>
      </c>
      <c r="I10" t="s">
        <v>1092</v>
      </c>
      <c r="J10" t="s">
        <v>1093</v>
      </c>
      <c r="K10" t="s">
        <v>1094</v>
      </c>
      <c r="L10" t="s">
        <v>1095</v>
      </c>
      <c r="M10" t="s">
        <v>1096</v>
      </c>
      <c r="N10" t="s">
        <v>1097</v>
      </c>
      <c r="O10" t="s">
        <v>1098</v>
      </c>
      <c r="P10" t="s">
        <v>1099</v>
      </c>
      <c r="Q10" t="s">
        <v>1100</v>
      </c>
      <c r="R10" t="s">
        <v>1101</v>
      </c>
      <c r="S10" t="s">
        <v>1102</v>
      </c>
      <c r="T10" t="s">
        <v>1103</v>
      </c>
      <c r="U10" t="s">
        <v>1104</v>
      </c>
      <c r="V10" t="s">
        <v>1105</v>
      </c>
      <c r="W10" t="s">
        <v>1106</v>
      </c>
      <c r="X10" t="s">
        <v>1107</v>
      </c>
    </row>
    <row r="11" spans="1:24" x14ac:dyDescent="0.35">
      <c r="A11" s="1" t="s">
        <v>1108</v>
      </c>
      <c r="B11" t="s">
        <v>181</v>
      </c>
      <c r="C11" t="s">
        <v>181</v>
      </c>
      <c r="D11" t="s">
        <v>181</v>
      </c>
      <c r="E11" t="s">
        <v>181</v>
      </c>
      <c r="F11" t="s">
        <v>1109</v>
      </c>
      <c r="G11" t="s">
        <v>524</v>
      </c>
      <c r="H11" t="s">
        <v>666</v>
      </c>
      <c r="I11" t="s">
        <v>794</v>
      </c>
      <c r="J11" t="s">
        <v>1110</v>
      </c>
      <c r="K11" t="s">
        <v>1111</v>
      </c>
      <c r="L11" t="s">
        <v>1112</v>
      </c>
      <c r="M11" t="s">
        <v>1113</v>
      </c>
      <c r="N11" t="s">
        <v>1114</v>
      </c>
      <c r="O11" t="s">
        <v>1115</v>
      </c>
      <c r="P11" t="s">
        <v>1116</v>
      </c>
      <c r="Q11" t="s">
        <v>1117</v>
      </c>
      <c r="R11" t="s">
        <v>1118</v>
      </c>
      <c r="S11" t="s">
        <v>1119</v>
      </c>
      <c r="T11" t="s">
        <v>1120</v>
      </c>
      <c r="U11" t="s">
        <v>1121</v>
      </c>
      <c r="V11" t="s">
        <v>1122</v>
      </c>
      <c r="W11" t="s">
        <v>1123</v>
      </c>
      <c r="X11" t="s">
        <v>1124</v>
      </c>
    </row>
    <row r="12" spans="1:24" x14ac:dyDescent="0.35">
      <c r="A12" s="1" t="s">
        <v>1125</v>
      </c>
      <c r="B12" t="s">
        <v>181</v>
      </c>
      <c r="C12" t="s">
        <v>181</v>
      </c>
      <c r="D12" t="s">
        <v>181</v>
      </c>
      <c r="E12" t="s">
        <v>181</v>
      </c>
      <c r="F12" t="s">
        <v>1126</v>
      </c>
      <c r="G12" t="s">
        <v>1127</v>
      </c>
      <c r="H12" t="s">
        <v>1032</v>
      </c>
      <c r="I12" t="s">
        <v>1128</v>
      </c>
      <c r="J12" t="s">
        <v>1129</v>
      </c>
      <c r="K12" t="s">
        <v>1130</v>
      </c>
      <c r="L12" t="s">
        <v>1131</v>
      </c>
      <c r="M12" t="s">
        <v>1132</v>
      </c>
      <c r="N12" t="s">
        <v>1133</v>
      </c>
      <c r="O12" t="s">
        <v>1134</v>
      </c>
      <c r="P12" t="s">
        <v>1135</v>
      </c>
      <c r="Q12" t="s">
        <v>1136</v>
      </c>
      <c r="R12" t="s">
        <v>1137</v>
      </c>
      <c r="S12" t="s">
        <v>1138</v>
      </c>
      <c r="T12" t="s">
        <v>1139</v>
      </c>
      <c r="U12" t="s">
        <v>1140</v>
      </c>
      <c r="V12" t="s">
        <v>1141</v>
      </c>
      <c r="W12" t="s">
        <v>1142</v>
      </c>
      <c r="X12" t="s">
        <v>1143</v>
      </c>
    </row>
    <row r="13" spans="1:24" x14ac:dyDescent="0.35">
      <c r="A13" s="1" t="s">
        <v>1144</v>
      </c>
      <c r="B13" t="s">
        <v>181</v>
      </c>
      <c r="C13" t="s">
        <v>181</v>
      </c>
      <c r="D13" t="s">
        <v>181</v>
      </c>
      <c r="E13" t="s">
        <v>181</v>
      </c>
      <c r="F13" t="s">
        <v>181</v>
      </c>
      <c r="G13" t="s">
        <v>181</v>
      </c>
      <c r="H13" t="s">
        <v>1145</v>
      </c>
      <c r="I13" t="s">
        <v>1146</v>
      </c>
      <c r="J13" t="s">
        <v>1147</v>
      </c>
      <c r="K13" t="s">
        <v>836</v>
      </c>
      <c r="L13" t="s">
        <v>1148</v>
      </c>
      <c r="M13" t="s">
        <v>1149</v>
      </c>
      <c r="N13" t="s">
        <v>1150</v>
      </c>
      <c r="O13" t="s">
        <v>504</v>
      </c>
      <c r="P13" t="s">
        <v>1151</v>
      </c>
      <c r="Q13" t="s">
        <v>1152</v>
      </c>
      <c r="R13" t="s">
        <v>1153</v>
      </c>
      <c r="S13" t="s">
        <v>1154</v>
      </c>
      <c r="T13" t="s">
        <v>853</v>
      </c>
      <c r="U13" t="s">
        <v>1155</v>
      </c>
      <c r="V13" t="s">
        <v>1156</v>
      </c>
      <c r="W13" t="s">
        <v>1157</v>
      </c>
      <c r="X13" t="s">
        <v>1158</v>
      </c>
    </row>
    <row r="14" spans="1:24" x14ac:dyDescent="0.35">
      <c r="A14" s="1" t="s">
        <v>1159</v>
      </c>
      <c r="B14" t="s">
        <v>181</v>
      </c>
      <c r="C14" t="s">
        <v>181</v>
      </c>
      <c r="D14" t="s">
        <v>181</v>
      </c>
      <c r="E14" t="s">
        <v>499</v>
      </c>
      <c r="F14" t="s">
        <v>493</v>
      </c>
      <c r="G14" t="s">
        <v>181</v>
      </c>
      <c r="H14" t="s">
        <v>1022</v>
      </c>
      <c r="I14" t="s">
        <v>595</v>
      </c>
      <c r="J14" t="s">
        <v>181</v>
      </c>
      <c r="K14" t="s">
        <v>523</v>
      </c>
      <c r="L14" t="s">
        <v>181</v>
      </c>
      <c r="M14" t="s">
        <v>181</v>
      </c>
      <c r="N14" t="s">
        <v>1160</v>
      </c>
      <c r="O14" t="s">
        <v>1161</v>
      </c>
      <c r="P14" t="s">
        <v>1162</v>
      </c>
      <c r="Q14" t="s">
        <v>1163</v>
      </c>
      <c r="R14" t="s">
        <v>912</v>
      </c>
      <c r="S14" t="s">
        <v>1164</v>
      </c>
      <c r="T14" t="s">
        <v>1165</v>
      </c>
      <c r="U14" t="s">
        <v>1166</v>
      </c>
      <c r="V14" t="s">
        <v>1167</v>
      </c>
      <c r="W14" t="s">
        <v>1168</v>
      </c>
      <c r="X14" t="s">
        <v>1169</v>
      </c>
    </row>
    <row r="15" spans="1:24" x14ac:dyDescent="0.35">
      <c r="A15" s="1" t="s">
        <v>1170</v>
      </c>
      <c r="B15" t="s">
        <v>181</v>
      </c>
      <c r="C15" t="s">
        <v>181</v>
      </c>
      <c r="D15" t="s">
        <v>181</v>
      </c>
      <c r="E15" t="s">
        <v>181</v>
      </c>
      <c r="F15" t="s">
        <v>522</v>
      </c>
      <c r="G15" t="s">
        <v>1171</v>
      </c>
      <c r="H15" t="s">
        <v>1172</v>
      </c>
      <c r="I15" t="s">
        <v>1173</v>
      </c>
      <c r="J15" t="s">
        <v>1174</v>
      </c>
      <c r="K15" t="s">
        <v>1175</v>
      </c>
      <c r="L15" t="s">
        <v>929</v>
      </c>
      <c r="M15" t="s">
        <v>1176</v>
      </c>
      <c r="N15" t="s">
        <v>1177</v>
      </c>
      <c r="O15" t="s">
        <v>1178</v>
      </c>
      <c r="P15" t="s">
        <v>677</v>
      </c>
      <c r="Q15" t="s">
        <v>1179</v>
      </c>
      <c r="R15" t="s">
        <v>1180</v>
      </c>
      <c r="S15" t="s">
        <v>1151</v>
      </c>
      <c r="T15" t="s">
        <v>1181</v>
      </c>
      <c r="U15" t="s">
        <v>1182</v>
      </c>
      <c r="V15" t="s">
        <v>1183</v>
      </c>
      <c r="W15" t="s">
        <v>1184</v>
      </c>
      <c r="X15" t="s">
        <v>1185</v>
      </c>
    </row>
    <row r="16" spans="1:24" x14ac:dyDescent="0.35">
      <c r="A16" s="1" t="s">
        <v>1186</v>
      </c>
      <c r="B16" t="s">
        <v>181</v>
      </c>
      <c r="C16" t="s">
        <v>181</v>
      </c>
      <c r="D16" t="s">
        <v>181</v>
      </c>
      <c r="E16" t="s">
        <v>678</v>
      </c>
      <c r="F16" t="s">
        <v>1187</v>
      </c>
      <c r="G16" t="s">
        <v>1188</v>
      </c>
      <c r="H16" t="s">
        <v>1189</v>
      </c>
      <c r="I16" t="s">
        <v>1190</v>
      </c>
      <c r="J16" t="s">
        <v>1191</v>
      </c>
      <c r="K16" t="s">
        <v>1192</v>
      </c>
      <c r="L16" t="s">
        <v>1193</v>
      </c>
      <c r="M16" t="s">
        <v>1194</v>
      </c>
      <c r="N16" t="s">
        <v>1195</v>
      </c>
      <c r="O16" t="s">
        <v>1196</v>
      </c>
      <c r="P16" t="s">
        <v>1197</v>
      </c>
      <c r="Q16" t="s">
        <v>1198</v>
      </c>
      <c r="R16" t="s">
        <v>1199</v>
      </c>
      <c r="S16" t="s">
        <v>1200</v>
      </c>
      <c r="T16" t="s">
        <v>1201</v>
      </c>
      <c r="U16" t="s">
        <v>1202</v>
      </c>
      <c r="V16" t="s">
        <v>1203</v>
      </c>
      <c r="W16" t="s">
        <v>1204</v>
      </c>
      <c r="X16" t="s">
        <v>1205</v>
      </c>
    </row>
    <row r="17" spans="1:24" x14ac:dyDescent="0.35">
      <c r="A17" s="1" t="s">
        <v>1206</v>
      </c>
      <c r="B17" t="s">
        <v>181</v>
      </c>
      <c r="C17" t="s">
        <v>1171</v>
      </c>
      <c r="D17" t="s">
        <v>181</v>
      </c>
      <c r="E17" t="s">
        <v>181</v>
      </c>
      <c r="F17" t="s">
        <v>181</v>
      </c>
      <c r="G17" t="s">
        <v>181</v>
      </c>
      <c r="H17" t="s">
        <v>181</v>
      </c>
      <c r="I17" t="s">
        <v>181</v>
      </c>
      <c r="J17" t="s">
        <v>181</v>
      </c>
      <c r="K17" t="s">
        <v>181</v>
      </c>
      <c r="L17" t="s">
        <v>181</v>
      </c>
      <c r="M17" t="s">
        <v>181</v>
      </c>
      <c r="N17" t="s">
        <v>181</v>
      </c>
      <c r="O17" t="s">
        <v>181</v>
      </c>
      <c r="P17" t="s">
        <v>181</v>
      </c>
      <c r="Q17" t="s">
        <v>181</v>
      </c>
      <c r="R17" t="s">
        <v>181</v>
      </c>
      <c r="S17" t="s">
        <v>181</v>
      </c>
      <c r="T17" t="s">
        <v>181</v>
      </c>
      <c r="U17" t="s">
        <v>181</v>
      </c>
      <c r="V17" t="s">
        <v>181</v>
      </c>
      <c r="W17" t="s">
        <v>181</v>
      </c>
      <c r="X17" t="s">
        <v>1207</v>
      </c>
    </row>
    <row r="18" spans="1:24" x14ac:dyDescent="0.35">
      <c r="A18" s="1" t="s">
        <v>1208</v>
      </c>
      <c r="B18" t="s">
        <v>181</v>
      </c>
      <c r="C18" t="s">
        <v>1171</v>
      </c>
      <c r="D18" t="s">
        <v>181</v>
      </c>
      <c r="E18" t="s">
        <v>1160</v>
      </c>
      <c r="F18" t="s">
        <v>1209</v>
      </c>
      <c r="G18" t="s">
        <v>1210</v>
      </c>
      <c r="H18" t="s">
        <v>1211</v>
      </c>
      <c r="I18" t="s">
        <v>1212</v>
      </c>
      <c r="J18" t="s">
        <v>1213</v>
      </c>
      <c r="K18" t="s">
        <v>1214</v>
      </c>
      <c r="L18" t="s">
        <v>1215</v>
      </c>
      <c r="M18" t="s">
        <v>1216</v>
      </c>
      <c r="N18" t="s">
        <v>1217</v>
      </c>
      <c r="O18" t="s">
        <v>1218</v>
      </c>
      <c r="P18" t="s">
        <v>1219</v>
      </c>
      <c r="Q18" t="s">
        <v>1220</v>
      </c>
      <c r="R18" t="s">
        <v>1221</v>
      </c>
      <c r="S18" t="s">
        <v>1222</v>
      </c>
      <c r="T18" t="s">
        <v>1223</v>
      </c>
      <c r="U18" t="s">
        <v>1224</v>
      </c>
      <c r="V18" t="s">
        <v>1225</v>
      </c>
      <c r="W18" t="s">
        <v>1226</v>
      </c>
      <c r="X18" t="s">
        <v>1227</v>
      </c>
    </row>
    <row r="19" spans="1:24" x14ac:dyDescent="0.35">
      <c r="A19" s="1" t="s">
        <v>1228</v>
      </c>
      <c r="B19" t="s">
        <v>181</v>
      </c>
      <c r="C19" t="s">
        <v>181</v>
      </c>
      <c r="D19" t="s">
        <v>181</v>
      </c>
      <c r="E19" t="s">
        <v>1229</v>
      </c>
      <c r="F19" t="s">
        <v>1230</v>
      </c>
      <c r="G19" t="s">
        <v>1231</v>
      </c>
      <c r="H19" t="s">
        <v>1232</v>
      </c>
      <c r="I19" t="s">
        <v>1233</v>
      </c>
      <c r="J19" t="s">
        <v>1234</v>
      </c>
      <c r="K19" t="s">
        <v>1235</v>
      </c>
      <c r="L19" t="s">
        <v>1236</v>
      </c>
      <c r="M19" t="s">
        <v>1237</v>
      </c>
      <c r="N19" t="s">
        <v>1238</v>
      </c>
      <c r="O19" t="s">
        <v>1239</v>
      </c>
      <c r="P19" t="s">
        <v>1240</v>
      </c>
      <c r="Q19" t="s">
        <v>1241</v>
      </c>
      <c r="R19" t="s">
        <v>1242</v>
      </c>
      <c r="S19" t="s">
        <v>1243</v>
      </c>
      <c r="T19" t="s">
        <v>1244</v>
      </c>
      <c r="U19" t="s">
        <v>1245</v>
      </c>
      <c r="V19" t="s">
        <v>1246</v>
      </c>
      <c r="W19" t="s">
        <v>1247</v>
      </c>
      <c r="X19" t="s">
        <v>1248</v>
      </c>
    </row>
    <row r="20" spans="1:24" x14ac:dyDescent="0.35">
      <c r="A20" s="1" t="s">
        <v>1249</v>
      </c>
      <c r="B20" t="s">
        <v>181</v>
      </c>
      <c r="C20" t="s">
        <v>181</v>
      </c>
      <c r="D20" t="s">
        <v>181</v>
      </c>
      <c r="E20" t="s">
        <v>1250</v>
      </c>
      <c r="F20" t="s">
        <v>774</v>
      </c>
      <c r="G20" t="s">
        <v>1251</v>
      </c>
      <c r="H20" t="s">
        <v>181</v>
      </c>
      <c r="I20" t="s">
        <v>181</v>
      </c>
      <c r="J20" t="s">
        <v>181</v>
      </c>
      <c r="K20" t="s">
        <v>181</v>
      </c>
      <c r="L20" t="s">
        <v>181</v>
      </c>
      <c r="M20" t="s">
        <v>1252</v>
      </c>
      <c r="N20" t="s">
        <v>1253</v>
      </c>
      <c r="O20" t="s">
        <v>1254</v>
      </c>
      <c r="P20" t="s">
        <v>1255</v>
      </c>
      <c r="Q20" t="s">
        <v>1256</v>
      </c>
      <c r="R20" t="s">
        <v>1257</v>
      </c>
      <c r="S20" t="s">
        <v>181</v>
      </c>
      <c r="T20" t="s">
        <v>181</v>
      </c>
      <c r="U20" t="s">
        <v>181</v>
      </c>
      <c r="V20" t="s">
        <v>1258</v>
      </c>
      <c r="W20" t="s">
        <v>1259</v>
      </c>
      <c r="X20" t="s">
        <v>1260</v>
      </c>
    </row>
    <row r="21" spans="1:24" x14ac:dyDescent="0.35">
      <c r="A21" s="1" t="s">
        <v>1261</v>
      </c>
      <c r="B21" t="s">
        <v>181</v>
      </c>
      <c r="C21" t="s">
        <v>181</v>
      </c>
      <c r="D21" t="s">
        <v>181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636</v>
      </c>
      <c r="L21" t="s">
        <v>181</v>
      </c>
      <c r="M21" t="s">
        <v>1262</v>
      </c>
      <c r="N21" t="s">
        <v>1263</v>
      </c>
      <c r="O21" t="s">
        <v>1264</v>
      </c>
      <c r="P21" t="s">
        <v>1265</v>
      </c>
      <c r="Q21" t="s">
        <v>1266</v>
      </c>
      <c r="R21" t="s">
        <v>1267</v>
      </c>
      <c r="S21" t="s">
        <v>1268</v>
      </c>
      <c r="T21" t="s">
        <v>1269</v>
      </c>
      <c r="U21" t="s">
        <v>779</v>
      </c>
      <c r="V21" t="s">
        <v>1270</v>
      </c>
      <c r="W21" t="s">
        <v>1271</v>
      </c>
      <c r="X21" t="s">
        <v>1272</v>
      </c>
    </row>
    <row r="22" spans="1:24" x14ac:dyDescent="0.35">
      <c r="A22" s="1" t="s">
        <v>1273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1274</v>
      </c>
      <c r="S22" t="s">
        <v>1174</v>
      </c>
      <c r="T22" t="s">
        <v>1275</v>
      </c>
      <c r="U22" t="s">
        <v>1276</v>
      </c>
      <c r="V22" t="s">
        <v>1277</v>
      </c>
      <c r="W22" t="s">
        <v>1278</v>
      </c>
      <c r="X22" t="s">
        <v>1279</v>
      </c>
    </row>
    <row r="23" spans="1:24" x14ac:dyDescent="0.35">
      <c r="A23" s="1" t="s">
        <v>1280</v>
      </c>
      <c r="B23" t="s">
        <v>181</v>
      </c>
      <c r="C23" t="s">
        <v>181</v>
      </c>
      <c r="D23" t="s">
        <v>181</v>
      </c>
      <c r="E23" t="s">
        <v>1281</v>
      </c>
      <c r="F23" t="s">
        <v>1282</v>
      </c>
      <c r="G23" t="s">
        <v>1283</v>
      </c>
      <c r="H23" t="s">
        <v>1284</v>
      </c>
      <c r="I23" t="s">
        <v>1285</v>
      </c>
      <c r="J23" t="s">
        <v>1286</v>
      </c>
      <c r="K23" t="s">
        <v>1287</v>
      </c>
      <c r="L23" t="s">
        <v>1288</v>
      </c>
      <c r="M23" t="s">
        <v>1289</v>
      </c>
      <c r="N23" t="s">
        <v>1290</v>
      </c>
      <c r="O23" t="s">
        <v>1291</v>
      </c>
      <c r="P23" t="s">
        <v>1292</v>
      </c>
      <c r="Q23" t="s">
        <v>1293</v>
      </c>
      <c r="R23" t="s">
        <v>1294</v>
      </c>
      <c r="S23" t="s">
        <v>1295</v>
      </c>
      <c r="T23" t="s">
        <v>1296</v>
      </c>
      <c r="U23" t="s">
        <v>1297</v>
      </c>
      <c r="V23" t="s">
        <v>1298</v>
      </c>
      <c r="W23" t="s">
        <v>1299</v>
      </c>
      <c r="X23" t="s">
        <v>1300</v>
      </c>
    </row>
    <row r="24" spans="1:24" x14ac:dyDescent="0.35">
      <c r="A24" s="1" t="s">
        <v>1301</v>
      </c>
      <c r="B24" t="s">
        <v>181</v>
      </c>
      <c r="C24" t="s">
        <v>181</v>
      </c>
      <c r="D24" t="s">
        <v>181</v>
      </c>
      <c r="E24" t="s">
        <v>1302</v>
      </c>
      <c r="F24" t="s">
        <v>1303</v>
      </c>
      <c r="G24" t="s">
        <v>1275</v>
      </c>
      <c r="H24" t="s">
        <v>1304</v>
      </c>
      <c r="I24" t="s">
        <v>1305</v>
      </c>
      <c r="J24" t="s">
        <v>1306</v>
      </c>
      <c r="K24" t="s">
        <v>1307</v>
      </c>
      <c r="L24" t="s">
        <v>1308</v>
      </c>
      <c r="M24" t="s">
        <v>1309</v>
      </c>
      <c r="N24" t="s">
        <v>1310</v>
      </c>
      <c r="O24" t="s">
        <v>1311</v>
      </c>
      <c r="P24" t="s">
        <v>1312</v>
      </c>
      <c r="Q24" t="s">
        <v>1313</v>
      </c>
      <c r="R24" t="s">
        <v>1314</v>
      </c>
      <c r="S24" t="s">
        <v>1315</v>
      </c>
      <c r="T24" t="s">
        <v>1316</v>
      </c>
      <c r="U24" t="s">
        <v>1317</v>
      </c>
      <c r="V24" t="s">
        <v>1318</v>
      </c>
      <c r="W24" t="s">
        <v>1319</v>
      </c>
      <c r="X24" t="s">
        <v>1320</v>
      </c>
    </row>
    <row r="25" spans="1:24" x14ac:dyDescent="0.35">
      <c r="A25" s="1" t="s">
        <v>1321</v>
      </c>
      <c r="B25" t="s">
        <v>181</v>
      </c>
      <c r="C25" t="s">
        <v>181</v>
      </c>
      <c r="D25" t="s">
        <v>181</v>
      </c>
      <c r="E25" t="s">
        <v>855</v>
      </c>
      <c r="F25" t="s">
        <v>1251</v>
      </c>
      <c r="G25" t="s">
        <v>181</v>
      </c>
      <c r="H25" t="s">
        <v>181</v>
      </c>
      <c r="I25" t="s">
        <v>181</v>
      </c>
      <c r="J25" t="s">
        <v>181</v>
      </c>
      <c r="K25" t="s">
        <v>181</v>
      </c>
      <c r="L25" t="s">
        <v>181</v>
      </c>
      <c r="M25" t="s">
        <v>181</v>
      </c>
      <c r="N25" t="s">
        <v>369</v>
      </c>
      <c r="O25" t="s">
        <v>370</v>
      </c>
      <c r="P25" t="s">
        <v>371</v>
      </c>
      <c r="Q25" t="s">
        <v>372</v>
      </c>
      <c r="R25" t="s">
        <v>373</v>
      </c>
      <c r="S25" t="s">
        <v>374</v>
      </c>
      <c r="T25" t="s">
        <v>375</v>
      </c>
      <c r="U25" t="s">
        <v>376</v>
      </c>
      <c r="V25" t="s">
        <v>377</v>
      </c>
      <c r="W25" t="s">
        <v>378</v>
      </c>
      <c r="X25" t="s">
        <v>379</v>
      </c>
    </row>
    <row r="26" spans="1:24" x14ac:dyDescent="0.35">
      <c r="A26" s="1" t="s">
        <v>1322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912</v>
      </c>
      <c r="S26" t="s">
        <v>1164</v>
      </c>
      <c r="T26" t="s">
        <v>1165</v>
      </c>
      <c r="U26" t="s">
        <v>1166</v>
      </c>
      <c r="V26" t="s">
        <v>1167</v>
      </c>
      <c r="W26" t="s">
        <v>1323</v>
      </c>
      <c r="X26" t="s">
        <v>1324</v>
      </c>
    </row>
    <row r="27" spans="1:24" x14ac:dyDescent="0.35">
      <c r="A27" s="1" t="s">
        <v>1325</v>
      </c>
      <c r="B27" t="s">
        <v>181</v>
      </c>
      <c r="C27" t="s">
        <v>181</v>
      </c>
      <c r="D27" t="s">
        <v>181</v>
      </c>
      <c r="E27" t="s">
        <v>1251</v>
      </c>
      <c r="F27" t="s">
        <v>1326</v>
      </c>
      <c r="G27" t="s">
        <v>1327</v>
      </c>
      <c r="H27" t="s">
        <v>1328</v>
      </c>
      <c r="I27" t="s">
        <v>1148</v>
      </c>
      <c r="J27" t="s">
        <v>1329</v>
      </c>
      <c r="K27" t="s">
        <v>1330</v>
      </c>
      <c r="L27" t="s">
        <v>1331</v>
      </c>
      <c r="M27" t="s">
        <v>1332</v>
      </c>
      <c r="N27" t="s">
        <v>1333</v>
      </c>
      <c r="O27" t="s">
        <v>1334</v>
      </c>
      <c r="P27" t="s">
        <v>1335</v>
      </c>
      <c r="Q27" t="s">
        <v>1336</v>
      </c>
      <c r="R27" t="s">
        <v>1337</v>
      </c>
      <c r="S27" t="s">
        <v>1338</v>
      </c>
      <c r="T27" t="s">
        <v>1339</v>
      </c>
      <c r="U27" t="s">
        <v>1340</v>
      </c>
      <c r="V27" t="s">
        <v>1341</v>
      </c>
      <c r="W27" t="s">
        <v>1342</v>
      </c>
      <c r="X27" t="s">
        <v>1343</v>
      </c>
    </row>
    <row r="28" spans="1:24" x14ac:dyDescent="0.35">
      <c r="A28" s="1" t="s">
        <v>1344</v>
      </c>
      <c r="B28" t="s">
        <v>181</v>
      </c>
      <c r="C28" t="s">
        <v>181</v>
      </c>
      <c r="D28" t="s">
        <v>181</v>
      </c>
      <c r="E28" t="s">
        <v>1229</v>
      </c>
      <c r="F28" t="s">
        <v>1345</v>
      </c>
      <c r="G28" t="s">
        <v>1327</v>
      </c>
      <c r="H28" t="s">
        <v>1328</v>
      </c>
      <c r="I28" t="s">
        <v>1148</v>
      </c>
      <c r="J28" t="s">
        <v>1329</v>
      </c>
      <c r="K28" t="s">
        <v>1330</v>
      </c>
      <c r="L28" t="s">
        <v>1331</v>
      </c>
      <c r="M28" t="s">
        <v>1332</v>
      </c>
      <c r="N28" t="s">
        <v>1346</v>
      </c>
      <c r="O28" t="s">
        <v>1347</v>
      </c>
      <c r="P28" t="s">
        <v>1348</v>
      </c>
      <c r="Q28" t="s">
        <v>1349</v>
      </c>
      <c r="R28" t="s">
        <v>1350</v>
      </c>
      <c r="S28" t="s">
        <v>1351</v>
      </c>
      <c r="T28" t="s">
        <v>1352</v>
      </c>
      <c r="U28" t="s">
        <v>1353</v>
      </c>
      <c r="V28" t="s">
        <v>1354</v>
      </c>
      <c r="W28" t="s">
        <v>1355</v>
      </c>
      <c r="X28" t="s">
        <v>1356</v>
      </c>
    </row>
    <row r="29" spans="1:24" x14ac:dyDescent="0.35">
      <c r="A29" s="1" t="s">
        <v>1357</v>
      </c>
      <c r="B29" t="s">
        <v>181</v>
      </c>
      <c r="C29" t="s">
        <v>684</v>
      </c>
      <c r="D29" t="s">
        <v>181</v>
      </c>
      <c r="E29" t="s">
        <v>181</v>
      </c>
      <c r="F29" t="s">
        <v>181</v>
      </c>
      <c r="G29" t="s">
        <v>181</v>
      </c>
      <c r="H29" t="s">
        <v>181</v>
      </c>
      <c r="I29" t="s">
        <v>181</v>
      </c>
      <c r="J29" t="s">
        <v>181</v>
      </c>
      <c r="K29" t="s">
        <v>181</v>
      </c>
      <c r="L29" t="s">
        <v>181</v>
      </c>
      <c r="M29" t="s">
        <v>181</v>
      </c>
      <c r="N29" t="s">
        <v>181</v>
      </c>
      <c r="O29" t="s">
        <v>181</v>
      </c>
      <c r="P29" t="s">
        <v>181</v>
      </c>
      <c r="Q29" t="s">
        <v>181</v>
      </c>
      <c r="R29" t="s">
        <v>181</v>
      </c>
      <c r="S29" t="s">
        <v>181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</row>
    <row r="30" spans="1:24" x14ac:dyDescent="0.35">
      <c r="A30" s="1" t="s">
        <v>1358</v>
      </c>
      <c r="B30" t="s">
        <v>181</v>
      </c>
      <c r="C30" t="s">
        <v>181</v>
      </c>
      <c r="D30" t="s">
        <v>181</v>
      </c>
      <c r="E30" t="s">
        <v>181</v>
      </c>
      <c r="F30" t="s">
        <v>1251</v>
      </c>
      <c r="G30" t="s">
        <v>181</v>
      </c>
      <c r="H30" t="s">
        <v>181</v>
      </c>
      <c r="I30" t="s">
        <v>181</v>
      </c>
      <c r="J30" t="s">
        <v>181</v>
      </c>
      <c r="K30" t="s">
        <v>181</v>
      </c>
      <c r="L30" t="s">
        <v>181</v>
      </c>
      <c r="M30" t="s">
        <v>181</v>
      </c>
      <c r="N30" t="s">
        <v>181</v>
      </c>
      <c r="O30" t="s">
        <v>181</v>
      </c>
      <c r="P30" t="s">
        <v>1359</v>
      </c>
      <c r="Q30" t="s">
        <v>1360</v>
      </c>
      <c r="R30" t="s">
        <v>1361</v>
      </c>
      <c r="S30" t="s">
        <v>181</v>
      </c>
      <c r="T30" t="s">
        <v>1362</v>
      </c>
      <c r="U30" t="s">
        <v>1003</v>
      </c>
      <c r="V30" t="s">
        <v>1363</v>
      </c>
      <c r="W30" t="s">
        <v>1364</v>
      </c>
      <c r="X30" t="s">
        <v>1365</v>
      </c>
    </row>
    <row r="31" spans="1:24" x14ac:dyDescent="0.35">
      <c r="A31" s="1" t="s">
        <v>1366</v>
      </c>
      <c r="B31" t="s">
        <v>181</v>
      </c>
      <c r="C31" t="s">
        <v>684</v>
      </c>
      <c r="D31" t="s">
        <v>181</v>
      </c>
      <c r="E31" t="s">
        <v>1367</v>
      </c>
      <c r="F31" t="s">
        <v>1368</v>
      </c>
      <c r="G31" t="s">
        <v>1369</v>
      </c>
      <c r="H31" t="s">
        <v>1370</v>
      </c>
      <c r="I31" t="s">
        <v>1371</v>
      </c>
      <c r="J31" t="s">
        <v>1372</v>
      </c>
      <c r="K31" t="s">
        <v>1373</v>
      </c>
      <c r="L31" t="s">
        <v>1374</v>
      </c>
      <c r="M31" t="s">
        <v>1375</v>
      </c>
      <c r="N31" t="s">
        <v>1376</v>
      </c>
      <c r="O31" t="s">
        <v>1377</v>
      </c>
      <c r="P31" t="s">
        <v>1378</v>
      </c>
      <c r="Q31" t="s">
        <v>1379</v>
      </c>
      <c r="R31" t="s">
        <v>1380</v>
      </c>
      <c r="S31" t="s">
        <v>1381</v>
      </c>
      <c r="T31" t="s">
        <v>1382</v>
      </c>
      <c r="U31" t="s">
        <v>1383</v>
      </c>
      <c r="V31" t="s">
        <v>1384</v>
      </c>
      <c r="W31" t="s">
        <v>1385</v>
      </c>
      <c r="X31" t="s">
        <v>1386</v>
      </c>
    </row>
    <row r="32" spans="1:24" x14ac:dyDescent="0.35">
      <c r="A32" s="1" t="s">
        <v>1387</v>
      </c>
      <c r="B32" t="s">
        <v>181</v>
      </c>
      <c r="C32" t="s">
        <v>181</v>
      </c>
      <c r="D32" t="s">
        <v>181</v>
      </c>
      <c r="E32" t="s">
        <v>1327</v>
      </c>
      <c r="F32" t="s">
        <v>1327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</row>
    <row r="33" spans="1:24" x14ac:dyDescent="0.35">
      <c r="A33" s="1" t="s">
        <v>1388</v>
      </c>
      <c r="B33" t="s">
        <v>181</v>
      </c>
      <c r="C33" t="s">
        <v>181</v>
      </c>
      <c r="D33" t="s">
        <v>181</v>
      </c>
      <c r="E33" t="s">
        <v>1389</v>
      </c>
      <c r="F33" t="s">
        <v>1389</v>
      </c>
      <c r="G33" t="s">
        <v>1389</v>
      </c>
      <c r="H33" t="s">
        <v>1389</v>
      </c>
      <c r="I33" t="s">
        <v>1389</v>
      </c>
      <c r="J33" t="s">
        <v>1389</v>
      </c>
      <c r="K33" t="s">
        <v>1389</v>
      </c>
      <c r="L33" t="s">
        <v>1389</v>
      </c>
      <c r="M33" t="s">
        <v>1390</v>
      </c>
      <c r="N33" t="s">
        <v>1391</v>
      </c>
      <c r="O33" t="s">
        <v>1392</v>
      </c>
      <c r="P33" t="s">
        <v>1393</v>
      </c>
      <c r="Q33" t="s">
        <v>1394</v>
      </c>
      <c r="R33" t="s">
        <v>1395</v>
      </c>
      <c r="S33" t="s">
        <v>1396</v>
      </c>
      <c r="T33" t="s">
        <v>1397</v>
      </c>
      <c r="U33" t="s">
        <v>1398</v>
      </c>
      <c r="V33" t="s">
        <v>1399</v>
      </c>
      <c r="W33" t="s">
        <v>1400</v>
      </c>
      <c r="X33" t="s">
        <v>1401</v>
      </c>
    </row>
    <row r="34" spans="1:24" x14ac:dyDescent="0.35">
      <c r="A34" s="1" t="s">
        <v>1402</v>
      </c>
      <c r="B34" t="s">
        <v>181</v>
      </c>
      <c r="C34" t="s">
        <v>181</v>
      </c>
      <c r="D34" t="s">
        <v>181</v>
      </c>
      <c r="E34" t="s">
        <v>494</v>
      </c>
      <c r="F34" t="s">
        <v>1403</v>
      </c>
      <c r="G34" t="s">
        <v>777</v>
      </c>
      <c r="H34" t="s">
        <v>1404</v>
      </c>
      <c r="I34" t="s">
        <v>1405</v>
      </c>
      <c r="J34" t="s">
        <v>1406</v>
      </c>
      <c r="K34" t="s">
        <v>1407</v>
      </c>
      <c r="L34" t="s">
        <v>1408</v>
      </c>
      <c r="M34" t="s">
        <v>1409</v>
      </c>
      <c r="N34" t="s">
        <v>1410</v>
      </c>
      <c r="O34" t="s">
        <v>1411</v>
      </c>
      <c r="P34" t="s">
        <v>1412</v>
      </c>
      <c r="Q34" t="s">
        <v>1413</v>
      </c>
      <c r="R34" t="s">
        <v>1414</v>
      </c>
      <c r="S34" t="s">
        <v>1415</v>
      </c>
      <c r="T34" t="s">
        <v>1416</v>
      </c>
      <c r="U34" t="s">
        <v>1417</v>
      </c>
      <c r="V34" t="s">
        <v>1418</v>
      </c>
      <c r="W34" t="s">
        <v>1419</v>
      </c>
      <c r="X34" t="s">
        <v>1420</v>
      </c>
    </row>
    <row r="35" spans="1:24" x14ac:dyDescent="0.35">
      <c r="A35" s="1" t="s">
        <v>1421</v>
      </c>
      <c r="B35" t="s">
        <v>181</v>
      </c>
      <c r="C35" t="s">
        <v>181</v>
      </c>
      <c r="D35" t="s">
        <v>181</v>
      </c>
      <c r="E35" t="s">
        <v>1422</v>
      </c>
      <c r="F35" t="s">
        <v>1423</v>
      </c>
      <c r="G35" t="s">
        <v>1424</v>
      </c>
      <c r="H35" t="s">
        <v>1425</v>
      </c>
      <c r="I35" t="s">
        <v>1029</v>
      </c>
      <c r="J35" t="s">
        <v>1426</v>
      </c>
      <c r="K35" t="s">
        <v>1427</v>
      </c>
      <c r="L35" t="s">
        <v>1126</v>
      </c>
      <c r="M35" t="s">
        <v>1428</v>
      </c>
      <c r="N35" t="s">
        <v>1429</v>
      </c>
      <c r="O35" t="s">
        <v>1430</v>
      </c>
      <c r="P35" t="s">
        <v>775</v>
      </c>
      <c r="Q35" t="s">
        <v>1431</v>
      </c>
      <c r="R35" t="s">
        <v>1432</v>
      </c>
      <c r="S35" t="s">
        <v>1433</v>
      </c>
      <c r="T35" t="s">
        <v>1434</v>
      </c>
      <c r="U35" t="s">
        <v>1435</v>
      </c>
      <c r="V35" t="s">
        <v>1436</v>
      </c>
      <c r="W35" t="s">
        <v>1437</v>
      </c>
      <c r="X35" t="s">
        <v>1438</v>
      </c>
    </row>
    <row r="36" spans="1:24" x14ac:dyDescent="0.35">
      <c r="A36" s="1" t="s">
        <v>1439</v>
      </c>
      <c r="B36" t="s">
        <v>181</v>
      </c>
      <c r="C36" t="s">
        <v>1431</v>
      </c>
      <c r="D36" t="s">
        <v>181</v>
      </c>
      <c r="E36" t="s">
        <v>666</v>
      </c>
      <c r="F36" t="s">
        <v>1440</v>
      </c>
      <c r="G36" t="s">
        <v>1441</v>
      </c>
      <c r="H36" t="s">
        <v>1442</v>
      </c>
      <c r="I36" t="s">
        <v>1443</v>
      </c>
      <c r="J36" t="s">
        <v>1444</v>
      </c>
      <c r="K36" t="s">
        <v>1445</v>
      </c>
      <c r="L36" t="s">
        <v>1446</v>
      </c>
      <c r="M36" t="s">
        <v>181</v>
      </c>
      <c r="N36" t="s">
        <v>181</v>
      </c>
      <c r="O36" t="s">
        <v>181</v>
      </c>
      <c r="P36" t="s">
        <v>181</v>
      </c>
      <c r="Q36" t="s">
        <v>732</v>
      </c>
      <c r="R36" t="s">
        <v>181</v>
      </c>
      <c r="S36" t="s">
        <v>181</v>
      </c>
      <c r="T36" t="s">
        <v>181</v>
      </c>
      <c r="U36" t="s">
        <v>181</v>
      </c>
      <c r="V36" t="s">
        <v>181</v>
      </c>
      <c r="W36" t="s">
        <v>181</v>
      </c>
      <c r="X36" t="s">
        <v>181</v>
      </c>
    </row>
    <row r="37" spans="1:24" x14ac:dyDescent="0.35">
      <c r="A37" s="1" t="s">
        <v>1447</v>
      </c>
      <c r="B37" t="s">
        <v>181</v>
      </c>
      <c r="C37" t="s">
        <v>1431</v>
      </c>
      <c r="D37" t="s">
        <v>181</v>
      </c>
      <c r="E37" t="s">
        <v>1448</v>
      </c>
      <c r="F37" t="s">
        <v>1449</v>
      </c>
      <c r="G37" t="s">
        <v>1450</v>
      </c>
      <c r="H37" t="s">
        <v>1451</v>
      </c>
      <c r="I37" t="s">
        <v>382</v>
      </c>
      <c r="J37" t="s">
        <v>383</v>
      </c>
      <c r="K37" t="s">
        <v>384</v>
      </c>
      <c r="L37" t="s">
        <v>385</v>
      </c>
      <c r="M37" t="s">
        <v>386</v>
      </c>
      <c r="N37" t="s">
        <v>387</v>
      </c>
      <c r="O37" t="s">
        <v>388</v>
      </c>
      <c r="P37" t="s">
        <v>389</v>
      </c>
      <c r="Q37" t="s">
        <v>390</v>
      </c>
      <c r="R37" t="s">
        <v>391</v>
      </c>
      <c r="S37" t="s">
        <v>392</v>
      </c>
      <c r="T37" t="s">
        <v>393</v>
      </c>
      <c r="U37" t="s">
        <v>394</v>
      </c>
      <c r="V37" t="s">
        <v>395</v>
      </c>
      <c r="W37" t="s">
        <v>396</v>
      </c>
      <c r="X37" t="s">
        <v>397</v>
      </c>
    </row>
    <row r="38" spans="1:24" x14ac:dyDescent="0.35">
      <c r="A38" s="1" t="s">
        <v>1452</v>
      </c>
      <c r="B38" t="s">
        <v>181</v>
      </c>
      <c r="C38" t="s">
        <v>1171</v>
      </c>
      <c r="D38" t="s">
        <v>181</v>
      </c>
      <c r="E38" t="s">
        <v>1453</v>
      </c>
      <c r="F38" t="s">
        <v>1454</v>
      </c>
      <c r="G38" t="s">
        <v>1210</v>
      </c>
      <c r="H38" t="s">
        <v>1211</v>
      </c>
      <c r="I38" t="s">
        <v>1455</v>
      </c>
      <c r="J38" t="s">
        <v>1213</v>
      </c>
      <c r="K38" t="s">
        <v>1214</v>
      </c>
      <c r="L38" t="s">
        <v>1215</v>
      </c>
      <c r="M38" t="s">
        <v>1216</v>
      </c>
      <c r="N38" t="s">
        <v>1217</v>
      </c>
      <c r="O38" t="s">
        <v>1218</v>
      </c>
      <c r="P38" t="s">
        <v>1219</v>
      </c>
      <c r="Q38" t="s">
        <v>1456</v>
      </c>
      <c r="R38" t="s">
        <v>1221</v>
      </c>
      <c r="S38" t="s">
        <v>1222</v>
      </c>
      <c r="T38" t="s">
        <v>1223</v>
      </c>
      <c r="U38" t="s">
        <v>1224</v>
      </c>
      <c r="V38" t="s">
        <v>1225</v>
      </c>
      <c r="W38" t="s">
        <v>1226</v>
      </c>
      <c r="X38" t="s">
        <v>1227</v>
      </c>
    </row>
    <row r="39" spans="1:24" x14ac:dyDescent="0.35">
      <c r="A39" s="1" t="s">
        <v>1457</v>
      </c>
      <c r="B39" t="s">
        <v>181</v>
      </c>
      <c r="C39" t="s">
        <v>181</v>
      </c>
      <c r="D39" t="s">
        <v>181</v>
      </c>
      <c r="E39" t="s">
        <v>1145</v>
      </c>
      <c r="F39" t="s">
        <v>523</v>
      </c>
      <c r="G39" t="s">
        <v>634</v>
      </c>
      <c r="H39" t="s">
        <v>1389</v>
      </c>
      <c r="I39" t="s">
        <v>522</v>
      </c>
      <c r="J39" t="s">
        <v>1389</v>
      </c>
      <c r="K39" t="s">
        <v>1389</v>
      </c>
      <c r="L39" t="s">
        <v>634</v>
      </c>
      <c r="M39" t="s">
        <v>181</v>
      </c>
      <c r="N39" t="s">
        <v>181</v>
      </c>
      <c r="O39" t="s">
        <v>181</v>
      </c>
      <c r="P39" t="s">
        <v>181</v>
      </c>
      <c r="Q39" t="s">
        <v>1458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</row>
    <row r="40" spans="1:24" x14ac:dyDescent="0.35">
      <c r="A40" s="1" t="s">
        <v>1459</v>
      </c>
      <c r="B40" t="s">
        <v>181</v>
      </c>
      <c r="C40" t="s">
        <v>1171</v>
      </c>
      <c r="D40" t="s">
        <v>181</v>
      </c>
      <c r="E40" t="s">
        <v>1160</v>
      </c>
      <c r="F40" t="s">
        <v>1209</v>
      </c>
      <c r="G40" t="s">
        <v>1210</v>
      </c>
      <c r="H40" t="s">
        <v>1211</v>
      </c>
      <c r="I40" t="s">
        <v>1212</v>
      </c>
      <c r="J40" t="s">
        <v>1213</v>
      </c>
      <c r="K40" t="s">
        <v>1214</v>
      </c>
      <c r="L40" t="s">
        <v>1215</v>
      </c>
      <c r="M40" t="s">
        <v>1216</v>
      </c>
      <c r="N40" t="s">
        <v>1217</v>
      </c>
      <c r="O40" t="s">
        <v>1218</v>
      </c>
      <c r="P40" t="s">
        <v>1219</v>
      </c>
      <c r="Q40" t="s">
        <v>1220</v>
      </c>
      <c r="R40" t="s">
        <v>1221</v>
      </c>
      <c r="S40" t="s">
        <v>1222</v>
      </c>
      <c r="T40" t="s">
        <v>1223</v>
      </c>
      <c r="U40" t="s">
        <v>1224</v>
      </c>
      <c r="V40" t="s">
        <v>1225</v>
      </c>
      <c r="W40" t="s">
        <v>1226</v>
      </c>
      <c r="X40" t="s">
        <v>1227</v>
      </c>
    </row>
    <row r="43" spans="1:24" x14ac:dyDescent="0.35">
      <c r="A43" s="2" t="s">
        <v>107</v>
      </c>
      <c r="E43">
        <f t="shared" ref="E43:X43" si="0">E8/E24</f>
        <v>2.5777777777777779</v>
      </c>
      <c r="F43">
        <f t="shared" si="0"/>
        <v>2.3829787234042552</v>
      </c>
      <c r="G43">
        <f t="shared" si="0"/>
        <v>7.9205882352941179</v>
      </c>
      <c r="H43">
        <f t="shared" si="0"/>
        <v>12.081879194630872</v>
      </c>
      <c r="I43">
        <f t="shared" si="0"/>
        <v>9.9923371647509587</v>
      </c>
      <c r="J43">
        <f t="shared" si="0"/>
        <v>8.4916502946954822</v>
      </c>
      <c r="K43">
        <f t="shared" si="0"/>
        <v>8.7654213727193753</v>
      </c>
      <c r="L43">
        <f t="shared" si="0"/>
        <v>10.617764834364761</v>
      </c>
      <c r="M43">
        <f t="shared" si="0"/>
        <v>4.1578631452581032</v>
      </c>
      <c r="N43">
        <f t="shared" si="0"/>
        <v>5.9192191181420402</v>
      </c>
      <c r="O43">
        <f t="shared" si="0"/>
        <v>4.2166422543070379</v>
      </c>
      <c r="P43">
        <f t="shared" si="0"/>
        <v>4.5817198893638418</v>
      </c>
      <c r="Q43">
        <f t="shared" si="0"/>
        <v>4.6877644674891235</v>
      </c>
      <c r="R43">
        <f t="shared" si="0"/>
        <v>4.6667011910926979</v>
      </c>
      <c r="S43">
        <f t="shared" si="0"/>
        <v>6.2907615182621148</v>
      </c>
      <c r="T43">
        <f t="shared" si="0"/>
        <v>5.1403051730554523</v>
      </c>
      <c r="U43">
        <f t="shared" si="0"/>
        <v>3.919006354708261</v>
      </c>
      <c r="V43">
        <f t="shared" si="0"/>
        <v>3.3740518785520002</v>
      </c>
      <c r="W43">
        <f t="shared" si="0"/>
        <v>3.0667558151810534</v>
      </c>
      <c r="X43">
        <f t="shared" si="0"/>
        <v>2.9281134248451459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workbookViewId="0"/>
  </sheetViews>
  <sheetFormatPr defaultRowHeight="14.5" x14ac:dyDescent="0.35"/>
  <sheetData>
    <row r="1" spans="1:24" x14ac:dyDescent="0.35">
      <c r="A1" s="1" t="s">
        <v>108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</row>
    <row r="2" spans="1:24" x14ac:dyDescent="0.35">
      <c r="A2" s="1" t="s">
        <v>64</v>
      </c>
      <c r="B2" t="s">
        <v>181</v>
      </c>
      <c r="C2" t="s">
        <v>181</v>
      </c>
      <c r="D2" t="s">
        <v>855</v>
      </c>
      <c r="E2" t="s">
        <v>672</v>
      </c>
      <c r="F2" t="s">
        <v>856</v>
      </c>
      <c r="G2" t="s">
        <v>857</v>
      </c>
      <c r="H2" t="s">
        <v>858</v>
      </c>
      <c r="I2" t="s">
        <v>303</v>
      </c>
      <c r="J2" t="s">
        <v>304</v>
      </c>
      <c r="K2" t="s">
        <v>305</v>
      </c>
      <c r="L2" t="s">
        <v>306</v>
      </c>
      <c r="M2" t="s">
        <v>307</v>
      </c>
      <c r="N2" t="s">
        <v>308</v>
      </c>
      <c r="O2" t="s">
        <v>309</v>
      </c>
      <c r="P2" t="s">
        <v>310</v>
      </c>
      <c r="Q2" t="s">
        <v>311</v>
      </c>
      <c r="R2" t="s">
        <v>312</v>
      </c>
      <c r="S2" t="s">
        <v>313</v>
      </c>
      <c r="T2" t="s">
        <v>314</v>
      </c>
      <c r="U2" t="s">
        <v>315</v>
      </c>
      <c r="V2" t="s">
        <v>316</v>
      </c>
      <c r="W2" t="s">
        <v>317</v>
      </c>
      <c r="X2" t="s">
        <v>318</v>
      </c>
    </row>
    <row r="3" spans="1:24" x14ac:dyDescent="0.35">
      <c r="A3" s="1" t="s">
        <v>675</v>
      </c>
      <c r="B3" t="s">
        <v>181</v>
      </c>
      <c r="C3" t="s">
        <v>181</v>
      </c>
      <c r="D3" t="s">
        <v>676</v>
      </c>
      <c r="E3" t="s">
        <v>677</v>
      </c>
      <c r="F3" t="s">
        <v>678</v>
      </c>
      <c r="G3" t="s">
        <v>679</v>
      </c>
      <c r="H3" t="s">
        <v>680</v>
      </c>
      <c r="I3" t="s">
        <v>285</v>
      </c>
      <c r="J3" t="s">
        <v>286</v>
      </c>
      <c r="K3" t="s">
        <v>287</v>
      </c>
      <c r="L3" t="s">
        <v>288</v>
      </c>
      <c r="M3" t="s">
        <v>289</v>
      </c>
      <c r="N3" t="s">
        <v>290</v>
      </c>
      <c r="O3" t="s">
        <v>291</v>
      </c>
      <c r="P3" t="s">
        <v>292</v>
      </c>
      <c r="Q3" t="s">
        <v>293</v>
      </c>
      <c r="R3" t="s">
        <v>294</v>
      </c>
      <c r="S3" t="s">
        <v>295</v>
      </c>
      <c r="T3" t="s">
        <v>296</v>
      </c>
      <c r="U3" t="s">
        <v>297</v>
      </c>
      <c r="V3" t="s">
        <v>298</v>
      </c>
      <c r="W3" t="s">
        <v>299</v>
      </c>
      <c r="X3" t="s">
        <v>300</v>
      </c>
    </row>
    <row r="4" spans="1:24" x14ac:dyDescent="0.35">
      <c r="A4" s="1" t="s">
        <v>1460</v>
      </c>
      <c r="B4" t="s">
        <v>181</v>
      </c>
      <c r="C4" t="s">
        <v>181</v>
      </c>
      <c r="D4" t="s">
        <v>1461</v>
      </c>
      <c r="E4" t="s">
        <v>181</v>
      </c>
      <c r="F4" t="s">
        <v>181</v>
      </c>
      <c r="G4" t="s">
        <v>181</v>
      </c>
      <c r="H4" t="s">
        <v>181</v>
      </c>
      <c r="I4" t="s">
        <v>181</v>
      </c>
      <c r="J4" t="s">
        <v>1462</v>
      </c>
      <c r="K4" t="s">
        <v>1463</v>
      </c>
      <c r="L4" t="s">
        <v>1464</v>
      </c>
      <c r="M4" t="s">
        <v>1229</v>
      </c>
      <c r="N4" t="s">
        <v>1465</v>
      </c>
      <c r="O4" t="s">
        <v>1466</v>
      </c>
      <c r="P4" t="s">
        <v>1467</v>
      </c>
      <c r="Q4" t="s">
        <v>1468</v>
      </c>
      <c r="R4" t="s">
        <v>1469</v>
      </c>
      <c r="S4" t="s">
        <v>1470</v>
      </c>
      <c r="T4" t="s">
        <v>1471</v>
      </c>
      <c r="U4" t="s">
        <v>1472</v>
      </c>
      <c r="V4" t="s">
        <v>1473</v>
      </c>
      <c r="W4" t="s">
        <v>1474</v>
      </c>
      <c r="X4" t="s">
        <v>1475</v>
      </c>
    </row>
    <row r="5" spans="1:24" x14ac:dyDescent="0.35">
      <c r="A5" s="1" t="s">
        <v>1476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181</v>
      </c>
      <c r="H5" t="s">
        <v>181</v>
      </c>
      <c r="I5" t="s">
        <v>181</v>
      </c>
      <c r="J5" t="s">
        <v>1477</v>
      </c>
      <c r="K5" t="s">
        <v>1478</v>
      </c>
      <c r="L5" t="s">
        <v>1479</v>
      </c>
      <c r="M5" t="s">
        <v>1480</v>
      </c>
      <c r="N5" t="s">
        <v>1481</v>
      </c>
      <c r="O5" t="s">
        <v>1120</v>
      </c>
      <c r="P5" t="s">
        <v>1482</v>
      </c>
      <c r="Q5" t="s">
        <v>1483</v>
      </c>
      <c r="R5" t="s">
        <v>1484</v>
      </c>
      <c r="S5" t="s">
        <v>1485</v>
      </c>
      <c r="T5" t="s">
        <v>1486</v>
      </c>
      <c r="U5" t="s">
        <v>1487</v>
      </c>
      <c r="V5" t="s">
        <v>1488</v>
      </c>
      <c r="W5" t="s">
        <v>1489</v>
      </c>
      <c r="X5" t="s">
        <v>1490</v>
      </c>
    </row>
    <row r="6" spans="1:24" x14ac:dyDescent="0.35">
      <c r="A6" s="1" t="s">
        <v>1491</v>
      </c>
      <c r="B6" t="s">
        <v>181</v>
      </c>
      <c r="C6" t="s">
        <v>181</v>
      </c>
      <c r="D6" t="s">
        <v>181</v>
      </c>
      <c r="E6" t="s">
        <v>774</v>
      </c>
      <c r="F6" t="s">
        <v>682</v>
      </c>
      <c r="G6" t="s">
        <v>1492</v>
      </c>
      <c r="H6" t="s">
        <v>1327</v>
      </c>
      <c r="I6" t="s">
        <v>1493</v>
      </c>
      <c r="J6" t="s">
        <v>1494</v>
      </c>
      <c r="K6" t="s">
        <v>1495</v>
      </c>
      <c r="L6" t="s">
        <v>1496</v>
      </c>
      <c r="M6" t="s">
        <v>1497</v>
      </c>
      <c r="N6" t="s">
        <v>1498</v>
      </c>
      <c r="O6" t="s">
        <v>1499</v>
      </c>
      <c r="P6" t="s">
        <v>1500</v>
      </c>
      <c r="Q6" t="s">
        <v>1501</v>
      </c>
      <c r="R6" t="s">
        <v>1502</v>
      </c>
      <c r="S6" t="s">
        <v>1503</v>
      </c>
      <c r="T6" t="s">
        <v>1504</v>
      </c>
      <c r="U6" t="s">
        <v>1505</v>
      </c>
      <c r="V6" t="s">
        <v>1506</v>
      </c>
      <c r="W6" t="s">
        <v>1507</v>
      </c>
      <c r="X6" t="s">
        <v>1508</v>
      </c>
    </row>
    <row r="7" spans="1:24" x14ac:dyDescent="0.35">
      <c r="A7" s="1" t="s">
        <v>1509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181</v>
      </c>
      <c r="H7" t="s">
        <v>181</v>
      </c>
      <c r="I7" t="s">
        <v>181</v>
      </c>
      <c r="J7" t="s">
        <v>1510</v>
      </c>
      <c r="K7" t="s">
        <v>1511</v>
      </c>
      <c r="L7" t="s">
        <v>1512</v>
      </c>
      <c r="M7" t="s">
        <v>1513</v>
      </c>
      <c r="N7" t="s">
        <v>1514</v>
      </c>
      <c r="O7" t="s">
        <v>1515</v>
      </c>
      <c r="P7" t="s">
        <v>1516</v>
      </c>
      <c r="Q7" t="s">
        <v>1517</v>
      </c>
      <c r="R7" t="s">
        <v>1518</v>
      </c>
      <c r="S7" t="s">
        <v>1519</v>
      </c>
      <c r="T7" t="s">
        <v>1520</v>
      </c>
      <c r="U7" t="s">
        <v>1521</v>
      </c>
      <c r="V7" t="s">
        <v>1522</v>
      </c>
      <c r="W7" t="s">
        <v>1523</v>
      </c>
      <c r="X7" t="s">
        <v>1524</v>
      </c>
    </row>
    <row r="8" spans="1:24" x14ac:dyDescent="0.35">
      <c r="A8" s="1" t="s">
        <v>77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1525</v>
      </c>
      <c r="P8" t="s">
        <v>1526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</row>
    <row r="9" spans="1:24" x14ac:dyDescent="0.35">
      <c r="A9" s="1" t="s">
        <v>1228</v>
      </c>
      <c r="B9" t="s">
        <v>181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1030</v>
      </c>
      <c r="K9" t="s">
        <v>1527</v>
      </c>
      <c r="L9" t="s">
        <v>1345</v>
      </c>
      <c r="M9" t="s">
        <v>1528</v>
      </c>
      <c r="N9" t="s">
        <v>667</v>
      </c>
      <c r="O9" t="s">
        <v>1529</v>
      </c>
      <c r="P9" t="s">
        <v>1530</v>
      </c>
      <c r="Q9" t="s">
        <v>1531</v>
      </c>
      <c r="R9" t="s">
        <v>1532</v>
      </c>
      <c r="S9" t="s">
        <v>1533</v>
      </c>
      <c r="T9" t="s">
        <v>1534</v>
      </c>
      <c r="U9" t="s">
        <v>1535</v>
      </c>
      <c r="V9" t="s">
        <v>1536</v>
      </c>
      <c r="W9" t="s">
        <v>1537</v>
      </c>
      <c r="X9" t="s">
        <v>1538</v>
      </c>
    </row>
    <row r="10" spans="1:24" x14ac:dyDescent="0.35">
      <c r="A10" s="1" t="s">
        <v>1539</v>
      </c>
      <c r="B10" t="s">
        <v>181</v>
      </c>
      <c r="C10" t="s">
        <v>181</v>
      </c>
      <c r="D10" t="s">
        <v>181</v>
      </c>
      <c r="E10" t="s">
        <v>593</v>
      </c>
      <c r="F10" t="s">
        <v>682</v>
      </c>
      <c r="G10" t="s">
        <v>1540</v>
      </c>
      <c r="H10" t="s">
        <v>1089</v>
      </c>
      <c r="I10" t="s">
        <v>1541</v>
      </c>
      <c r="J10" t="s">
        <v>1542</v>
      </c>
      <c r="K10" t="s">
        <v>1543</v>
      </c>
      <c r="L10" t="s">
        <v>1544</v>
      </c>
      <c r="M10" t="s">
        <v>1545</v>
      </c>
      <c r="N10" t="s">
        <v>1546</v>
      </c>
      <c r="O10" t="s">
        <v>1547</v>
      </c>
      <c r="P10" t="s">
        <v>503</v>
      </c>
      <c r="Q10" t="s">
        <v>1328</v>
      </c>
      <c r="R10" t="s">
        <v>1548</v>
      </c>
      <c r="S10" t="s">
        <v>1549</v>
      </c>
      <c r="T10" t="s">
        <v>1550</v>
      </c>
      <c r="U10" t="s">
        <v>1551</v>
      </c>
      <c r="V10" t="s">
        <v>1552</v>
      </c>
      <c r="W10" t="s">
        <v>1553</v>
      </c>
      <c r="X10" t="s">
        <v>942</v>
      </c>
    </row>
    <row r="11" spans="1:24" x14ac:dyDescent="0.35">
      <c r="A11" s="1" t="s">
        <v>1554</v>
      </c>
      <c r="B11" t="s">
        <v>181</v>
      </c>
      <c r="C11" t="s">
        <v>181</v>
      </c>
      <c r="D11" t="s">
        <v>616</v>
      </c>
      <c r="E11" t="s">
        <v>594</v>
      </c>
      <c r="F11" t="s">
        <v>837</v>
      </c>
      <c r="G11" t="s">
        <v>1555</v>
      </c>
      <c r="H11" t="s">
        <v>1556</v>
      </c>
      <c r="I11" t="s">
        <v>1557</v>
      </c>
      <c r="J11" t="s">
        <v>1558</v>
      </c>
      <c r="K11" t="s">
        <v>1559</v>
      </c>
      <c r="L11" t="s">
        <v>1560</v>
      </c>
      <c r="M11" t="s">
        <v>1561</v>
      </c>
      <c r="N11" t="s">
        <v>1562</v>
      </c>
      <c r="O11" t="s">
        <v>1563</v>
      </c>
      <c r="P11" t="s">
        <v>1564</v>
      </c>
      <c r="Q11" t="s">
        <v>1565</v>
      </c>
      <c r="R11" t="s">
        <v>1461</v>
      </c>
      <c r="S11" t="s">
        <v>1566</v>
      </c>
      <c r="T11" t="s">
        <v>1567</v>
      </c>
      <c r="U11" t="s">
        <v>1568</v>
      </c>
      <c r="V11" t="s">
        <v>1569</v>
      </c>
      <c r="W11" t="s">
        <v>1570</v>
      </c>
      <c r="X11" t="s">
        <v>1571</v>
      </c>
    </row>
    <row r="12" spans="1:24" x14ac:dyDescent="0.35">
      <c r="A12" s="1" t="s">
        <v>1572</v>
      </c>
      <c r="B12" t="s">
        <v>181</v>
      </c>
      <c r="C12" t="s">
        <v>181</v>
      </c>
      <c r="D12" t="s">
        <v>1573</v>
      </c>
      <c r="E12" t="s">
        <v>1004</v>
      </c>
      <c r="F12" t="s">
        <v>597</v>
      </c>
      <c r="G12" t="s">
        <v>1574</v>
      </c>
      <c r="H12" t="s">
        <v>1575</v>
      </c>
      <c r="I12" t="s">
        <v>1576</v>
      </c>
      <c r="J12" t="s">
        <v>1577</v>
      </c>
      <c r="K12" t="s">
        <v>1578</v>
      </c>
      <c r="L12" t="s">
        <v>1579</v>
      </c>
      <c r="M12" t="s">
        <v>1580</v>
      </c>
      <c r="N12" t="s">
        <v>1581</v>
      </c>
      <c r="O12" t="s">
        <v>1582</v>
      </c>
      <c r="P12" t="s">
        <v>1583</v>
      </c>
      <c r="Q12" t="s">
        <v>1584</v>
      </c>
      <c r="R12" t="s">
        <v>1585</v>
      </c>
      <c r="S12" t="s">
        <v>1586</v>
      </c>
      <c r="T12" t="s">
        <v>1587</v>
      </c>
      <c r="U12" t="s">
        <v>1588</v>
      </c>
      <c r="V12" t="s">
        <v>1589</v>
      </c>
      <c r="W12" t="s">
        <v>1590</v>
      </c>
      <c r="X12" t="s">
        <v>1591</v>
      </c>
    </row>
    <row r="13" spans="1:24" x14ac:dyDescent="0.35">
      <c r="A13" s="1" t="s">
        <v>1592</v>
      </c>
      <c r="B13" t="s">
        <v>181</v>
      </c>
      <c r="C13" t="s">
        <v>181</v>
      </c>
      <c r="D13" t="s">
        <v>1593</v>
      </c>
      <c r="E13" t="s">
        <v>1594</v>
      </c>
      <c r="F13" t="s">
        <v>1595</v>
      </c>
      <c r="G13" t="s">
        <v>1596</v>
      </c>
      <c r="H13" t="s">
        <v>1597</v>
      </c>
      <c r="I13" t="s">
        <v>1598</v>
      </c>
      <c r="J13" t="s">
        <v>1599</v>
      </c>
      <c r="K13" t="s">
        <v>1600</v>
      </c>
      <c r="L13" t="s">
        <v>1601</v>
      </c>
      <c r="M13" t="s">
        <v>1602</v>
      </c>
      <c r="N13" t="s">
        <v>1603</v>
      </c>
      <c r="O13" t="s">
        <v>1604</v>
      </c>
      <c r="P13" t="s">
        <v>1605</v>
      </c>
      <c r="Q13" t="s">
        <v>1606</v>
      </c>
      <c r="R13" t="s">
        <v>1607</v>
      </c>
      <c r="S13" t="s">
        <v>1608</v>
      </c>
      <c r="T13" t="s">
        <v>1609</v>
      </c>
      <c r="U13" t="s">
        <v>1610</v>
      </c>
      <c r="V13" t="s">
        <v>1611</v>
      </c>
      <c r="W13" t="s">
        <v>1612</v>
      </c>
      <c r="X13" t="s">
        <v>1613</v>
      </c>
    </row>
    <row r="14" spans="1:24" x14ac:dyDescent="0.35">
      <c r="A14" s="1" t="s">
        <v>1614</v>
      </c>
      <c r="B14" t="s">
        <v>181</v>
      </c>
      <c r="C14" t="s">
        <v>181</v>
      </c>
      <c r="D14" t="s">
        <v>181</v>
      </c>
      <c r="E14" t="s">
        <v>181</v>
      </c>
      <c r="F14" t="s">
        <v>1422</v>
      </c>
      <c r="G14" t="s">
        <v>1615</v>
      </c>
      <c r="H14" t="s">
        <v>1616</v>
      </c>
      <c r="I14" t="s">
        <v>1617</v>
      </c>
      <c r="J14" t="s">
        <v>1618</v>
      </c>
      <c r="K14" t="s">
        <v>1619</v>
      </c>
      <c r="L14" t="s">
        <v>1620</v>
      </c>
      <c r="M14" t="s">
        <v>1621</v>
      </c>
      <c r="N14" t="s">
        <v>1622</v>
      </c>
      <c r="O14" t="s">
        <v>1623</v>
      </c>
      <c r="P14" t="s">
        <v>1624</v>
      </c>
      <c r="Q14" t="s">
        <v>1625</v>
      </c>
      <c r="R14" t="s">
        <v>1626</v>
      </c>
      <c r="S14" t="s">
        <v>1627</v>
      </c>
      <c r="T14" t="s">
        <v>1628</v>
      </c>
      <c r="U14" t="s">
        <v>1629</v>
      </c>
      <c r="V14" t="s">
        <v>1630</v>
      </c>
      <c r="W14" t="s">
        <v>1631</v>
      </c>
      <c r="X14" t="s">
        <v>1632</v>
      </c>
    </row>
    <row r="15" spans="1:24" x14ac:dyDescent="0.35">
      <c r="A15" s="1" t="s">
        <v>1633</v>
      </c>
      <c r="B15" t="s">
        <v>181</v>
      </c>
      <c r="C15" t="s">
        <v>181</v>
      </c>
      <c r="D15" t="s">
        <v>181</v>
      </c>
      <c r="E15" t="s">
        <v>1634</v>
      </c>
      <c r="F15" t="s">
        <v>1635</v>
      </c>
      <c r="G15" t="s">
        <v>1636</v>
      </c>
      <c r="H15" t="s">
        <v>1637</v>
      </c>
      <c r="I15" t="s">
        <v>1638</v>
      </c>
      <c r="J15" t="s">
        <v>1639</v>
      </c>
      <c r="K15" t="s">
        <v>1640</v>
      </c>
      <c r="L15" t="s">
        <v>1641</v>
      </c>
      <c r="M15" t="s">
        <v>1642</v>
      </c>
      <c r="N15" t="s">
        <v>1643</v>
      </c>
      <c r="O15" t="s">
        <v>1644</v>
      </c>
      <c r="P15" t="s">
        <v>1645</v>
      </c>
      <c r="Q15" t="s">
        <v>1646</v>
      </c>
      <c r="R15" t="s">
        <v>1647</v>
      </c>
      <c r="S15" t="s">
        <v>1648</v>
      </c>
      <c r="T15" t="s">
        <v>1649</v>
      </c>
      <c r="U15" t="s">
        <v>1650</v>
      </c>
      <c r="V15" t="s">
        <v>1651</v>
      </c>
      <c r="W15" t="s">
        <v>1652</v>
      </c>
      <c r="X15" t="s">
        <v>1653</v>
      </c>
    </row>
    <row r="16" spans="1:24" x14ac:dyDescent="0.35">
      <c r="A16" s="1" t="s">
        <v>1654</v>
      </c>
      <c r="B16" t="s">
        <v>181</v>
      </c>
      <c r="C16" t="s">
        <v>181</v>
      </c>
      <c r="D16" t="s">
        <v>181</v>
      </c>
      <c r="E16" t="s">
        <v>684</v>
      </c>
      <c r="F16" t="s">
        <v>1655</v>
      </c>
      <c r="G16" t="s">
        <v>1656</v>
      </c>
      <c r="H16" t="s">
        <v>1657</v>
      </c>
      <c r="I16" t="s">
        <v>1658</v>
      </c>
      <c r="J16" t="s">
        <v>1659</v>
      </c>
      <c r="K16" t="s">
        <v>1660</v>
      </c>
      <c r="L16" t="s">
        <v>1661</v>
      </c>
      <c r="M16" t="s">
        <v>1662</v>
      </c>
      <c r="N16" t="s">
        <v>1663</v>
      </c>
      <c r="O16" t="s">
        <v>1664</v>
      </c>
      <c r="P16" t="s">
        <v>1665</v>
      </c>
      <c r="Q16" t="s">
        <v>1666</v>
      </c>
      <c r="R16" t="s">
        <v>1667</v>
      </c>
      <c r="S16" t="s">
        <v>1668</v>
      </c>
      <c r="T16" t="s">
        <v>1669</v>
      </c>
      <c r="U16" t="s">
        <v>1670</v>
      </c>
      <c r="V16" t="s">
        <v>1671</v>
      </c>
      <c r="W16" t="s">
        <v>1672</v>
      </c>
      <c r="X16" t="s">
        <v>1673</v>
      </c>
    </row>
    <row r="17" spans="1:24" x14ac:dyDescent="0.35">
      <c r="A17" s="1" t="s">
        <v>1674</v>
      </c>
      <c r="B17" t="s">
        <v>181</v>
      </c>
      <c r="C17" t="s">
        <v>181</v>
      </c>
      <c r="D17" t="s">
        <v>1675</v>
      </c>
      <c r="E17" t="s">
        <v>1389</v>
      </c>
      <c r="F17" t="s">
        <v>181</v>
      </c>
      <c r="G17" t="s">
        <v>1594</v>
      </c>
      <c r="H17" t="s">
        <v>181</v>
      </c>
      <c r="I17" t="s">
        <v>181</v>
      </c>
      <c r="J17" t="s">
        <v>181</v>
      </c>
      <c r="K17" t="s">
        <v>181</v>
      </c>
      <c r="L17" t="s">
        <v>181</v>
      </c>
      <c r="M17" t="s">
        <v>1676</v>
      </c>
      <c r="N17" t="s">
        <v>1677</v>
      </c>
      <c r="O17" t="s">
        <v>1511</v>
      </c>
      <c r="P17" t="s">
        <v>1678</v>
      </c>
      <c r="Q17" t="s">
        <v>1679</v>
      </c>
      <c r="R17" t="s">
        <v>1680</v>
      </c>
      <c r="S17" t="s">
        <v>1681</v>
      </c>
      <c r="T17" t="s">
        <v>1682</v>
      </c>
      <c r="U17" t="s">
        <v>1683</v>
      </c>
      <c r="V17" t="s">
        <v>1449</v>
      </c>
      <c r="W17" t="s">
        <v>1684</v>
      </c>
      <c r="X17" t="s">
        <v>1685</v>
      </c>
    </row>
    <row r="18" spans="1:24" x14ac:dyDescent="0.35">
      <c r="A18" s="1" t="s">
        <v>1686</v>
      </c>
      <c r="B18" t="s">
        <v>181</v>
      </c>
      <c r="C18" t="s">
        <v>181</v>
      </c>
      <c r="D18" t="s">
        <v>1687</v>
      </c>
      <c r="E18" t="s">
        <v>1560</v>
      </c>
      <c r="F18" t="s">
        <v>1688</v>
      </c>
      <c r="G18" t="s">
        <v>1689</v>
      </c>
      <c r="H18" t="s">
        <v>1690</v>
      </c>
      <c r="I18" t="s">
        <v>1691</v>
      </c>
      <c r="J18" t="s">
        <v>1692</v>
      </c>
      <c r="K18" t="s">
        <v>1693</v>
      </c>
      <c r="L18" t="s">
        <v>1694</v>
      </c>
      <c r="M18" t="s">
        <v>1695</v>
      </c>
      <c r="N18" t="s">
        <v>1696</v>
      </c>
      <c r="O18" t="s">
        <v>1697</v>
      </c>
      <c r="P18" t="s">
        <v>1698</v>
      </c>
      <c r="Q18" t="s">
        <v>1699</v>
      </c>
      <c r="R18" t="s">
        <v>1700</v>
      </c>
      <c r="S18" t="s">
        <v>1701</v>
      </c>
      <c r="T18" t="s">
        <v>1702</v>
      </c>
      <c r="U18" t="s">
        <v>1703</v>
      </c>
      <c r="V18" t="s">
        <v>1704</v>
      </c>
      <c r="W18" t="s">
        <v>1705</v>
      </c>
      <c r="X18" t="s">
        <v>1706</v>
      </c>
    </row>
    <row r="19" spans="1:24" x14ac:dyDescent="0.35">
      <c r="A19" s="1" t="s">
        <v>1707</v>
      </c>
      <c r="B19" t="s">
        <v>181</v>
      </c>
      <c r="C19" t="s">
        <v>181</v>
      </c>
      <c r="D19" t="s">
        <v>181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181</v>
      </c>
      <c r="L19" t="s">
        <v>181</v>
      </c>
      <c r="M19" t="s">
        <v>1708</v>
      </c>
      <c r="N19" t="s">
        <v>1709</v>
      </c>
      <c r="O19" t="s">
        <v>1710</v>
      </c>
      <c r="P19" t="s">
        <v>1711</v>
      </c>
      <c r="Q19" t="s">
        <v>1712</v>
      </c>
      <c r="R19" t="s">
        <v>1713</v>
      </c>
      <c r="S19" t="s">
        <v>1714</v>
      </c>
      <c r="T19" t="s">
        <v>1715</v>
      </c>
      <c r="U19" t="s">
        <v>1716</v>
      </c>
      <c r="V19" t="s">
        <v>1717</v>
      </c>
      <c r="W19" t="s">
        <v>1718</v>
      </c>
      <c r="X19" t="s">
        <v>1719</v>
      </c>
    </row>
    <row r="20" spans="1:24" x14ac:dyDescent="0.35">
      <c r="A20" s="1" t="s">
        <v>1720</v>
      </c>
      <c r="B20" t="s">
        <v>181</v>
      </c>
      <c r="C20" t="s">
        <v>181</v>
      </c>
      <c r="D20" t="s">
        <v>181</v>
      </c>
      <c r="E20" t="s">
        <v>1251</v>
      </c>
      <c r="F20" t="s">
        <v>501</v>
      </c>
      <c r="G20" t="s">
        <v>1721</v>
      </c>
      <c r="H20" t="s">
        <v>1722</v>
      </c>
      <c r="I20" t="s">
        <v>1723</v>
      </c>
      <c r="J20" t="s">
        <v>181</v>
      </c>
      <c r="K20" t="s">
        <v>181</v>
      </c>
      <c r="L20" t="s">
        <v>181</v>
      </c>
      <c r="M20" t="s">
        <v>181</v>
      </c>
      <c r="N20" t="s">
        <v>181</v>
      </c>
      <c r="O20" t="s">
        <v>181</v>
      </c>
      <c r="P20" t="s">
        <v>181</v>
      </c>
      <c r="Q20" t="s">
        <v>181</v>
      </c>
      <c r="R20" t="s">
        <v>181</v>
      </c>
      <c r="S20" t="s">
        <v>181</v>
      </c>
      <c r="T20" t="s">
        <v>1724</v>
      </c>
      <c r="U20" t="s">
        <v>639</v>
      </c>
      <c r="V20" t="s">
        <v>181</v>
      </c>
      <c r="W20" t="s">
        <v>181</v>
      </c>
      <c r="X20" t="s">
        <v>181</v>
      </c>
    </row>
    <row r="21" spans="1:24" x14ac:dyDescent="0.35">
      <c r="A21" s="1" t="s">
        <v>1725</v>
      </c>
      <c r="B21" t="s">
        <v>181</v>
      </c>
      <c r="C21" t="s">
        <v>181</v>
      </c>
      <c r="D21" t="s">
        <v>499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1726</v>
      </c>
      <c r="N21" t="s">
        <v>181</v>
      </c>
      <c r="O21" t="s">
        <v>181</v>
      </c>
      <c r="P21" t="s">
        <v>181</v>
      </c>
      <c r="Q21" t="s">
        <v>181</v>
      </c>
      <c r="R21" t="s">
        <v>1727</v>
      </c>
      <c r="S21" t="s">
        <v>1728</v>
      </c>
      <c r="T21" t="s">
        <v>1729</v>
      </c>
      <c r="U21" t="s">
        <v>1730</v>
      </c>
      <c r="V21" t="s">
        <v>1731</v>
      </c>
      <c r="W21" t="s">
        <v>1732</v>
      </c>
      <c r="X21" t="s">
        <v>1733</v>
      </c>
    </row>
    <row r="22" spans="1:24" x14ac:dyDescent="0.35">
      <c r="A22" s="1" t="s">
        <v>1734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181</v>
      </c>
      <c r="H22" t="s">
        <v>181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N22" t="s">
        <v>181</v>
      </c>
      <c r="O22" t="s">
        <v>181</v>
      </c>
      <c r="P22" t="s">
        <v>181</v>
      </c>
      <c r="Q22" t="s">
        <v>181</v>
      </c>
      <c r="R22" t="s">
        <v>181</v>
      </c>
      <c r="S22" t="s">
        <v>181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</row>
    <row r="23" spans="1:24" x14ac:dyDescent="0.35">
      <c r="A23" s="1" t="s">
        <v>1735</v>
      </c>
      <c r="B23" t="s">
        <v>181</v>
      </c>
      <c r="C23" t="s">
        <v>181</v>
      </c>
      <c r="D23" t="s">
        <v>1736</v>
      </c>
      <c r="E23" t="s">
        <v>1737</v>
      </c>
      <c r="F23" t="s">
        <v>728</v>
      </c>
      <c r="G23" t="s">
        <v>634</v>
      </c>
      <c r="H23" t="s">
        <v>522</v>
      </c>
      <c r="I23" t="s">
        <v>1738</v>
      </c>
      <c r="J23" t="s">
        <v>1739</v>
      </c>
      <c r="K23" t="s">
        <v>1740</v>
      </c>
      <c r="L23" t="s">
        <v>1741</v>
      </c>
      <c r="M23" t="s">
        <v>1742</v>
      </c>
      <c r="N23" t="s">
        <v>1743</v>
      </c>
      <c r="O23" t="s">
        <v>1744</v>
      </c>
      <c r="P23" t="s">
        <v>1745</v>
      </c>
      <c r="Q23" t="s">
        <v>1746</v>
      </c>
      <c r="R23" t="s">
        <v>1747</v>
      </c>
      <c r="S23" t="s">
        <v>1748</v>
      </c>
      <c r="T23" t="s">
        <v>775</v>
      </c>
      <c r="U23" t="s">
        <v>1749</v>
      </c>
      <c r="V23" t="s">
        <v>1750</v>
      </c>
      <c r="W23" t="s">
        <v>1751</v>
      </c>
      <c r="X23" t="s">
        <v>1752</v>
      </c>
    </row>
    <row r="24" spans="1:24" x14ac:dyDescent="0.35">
      <c r="A24" s="1" t="s">
        <v>1753</v>
      </c>
      <c r="B24" t="s">
        <v>181</v>
      </c>
      <c r="C24" t="s">
        <v>181</v>
      </c>
      <c r="D24" t="s">
        <v>1461</v>
      </c>
      <c r="E24" t="s">
        <v>1754</v>
      </c>
      <c r="F24" t="s">
        <v>1755</v>
      </c>
      <c r="G24" t="s">
        <v>1721</v>
      </c>
      <c r="H24" t="s">
        <v>1756</v>
      </c>
      <c r="I24" t="s">
        <v>1757</v>
      </c>
      <c r="J24" t="s">
        <v>1739</v>
      </c>
      <c r="K24" t="s">
        <v>1740</v>
      </c>
      <c r="L24" t="s">
        <v>1741</v>
      </c>
      <c r="M24" t="s">
        <v>1758</v>
      </c>
      <c r="N24" t="s">
        <v>1759</v>
      </c>
      <c r="O24" t="s">
        <v>599</v>
      </c>
      <c r="P24" t="s">
        <v>1760</v>
      </c>
      <c r="Q24" t="s">
        <v>1761</v>
      </c>
      <c r="R24" t="s">
        <v>1762</v>
      </c>
      <c r="S24" t="s">
        <v>1763</v>
      </c>
      <c r="T24" t="s">
        <v>1764</v>
      </c>
      <c r="U24" t="s">
        <v>1765</v>
      </c>
      <c r="V24" t="s">
        <v>1766</v>
      </c>
      <c r="W24" t="s">
        <v>1767</v>
      </c>
      <c r="X24" t="s">
        <v>1768</v>
      </c>
    </row>
    <row r="25" spans="1:24" x14ac:dyDescent="0.35">
      <c r="A25" s="1" t="s">
        <v>1769</v>
      </c>
      <c r="B25" t="s">
        <v>181</v>
      </c>
      <c r="C25" t="s">
        <v>181</v>
      </c>
      <c r="D25" t="s">
        <v>181</v>
      </c>
      <c r="E25" t="s">
        <v>181</v>
      </c>
      <c r="F25" t="s">
        <v>1251</v>
      </c>
      <c r="G25" t="s">
        <v>1755</v>
      </c>
      <c r="H25" t="s">
        <v>1615</v>
      </c>
      <c r="I25" t="s">
        <v>684</v>
      </c>
      <c r="J25" t="s">
        <v>595</v>
      </c>
      <c r="K25" t="s">
        <v>1770</v>
      </c>
      <c r="L25" t="s">
        <v>729</v>
      </c>
      <c r="M25" t="s">
        <v>1771</v>
      </c>
      <c r="N25" t="s">
        <v>1772</v>
      </c>
      <c r="O25" t="s">
        <v>592</v>
      </c>
      <c r="P25" t="s">
        <v>1736</v>
      </c>
      <c r="Q25" t="s">
        <v>1773</v>
      </c>
      <c r="R25" t="s">
        <v>1774</v>
      </c>
      <c r="S25" t="s">
        <v>1775</v>
      </c>
      <c r="T25" t="s">
        <v>1776</v>
      </c>
      <c r="U25" t="s">
        <v>1777</v>
      </c>
      <c r="V25" t="s">
        <v>1778</v>
      </c>
      <c r="W25" t="s">
        <v>1265</v>
      </c>
      <c r="X25" t="s">
        <v>1628</v>
      </c>
    </row>
    <row r="26" spans="1:24" x14ac:dyDescent="0.35">
      <c r="A26" s="1" t="s">
        <v>1779</v>
      </c>
      <c r="B26" t="s">
        <v>181</v>
      </c>
      <c r="C26" t="s">
        <v>181</v>
      </c>
      <c r="D26" t="s">
        <v>181</v>
      </c>
      <c r="E26" t="s">
        <v>595</v>
      </c>
      <c r="F26" t="s">
        <v>1780</v>
      </c>
      <c r="G26" t="s">
        <v>1032</v>
      </c>
      <c r="H26" t="s">
        <v>1781</v>
      </c>
      <c r="I26" t="s">
        <v>1782</v>
      </c>
      <c r="J26" t="s">
        <v>1783</v>
      </c>
      <c r="K26" t="s">
        <v>1784</v>
      </c>
      <c r="L26" t="s">
        <v>1785</v>
      </c>
      <c r="M26" t="s">
        <v>1786</v>
      </c>
      <c r="N26" t="s">
        <v>1787</v>
      </c>
      <c r="O26" t="s">
        <v>1788</v>
      </c>
      <c r="P26" t="s">
        <v>1789</v>
      </c>
      <c r="Q26" t="s">
        <v>1790</v>
      </c>
      <c r="R26" t="s">
        <v>1791</v>
      </c>
      <c r="S26" t="s">
        <v>1792</v>
      </c>
      <c r="T26" t="s">
        <v>1793</v>
      </c>
      <c r="U26" t="s">
        <v>1794</v>
      </c>
      <c r="V26" t="s">
        <v>1795</v>
      </c>
      <c r="W26" t="s">
        <v>1796</v>
      </c>
      <c r="X26" t="s">
        <v>1797</v>
      </c>
    </row>
    <row r="27" spans="1:24" x14ac:dyDescent="0.35">
      <c r="A27" s="1" t="s">
        <v>1798</v>
      </c>
      <c r="B27" t="s">
        <v>181</v>
      </c>
      <c r="C27" t="s">
        <v>181</v>
      </c>
      <c r="D27" t="s">
        <v>957</v>
      </c>
      <c r="E27" t="s">
        <v>664</v>
      </c>
      <c r="F27" t="s">
        <v>942</v>
      </c>
      <c r="G27" t="s">
        <v>1799</v>
      </c>
      <c r="H27" t="s">
        <v>1800</v>
      </c>
      <c r="I27" t="s">
        <v>945</v>
      </c>
      <c r="J27" t="s">
        <v>946</v>
      </c>
      <c r="K27" t="s">
        <v>947</v>
      </c>
      <c r="L27" t="s">
        <v>948</v>
      </c>
      <c r="M27" t="s">
        <v>949</v>
      </c>
      <c r="N27" t="s">
        <v>950</v>
      </c>
      <c r="O27" t="s">
        <v>951</v>
      </c>
      <c r="P27" t="s">
        <v>952</v>
      </c>
      <c r="Q27" t="s">
        <v>953</v>
      </c>
      <c r="R27" t="s">
        <v>954</v>
      </c>
      <c r="S27" t="s">
        <v>955</v>
      </c>
      <c r="T27" t="s">
        <v>956</v>
      </c>
      <c r="U27" t="s">
        <v>957</v>
      </c>
      <c r="V27" t="s">
        <v>958</v>
      </c>
      <c r="W27" t="s">
        <v>959</v>
      </c>
      <c r="X27" t="s">
        <v>960</v>
      </c>
    </row>
    <row r="28" spans="1:24" x14ac:dyDescent="0.35">
      <c r="A28" s="1" t="s">
        <v>1801</v>
      </c>
      <c r="B28" t="s">
        <v>181</v>
      </c>
      <c r="C28" t="s">
        <v>181</v>
      </c>
      <c r="D28" t="s">
        <v>957</v>
      </c>
      <c r="E28" t="s">
        <v>1109</v>
      </c>
      <c r="F28" t="s">
        <v>664</v>
      </c>
      <c r="G28" t="s">
        <v>942</v>
      </c>
      <c r="H28" t="s">
        <v>1799</v>
      </c>
      <c r="I28" t="s">
        <v>1800</v>
      </c>
      <c r="J28" t="s">
        <v>945</v>
      </c>
      <c r="K28" t="s">
        <v>946</v>
      </c>
      <c r="L28" t="s">
        <v>947</v>
      </c>
      <c r="M28" t="s">
        <v>948</v>
      </c>
      <c r="N28" t="s">
        <v>949</v>
      </c>
      <c r="O28" t="s">
        <v>950</v>
      </c>
      <c r="P28" t="s">
        <v>951</v>
      </c>
      <c r="Q28" t="s">
        <v>952</v>
      </c>
      <c r="R28" t="s">
        <v>953</v>
      </c>
      <c r="S28" t="s">
        <v>954</v>
      </c>
      <c r="T28" t="s">
        <v>955</v>
      </c>
      <c r="U28" t="s">
        <v>956</v>
      </c>
      <c r="V28" t="s">
        <v>957</v>
      </c>
      <c r="W28" t="s">
        <v>958</v>
      </c>
      <c r="X28" t="s">
        <v>959</v>
      </c>
    </row>
    <row r="29" spans="1:24" x14ac:dyDescent="0.35">
      <c r="A29" s="1" t="s">
        <v>1802</v>
      </c>
      <c r="B29" t="s">
        <v>181</v>
      </c>
      <c r="C29" t="s">
        <v>181</v>
      </c>
      <c r="D29" t="s">
        <v>1109</v>
      </c>
      <c r="E29" t="s">
        <v>1803</v>
      </c>
      <c r="F29" t="s">
        <v>1655</v>
      </c>
      <c r="G29" t="s">
        <v>1804</v>
      </c>
      <c r="H29" t="s">
        <v>1805</v>
      </c>
      <c r="I29" t="s">
        <v>1806</v>
      </c>
      <c r="J29" t="s">
        <v>1807</v>
      </c>
      <c r="K29" t="s">
        <v>1808</v>
      </c>
      <c r="L29" t="s">
        <v>1809</v>
      </c>
      <c r="M29" t="s">
        <v>1810</v>
      </c>
      <c r="N29" t="s">
        <v>1811</v>
      </c>
      <c r="O29" t="s">
        <v>1812</v>
      </c>
      <c r="P29" t="s">
        <v>1813</v>
      </c>
      <c r="Q29" t="s">
        <v>1814</v>
      </c>
      <c r="R29" t="s">
        <v>1815</v>
      </c>
      <c r="S29" t="s">
        <v>1816</v>
      </c>
      <c r="T29" t="s">
        <v>1817</v>
      </c>
      <c r="U29" t="s">
        <v>1818</v>
      </c>
      <c r="V29" t="s">
        <v>1819</v>
      </c>
      <c r="W29" t="s">
        <v>1820</v>
      </c>
      <c r="X29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Info</vt:lpstr>
      <vt:lpstr>Model</vt:lpstr>
      <vt:lpstr>Summary</vt:lpstr>
      <vt:lpstr>Sheet1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2022-08-03T01:38:59Z</dcterms:created>
  <dcterms:modified xsi:type="dcterms:W3CDTF">2023-09-23T05:00:33Z</dcterms:modified>
</cp:coreProperties>
</file>