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01"/>
  <workbookPr defaultThemeVersion="124226"/>
  <mc:AlternateContent xmlns:mc="http://schemas.openxmlformats.org/markup-compatibility/2006">
    <mc:Choice Requires="x15">
      <x15ac:absPath xmlns:x15ac="http://schemas.microsoft.com/office/spreadsheetml/2010/11/ac" url="https://d.docs.live.net/534a1defcf7f9d1a/Company Models CloudSave/KO/"/>
    </mc:Choice>
  </mc:AlternateContent>
  <xr:revisionPtr revIDLastSave="3001" documentId="11_14B93876299F7ED508248FA1435FD932996878D5" xr6:coauthVersionLast="47" xr6:coauthVersionMax="47" xr10:uidLastSave="{F16C62A2-BC11-4ECE-A749-D87F1454699E}"/>
  <bookViews>
    <workbookView xWindow="60465" yWindow="7905" windowWidth="28800" windowHeight="15465" firstSheet="1" activeTab="2" xr2:uid="{00000000-000D-0000-FFFF-FFFF00000000}"/>
  </bookViews>
  <sheets>
    <sheet name="Main" sheetId="6" r:id="rId1"/>
    <sheet name="Info" sheetId="7" r:id="rId2"/>
    <sheet name="Model" sheetId="5" r:id="rId3"/>
    <sheet name="Summary" sheetId="1" r:id="rId4"/>
    <sheet name="Income Statement" sheetId="2" r:id="rId5"/>
    <sheet name="Balance Sheet" sheetId="3" r:id="rId6"/>
    <sheet name="Cash Flow" sheetId="4"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Z95" i="5" l="1"/>
  <c r="AZ96" i="5"/>
  <c r="AX95" i="5"/>
  <c r="AX96" i="5" s="1"/>
  <c r="AY93" i="5"/>
  <c r="AY95" i="5" s="1"/>
  <c r="AY96" i="5" s="1"/>
  <c r="AZ93" i="5"/>
  <c r="AX93" i="5"/>
  <c r="AY86" i="5"/>
  <c r="AZ86" i="5"/>
  <c r="AX86" i="5"/>
  <c r="AY81" i="5"/>
  <c r="AZ81" i="5"/>
  <c r="AX81" i="5"/>
  <c r="AY74" i="5"/>
  <c r="AZ74" i="5"/>
  <c r="AX74" i="5"/>
  <c r="AZ66" i="5"/>
  <c r="AY66" i="5"/>
  <c r="AY64" i="5"/>
  <c r="AZ64" i="5"/>
  <c r="AX64" i="5"/>
  <c r="AZ52" i="5"/>
  <c r="AZ51" i="5"/>
  <c r="AY52" i="5"/>
  <c r="AY51" i="5"/>
  <c r="AX52" i="5"/>
  <c r="AX51" i="5"/>
  <c r="AX50" i="5"/>
  <c r="AX49" i="5"/>
  <c r="AY50" i="5"/>
  <c r="AY49" i="5"/>
  <c r="B6" i="6"/>
  <c r="B5" i="6"/>
  <c r="BA4" i="5"/>
  <c r="BB4" i="5"/>
  <c r="BC4" i="5"/>
  <c r="BD4" i="5"/>
  <c r="BE4" i="5"/>
  <c r="BF4" i="5"/>
  <c r="BG4" i="5"/>
  <c r="BH4" i="5"/>
  <c r="BI4" i="5"/>
  <c r="BJ4" i="5"/>
  <c r="BK4" i="5"/>
  <c r="BL4" i="5"/>
  <c r="BM4" i="5"/>
  <c r="BN4" i="5"/>
  <c r="BO4" i="5"/>
  <c r="AZ4" i="5"/>
  <c r="AZ50" i="5"/>
  <c r="AZ49" i="5"/>
  <c r="BA52" i="5"/>
  <c r="BA51" i="5"/>
  <c r="BA50" i="5"/>
  <c r="BA49" i="5"/>
  <c r="AZ47" i="5"/>
  <c r="AZ45" i="5"/>
  <c r="AZ43" i="5"/>
  <c r="AZ37" i="5"/>
  <c r="AY33" i="5"/>
  <c r="AY37" i="5" s="1"/>
  <c r="AY43" i="5" s="1"/>
  <c r="AY45" i="5" s="1"/>
  <c r="AY47" i="5" s="1"/>
  <c r="AZ33" i="5"/>
  <c r="AX33" i="5"/>
  <c r="AX37" i="5" s="1"/>
  <c r="AX43" i="5" s="1"/>
  <c r="AX45" i="5" s="1"/>
  <c r="AX47" i="5" s="1"/>
  <c r="AW102" i="5"/>
  <c r="AX102" i="5"/>
  <c r="AY102" i="5"/>
  <c r="AZ102" i="5"/>
  <c r="AV102" i="5"/>
  <c r="BA66" i="5"/>
  <c r="BB66" i="5"/>
  <c r="AY7" i="5"/>
  <c r="AZ7" i="5"/>
  <c r="BA7" i="5"/>
  <c r="BB7" i="5"/>
  <c r="BC7" i="5"/>
  <c r="AY8" i="5"/>
  <c r="AZ8" i="5"/>
  <c r="BA8" i="5"/>
  <c r="BB8" i="5"/>
  <c r="BC8" i="5"/>
  <c r="BC16" i="5" s="1"/>
  <c r="AX8" i="5"/>
  <c r="AX7" i="5"/>
  <c r="AY11" i="5"/>
  <c r="AZ11" i="5"/>
  <c r="BA11" i="5"/>
  <c r="BB11" i="5"/>
  <c r="BC11" i="5"/>
  <c r="AY12" i="5"/>
  <c r="AZ12" i="5"/>
  <c r="BA12" i="5"/>
  <c r="BB12" i="5"/>
  <c r="BC12" i="5"/>
  <c r="AX12" i="5"/>
  <c r="AX11" i="5"/>
  <c r="BB52" i="5"/>
  <c r="BB51" i="5"/>
  <c r="BC52" i="5"/>
  <c r="BC51" i="5"/>
  <c r="BC50" i="5"/>
  <c r="BD7" i="5"/>
  <c r="BE7" i="5"/>
  <c r="BD8" i="5"/>
  <c r="BE8" i="5"/>
  <c r="BD11" i="5"/>
  <c r="BE11" i="5"/>
  <c r="BD12" i="5"/>
  <c r="BE12" i="5"/>
  <c r="BE16" i="5" s="1"/>
  <c r="AZ20" i="5"/>
  <c r="BA20" i="5"/>
  <c r="BB20" i="5"/>
  <c r="BC20" i="5"/>
  <c r="BD20" i="5"/>
  <c r="BE20" i="5"/>
  <c r="BA24" i="5"/>
  <c r="BB24" i="5"/>
  <c r="BC24" i="5"/>
  <c r="BD24" i="5"/>
  <c r="BE24" i="5"/>
  <c r="AZ24" i="5"/>
  <c r="BD33" i="5"/>
  <c r="BD37" i="5" s="1"/>
  <c r="BD43" i="5" s="1"/>
  <c r="BD45" i="5" s="1"/>
  <c r="BD47" i="5" s="1"/>
  <c r="BB33" i="5"/>
  <c r="BB37" i="5" s="1"/>
  <c r="BB43" i="5" s="1"/>
  <c r="BB45" i="5" s="1"/>
  <c r="BB47" i="5" s="1"/>
  <c r="BC33" i="5"/>
  <c r="BC37" i="5" s="1"/>
  <c r="BC43" i="5" s="1"/>
  <c r="BC45" i="5" s="1"/>
  <c r="BC47" i="5" s="1"/>
  <c r="BE33" i="5"/>
  <c r="BE37" i="5" s="1"/>
  <c r="BE43" i="5" s="1"/>
  <c r="BE45" i="5" s="1"/>
  <c r="BE47" i="5" s="1"/>
  <c r="BA33" i="5"/>
  <c r="BA37" i="5" s="1"/>
  <c r="BA43" i="5" s="1"/>
  <c r="BA45" i="5" s="1"/>
  <c r="BA47" i="5" s="1"/>
  <c r="BB102" i="5"/>
  <c r="BC102" i="5"/>
  <c r="BD102" i="5"/>
  <c r="BE102" i="5"/>
  <c r="BF102" i="5"/>
  <c r="BA102" i="5"/>
  <c r="BB64" i="5"/>
  <c r="BC64" i="5"/>
  <c r="BC74" i="5" s="1"/>
  <c r="BD64" i="5"/>
  <c r="BD74" i="5" s="1"/>
  <c r="BA64" i="5"/>
  <c r="BB81" i="5"/>
  <c r="BB86" i="5" s="1"/>
  <c r="BC81" i="5"/>
  <c r="BC86" i="5" s="1"/>
  <c r="BD81" i="5"/>
  <c r="BD86" i="5" s="1"/>
  <c r="BA81" i="5"/>
  <c r="BA86" i="5" s="1"/>
  <c r="BB93" i="5"/>
  <c r="BB95" i="5" s="1"/>
  <c r="BC93" i="5"/>
  <c r="BC95" i="5" s="1"/>
  <c r="BD93" i="5"/>
  <c r="BD95" i="5" s="1"/>
  <c r="BA93" i="5"/>
  <c r="BA95" i="5" s="1"/>
  <c r="BE93" i="5"/>
  <c r="BE95" i="5" s="1"/>
  <c r="BE81" i="5"/>
  <c r="BE86" i="5" s="1"/>
  <c r="BE64" i="5"/>
  <c r="BE74" i="5" s="1"/>
  <c r="BF11" i="5"/>
  <c r="BG11" i="5"/>
  <c r="BF12" i="5"/>
  <c r="BG12" i="5"/>
  <c r="BF7" i="5"/>
  <c r="BG7" i="5"/>
  <c r="BF8" i="5"/>
  <c r="BG8" i="5"/>
  <c r="BG16" i="5" s="1"/>
  <c r="BH8" i="5"/>
  <c r="BH7" i="5"/>
  <c r="BH12" i="5"/>
  <c r="BH11" i="5"/>
  <c r="BG20" i="5"/>
  <c r="BH20" i="5"/>
  <c r="BF20" i="5"/>
  <c r="BF24" i="5"/>
  <c r="BN24" i="5"/>
  <c r="BO24" i="5"/>
  <c r="BP24" i="5"/>
  <c r="BQ24" i="5"/>
  <c r="BM24" i="5"/>
  <c r="BG24" i="5"/>
  <c r="BI24" i="5"/>
  <c r="BJ24" i="5"/>
  <c r="BK24" i="5"/>
  <c r="BL24" i="5"/>
  <c r="BH24" i="5"/>
  <c r="BI12" i="5"/>
  <c r="BI11" i="5"/>
  <c r="BI8" i="5"/>
  <c r="BI7" i="5"/>
  <c r="BJ12" i="5"/>
  <c r="BJ11" i="5"/>
  <c r="BJ8" i="5"/>
  <c r="BJ7" i="5"/>
  <c r="BK12" i="5"/>
  <c r="BK11" i="5"/>
  <c r="BK8" i="5"/>
  <c r="BK7" i="5"/>
  <c r="BK46" i="5"/>
  <c r="BG33" i="5"/>
  <c r="BG37" i="5" s="1"/>
  <c r="BG43" i="5" s="1"/>
  <c r="BG45" i="5" s="1"/>
  <c r="BG47" i="5" s="1"/>
  <c r="BG51" i="5" s="1"/>
  <c r="BH33" i="5"/>
  <c r="BH37" i="5" s="1"/>
  <c r="BH43" i="5" s="1"/>
  <c r="BH45" i="5" s="1"/>
  <c r="BH47" i="5" s="1"/>
  <c r="BH52" i="5" s="1"/>
  <c r="BI33" i="5"/>
  <c r="BI37" i="5" s="1"/>
  <c r="BI43" i="5" s="1"/>
  <c r="BI45" i="5" s="1"/>
  <c r="BI47" i="5" s="1"/>
  <c r="BJ33" i="5"/>
  <c r="BJ37" i="5" s="1"/>
  <c r="BJ43" i="5" s="1"/>
  <c r="BJ45" i="5" s="1"/>
  <c r="BJ47" i="5" s="1"/>
  <c r="BK33" i="5"/>
  <c r="BK37" i="5" s="1"/>
  <c r="BK43" i="5" s="1"/>
  <c r="BK45" i="5" s="1"/>
  <c r="BF33" i="5"/>
  <c r="BF37" i="5" s="1"/>
  <c r="BF43" i="5" s="1"/>
  <c r="BF45" i="5" s="1"/>
  <c r="BF47" i="5" s="1"/>
  <c r="BF50" i="5" s="1"/>
  <c r="BG93" i="5"/>
  <c r="BG95" i="5" s="1"/>
  <c r="BH93" i="5"/>
  <c r="BH95" i="5" s="1"/>
  <c r="BI93" i="5"/>
  <c r="BI95" i="5" s="1"/>
  <c r="BJ93" i="5"/>
  <c r="BJ95" i="5" s="1"/>
  <c r="BK93" i="5"/>
  <c r="BK95" i="5" s="1"/>
  <c r="BF93" i="5"/>
  <c r="BF95" i="5" s="1"/>
  <c r="BG81" i="5"/>
  <c r="BG86" i="5" s="1"/>
  <c r="BH81" i="5"/>
  <c r="BH86" i="5" s="1"/>
  <c r="BI81" i="5"/>
  <c r="BI86" i="5" s="1"/>
  <c r="BJ81" i="5"/>
  <c r="BJ86" i="5" s="1"/>
  <c r="BF81" i="5"/>
  <c r="BF86" i="5" s="1"/>
  <c r="BK80" i="5"/>
  <c r="BK81" i="5" s="1"/>
  <c r="BK86" i="5" s="1"/>
  <c r="BG64" i="5"/>
  <c r="BG74" i="5" s="1"/>
  <c r="BH64" i="5"/>
  <c r="BH74" i="5" s="1"/>
  <c r="BI64" i="5"/>
  <c r="BI74" i="5" s="1"/>
  <c r="BJ64" i="5"/>
  <c r="BJ74" i="5" s="1"/>
  <c r="BF64" i="5"/>
  <c r="BF74" i="5" s="1"/>
  <c r="BK63" i="5"/>
  <c r="BK64" i="5" s="1"/>
  <c r="BK74" i="5" s="1"/>
  <c r="BK3" i="5"/>
  <c r="BJ3" i="5" s="1"/>
  <c r="BI3" i="5" s="1"/>
  <c r="BH3" i="5" s="1"/>
  <c r="BG3" i="5" s="1"/>
  <c r="BF3" i="5" s="1"/>
  <c r="BE3" i="5" s="1"/>
  <c r="BD3" i="5" s="1"/>
  <c r="BC3" i="5" s="1"/>
  <c r="BB3" i="5" s="1"/>
  <c r="BA3" i="5" s="1"/>
  <c r="AZ3" i="5" s="1"/>
  <c r="AY3" i="5" s="1"/>
  <c r="AX3" i="5" s="1"/>
  <c r="BH102" i="5"/>
  <c r="BI102" i="5"/>
  <c r="BJ102" i="5"/>
  <c r="BK102" i="5"/>
  <c r="BG102" i="5"/>
  <c r="BL73" i="5"/>
  <c r="BM93" i="5"/>
  <c r="BM95" i="5" s="1"/>
  <c r="BN93" i="5"/>
  <c r="BN95" i="5" s="1"/>
  <c r="BL93" i="5"/>
  <c r="BL95" i="5" s="1"/>
  <c r="BM16" i="5"/>
  <c r="BN16" i="5"/>
  <c r="BO16" i="5"/>
  <c r="BP16" i="5"/>
  <c r="BQ16" i="5"/>
  <c r="BL16" i="5"/>
  <c r="BM15" i="5"/>
  <c r="BN15" i="5"/>
  <c r="BO15" i="5"/>
  <c r="BP15" i="5"/>
  <c r="BQ15" i="5"/>
  <c r="BL15" i="5"/>
  <c r="BO13" i="5"/>
  <c r="BP13" i="5"/>
  <c r="BQ13" i="5"/>
  <c r="BM13" i="5"/>
  <c r="BL13" i="5"/>
  <c r="BN13" i="5"/>
  <c r="BL9" i="5"/>
  <c r="BM9" i="5"/>
  <c r="BO9" i="5"/>
  <c r="BP9" i="5"/>
  <c r="BQ9" i="5"/>
  <c r="BN9" i="5"/>
  <c r="BM102" i="5"/>
  <c r="BL102" i="5"/>
  <c r="BO102" i="5"/>
  <c r="BP102" i="5"/>
  <c r="BN102" i="5"/>
  <c r="BP93" i="5"/>
  <c r="BP95" i="5" s="1"/>
  <c r="BO93" i="5"/>
  <c r="BO95" i="5" s="1"/>
  <c r="BP81" i="5"/>
  <c r="BP86" i="5" s="1"/>
  <c r="BM81" i="5"/>
  <c r="BM86" i="5" s="1"/>
  <c r="BN81" i="5"/>
  <c r="BN86" i="5" s="1"/>
  <c r="BL81" i="5"/>
  <c r="BL86" i="5" s="1"/>
  <c r="BO81" i="5"/>
  <c r="BO86" i="5" s="1"/>
  <c r="BM64" i="5"/>
  <c r="BM74" i="5" s="1"/>
  <c r="BN64" i="5"/>
  <c r="BN74" i="5" s="1"/>
  <c r="BO64" i="5"/>
  <c r="BO74" i="5" s="1"/>
  <c r="BL64" i="5"/>
  <c r="BP64" i="5"/>
  <c r="BP74" i="5" s="1"/>
  <c r="BQ3" i="5"/>
  <c r="BR3" i="5" s="1"/>
  <c r="BS3" i="5" s="1"/>
  <c r="BT3" i="5" s="1"/>
  <c r="BU3" i="5" s="1"/>
  <c r="BV3" i="5" s="1"/>
  <c r="BW3" i="5" s="1"/>
  <c r="BX3" i="5" s="1"/>
  <c r="BY3" i="5" s="1"/>
  <c r="BM33" i="5"/>
  <c r="BM37" i="5" s="1"/>
  <c r="BM43" i="5" s="1"/>
  <c r="BM45" i="5" s="1"/>
  <c r="BM47" i="5" s="1"/>
  <c r="BN33" i="5"/>
  <c r="BN37" i="5" s="1"/>
  <c r="BN43" i="5" s="1"/>
  <c r="BN45" i="5" s="1"/>
  <c r="BN47" i="5" s="1"/>
  <c r="BO33" i="5"/>
  <c r="BO37" i="5" s="1"/>
  <c r="BO43" i="5" s="1"/>
  <c r="BO45" i="5" s="1"/>
  <c r="BO47" i="5" s="1"/>
  <c r="BL33" i="5"/>
  <c r="BL37" i="5" s="1"/>
  <c r="BL43" i="5" s="1"/>
  <c r="BL45" i="5" s="1"/>
  <c r="BL47" i="5" s="1"/>
  <c r="BP33" i="5"/>
  <c r="BP37" i="5" s="1"/>
  <c r="BP43" i="5" s="1"/>
  <c r="BP45" i="5" s="1"/>
  <c r="BP47" i="5" s="1"/>
  <c r="B3" i="6" a="1"/>
  <c r="B3" i="6" s="1"/>
  <c r="B2" i="6" a="1"/>
  <c r="B2" i="6" s="1"/>
  <c r="W93" i="5"/>
  <c r="W95" i="5" s="1"/>
  <c r="W81" i="5"/>
  <c r="W96" i="5" s="1"/>
  <c r="W72" i="5"/>
  <c r="W58" i="5"/>
  <c r="W64" i="5" s="1"/>
  <c r="S46" i="5"/>
  <c r="AC58" i="5"/>
  <c r="AC64" i="5" s="1"/>
  <c r="AC74" i="5" s="1"/>
  <c r="AB100" i="5"/>
  <c r="AB101" i="5"/>
  <c r="AC101" i="5" s="1"/>
  <c r="AB72" i="5"/>
  <c r="AB58" i="5"/>
  <c r="AB64" i="5" s="1"/>
  <c r="Z72" i="5"/>
  <c r="Z58" i="5"/>
  <c r="Z64" i="5" s="1"/>
  <c r="AA72" i="5"/>
  <c r="AA58" i="5"/>
  <c r="AA64" i="5" s="1"/>
  <c r="AG58" i="5"/>
  <c r="AG64" i="5" s="1"/>
  <c r="AG74" i="5" s="1"/>
  <c r="AF100" i="5"/>
  <c r="AG100" i="5" s="1"/>
  <c r="AJ100" i="5"/>
  <c r="AK100" i="5" s="1"/>
  <c r="AF101" i="5"/>
  <c r="AG101" i="5" s="1"/>
  <c r="AF58" i="5"/>
  <c r="AF64" i="5" s="1"/>
  <c r="AF74" i="5" s="1"/>
  <c r="AD58" i="5"/>
  <c r="AD64" i="5" s="1"/>
  <c r="AD74" i="5" s="1"/>
  <c r="AE58" i="5"/>
  <c r="AE64" i="5" s="1"/>
  <c r="AE74" i="5" s="1"/>
  <c r="C102" i="5"/>
  <c r="D102" i="5"/>
  <c r="E102" i="5"/>
  <c r="F102" i="5"/>
  <c r="G102" i="5"/>
  <c r="H102" i="5"/>
  <c r="I102" i="5"/>
  <c r="J102" i="5"/>
  <c r="K102" i="5"/>
  <c r="L102" i="5"/>
  <c r="M102" i="5"/>
  <c r="N102" i="5"/>
  <c r="O102" i="5"/>
  <c r="P102" i="5"/>
  <c r="Q102" i="5"/>
  <c r="R102" i="5"/>
  <c r="S102" i="5"/>
  <c r="T102" i="5"/>
  <c r="U102" i="5"/>
  <c r="V102" i="5"/>
  <c r="W102" i="5"/>
  <c r="X102" i="5"/>
  <c r="Y102" i="5"/>
  <c r="Z102" i="5"/>
  <c r="AA102" i="5"/>
  <c r="AD102" i="5"/>
  <c r="AE102" i="5"/>
  <c r="AH102" i="5"/>
  <c r="AI102" i="5"/>
  <c r="AJ101" i="5"/>
  <c r="AI58" i="5"/>
  <c r="AI64" i="5" s="1"/>
  <c r="AI74" i="5" s="1"/>
  <c r="C16" i="5"/>
  <c r="D16" i="5"/>
  <c r="E16" i="5"/>
  <c r="F16" i="5"/>
  <c r="G16" i="5"/>
  <c r="H16" i="5"/>
  <c r="I16" i="5"/>
  <c r="J16" i="5"/>
  <c r="K16" i="5"/>
  <c r="L16" i="5"/>
  <c r="M16" i="5"/>
  <c r="N16" i="5"/>
  <c r="O16" i="5"/>
  <c r="P16" i="5"/>
  <c r="Q16" i="5"/>
  <c r="R16" i="5"/>
  <c r="S16" i="5"/>
  <c r="T16" i="5"/>
  <c r="U16" i="5"/>
  <c r="V16" i="5"/>
  <c r="W16" i="5"/>
  <c r="X16" i="5"/>
  <c r="Y16" i="5"/>
  <c r="Z16" i="5"/>
  <c r="AA16" i="5"/>
  <c r="AB16" i="5"/>
  <c r="AC16" i="5"/>
  <c r="AD16" i="5"/>
  <c r="AE16" i="5"/>
  <c r="AF16" i="5"/>
  <c r="AG16" i="5"/>
  <c r="AH16" i="5"/>
  <c r="AI16" i="5"/>
  <c r="AJ16" i="5"/>
  <c r="C15" i="5"/>
  <c r="D15" i="5"/>
  <c r="E15" i="5"/>
  <c r="F15" i="5"/>
  <c r="G15" i="5"/>
  <c r="H15" i="5"/>
  <c r="I15" i="5"/>
  <c r="J15" i="5"/>
  <c r="K15" i="5"/>
  <c r="L15" i="5"/>
  <c r="M15" i="5"/>
  <c r="N15" i="5"/>
  <c r="O15" i="5"/>
  <c r="P15" i="5"/>
  <c r="Q15" i="5"/>
  <c r="R15" i="5"/>
  <c r="S15" i="5"/>
  <c r="T15" i="5"/>
  <c r="U15" i="5"/>
  <c r="V15" i="5"/>
  <c r="W15" i="5"/>
  <c r="X15" i="5"/>
  <c r="Y15" i="5"/>
  <c r="Z15" i="5"/>
  <c r="AA15" i="5"/>
  <c r="AB15" i="5"/>
  <c r="AC15" i="5"/>
  <c r="AD15" i="5"/>
  <c r="AE15" i="5"/>
  <c r="AF15" i="5"/>
  <c r="AG15" i="5"/>
  <c r="AH15" i="5"/>
  <c r="AI15" i="5"/>
  <c r="AJ15" i="5"/>
  <c r="AJ58" i="5"/>
  <c r="AJ64" i="5" s="1"/>
  <c r="AJ74" i="5" s="1"/>
  <c r="AL17" i="5"/>
  <c r="AK16" i="5"/>
  <c r="AK15" i="5"/>
  <c r="AH13" i="5"/>
  <c r="AI13" i="5"/>
  <c r="AJ13" i="5"/>
  <c r="AK13" i="5"/>
  <c r="C13" i="5"/>
  <c r="D13" i="5"/>
  <c r="E13" i="5"/>
  <c r="F13" i="5"/>
  <c r="G13" i="5"/>
  <c r="H13" i="5"/>
  <c r="I13" i="5"/>
  <c r="J13" i="5"/>
  <c r="K13" i="5"/>
  <c r="L13" i="5"/>
  <c r="M13" i="5"/>
  <c r="N13" i="5"/>
  <c r="O13" i="5"/>
  <c r="P13" i="5"/>
  <c r="Q13" i="5"/>
  <c r="R13" i="5"/>
  <c r="S13" i="5"/>
  <c r="T13" i="5"/>
  <c r="U13" i="5"/>
  <c r="V13" i="5"/>
  <c r="W13" i="5"/>
  <c r="X13" i="5"/>
  <c r="Y13" i="5"/>
  <c r="Z13" i="5"/>
  <c r="AA13" i="5"/>
  <c r="AB13" i="5"/>
  <c r="AC13" i="5"/>
  <c r="AD13" i="5"/>
  <c r="AE13" i="5"/>
  <c r="AF13" i="5"/>
  <c r="AG13" i="5"/>
  <c r="C9" i="5"/>
  <c r="D9" i="5"/>
  <c r="E9" i="5"/>
  <c r="F9" i="5"/>
  <c r="G9" i="5"/>
  <c r="H9" i="5"/>
  <c r="I9" i="5"/>
  <c r="J9" i="5"/>
  <c r="K9" i="5"/>
  <c r="L9" i="5"/>
  <c r="M9" i="5"/>
  <c r="N9" i="5"/>
  <c r="O9" i="5"/>
  <c r="P9" i="5"/>
  <c r="Q9" i="5"/>
  <c r="R9" i="5"/>
  <c r="S9" i="5"/>
  <c r="T9" i="5"/>
  <c r="U9" i="5"/>
  <c r="V9" i="5"/>
  <c r="W9" i="5"/>
  <c r="X9" i="5"/>
  <c r="Y9" i="5"/>
  <c r="Z9" i="5"/>
  <c r="AA9" i="5"/>
  <c r="AB9" i="5"/>
  <c r="AC9" i="5"/>
  <c r="AD9" i="5"/>
  <c r="AE9" i="5"/>
  <c r="AF9" i="5"/>
  <c r="AG9" i="5"/>
  <c r="AH9" i="5"/>
  <c r="AI9" i="5"/>
  <c r="AJ9" i="5"/>
  <c r="AK9" i="5"/>
  <c r="C93" i="5"/>
  <c r="C95" i="5" s="1"/>
  <c r="D93" i="5"/>
  <c r="D95" i="5" s="1"/>
  <c r="E93" i="5"/>
  <c r="E95" i="5" s="1"/>
  <c r="F93" i="5"/>
  <c r="F95" i="5" s="1"/>
  <c r="G93" i="5"/>
  <c r="G95" i="5" s="1"/>
  <c r="H93" i="5"/>
  <c r="H95" i="5" s="1"/>
  <c r="I93" i="5"/>
  <c r="I95" i="5" s="1"/>
  <c r="J93" i="5"/>
  <c r="J95" i="5" s="1"/>
  <c r="K93" i="5"/>
  <c r="K95" i="5" s="1"/>
  <c r="L93" i="5"/>
  <c r="L95" i="5" s="1"/>
  <c r="M93" i="5"/>
  <c r="M95" i="5" s="1"/>
  <c r="N93" i="5"/>
  <c r="N95" i="5" s="1"/>
  <c r="O93" i="5"/>
  <c r="O95" i="5" s="1"/>
  <c r="P93" i="5"/>
  <c r="P95" i="5" s="1"/>
  <c r="Q93" i="5"/>
  <c r="Q95" i="5" s="1"/>
  <c r="R93" i="5"/>
  <c r="R95" i="5" s="1"/>
  <c r="T93" i="5"/>
  <c r="T95" i="5" s="1"/>
  <c r="U93" i="5"/>
  <c r="U95" i="5" s="1"/>
  <c r="V93" i="5"/>
  <c r="V95" i="5" s="1"/>
  <c r="X93" i="5"/>
  <c r="X95" i="5" s="1"/>
  <c r="Y93" i="5"/>
  <c r="Y95" i="5" s="1"/>
  <c r="Z93" i="5"/>
  <c r="Z95" i="5" s="1"/>
  <c r="AA93" i="5"/>
  <c r="AA95" i="5" s="1"/>
  <c r="AB93" i="5"/>
  <c r="AB95" i="5" s="1"/>
  <c r="AC93" i="5"/>
  <c r="AC95" i="5" s="1"/>
  <c r="AD93" i="5"/>
  <c r="AD95" i="5" s="1"/>
  <c r="AE93" i="5"/>
  <c r="AE95" i="5" s="1"/>
  <c r="AF93" i="5"/>
  <c r="AF95" i="5" s="1"/>
  <c r="AG93" i="5"/>
  <c r="AG95" i="5" s="1"/>
  <c r="AH93" i="5"/>
  <c r="AH95" i="5" s="1"/>
  <c r="AI93" i="5"/>
  <c r="AI95" i="5" s="1"/>
  <c r="AJ93" i="5"/>
  <c r="AJ95" i="5" s="1"/>
  <c r="AK93" i="5"/>
  <c r="AK95" i="5" s="1"/>
  <c r="C81" i="5"/>
  <c r="C96" i="5" s="1"/>
  <c r="D81" i="5"/>
  <c r="D96" i="5" s="1"/>
  <c r="E81" i="5"/>
  <c r="E96" i="5" s="1"/>
  <c r="F81" i="5"/>
  <c r="F96" i="5" s="1"/>
  <c r="G81" i="5"/>
  <c r="G96" i="5" s="1"/>
  <c r="H81" i="5"/>
  <c r="H96" i="5" s="1"/>
  <c r="I81" i="5"/>
  <c r="I96" i="5" s="1"/>
  <c r="J81" i="5"/>
  <c r="J96" i="5" s="1"/>
  <c r="K81" i="5"/>
  <c r="K96" i="5" s="1"/>
  <c r="L81" i="5"/>
  <c r="L96" i="5" s="1"/>
  <c r="M81" i="5"/>
  <c r="M96" i="5" s="1"/>
  <c r="N81" i="5"/>
  <c r="N96" i="5" s="1"/>
  <c r="O81" i="5"/>
  <c r="O96" i="5" s="1"/>
  <c r="P81" i="5"/>
  <c r="P96" i="5" s="1"/>
  <c r="Q81" i="5"/>
  <c r="Q96" i="5" s="1"/>
  <c r="R81" i="5"/>
  <c r="R96" i="5" s="1"/>
  <c r="T81" i="5"/>
  <c r="T96" i="5" s="1"/>
  <c r="U81" i="5"/>
  <c r="U96" i="5" s="1"/>
  <c r="V81" i="5"/>
  <c r="V96" i="5" s="1"/>
  <c r="X81" i="5"/>
  <c r="X96" i="5" s="1"/>
  <c r="Y81" i="5"/>
  <c r="Y96" i="5" s="1"/>
  <c r="Z81" i="5"/>
  <c r="Z96" i="5" s="1"/>
  <c r="AA81" i="5"/>
  <c r="AA96" i="5" s="1"/>
  <c r="AB81" i="5"/>
  <c r="AB96" i="5" s="1"/>
  <c r="AC81" i="5"/>
  <c r="AC96" i="5" s="1"/>
  <c r="AD81" i="5"/>
  <c r="AD96" i="5" s="1"/>
  <c r="AE81" i="5"/>
  <c r="AE96" i="5" s="1"/>
  <c r="AF81" i="5"/>
  <c r="AF96" i="5" s="1"/>
  <c r="AG81" i="5"/>
  <c r="AG96" i="5" s="1"/>
  <c r="AH81" i="5"/>
  <c r="AH96" i="5" s="1"/>
  <c r="AI81" i="5"/>
  <c r="AI96" i="5" s="1"/>
  <c r="AJ81" i="5"/>
  <c r="AJ96" i="5" s="1"/>
  <c r="AK81" i="5"/>
  <c r="AK96" i="5" s="1"/>
  <c r="AH58" i="5"/>
  <c r="AH64" i="5" s="1"/>
  <c r="AH74" i="5" s="1"/>
  <c r="C64" i="5"/>
  <c r="C74" i="5" s="1"/>
  <c r="D64" i="5"/>
  <c r="D74" i="5" s="1"/>
  <c r="E64" i="5"/>
  <c r="E74" i="5" s="1"/>
  <c r="F64" i="5"/>
  <c r="F74" i="5" s="1"/>
  <c r="G64" i="5"/>
  <c r="G74" i="5" s="1"/>
  <c r="H64" i="5"/>
  <c r="H74" i="5" s="1"/>
  <c r="I64" i="5"/>
  <c r="I74" i="5" s="1"/>
  <c r="J64" i="5"/>
  <c r="J74" i="5" s="1"/>
  <c r="K64" i="5"/>
  <c r="K74" i="5" s="1"/>
  <c r="L64" i="5"/>
  <c r="L74" i="5" s="1"/>
  <c r="M64" i="5"/>
  <c r="M74" i="5" s="1"/>
  <c r="N64" i="5"/>
  <c r="N74" i="5" s="1"/>
  <c r="O64" i="5"/>
  <c r="O74" i="5" s="1"/>
  <c r="P64" i="5"/>
  <c r="P74" i="5" s="1"/>
  <c r="Q64" i="5"/>
  <c r="Q74" i="5" s="1"/>
  <c r="R64" i="5"/>
  <c r="R74" i="5" s="1"/>
  <c r="T64" i="5"/>
  <c r="T74" i="5" s="1"/>
  <c r="U64" i="5"/>
  <c r="U74" i="5" s="1"/>
  <c r="V64" i="5"/>
  <c r="V74" i="5" s="1"/>
  <c r="X64" i="5"/>
  <c r="X74" i="5" s="1"/>
  <c r="Y64" i="5"/>
  <c r="Y74" i="5" s="1"/>
  <c r="AK58" i="5"/>
  <c r="AK64" i="5" s="1"/>
  <c r="AK74" i="5" s="1"/>
  <c r="C33" i="5"/>
  <c r="C37" i="5" s="1"/>
  <c r="C43" i="5" s="1"/>
  <c r="D33" i="5"/>
  <c r="D37" i="5" s="1"/>
  <c r="D43" i="5" s="1"/>
  <c r="E33" i="5"/>
  <c r="E37" i="5" s="1"/>
  <c r="E43" i="5" s="1"/>
  <c r="E45" i="5" s="1"/>
  <c r="E47" i="5" s="1"/>
  <c r="E49" i="5" s="1"/>
  <c r="F33" i="5"/>
  <c r="F37" i="5" s="1"/>
  <c r="F43" i="5" s="1"/>
  <c r="F45" i="5" s="1"/>
  <c r="F47" i="5" s="1"/>
  <c r="F49" i="5" s="1"/>
  <c r="G33" i="5"/>
  <c r="G37" i="5" s="1"/>
  <c r="G43" i="5" s="1"/>
  <c r="H33" i="5"/>
  <c r="H37" i="5" s="1"/>
  <c r="H43" i="5" s="1"/>
  <c r="I33" i="5"/>
  <c r="I37" i="5" s="1"/>
  <c r="I43" i="5" s="1"/>
  <c r="J33" i="5"/>
  <c r="J37" i="5" s="1"/>
  <c r="J43" i="5" s="1"/>
  <c r="K33" i="5"/>
  <c r="K37" i="5" s="1"/>
  <c r="K43" i="5" s="1"/>
  <c r="L33" i="5"/>
  <c r="L37" i="5" s="1"/>
  <c r="L43" i="5" s="1"/>
  <c r="M33" i="5"/>
  <c r="M37" i="5" s="1"/>
  <c r="M43" i="5" s="1"/>
  <c r="N33" i="5"/>
  <c r="N37" i="5" s="1"/>
  <c r="N43" i="5" s="1"/>
  <c r="O33" i="5"/>
  <c r="O37" i="5" s="1"/>
  <c r="O43" i="5" s="1"/>
  <c r="P33" i="5"/>
  <c r="P37" i="5" s="1"/>
  <c r="P43" i="5" s="1"/>
  <c r="Q33" i="5"/>
  <c r="Q37" i="5" s="1"/>
  <c r="Q43" i="5" s="1"/>
  <c r="R33" i="5"/>
  <c r="R37" i="5" s="1"/>
  <c r="R43" i="5" s="1"/>
  <c r="R45" i="5" s="1"/>
  <c r="R47" i="5" s="1"/>
  <c r="R49" i="5" s="1"/>
  <c r="S33" i="5"/>
  <c r="S37" i="5" s="1"/>
  <c r="S43" i="5" s="1"/>
  <c r="S45" i="5" s="1"/>
  <c r="T33" i="5"/>
  <c r="T37" i="5" s="1"/>
  <c r="T43" i="5" s="1"/>
  <c r="U33" i="5"/>
  <c r="U37" i="5" s="1"/>
  <c r="U43" i="5" s="1"/>
  <c r="V33" i="5"/>
  <c r="V37" i="5" s="1"/>
  <c r="V43" i="5" s="1"/>
  <c r="W33" i="5"/>
  <c r="W37" i="5" s="1"/>
  <c r="W43" i="5" s="1"/>
  <c r="X33" i="5"/>
  <c r="X37" i="5" s="1"/>
  <c r="X43" i="5" s="1"/>
  <c r="Y33" i="5"/>
  <c r="Y37" i="5" s="1"/>
  <c r="Y43" i="5" s="1"/>
  <c r="Z33" i="5"/>
  <c r="Z37" i="5" s="1"/>
  <c r="Z43" i="5" s="1"/>
  <c r="AA33" i="5"/>
  <c r="AA37" i="5" s="1"/>
  <c r="AA43" i="5" s="1"/>
  <c r="AB33" i="5"/>
  <c r="AB37" i="5" s="1"/>
  <c r="AB43" i="5" s="1"/>
  <c r="AC33" i="5"/>
  <c r="AC37" i="5" s="1"/>
  <c r="AC43" i="5" s="1"/>
  <c r="AD33" i="5"/>
  <c r="AD37" i="5" s="1"/>
  <c r="AD43" i="5" s="1"/>
  <c r="AE33" i="5"/>
  <c r="AE37" i="5" s="1"/>
  <c r="AE43" i="5" s="1"/>
  <c r="AF33" i="5"/>
  <c r="AF37" i="5" s="1"/>
  <c r="AF43" i="5" s="1"/>
  <c r="AG33" i="5"/>
  <c r="AG37" i="5" s="1"/>
  <c r="AG43" i="5" s="1"/>
  <c r="AH33" i="5"/>
  <c r="AH37" i="5" s="1"/>
  <c r="AH43" i="5" s="1"/>
  <c r="AI33" i="5"/>
  <c r="AI37" i="5" s="1"/>
  <c r="AI43" i="5" s="1"/>
  <c r="AJ33" i="5"/>
  <c r="AJ37" i="5" s="1"/>
  <c r="AJ43" i="5" s="1"/>
  <c r="AK33" i="5"/>
  <c r="AK37" i="5" s="1"/>
  <c r="AK43" i="5" s="1"/>
  <c r="BA16" i="5" l="1"/>
  <c r="AZ15" i="5"/>
  <c r="BA15" i="5"/>
  <c r="BA17" i="5" s="1"/>
  <c r="BB74" i="5"/>
  <c r="BA74" i="5"/>
  <c r="AY15" i="5"/>
  <c r="BB16" i="5"/>
  <c r="AZ16" i="5"/>
  <c r="AZ17" i="5" s="1"/>
  <c r="AX15" i="5"/>
  <c r="BB49" i="5"/>
  <c r="AX16" i="5"/>
  <c r="AX17" i="5" s="1"/>
  <c r="BF49" i="5"/>
  <c r="BC15" i="5"/>
  <c r="BB96" i="5"/>
  <c r="BE15" i="5"/>
  <c r="BE17" i="5" s="1"/>
  <c r="AY16" i="5"/>
  <c r="AY17" i="5" s="1"/>
  <c r="BB15" i="5"/>
  <c r="BB17" i="5" s="1"/>
  <c r="BC17" i="5"/>
  <c r="BC49" i="5"/>
  <c r="BE96" i="5"/>
  <c r="BB50" i="5"/>
  <c r="BF15" i="5"/>
  <c r="BD16" i="5"/>
  <c r="BD15" i="5"/>
  <c r="BC96" i="5"/>
  <c r="BD96" i="5"/>
  <c r="BD50" i="5"/>
  <c r="BD49" i="5"/>
  <c r="BE50" i="5"/>
  <c r="BE49" i="5"/>
  <c r="BA96" i="5"/>
  <c r="BF16" i="5"/>
  <c r="BG15" i="5"/>
  <c r="BG17" i="5" s="1"/>
  <c r="BG52" i="5"/>
  <c r="BH51" i="5"/>
  <c r="BH15" i="5"/>
  <c r="BH16" i="5"/>
  <c r="BK16" i="5"/>
  <c r="BJ16" i="5"/>
  <c r="BI15" i="5"/>
  <c r="BI16" i="5"/>
  <c r="BH96" i="5"/>
  <c r="BF96" i="5"/>
  <c r="BG96" i="5"/>
  <c r="BK15" i="5"/>
  <c r="BK96" i="5"/>
  <c r="BJ15" i="5"/>
  <c r="BI96" i="5"/>
  <c r="BJ49" i="5"/>
  <c r="BJ50" i="5"/>
  <c r="BI49" i="5"/>
  <c r="BI50" i="5"/>
  <c r="BK47" i="5"/>
  <c r="BJ96" i="5"/>
  <c r="BL74" i="5"/>
  <c r="W98" i="5"/>
  <c r="BN17" i="5"/>
  <c r="BN19" i="5" s="1"/>
  <c r="BM17" i="5"/>
  <c r="BM19" i="5" s="1"/>
  <c r="BL17" i="5"/>
  <c r="BQ17" i="5"/>
  <c r="AA98" i="5"/>
  <c r="Z98" i="5"/>
  <c r="AB98" i="5"/>
  <c r="BO98" i="5"/>
  <c r="BP17" i="5"/>
  <c r="BP18" i="5" s="1"/>
  <c r="BO17" i="5"/>
  <c r="BO18" i="5" s="1"/>
  <c r="BL98" i="5"/>
  <c r="BM96" i="5"/>
  <c r="BN98" i="5"/>
  <c r="BM98" i="5"/>
  <c r="BO96" i="5"/>
  <c r="BP96" i="5"/>
  <c r="BL96" i="5"/>
  <c r="BN96" i="5"/>
  <c r="AJ102" i="5"/>
  <c r="BP98" i="5"/>
  <c r="Y98" i="5"/>
  <c r="X98" i="5"/>
  <c r="AK98" i="5"/>
  <c r="AJ98" i="5"/>
  <c r="AI98" i="5"/>
  <c r="AH98" i="5"/>
  <c r="AG98" i="5"/>
  <c r="AF98" i="5"/>
  <c r="AE98" i="5"/>
  <c r="AD98" i="5"/>
  <c r="AC98" i="5"/>
  <c r="W74" i="5"/>
  <c r="I17" i="5"/>
  <c r="U17" i="5"/>
  <c r="AJ17" i="5"/>
  <c r="T17" i="5"/>
  <c r="D17" i="5"/>
  <c r="S17" i="5"/>
  <c r="C17" i="5"/>
  <c r="F50" i="5"/>
  <c r="BL50" i="5"/>
  <c r="BL49" i="5"/>
  <c r="BN50" i="5"/>
  <c r="BN49" i="5"/>
  <c r="BM49" i="5"/>
  <c r="BM50" i="5"/>
  <c r="BO49" i="5"/>
  <c r="BO50" i="5"/>
  <c r="BP49" i="5"/>
  <c r="BP50" i="5"/>
  <c r="E50" i="5"/>
  <c r="R50" i="5"/>
  <c r="J17" i="5"/>
  <c r="AD17" i="5"/>
  <c r="AK17" i="5"/>
  <c r="Z74" i="5"/>
  <c r="V17" i="5"/>
  <c r="F17" i="5"/>
  <c r="AC17" i="5"/>
  <c r="M17" i="5"/>
  <c r="L17" i="5"/>
  <c r="AB102" i="5"/>
  <c r="AF102" i="5"/>
  <c r="K17" i="5"/>
  <c r="Z17" i="5"/>
  <c r="W17" i="5"/>
  <c r="G17" i="5"/>
  <c r="B4" i="6"/>
  <c r="H17" i="5"/>
  <c r="E17" i="5"/>
  <c r="AK101" i="5"/>
  <c r="AK102" i="5" s="1"/>
  <c r="AG102" i="5"/>
  <c r="AI17" i="5"/>
  <c r="AB74" i="5"/>
  <c r="AF17" i="5"/>
  <c r="P17" i="5"/>
  <c r="N17" i="5"/>
  <c r="AA17" i="5"/>
  <c r="AC100" i="5"/>
  <c r="AC102" i="5" s="1"/>
  <c r="Y17" i="5"/>
  <c r="X17" i="5"/>
  <c r="AA74" i="5"/>
  <c r="AB17" i="5"/>
  <c r="AE17" i="5"/>
  <c r="O17" i="5"/>
  <c r="AH17" i="5"/>
  <c r="R17" i="5"/>
  <c r="Q17" i="5"/>
  <c r="AG17" i="5"/>
  <c r="V45" i="5"/>
  <c r="V47" i="5" s="1"/>
  <c r="U45" i="5"/>
  <c r="U47" i="5" s="1"/>
  <c r="N45" i="5"/>
  <c r="N47" i="5" s="1"/>
  <c r="AD45" i="5"/>
  <c r="AD47" i="5" s="1"/>
  <c r="AA45" i="5"/>
  <c r="AA47" i="5" s="1"/>
  <c r="AE45" i="5"/>
  <c r="AE47" i="5" s="1"/>
  <c r="J45" i="5"/>
  <c r="J47" i="5" s="1"/>
  <c r="D45" i="5"/>
  <c r="D47" i="5" s="1"/>
  <c r="H45" i="5"/>
  <c r="H47" i="5" s="1"/>
  <c r="C45" i="5"/>
  <c r="C47" i="5" s="1"/>
  <c r="T45" i="5"/>
  <c r="T47" i="5" s="1"/>
  <c r="AI45" i="5"/>
  <c r="AI47" i="5" s="1"/>
  <c r="AK45" i="5"/>
  <c r="AK47" i="5" s="1"/>
  <c r="S47" i="5"/>
  <c r="AJ45" i="5"/>
  <c r="AJ47" i="5" s="1"/>
  <c r="M45" i="5"/>
  <c r="M47" i="5" s="1"/>
  <c r="AH45" i="5"/>
  <c r="AH47" i="5" s="1"/>
  <c r="Q45" i="5"/>
  <c r="Q47" i="5" s="1"/>
  <c r="AF45" i="5"/>
  <c r="AF47" i="5" s="1"/>
  <c r="P45" i="5"/>
  <c r="P47" i="5" s="1"/>
  <c r="O45" i="5"/>
  <c r="O47" i="5" s="1"/>
  <c r="AC45" i="5"/>
  <c r="AC47" i="5" s="1"/>
  <c r="AB45" i="5"/>
  <c r="AB47" i="5" s="1"/>
  <c r="L45" i="5"/>
  <c r="L47" i="5" s="1"/>
  <c r="K45" i="5"/>
  <c r="K47" i="5" s="1"/>
  <c r="Z45" i="5"/>
  <c r="Z47" i="5" s="1"/>
  <c r="Y45" i="5"/>
  <c r="Y47" i="5" s="1"/>
  <c r="I45" i="5"/>
  <c r="I47" i="5" s="1"/>
  <c r="X45" i="5"/>
  <c r="X47" i="5" s="1"/>
  <c r="W45" i="5"/>
  <c r="W47" i="5" s="1"/>
  <c r="G45" i="5"/>
  <c r="G47" i="5" s="1"/>
  <c r="AG45" i="5"/>
  <c r="AG47" i="5" s="1"/>
  <c r="L43" i="3"/>
  <c r="M43" i="3"/>
  <c r="N43" i="3"/>
  <c r="O43" i="3"/>
  <c r="P43" i="3"/>
  <c r="Q43" i="3"/>
  <c r="R43" i="3"/>
  <c r="S43" i="3"/>
  <c r="T43" i="3"/>
  <c r="U43" i="3"/>
  <c r="V43" i="3"/>
  <c r="W43" i="3"/>
  <c r="X43" i="3"/>
  <c r="Y43" i="3"/>
  <c r="Z43" i="3"/>
  <c r="AA43" i="3"/>
  <c r="AB43" i="3"/>
  <c r="AC43" i="3"/>
  <c r="AD43" i="3"/>
  <c r="AE43" i="3"/>
  <c r="AF43" i="3"/>
  <c r="AG43" i="3"/>
  <c r="AH43" i="3"/>
  <c r="AI43" i="3"/>
  <c r="AJ43" i="3"/>
  <c r="AK43" i="3"/>
  <c r="AL43" i="3"/>
  <c r="K43" i="3"/>
  <c r="C29" i="2"/>
  <c r="D29" i="2"/>
  <c r="E29" i="2"/>
  <c r="F29" i="2"/>
  <c r="G29" i="2"/>
  <c r="H29" i="2"/>
  <c r="I29" i="2"/>
  <c r="J29" i="2"/>
  <c r="K29" i="2"/>
  <c r="L29" i="2"/>
  <c r="M29" i="2"/>
  <c r="N29" i="2"/>
  <c r="O29" i="2"/>
  <c r="P29" i="2"/>
  <c r="Q29" i="2"/>
  <c r="R29" i="2"/>
  <c r="S29" i="2"/>
  <c r="T29" i="2"/>
  <c r="U29" i="2"/>
  <c r="V29" i="2"/>
  <c r="W29" i="2"/>
  <c r="X29" i="2"/>
  <c r="Y29" i="2"/>
  <c r="Z29" i="2"/>
  <c r="AA29" i="2"/>
  <c r="AB29" i="2"/>
  <c r="AC29" i="2"/>
  <c r="AD29" i="2"/>
  <c r="AE29" i="2"/>
  <c r="AF29" i="2"/>
  <c r="AG29" i="2"/>
  <c r="AH29" i="2"/>
  <c r="AI29" i="2"/>
  <c r="AJ29" i="2"/>
  <c r="AK29" i="2"/>
  <c r="AL29" i="2"/>
  <c r="B29" i="2"/>
  <c r="C32" i="2"/>
  <c r="D32" i="2"/>
  <c r="E32" i="2"/>
  <c r="F32" i="2"/>
  <c r="G32" i="2"/>
  <c r="H32" i="2"/>
  <c r="I32" i="2"/>
  <c r="J32" i="2"/>
  <c r="K32" i="2"/>
  <c r="L32" i="2"/>
  <c r="M32" i="2"/>
  <c r="N32" i="2"/>
  <c r="O32" i="2"/>
  <c r="P32" i="2"/>
  <c r="Q32" i="2"/>
  <c r="R32" i="2"/>
  <c r="S32" i="2"/>
  <c r="T32" i="2"/>
  <c r="U32" i="2"/>
  <c r="V32" i="2"/>
  <c r="W32" i="2"/>
  <c r="X32" i="2"/>
  <c r="Y32" i="2"/>
  <c r="Z32" i="2"/>
  <c r="AA32" i="2"/>
  <c r="AB32" i="2"/>
  <c r="AC32" i="2"/>
  <c r="AD32" i="2"/>
  <c r="AE32" i="2"/>
  <c r="AF32" i="2"/>
  <c r="AG32" i="2"/>
  <c r="AH32" i="2"/>
  <c r="AI32" i="2"/>
  <c r="AJ32" i="2"/>
  <c r="AK32" i="2"/>
  <c r="AL32" i="2"/>
  <c r="B32" i="2"/>
  <c r="C30" i="2"/>
  <c r="D30" i="2"/>
  <c r="E30" i="2"/>
  <c r="F30" i="2"/>
  <c r="G30" i="2"/>
  <c r="H30" i="2"/>
  <c r="I30" i="2"/>
  <c r="J30" i="2"/>
  <c r="K30" i="2"/>
  <c r="L30" i="2"/>
  <c r="M30" i="2"/>
  <c r="N30" i="2"/>
  <c r="O30" i="2"/>
  <c r="P30" i="2"/>
  <c r="Q30" i="2"/>
  <c r="R30" i="2"/>
  <c r="S30" i="2"/>
  <c r="T30" i="2"/>
  <c r="U30" i="2"/>
  <c r="V30" i="2"/>
  <c r="W30" i="2"/>
  <c r="X30" i="2"/>
  <c r="Y30" i="2"/>
  <c r="Z30" i="2"/>
  <c r="AA30" i="2"/>
  <c r="AB30" i="2"/>
  <c r="AC30" i="2"/>
  <c r="AD30" i="2"/>
  <c r="AE30" i="2"/>
  <c r="AF30" i="2"/>
  <c r="AG30" i="2"/>
  <c r="AH30" i="2"/>
  <c r="AI30" i="2"/>
  <c r="AJ30" i="2"/>
  <c r="AK30" i="2"/>
  <c r="AL30" i="2"/>
  <c r="B30" i="2"/>
  <c r="C28" i="2"/>
  <c r="D28" i="2"/>
  <c r="E28" i="2"/>
  <c r="F28" i="2"/>
  <c r="G28" i="2"/>
  <c r="H28" i="2"/>
  <c r="I28" i="2"/>
  <c r="J28" i="2"/>
  <c r="K28" i="2"/>
  <c r="L28" i="2"/>
  <c r="M28" i="2"/>
  <c r="N28" i="2"/>
  <c r="O28" i="2"/>
  <c r="P28" i="2"/>
  <c r="Q28" i="2"/>
  <c r="R28" i="2"/>
  <c r="S28" i="2"/>
  <c r="T28" i="2"/>
  <c r="U28" i="2"/>
  <c r="V28" i="2"/>
  <c r="W28" i="2"/>
  <c r="X28" i="2"/>
  <c r="Y28" i="2"/>
  <c r="Z28" i="2"/>
  <c r="AA28" i="2"/>
  <c r="AB28" i="2"/>
  <c r="AC28" i="2"/>
  <c r="AD28" i="2"/>
  <c r="AE28" i="2"/>
  <c r="AF28" i="2"/>
  <c r="AG28" i="2"/>
  <c r="AH28" i="2"/>
  <c r="AI28" i="2"/>
  <c r="AJ28" i="2"/>
  <c r="AK28" i="2"/>
  <c r="AL28" i="2"/>
  <c r="B28" i="2"/>
  <c r="D26" i="2"/>
  <c r="E26" i="2"/>
  <c r="F26" i="2"/>
  <c r="G26" i="2"/>
  <c r="H26" i="2"/>
  <c r="I26" i="2"/>
  <c r="J26" i="2"/>
  <c r="K26" i="2"/>
  <c r="L26" i="2"/>
  <c r="M26" i="2"/>
  <c r="N26" i="2"/>
  <c r="O26" i="2"/>
  <c r="P26" i="2"/>
  <c r="Q26" i="2"/>
  <c r="R26" i="2"/>
  <c r="S26" i="2"/>
  <c r="T26" i="2"/>
  <c r="U26" i="2"/>
  <c r="V26" i="2"/>
  <c r="W26" i="2"/>
  <c r="X26" i="2"/>
  <c r="Y26" i="2"/>
  <c r="Z26" i="2"/>
  <c r="AA26" i="2"/>
  <c r="AB26" i="2"/>
  <c r="AC26" i="2"/>
  <c r="AD26" i="2"/>
  <c r="AE26" i="2"/>
  <c r="AF26" i="2"/>
  <c r="AG26" i="2"/>
  <c r="AH26" i="2"/>
  <c r="AI26" i="2"/>
  <c r="AJ26" i="2"/>
  <c r="AK26" i="2"/>
  <c r="AL26" i="2"/>
  <c r="C26" i="2"/>
  <c r="D25" i="2"/>
  <c r="E25" i="2"/>
  <c r="F25" i="2"/>
  <c r="G25" i="2"/>
  <c r="H25" i="2"/>
  <c r="I25" i="2"/>
  <c r="J25" i="2"/>
  <c r="K25" i="2"/>
  <c r="L25" i="2"/>
  <c r="M25" i="2"/>
  <c r="N25" i="2"/>
  <c r="O25" i="2"/>
  <c r="P25" i="2"/>
  <c r="Q25" i="2"/>
  <c r="R25" i="2"/>
  <c r="S25" i="2"/>
  <c r="T25" i="2"/>
  <c r="U25" i="2"/>
  <c r="V25" i="2"/>
  <c r="W25" i="2"/>
  <c r="X25" i="2"/>
  <c r="Y25" i="2"/>
  <c r="Z25" i="2"/>
  <c r="AA25" i="2"/>
  <c r="AB25" i="2"/>
  <c r="AC25" i="2"/>
  <c r="AD25" i="2"/>
  <c r="AE25" i="2"/>
  <c r="AF25" i="2"/>
  <c r="AG25" i="2"/>
  <c r="AH25" i="2"/>
  <c r="AI25" i="2"/>
  <c r="AJ25" i="2"/>
  <c r="AK25" i="2"/>
  <c r="AL25" i="2"/>
  <c r="C25" i="2"/>
  <c r="C28" i="1"/>
  <c r="D28" i="1"/>
  <c r="E28" i="1"/>
  <c r="F28" i="1"/>
  <c r="G28" i="1"/>
  <c r="H28" i="1"/>
  <c r="I28" i="1"/>
  <c r="J28" i="1"/>
  <c r="K28" i="1"/>
  <c r="L28" i="1"/>
  <c r="M28" i="1"/>
  <c r="N28" i="1"/>
  <c r="O28" i="1"/>
  <c r="P28" i="1"/>
  <c r="Q28" i="1"/>
  <c r="R28" i="1"/>
  <c r="B28" i="1"/>
  <c r="BD17" i="5" l="1"/>
  <c r="BF17" i="5"/>
  <c r="BL18" i="5"/>
  <c r="BL19" i="5"/>
  <c r="BK17" i="5"/>
  <c r="BK18" i="5"/>
  <c r="BK19" i="5"/>
  <c r="BK20" i="5" s="1"/>
  <c r="BH17" i="5"/>
  <c r="BO19" i="5"/>
  <c r="BO20" i="5" s="1"/>
  <c r="BM18" i="5"/>
  <c r="BM20" i="5" s="1"/>
  <c r="BN18" i="5"/>
  <c r="BN20" i="5" s="1"/>
  <c r="BP19" i="5"/>
  <c r="BP20" i="5" s="1"/>
  <c r="BJ17" i="5"/>
  <c r="BJ19" i="5" s="1"/>
  <c r="BI17" i="5"/>
  <c r="BI18" i="5" s="1"/>
  <c r="BK49" i="5"/>
  <c r="BK50" i="5"/>
  <c r="G50" i="5"/>
  <c r="G49" i="5"/>
  <c r="AK49" i="5"/>
  <c r="AK104" i="5" s="1"/>
  <c r="AK50" i="5"/>
  <c r="C49" i="5"/>
  <c r="C50" i="5"/>
  <c r="I50" i="5"/>
  <c r="I49" i="5"/>
  <c r="X50" i="5"/>
  <c r="X49" i="5"/>
  <c r="W50" i="5"/>
  <c r="W49" i="5"/>
  <c r="L49" i="5"/>
  <c r="L50" i="5"/>
  <c r="AE49" i="5"/>
  <c r="AE50" i="5"/>
  <c r="Y50" i="5"/>
  <c r="Y49" i="5"/>
  <c r="J50" i="5"/>
  <c r="J49" i="5"/>
  <c r="D49" i="5"/>
  <c r="D50" i="5"/>
  <c r="AD49" i="5"/>
  <c r="AD50" i="5"/>
  <c r="AJ49" i="5"/>
  <c r="AJ50" i="5"/>
  <c r="K49" i="5"/>
  <c r="K50" i="5"/>
  <c r="N49" i="5"/>
  <c r="N50" i="5"/>
  <c r="T49" i="5"/>
  <c r="T50" i="5"/>
  <c r="H49" i="5"/>
  <c r="H50" i="5"/>
  <c r="P49" i="5"/>
  <c r="P50" i="5"/>
  <c r="Q49" i="5"/>
  <c r="Q50" i="5"/>
  <c r="U49" i="5"/>
  <c r="U50" i="5"/>
  <c r="AI49" i="5"/>
  <c r="AI50" i="5"/>
  <c r="Z50" i="5"/>
  <c r="Z49" i="5"/>
  <c r="AB49" i="5"/>
  <c r="AB50" i="5"/>
  <c r="AA49" i="5"/>
  <c r="AA50" i="5"/>
  <c r="AF49" i="5"/>
  <c r="AF50" i="5"/>
  <c r="AH49" i="5"/>
  <c r="AH50" i="5"/>
  <c r="V50" i="5"/>
  <c r="V49" i="5"/>
  <c r="S49" i="5"/>
  <c r="S50" i="5"/>
  <c r="AC49" i="5"/>
  <c r="AC50" i="5"/>
  <c r="O49" i="5"/>
  <c r="O50" i="5"/>
  <c r="AG49" i="5"/>
  <c r="AG50" i="5"/>
  <c r="M49" i="5"/>
  <c r="M50" i="5"/>
  <c r="BI19" i="5" l="1"/>
  <c r="BI20" i="5" s="1"/>
  <c r="BL20" i="5"/>
  <c r="BJ18" i="5"/>
  <c r="BJ20"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40" authorId="0" shapeId="0" xr:uid="{FA413B58-FDD7-44C6-9F4B-3113DABAE323}">
      <text>
        <r>
          <rPr>
            <b/>
            <sz val="9"/>
            <color indexed="81"/>
            <rFont val="Tahoma"/>
            <family val="2"/>
          </rPr>
          <t>William:</t>
        </r>
        <r>
          <rPr>
            <sz val="9"/>
            <color indexed="81"/>
            <rFont val="Tahoma"/>
            <family val="2"/>
          </rPr>
          <t xml:space="preserve">
Make negative so sum calculation is correct.</t>
        </r>
      </text>
    </comment>
    <comment ref="BC51" authorId="0" shapeId="0" xr:uid="{C047C817-70CB-4461-93A9-E9B00F401FD6}">
      <text>
        <r>
          <rPr>
            <b/>
            <sz val="9"/>
            <color indexed="81"/>
            <rFont val="Tahoma"/>
            <family val="2"/>
          </rPr>
          <t>William:</t>
        </r>
        <r>
          <rPr>
            <sz val="9"/>
            <color indexed="81"/>
            <rFont val="Tahoma"/>
            <family val="2"/>
          </rPr>
          <t xml:space="preserve">
2-1 Stock split. 
Numbers adjusted accordingly.</t>
        </r>
      </text>
    </comment>
    <comment ref="B58" authorId="0" shapeId="0" xr:uid="{FAE0FB83-00F6-467B-B39B-2787DD667CD4}">
      <text>
        <r>
          <rPr>
            <b/>
            <sz val="9"/>
            <color indexed="81"/>
            <rFont val="Tahoma"/>
            <family val="2"/>
          </rPr>
          <t>William:</t>
        </r>
        <r>
          <rPr>
            <sz val="9"/>
            <color indexed="81"/>
            <rFont val="Tahoma"/>
            <family val="2"/>
          </rPr>
          <t xml:space="preserve">
Includes "Marketable Securities"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<sst xmlns="http://schemas.openxmlformats.org/spreadsheetml/2006/main" count="4054" uniqueCount="2489">
  <si>
    <t>Price</t>
  </si>
  <si>
    <t>Shares</t>
  </si>
  <si>
    <t>MC</t>
  </si>
  <si>
    <t>Cash</t>
  </si>
  <si>
    <t>Debt</t>
  </si>
  <si>
    <t>EV</t>
  </si>
  <si>
    <t>Company Name</t>
  </si>
  <si>
    <t>The Coca-Cola Company</t>
  </si>
  <si>
    <t>Ticker</t>
  </si>
  <si>
    <t>KO</t>
  </si>
  <si>
    <t>Country</t>
  </si>
  <si>
    <t>USA</t>
  </si>
  <si>
    <t>Sector</t>
  </si>
  <si>
    <t>Consumer Defensive</t>
  </si>
  <si>
    <t>Industry</t>
  </si>
  <si>
    <t>Beverages - Non-Alcoholic</t>
  </si>
  <si>
    <t>Quarter</t>
  </si>
  <si>
    <t>Q115</t>
  </si>
  <si>
    <t>Q215</t>
  </si>
  <si>
    <t>Q315</t>
  </si>
  <si>
    <t>Q415</t>
  </si>
  <si>
    <t>Q116</t>
  </si>
  <si>
    <t>Q216</t>
  </si>
  <si>
    <t>Q316</t>
  </si>
  <si>
    <t>Q416</t>
  </si>
  <si>
    <t>Q117</t>
  </si>
  <si>
    <t>Q217</t>
  </si>
  <si>
    <t>Q317</t>
  </si>
  <si>
    <t>Q417</t>
  </si>
  <si>
    <t>Q118</t>
  </si>
  <si>
    <t>Q218</t>
  </si>
  <si>
    <t>Q318</t>
  </si>
  <si>
    <t>Q418</t>
  </si>
  <si>
    <t>Q119</t>
  </si>
  <si>
    <t>Q219</t>
  </si>
  <si>
    <t>Q319</t>
  </si>
  <si>
    <t>Q419</t>
  </si>
  <si>
    <t>Q120</t>
  </si>
  <si>
    <t>Q220</t>
  </si>
  <si>
    <t>Q320</t>
  </si>
  <si>
    <t>Q420</t>
  </si>
  <si>
    <t>Q121</t>
  </si>
  <si>
    <t>Q221</t>
  </si>
  <si>
    <t>Q321</t>
  </si>
  <si>
    <t>Q421</t>
  </si>
  <si>
    <t>Q122</t>
  </si>
  <si>
    <t>Q222</t>
  </si>
  <si>
    <t>Q322</t>
  </si>
  <si>
    <t>Q422</t>
  </si>
  <si>
    <t>Filing Date</t>
  </si>
  <si>
    <t>Period of Report</t>
  </si>
  <si>
    <t>Revenue Breakdown</t>
  </si>
  <si>
    <t>US</t>
  </si>
  <si>
    <t>Concentrate operations</t>
  </si>
  <si>
    <t>Finished product operations</t>
  </si>
  <si>
    <t>Total US Revenue</t>
  </si>
  <si>
    <t>International</t>
  </si>
  <si>
    <t>Total International Revenue</t>
  </si>
  <si>
    <t>Total</t>
  </si>
  <si>
    <t>Concentrate operations %</t>
  </si>
  <si>
    <t>Finished product operations %</t>
  </si>
  <si>
    <t>Cases by Volume</t>
  </si>
  <si>
    <t>Income Statement</t>
  </si>
  <si>
    <t>Revenue</t>
  </si>
  <si>
    <t>COGs</t>
  </si>
  <si>
    <t>Gross Profit</t>
  </si>
  <si>
    <t>Operating Expenses</t>
  </si>
  <si>
    <t>SG&amp;A</t>
  </si>
  <si>
    <t>Other operating charges</t>
  </si>
  <si>
    <t>Operating Income</t>
  </si>
  <si>
    <t xml:space="preserve">Other income </t>
  </si>
  <si>
    <t>Interest income</t>
  </si>
  <si>
    <t>Interest expense</t>
  </si>
  <si>
    <t>Equity income (loss) -- net</t>
  </si>
  <si>
    <t>Other income (loss) --net</t>
  </si>
  <si>
    <t>Income before taxes</t>
  </si>
  <si>
    <t>Income taxes</t>
  </si>
  <si>
    <t xml:space="preserve">Consolidated Net Income </t>
  </si>
  <si>
    <t>Net income (loss) attributable to noncontrolling interests</t>
  </si>
  <si>
    <t>Net income attributable to shareowners of the Coca-Cola Company</t>
  </si>
  <si>
    <t>EPS - Basic</t>
  </si>
  <si>
    <t>EPS - Diluted</t>
  </si>
  <si>
    <t>Shares - Basic</t>
  </si>
  <si>
    <t>Shares - Diluted</t>
  </si>
  <si>
    <t>Balance Sheet</t>
  </si>
  <si>
    <t>Current Assets</t>
  </si>
  <si>
    <t>Cash &amp; Cash Equiv</t>
  </si>
  <si>
    <t>Short-term investments</t>
  </si>
  <si>
    <t>Marketable securities</t>
  </si>
  <si>
    <t>AR</t>
  </si>
  <si>
    <t>Inventories</t>
  </si>
  <si>
    <t>Prepaid expenses and other current assets</t>
  </si>
  <si>
    <t>Assets held for sale</t>
  </si>
  <si>
    <t>Total Current Assets</t>
  </si>
  <si>
    <t>Non-current Assets</t>
  </si>
  <si>
    <t>Equity method investments</t>
  </si>
  <si>
    <t>Other investmnets</t>
  </si>
  <si>
    <t>Other noncurrent assets</t>
  </si>
  <si>
    <t>Deferred income tax assets</t>
  </si>
  <si>
    <t>PP&amp;E</t>
  </si>
  <si>
    <t>Trademarks with indefinite lives</t>
  </si>
  <si>
    <t>Goodwill</t>
  </si>
  <si>
    <t>Other intangible assets</t>
  </si>
  <si>
    <t>Total Assets</t>
  </si>
  <si>
    <t>Current Liabilities</t>
  </si>
  <si>
    <t>Accounts payable &amp; accrued expenses</t>
  </si>
  <si>
    <t>Loans and notes payable</t>
  </si>
  <si>
    <t>Current maturities of long-term debt</t>
  </si>
  <si>
    <t>Accrued income taxes</t>
  </si>
  <si>
    <t>Liabilities held for sale</t>
  </si>
  <si>
    <t>Total current liabilities</t>
  </si>
  <si>
    <t>Non-current Liabilities</t>
  </si>
  <si>
    <t>Long-term debt</t>
  </si>
  <si>
    <t xml:space="preserve">Other noncurrent liabilities </t>
  </si>
  <si>
    <t>Deferred income tax liabilities</t>
  </si>
  <si>
    <t xml:space="preserve">Total Liabilities   </t>
  </si>
  <si>
    <t>Equity</t>
  </si>
  <si>
    <t>Common Stock</t>
  </si>
  <si>
    <t>Capital Surplus</t>
  </si>
  <si>
    <t>Reinvested earnings</t>
  </si>
  <si>
    <t>Accumulated other comprehensive income (loss)</t>
  </si>
  <si>
    <t>Treasury Stock</t>
  </si>
  <si>
    <t>Equity Attributable to Shareowners</t>
  </si>
  <si>
    <t>Equity attributable to noncontrolling interests</t>
  </si>
  <si>
    <t>Total Equity</t>
  </si>
  <si>
    <t>Total liabilities and equity</t>
  </si>
  <si>
    <t>Current Ratio</t>
  </si>
  <si>
    <t>Cash Flow *in millions</t>
  </si>
  <si>
    <t>Net Cash from Operating activities</t>
  </si>
  <si>
    <t>CapEx</t>
  </si>
  <si>
    <t>FCF</t>
  </si>
  <si>
    <t>Dividends</t>
  </si>
  <si>
    <t>Stock based compensation expense</t>
  </si>
  <si>
    <t>2006</t>
  </si>
  <si>
    <t>2007</t>
  </si>
  <si>
    <t>2008</t>
  </si>
  <si>
    <t>2009</t>
  </si>
  <si>
    <t>2010</t>
  </si>
  <si>
    <t>2011</t>
  </si>
  <si>
    <t>2012</t>
  </si>
  <si>
    <t>2013</t>
  </si>
  <si>
    <t>2014</t>
  </si>
  <si>
    <t>2015</t>
  </si>
  <si>
    <t>2016</t>
  </si>
  <si>
    <t>2017</t>
  </si>
  <si>
    <t>2018</t>
  </si>
  <si>
    <t>2019</t>
  </si>
  <si>
    <t>2020</t>
  </si>
  <si>
    <t>2021</t>
  </si>
  <si>
    <t>TTM</t>
  </si>
  <si>
    <t>Revenue per share</t>
  </si>
  <si>
    <t>5.13</t>
  </si>
  <si>
    <t>6.24</t>
  </si>
  <si>
    <t>6.90</t>
  </si>
  <si>
    <t>6.70</t>
  </si>
  <si>
    <t>7.61</t>
  </si>
  <si>
    <t>10.28</t>
  </si>
  <si>
    <t>10.66</t>
  </si>
  <si>
    <t>10.57</t>
  </si>
  <si>
    <t>10.49</t>
  </si>
  <si>
    <t>10.18</t>
  </si>
  <si>
    <t>9.70</t>
  </si>
  <si>
    <t>8.29</t>
  </si>
  <si>
    <t>7.48</t>
  </si>
  <si>
    <t>8.72</t>
  </si>
  <si>
    <t>7.69</t>
  </si>
  <si>
    <t>9.00</t>
  </si>
  <si>
    <t>9.55</t>
  </si>
  <si>
    <t>Earnings per share</t>
  </si>
  <si>
    <t>1.08</t>
  </si>
  <si>
    <t>1.29</t>
  </si>
  <si>
    <t>1.25</t>
  </si>
  <si>
    <t>1.47</t>
  </si>
  <si>
    <t>2.56</t>
  </si>
  <si>
    <t>1.89</t>
  </si>
  <si>
    <t>2.00</t>
  </si>
  <si>
    <t>1.94</t>
  </si>
  <si>
    <t>1.62</t>
  </si>
  <si>
    <t>1.69</t>
  </si>
  <si>
    <t>1.51</t>
  </si>
  <si>
    <t>0.29</t>
  </si>
  <si>
    <t>2.09</t>
  </si>
  <si>
    <t>1.80</t>
  </si>
  <si>
    <t>2.27</t>
  </si>
  <si>
    <t>2.21</t>
  </si>
  <si>
    <t>FCF per share</t>
  </si>
  <si>
    <t>0.97</t>
  </si>
  <si>
    <t>1.19</t>
  </si>
  <si>
    <t>1.21</t>
  </si>
  <si>
    <t>1.34</t>
  </si>
  <si>
    <t>1.59</t>
  </si>
  <si>
    <t>1.45</t>
  </si>
  <si>
    <t>1.75</t>
  </si>
  <si>
    <t>1.87</t>
  </si>
  <si>
    <t>1.83</t>
  </si>
  <si>
    <t>1.27</t>
  </si>
  <si>
    <t>1.97</t>
  </si>
  <si>
    <t>2.02</t>
  </si>
  <si>
    <t>2.62</t>
  </si>
  <si>
    <t>2.37</t>
  </si>
  <si>
    <t>Dividends per share</t>
  </si>
  <si>
    <t>0.62</t>
  </si>
  <si>
    <t>0.68</t>
  </si>
  <si>
    <t>0.76</t>
  </si>
  <si>
    <t>0.82</t>
  </si>
  <si>
    <t>0.88</t>
  </si>
  <si>
    <t>0.95</t>
  </si>
  <si>
    <t>1.02</t>
  </si>
  <si>
    <t>1.12</t>
  </si>
  <si>
    <t>1.22</t>
  </si>
  <si>
    <t>1.32</t>
  </si>
  <si>
    <t>1.40</t>
  </si>
  <si>
    <t>1.48</t>
  </si>
  <si>
    <t>1.56</t>
  </si>
  <si>
    <t>1.60</t>
  </si>
  <si>
    <t>1.64</t>
  </si>
  <si>
    <t>1.72</t>
  </si>
  <si>
    <t>CAPEX per share</t>
  </si>
  <si>
    <t>0.30</t>
  </si>
  <si>
    <t>0.36</t>
  </si>
  <si>
    <t>0.42</t>
  </si>
  <si>
    <t>0.43</t>
  </si>
  <si>
    <t>0.48</t>
  </si>
  <si>
    <t>0.65</t>
  </si>
  <si>
    <t>0.58</t>
  </si>
  <si>
    <t>0.55</t>
  </si>
  <si>
    <t>0.59</t>
  </si>
  <si>
    <t>0.52</t>
  </si>
  <si>
    <t>0.39</t>
  </si>
  <si>
    <t>0.32</t>
  </si>
  <si>
    <t>0.27</t>
  </si>
  <si>
    <t>Book Value per sh.</t>
  </si>
  <si>
    <t>3.60</t>
  </si>
  <si>
    <t>4.70</t>
  </si>
  <si>
    <t>4.42</t>
  </si>
  <si>
    <t>5.36</t>
  </si>
  <si>
    <t>6.72</t>
  </si>
  <si>
    <t>6.99</t>
  </si>
  <si>
    <t>7.28</t>
  </si>
  <si>
    <t>6.91</t>
  </si>
  <si>
    <t>5.87</t>
  </si>
  <si>
    <t>5.34</t>
  </si>
  <si>
    <t>4.00</t>
  </si>
  <si>
    <t>3.99</t>
  </si>
  <si>
    <t>4.44</t>
  </si>
  <si>
    <t>4.49</t>
  </si>
  <si>
    <t>5.35</t>
  </si>
  <si>
    <t>5.38</t>
  </si>
  <si>
    <t>Comm.Shares outs.</t>
  </si>
  <si>
    <t>4,696</t>
  </si>
  <si>
    <t>4,626</t>
  </si>
  <si>
    <t>4,632</t>
  </si>
  <si>
    <t>4,628</t>
  </si>
  <si>
    <t>4,616</t>
  </si>
  <si>
    <t>4,526</t>
  </si>
  <si>
    <t>4,504</t>
  </si>
  <si>
    <t>4,434</t>
  </si>
  <si>
    <t>4,387</t>
  </si>
  <si>
    <t>4,352</t>
  </si>
  <si>
    <t>4,317</t>
  </si>
  <si>
    <t>4,272</t>
  </si>
  <si>
    <t>4,259</t>
  </si>
  <si>
    <t>4,276</t>
  </si>
  <si>
    <t>4,295</t>
  </si>
  <si>
    <t>4,326</t>
  </si>
  <si>
    <t>Avg. annual P/E ratio</t>
  </si>
  <si>
    <t>20.2</t>
  </si>
  <si>
    <t>20.8</t>
  </si>
  <si>
    <t>21.5</t>
  </si>
  <si>
    <t>16.5</t>
  </si>
  <si>
    <t>11.0</t>
  </si>
  <si>
    <t>17.6</t>
  </si>
  <si>
    <t>18.5</t>
  </si>
  <si>
    <t>20.4</t>
  </si>
  <si>
    <t>25.2</t>
  </si>
  <si>
    <t>24.4</t>
  </si>
  <si>
    <t>28.7</t>
  </si>
  <si>
    <t>151.8</t>
  </si>
  <si>
    <t>30.1</t>
  </si>
  <si>
    <t>27.6</t>
  </si>
  <si>
    <t>23.7</t>
  </si>
  <si>
    <t>28.9</t>
  </si>
  <si>
    <t>P/E to S&amp;P500</t>
  </si>
  <si>
    <t>1.1</t>
  </si>
  <si>
    <t>1.2</t>
  </si>
  <si>
    <t>1.0</t>
  </si>
  <si>
    <t>0.2</t>
  </si>
  <si>
    <t>0.5</t>
  </si>
  <si>
    <t>1.4</t>
  </si>
  <si>
    <t>1.3</t>
  </si>
  <si>
    <t>6.4</t>
  </si>
  <si>
    <t>0.7</t>
  </si>
  <si>
    <t>0.8</t>
  </si>
  <si>
    <t>Avg. annual div. yield</t>
  </si>
  <si>
    <t>2.8%</t>
  </si>
  <si>
    <t>2.5%</t>
  </si>
  <si>
    <t>3.4%</t>
  </si>
  <si>
    <t>3.1%</t>
  </si>
  <si>
    <t>2.9%</t>
  </si>
  <si>
    <t>3.0%</t>
  </si>
  <si>
    <t>3.2%</t>
  </si>
  <si>
    <t>3.3%</t>
  </si>
  <si>
    <t>Revenue (m)</t>
  </si>
  <si>
    <t>24,088</t>
  </si>
  <si>
    <t>28,857</t>
  </si>
  <si>
    <t>31,944</t>
  </si>
  <si>
    <t>30,990</t>
  </si>
  <si>
    <t>35,119</t>
  </si>
  <si>
    <t>46,542</t>
  </si>
  <si>
    <t>48,017</t>
  </si>
  <si>
    <t>46,854</t>
  </si>
  <si>
    <t>45,998</t>
  </si>
  <si>
    <t>44,294</t>
  </si>
  <si>
    <t>41,863</t>
  </si>
  <si>
    <t>35,410</t>
  </si>
  <si>
    <t>31,856</t>
  </si>
  <si>
    <t>37,266</t>
  </si>
  <si>
    <t>33,014</t>
  </si>
  <si>
    <t>38,655</t>
  </si>
  <si>
    <t>41,322</t>
  </si>
  <si>
    <t>Operating margin</t>
  </si>
  <si>
    <t>26.2%</t>
  </si>
  <si>
    <t>25.1%</t>
  </si>
  <si>
    <t>26.4%</t>
  </si>
  <si>
    <t>26.6%</t>
  </si>
  <si>
    <t>24.1%</t>
  </si>
  <si>
    <t>21.8%</t>
  </si>
  <si>
    <t>22.4%</t>
  </si>
  <si>
    <t>21.1%</t>
  </si>
  <si>
    <t>19.7%</t>
  </si>
  <si>
    <t>20.6%</t>
  </si>
  <si>
    <t>21.2%</t>
  </si>
  <si>
    <t>27.3%</t>
  </si>
  <si>
    <t>27.1%</t>
  </si>
  <si>
    <t>26.7%</t>
  </si>
  <si>
    <t>24.9%</t>
  </si>
  <si>
    <t>Depreciation (m)</t>
  </si>
  <si>
    <t>938</t>
  </si>
  <si>
    <t>1,163</t>
  </si>
  <si>
    <t>1,228</t>
  </si>
  <si>
    <t>1,236</t>
  </si>
  <si>
    <t>1,443</t>
  </si>
  <si>
    <t>1,954</t>
  </si>
  <si>
    <t>1,982</t>
  </si>
  <si>
    <t>1,977</t>
  </si>
  <si>
    <t>1,976</t>
  </si>
  <si>
    <t>1,970</t>
  </si>
  <si>
    <t>1,787</t>
  </si>
  <si>
    <t>1,260</t>
  </si>
  <si>
    <t>1,086</t>
  </si>
  <si>
    <t>1,365</t>
  </si>
  <si>
    <t>1,536</t>
  </si>
  <si>
    <t>1,452</t>
  </si>
  <si>
    <t>1,349</t>
  </si>
  <si>
    <t>Net profit (m)</t>
  </si>
  <si>
    <t>5,080</t>
  </si>
  <si>
    <t>5,981</t>
  </si>
  <si>
    <t>5,807</t>
  </si>
  <si>
    <t>6,824</t>
  </si>
  <si>
    <t>11,809</t>
  </si>
  <si>
    <t>8,572</t>
  </si>
  <si>
    <t>9,019</t>
  </si>
  <si>
    <t>8,584</t>
  </si>
  <si>
    <t>7,098</t>
  </si>
  <si>
    <t>7,351</t>
  </si>
  <si>
    <t>6,527</t>
  </si>
  <si>
    <t>1,248</t>
  </si>
  <si>
    <t>6,434</t>
  </si>
  <si>
    <t>8,920</t>
  </si>
  <si>
    <t>7,747</t>
  </si>
  <si>
    <t>9,771</t>
  </si>
  <si>
    <t>9,571</t>
  </si>
  <si>
    <t>Income tax rate</t>
  </si>
  <si>
    <t>22.8%</t>
  </si>
  <si>
    <t>24.0%</t>
  </si>
  <si>
    <t>21.9%</t>
  </si>
  <si>
    <t>16.7%</t>
  </si>
  <si>
    <t>24.5%</t>
  </si>
  <si>
    <t>23.1%</t>
  </si>
  <si>
    <t>24.8%</t>
  </si>
  <si>
    <t>23.6%</t>
  </si>
  <si>
    <t>23.3%</t>
  </si>
  <si>
    <t>19.5%</t>
  </si>
  <si>
    <t>82.5%</t>
  </si>
  <si>
    <t>19.4%</t>
  </si>
  <si>
    <t>20.3%</t>
  </si>
  <si>
    <t>18.3%</t>
  </si>
  <si>
    <t>Net profit margin</t>
  </si>
  <si>
    <t>20.7%</t>
  </si>
  <si>
    <t>18.2%</t>
  </si>
  <si>
    <t>22.0%</t>
  </si>
  <si>
    <t>33.6%</t>
  </si>
  <si>
    <t>18.4%</t>
  </si>
  <si>
    <t>18.8%</t>
  </si>
  <si>
    <t>15.4%</t>
  </si>
  <si>
    <t>16.6%</t>
  </si>
  <si>
    <t>15.6%</t>
  </si>
  <si>
    <t>3.5%</t>
  </si>
  <si>
    <t>20.2%</t>
  </si>
  <si>
    <t>23.9%</t>
  </si>
  <si>
    <t>23.5%</t>
  </si>
  <si>
    <t>25.3%</t>
  </si>
  <si>
    <t>23.4%</t>
  </si>
  <si>
    <t>Working capital (m)</t>
  </si>
  <si>
    <t>(449)</t>
  </si>
  <si>
    <t>(1,120)</t>
  </si>
  <si>
    <t>(812)</t>
  </si>
  <si>
    <t>3,830</t>
  </si>
  <si>
    <t>3,071</t>
  </si>
  <si>
    <t>1,214</t>
  </si>
  <si>
    <t>2,507</t>
  </si>
  <si>
    <t>3,493</t>
  </si>
  <si>
    <t>612</t>
  </si>
  <si>
    <t>6,465</t>
  </si>
  <si>
    <t>7,478</t>
  </si>
  <si>
    <t>9,351</t>
  </si>
  <si>
    <t>1,411</t>
  </si>
  <si>
    <t>(6,562)</t>
  </si>
  <si>
    <t>4,639</t>
  </si>
  <si>
    <t>2,595</t>
  </si>
  <si>
    <t>2,610</t>
  </si>
  <si>
    <t>Long-term debt (m)</t>
  </si>
  <si>
    <t>1,314</t>
  </si>
  <si>
    <t>3,277</t>
  </si>
  <si>
    <t>2,781</t>
  </si>
  <si>
    <t>5,059</t>
  </si>
  <si>
    <t>14,041</t>
  </si>
  <si>
    <t>13,656</t>
  </si>
  <si>
    <t>14,736</t>
  </si>
  <si>
    <t>19,154</t>
  </si>
  <si>
    <t>19,063</t>
  </si>
  <si>
    <t>28,407</t>
  </si>
  <si>
    <t>29,684</t>
  </si>
  <si>
    <t>31,182</t>
  </si>
  <si>
    <t>25,364</t>
  </si>
  <si>
    <t>27,516</t>
  </si>
  <si>
    <t>40,125</t>
  </si>
  <si>
    <t>38,116</t>
  </si>
  <si>
    <t>36,755</t>
  </si>
  <si>
    <t>Equity (m)</t>
  </si>
  <si>
    <t>16,920</t>
  </si>
  <si>
    <t>21,744</t>
  </si>
  <si>
    <t>20,472</t>
  </si>
  <si>
    <t>24,799</t>
  </si>
  <si>
    <t>31,003</t>
  </si>
  <si>
    <t>31,635</t>
  </si>
  <si>
    <t>32,790</t>
  </si>
  <si>
    <t>33,173</t>
  </si>
  <si>
    <t>30,320</t>
  </si>
  <si>
    <t>25,554</t>
  </si>
  <si>
    <t>23,062</t>
  </si>
  <si>
    <t>17,072</t>
  </si>
  <si>
    <t>16,981</t>
  </si>
  <si>
    <t>18,981</t>
  </si>
  <si>
    <t>19,299</t>
  </si>
  <si>
    <t>22,999</t>
  </si>
  <si>
    <t>23,005</t>
  </si>
  <si>
    <t>ROIC</t>
  </si>
  <si>
    <t>19.9%</t>
  </si>
  <si>
    <t>22.3%</t>
  </si>
  <si>
    <t>23.0%</t>
  </si>
  <si>
    <t>16.1%</t>
  </si>
  <si>
    <t>14.4%</t>
  </si>
  <si>
    <t>12.6%</t>
  </si>
  <si>
    <t>12.7%</t>
  </si>
  <si>
    <t>11.8%</t>
  </si>
  <si>
    <t>2.3%</t>
  </si>
  <si>
    <t>13.9%</t>
  </si>
  <si>
    <t>17.0%</t>
  </si>
  <si>
    <t>15.2%</t>
  </si>
  <si>
    <t>Return on capital</t>
  </si>
  <si>
    <t>19.2%</t>
  </si>
  <si>
    <t>14.8%</t>
  </si>
  <si>
    <t>14.1%</t>
  </si>
  <si>
    <t>13.3%</t>
  </si>
  <si>
    <t>10.7%</t>
  </si>
  <si>
    <t>11.6%</t>
  </si>
  <si>
    <t>10.2%</t>
  </si>
  <si>
    <t>8.9%</t>
  </si>
  <si>
    <t>11.1%</t>
  </si>
  <si>
    <t>13.8%</t>
  </si>
  <si>
    <t>13.1%</t>
  </si>
  <si>
    <t>15.1%</t>
  </si>
  <si>
    <t>13.7%</t>
  </si>
  <si>
    <t>Return on equity</t>
  </si>
  <si>
    <t>30.0%</t>
  </si>
  <si>
    <t>27.5%</t>
  </si>
  <si>
    <t>28.4%</t>
  </si>
  <si>
    <t>38.1%</t>
  </si>
  <si>
    <t>25.9%</t>
  </si>
  <si>
    <t>28.8%</t>
  </si>
  <si>
    <t>28.3%</t>
  </si>
  <si>
    <t>7.3%</t>
  </si>
  <si>
    <t>37.9%</t>
  </si>
  <si>
    <t>47.0%</t>
  </si>
  <si>
    <t>40.1%</t>
  </si>
  <si>
    <t>42.5%</t>
  </si>
  <si>
    <t>41.6%</t>
  </si>
  <si>
    <t>Plowback ratio</t>
  </si>
  <si>
    <t>42.7%</t>
  </si>
  <si>
    <t>47.3%</t>
  </si>
  <si>
    <t>39.4%</t>
  </si>
  <si>
    <t>44.3%</t>
  </si>
  <si>
    <t>65.6%</t>
  </si>
  <si>
    <t>49.8%</t>
  </si>
  <si>
    <t>49.1%</t>
  </si>
  <si>
    <t>42.1%</t>
  </si>
  <si>
    <t>24.6%</t>
  </si>
  <si>
    <t>7.4%</t>
  </si>
  <si>
    <t>(406.4)%</t>
  </si>
  <si>
    <t>(3.3)%</t>
  </si>
  <si>
    <t>9.0%</t>
  </si>
  <si>
    <t>25.8%</t>
  </si>
  <si>
    <t>Div.&amp;Repurch./FCF</t>
  </si>
  <si>
    <t>113.8%</t>
  </si>
  <si>
    <t>61.2%</t>
  </si>
  <si>
    <t>71.6%</t>
  </si>
  <si>
    <t>75.2%</t>
  </si>
  <si>
    <t>73.3%</t>
  </si>
  <si>
    <t>110.5%</t>
  </si>
  <si>
    <t>97.5%</t>
  </si>
  <si>
    <t>106.0%</t>
  </si>
  <si>
    <t>97.2%</t>
  </si>
  <si>
    <t>101.1%</t>
  </si>
  <si>
    <t>126.9%</t>
  </si>
  <si>
    <t>154.8%</t>
  </si>
  <si>
    <t>112.7%</t>
  </si>
  <si>
    <t>82.4%</t>
  </si>
  <si>
    <t>59.2%</t>
  </si>
  <si>
    <t>74.6%</t>
  </si>
  <si>
    <t>Market Price</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</si>
  <si>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</si>
  <si>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</si>
  <si>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</si>
  <si>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</si>
  <si>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</si>
  <si>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</si>
  <si>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</si>
  <si>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</si>
  <si>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</si>
  <si>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</si>
  <si>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</si>
  <si>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</si>
  <si>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</si>
  <si>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</si>
  <si>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</si>
  <si>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</si>
  <si>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</si>
  <si>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</si>
  <si>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</si>
  <si>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</si>
  <si>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</si>
  <si>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7,904</t>
  </si>
  <si>
    <t>8,669</t>
  </si>
  <si>
    <t>7,658</t>
  </si>
  <si>
    <t>8,338</t>
  </si>
  <si>
    <t>8,966</t>
  </si>
  <si>
    <t>10,236</t>
  </si>
  <si>
    <t>11,572</t>
  </si>
  <si>
    <t>13,074</t>
  </si>
  <si>
    <t>13,957</t>
  </si>
  <si>
    <t>16,172</t>
  </si>
  <si>
    <t>18,018</t>
  </si>
  <si>
    <t>18,546</t>
  </si>
  <si>
    <t>18,868</t>
  </si>
  <si>
    <t>18,813</t>
  </si>
  <si>
    <t>19,805</t>
  </si>
  <si>
    <t>20,458</t>
  </si>
  <si>
    <t>20,092</t>
  </si>
  <si>
    <t>19,564</t>
  </si>
  <si>
    <t>21,044</t>
  </si>
  <si>
    <t>21,962</t>
  </si>
  <si>
    <t>23,104</t>
  </si>
  <si>
    <t>COGS</t>
  </si>
  <si>
    <t>3,877</t>
  </si>
  <si>
    <t>4,233</t>
  </si>
  <si>
    <t>3,481</t>
  </si>
  <si>
    <t>3,532</t>
  </si>
  <si>
    <t>3,708</t>
  </si>
  <si>
    <t>3,965</t>
  </si>
  <si>
    <t>4,733</t>
  </si>
  <si>
    <t>4,800</t>
  </si>
  <si>
    <t>5,756</t>
  </si>
  <si>
    <t>6,486</t>
  </si>
  <si>
    <t>6,259</t>
  </si>
  <si>
    <t>5,389</t>
  </si>
  <si>
    <t>4,917</t>
  </si>
  <si>
    <t>5,217</t>
  </si>
  <si>
    <t>6,204</t>
  </si>
  <si>
    <t>6,044</t>
  </si>
  <si>
    <t>7,105</t>
  </si>
  <si>
    <t>7,762</t>
  </si>
  <si>
    <t>7,638</t>
  </si>
  <si>
    <t>8,195</t>
  </si>
  <si>
    <t>8,164</t>
  </si>
  <si>
    <t>10,406</t>
  </si>
  <si>
    <t>11,374</t>
  </si>
  <si>
    <t>11,088</t>
  </si>
  <si>
    <t>12,693</t>
  </si>
  <si>
    <t>18,216</t>
  </si>
  <si>
    <t>19,053</t>
  </si>
  <si>
    <t>18,421</t>
  </si>
  <si>
    <t>17,889</t>
  </si>
  <si>
    <t>17,482</t>
  </si>
  <si>
    <t>16,465</t>
  </si>
  <si>
    <t>13,256</t>
  </si>
  <si>
    <t>11,770</t>
  </si>
  <si>
    <t>14,619</t>
  </si>
  <si>
    <t>13,433</t>
  </si>
  <si>
    <t>15,357</t>
  </si>
  <si>
    <t>4,027</t>
  </si>
  <si>
    <t>4,436</t>
  </si>
  <si>
    <t>4,177</t>
  </si>
  <si>
    <t>4,806</t>
  </si>
  <si>
    <t>5,258</t>
  </si>
  <si>
    <t>6,271</t>
  </si>
  <si>
    <t>7,185</t>
  </si>
  <si>
    <t>8,341</t>
  </si>
  <si>
    <t>9,157</t>
  </si>
  <si>
    <t>10,416</t>
  </si>
  <si>
    <t>11,532</t>
  </si>
  <si>
    <t>12,287</t>
  </si>
  <si>
    <t>13,479</t>
  </si>
  <si>
    <t>13,896</t>
  </si>
  <si>
    <t>14,588</t>
  </si>
  <si>
    <t>14,254</t>
  </si>
  <si>
    <t>14,048</t>
  </si>
  <si>
    <t>12,459</t>
  </si>
  <si>
    <t>13,282</t>
  </si>
  <si>
    <t>14,324</t>
  </si>
  <si>
    <t>14,909</t>
  </si>
  <si>
    <t>15,924</t>
  </si>
  <si>
    <t>18,451</t>
  </si>
  <si>
    <t>20,570</t>
  </si>
  <si>
    <t>19,902</t>
  </si>
  <si>
    <t>22,426</t>
  </si>
  <si>
    <t>28,326</t>
  </si>
  <si>
    <t>28,964</t>
  </si>
  <si>
    <t>28,433</t>
  </si>
  <si>
    <t>28,109</t>
  </si>
  <si>
    <t>26,812</t>
  </si>
  <si>
    <t>25,398</t>
  </si>
  <si>
    <t>22,154</t>
  </si>
  <si>
    <t>20,086</t>
  </si>
  <si>
    <t>22,647</t>
  </si>
  <si>
    <t>19,581</t>
  </si>
  <si>
    <t>23,298</t>
  </si>
  <si>
    <t>2,982</t>
  </si>
  <si>
    <t>3,291</t>
  </si>
  <si>
    <t>2,817</t>
  </si>
  <si>
    <t>3,208</t>
  </si>
  <si>
    <t>4,320</t>
  </si>
  <si>
    <t>4,866</t>
  </si>
  <si>
    <t>5,571</t>
  </si>
  <si>
    <t>6,055</t>
  </si>
  <si>
    <t>6,708</t>
  </si>
  <si>
    <t>7,440</t>
  </si>
  <si>
    <t>8,372</t>
  </si>
  <si>
    <t>8,478</t>
  </si>
  <si>
    <t>8,929</t>
  </si>
  <si>
    <t>10,606</t>
  </si>
  <si>
    <t>10,563</t>
  </si>
  <si>
    <t>8,696</t>
  </si>
  <si>
    <t>7,001</t>
  </si>
  <si>
    <t>8,061</t>
  </si>
  <si>
    <t>8,626</t>
  </si>
  <si>
    <t>8,824</t>
  </si>
  <si>
    <t>9,616</t>
  </si>
  <si>
    <t>11,199</t>
  </si>
  <si>
    <t>12,124</t>
  </si>
  <si>
    <t>11,671</t>
  </si>
  <si>
    <t>13,977</t>
  </si>
  <si>
    <t>18,172</t>
  </si>
  <si>
    <t>17,738</t>
  </si>
  <si>
    <t>17,310</t>
  </si>
  <si>
    <t>17,218</t>
  </si>
  <si>
    <t>16,427</t>
  </si>
  <si>
    <t>15,262</t>
  </si>
  <si>
    <t>12,727</t>
  </si>
  <si>
    <t>10,305</t>
  </si>
  <si>
    <t>12,114</t>
  </si>
  <si>
    <t>9,757</t>
  </si>
  <si>
    <t>12,259</t>
  </si>
  <si>
    <t>R&amp;D Expenses</t>
  </si>
  <si>
    <t>- -</t>
  </si>
  <si>
    <t>Selling, G&amp;A Exp.</t>
  </si>
  <si>
    <t>2,665</t>
  </si>
  <si>
    <t>2,879</t>
  </si>
  <si>
    <t>3,038</t>
  </si>
  <si>
    <t>3,348</t>
  </si>
  <si>
    <t>4,076</t>
  </si>
  <si>
    <t>4,604</t>
  </si>
  <si>
    <t>5,249</t>
  </si>
  <si>
    <t>5,695</t>
  </si>
  <si>
    <t>6,297</t>
  </si>
  <si>
    <t>6,986</t>
  </si>
  <si>
    <t>7,893</t>
  </si>
  <si>
    <t>7,852</t>
  </si>
  <si>
    <t>8,284</t>
  </si>
  <si>
    <t>9,814</t>
  </si>
  <si>
    <t>11,774</t>
  </si>
  <si>
    <t>11,358</t>
  </si>
  <si>
    <t>13,158</t>
  </si>
  <si>
    <t>17,440</t>
  </si>
  <si>
    <t>12,496</t>
  </si>
  <si>
    <t>10,307</t>
  </si>
  <si>
    <t>12,103</t>
  </si>
  <si>
    <t>9,731</t>
  </si>
  <si>
    <t>12,144</t>
  </si>
  <si>
    <t>General and Admin. Exp.</t>
  </si>
  <si>
    <t>5,491</t>
  </si>
  <si>
    <t>5,534</t>
  </si>
  <si>
    <t>5,338</t>
  </si>
  <si>
    <t>6,426</t>
  </si>
  <si>
    <t>6,081</t>
  </si>
  <si>
    <t>5,281</t>
  </si>
  <si>
    <t>4,493</t>
  </si>
  <si>
    <t>4,984</t>
  </si>
  <si>
    <t>4,316</t>
  </si>
  <si>
    <t>5,472</t>
  </si>
  <si>
    <t>Selling and Marketing Exp.</t>
  </si>
  <si>
    <t>12,247</t>
  </si>
  <si>
    <t>11,776</t>
  </si>
  <si>
    <t>11,880</t>
  </si>
  <si>
    <t>10,001</t>
  </si>
  <si>
    <t>9,181</t>
  </si>
  <si>
    <t>7,215</t>
  </si>
  <si>
    <t>5,814</t>
  </si>
  <si>
    <t>7,119</t>
  </si>
  <si>
    <t>5,415</t>
  </si>
  <si>
    <t>6,672</t>
  </si>
  <si>
    <t>Other Expenses</t>
  </si>
  <si>
    <t>317</t>
  </si>
  <si>
    <t>412</t>
  </si>
  <si>
    <t>152</t>
  </si>
  <si>
    <t>170</t>
  </si>
  <si>
    <t>184</t>
  </si>
  <si>
    <t>244</t>
  </si>
  <si>
    <t>261</t>
  </si>
  <si>
    <t>322</t>
  </si>
  <si>
    <t>360</t>
  </si>
  <si>
    <t>411</t>
  </si>
  <si>
    <t>454</t>
  </si>
  <si>
    <t>479</t>
  </si>
  <si>
    <t>626</t>
  </si>
  <si>
    <t>645</t>
  </si>
  <si>
    <t>792</t>
  </si>
  <si>
    <t>350</t>
  </si>
  <si>
    <t>313</t>
  </si>
  <si>
    <t>819</t>
  </si>
  <si>
    <t>732</t>
  </si>
  <si>
    <t>231</t>
  </si>
  <si>
    <t>(2)</t>
  </si>
  <si>
    <t>11</t>
  </si>
  <si>
    <t>26</t>
  </si>
  <si>
    <t>115</t>
  </si>
  <si>
    <t>COGS and Expenses</t>
  </si>
  <si>
    <t>6,859</t>
  </si>
  <si>
    <t>7,524</t>
  </si>
  <si>
    <t>6,298</t>
  </si>
  <si>
    <t>6,740</t>
  </si>
  <si>
    <t>7,240</t>
  </si>
  <si>
    <t>8,285</t>
  </si>
  <si>
    <t>9,253</t>
  </si>
  <si>
    <t>10,304</t>
  </si>
  <si>
    <t>10,855</t>
  </si>
  <si>
    <t>12,464</t>
  </si>
  <si>
    <t>13,926</t>
  </si>
  <si>
    <t>14,631</t>
  </si>
  <si>
    <t>13,867</t>
  </si>
  <si>
    <t>13,846</t>
  </si>
  <si>
    <t>15,823</t>
  </si>
  <si>
    <t>16,767</t>
  </si>
  <si>
    <t>14,740</t>
  </si>
  <si>
    <t>14,106</t>
  </si>
  <si>
    <t>16,264</t>
  </si>
  <si>
    <t>17,019</t>
  </si>
  <si>
    <t>17,780</t>
  </si>
  <si>
    <t>21,605</t>
  </si>
  <si>
    <t>23,498</t>
  </si>
  <si>
    <t>22,759</t>
  </si>
  <si>
    <t>26,670</t>
  </si>
  <si>
    <t>36,388</t>
  </si>
  <si>
    <t>36,791</t>
  </si>
  <si>
    <t>35,731</t>
  </si>
  <si>
    <t>35,107</t>
  </si>
  <si>
    <t>33,909</t>
  </si>
  <si>
    <t>31,727</t>
  </si>
  <si>
    <t>25,983</t>
  </si>
  <si>
    <t>22,075</t>
  </si>
  <si>
    <t>26,733</t>
  </si>
  <si>
    <t>23,190</t>
  </si>
  <si>
    <t>27,616</t>
  </si>
  <si>
    <t>Interest Income</t>
  </si>
  <si>
    <t>333</t>
  </si>
  <si>
    <t>249</t>
  </si>
  <si>
    <t>483</t>
  </si>
  <si>
    <t>471</t>
  </si>
  <si>
    <t>534</t>
  </si>
  <si>
    <t>594</t>
  </si>
  <si>
    <t>613</t>
  </si>
  <si>
    <t>642</t>
  </si>
  <si>
    <t>677</t>
  </si>
  <si>
    <t>682</t>
  </si>
  <si>
    <t>563</t>
  </si>
  <si>
    <t>370</t>
  </si>
  <si>
    <t>276</t>
  </si>
  <si>
    <t>Interest Expense</t>
  </si>
  <si>
    <t>438</t>
  </si>
  <si>
    <t>355</t>
  </si>
  <si>
    <t>733</t>
  </si>
  <si>
    <t>417</t>
  </si>
  <si>
    <t>397</t>
  </si>
  <si>
    <t>463</t>
  </si>
  <si>
    <t>856</t>
  </si>
  <si>
    <t>841</t>
  </si>
  <si>
    <t>919</t>
  </si>
  <si>
    <t>946</t>
  </si>
  <si>
    <t>1,437</t>
  </si>
  <si>
    <t>1,597</t>
  </si>
  <si>
    <t>Depreciation and Amortization</t>
  </si>
  <si>
    <t>773</t>
  </si>
  <si>
    <t>803</t>
  </si>
  <si>
    <t>806</t>
  </si>
  <si>
    <t>850</t>
  </si>
  <si>
    <t>893</t>
  </si>
  <si>
    <t>932</t>
  </si>
  <si>
    <t>EBITDA</t>
  </si>
  <si>
    <t>1,138</t>
  </si>
  <si>
    <t>1,511</t>
  </si>
  <si>
    <t>1,410</t>
  </si>
  <si>
    <t>1,582</t>
  </si>
  <si>
    <t>2,258</t>
  </si>
  <si>
    <t>2,645</t>
  </si>
  <si>
    <t>2,849</t>
  </si>
  <si>
    <t>3,533</t>
  </si>
  <si>
    <t>4,139</t>
  </si>
  <si>
    <t>4,782</t>
  </si>
  <si>
    <t>5,075</t>
  </si>
  <si>
    <t>6,681</t>
  </si>
  <si>
    <t>5,843</t>
  </si>
  <si>
    <t>4,611</t>
  </si>
  <si>
    <t>4,172</t>
  </si>
  <si>
    <t>6,463</t>
  </si>
  <si>
    <t>5,379</t>
  </si>
  <si>
    <t>6,345</t>
  </si>
  <si>
    <t>7,115</t>
  </si>
  <si>
    <t>7,622</t>
  </si>
  <si>
    <t>7,516</t>
  </si>
  <si>
    <t>9,036</t>
  </si>
  <si>
    <t>9,105</t>
  </si>
  <si>
    <t>10,455</t>
  </si>
  <si>
    <t>16,369</t>
  </si>
  <si>
    <t>13,748</t>
  </si>
  <si>
    <t>14,121</t>
  </si>
  <si>
    <t>13,875</t>
  </si>
  <si>
    <t>11,758</t>
  </si>
  <si>
    <t>12,416</t>
  </si>
  <si>
    <t>10,633</t>
  </si>
  <si>
    <t>8,909</t>
  </si>
  <si>
    <t>10,062</t>
  </si>
  <si>
    <t>13,032</t>
  </si>
  <si>
    <t>12,701</t>
  </si>
  <si>
    <t>15,441</t>
  </si>
  <si>
    <t>1,045</t>
  </si>
  <si>
    <t>1,145</t>
  </si>
  <si>
    <t>1,360</t>
  </si>
  <si>
    <t>1,598</t>
  </si>
  <si>
    <t>1,726</t>
  </si>
  <si>
    <t>1,952</t>
  </si>
  <si>
    <t>2,319</t>
  </si>
  <si>
    <t>2,770</t>
  </si>
  <si>
    <t>3,102</t>
  </si>
  <si>
    <t>4,092</t>
  </si>
  <si>
    <t>3,915</t>
  </si>
  <si>
    <t>5,001</t>
  </si>
  <si>
    <t>4,967</t>
  </si>
  <si>
    <t>3,982</t>
  </si>
  <si>
    <t>3,691</t>
  </si>
  <si>
    <t>5,352</t>
  </si>
  <si>
    <t>5,458</t>
  </si>
  <si>
    <t>5,221</t>
  </si>
  <si>
    <t>5,698</t>
  </si>
  <si>
    <t>6,085</t>
  </si>
  <si>
    <t>6,308</t>
  </si>
  <si>
    <t>7,252</t>
  </si>
  <si>
    <t>8,446</t>
  </si>
  <si>
    <t>8,231</t>
  </si>
  <si>
    <t>8,449</t>
  </si>
  <si>
    <t>10,154</t>
  </si>
  <si>
    <t>10,779</t>
  </si>
  <si>
    <t>10,228</t>
  </si>
  <si>
    <t>9,708</t>
  </si>
  <si>
    <t>8,728</t>
  </si>
  <si>
    <t>7,501</t>
  </si>
  <si>
    <t>8,700</t>
  </si>
  <si>
    <t>10,086</t>
  </si>
  <si>
    <t>8,997</t>
  </si>
  <si>
    <t>10,308</t>
  </si>
  <si>
    <t>Total Other Income Exp.(Gains)</t>
  </si>
  <si>
    <t>48</t>
  </si>
  <si>
    <t>366</t>
  </si>
  <si>
    <t>50</t>
  </si>
  <si>
    <t>(16)</t>
  </si>
  <si>
    <t>39</t>
  </si>
  <si>
    <t>63</t>
  </si>
  <si>
    <t>64</t>
  </si>
  <si>
    <t>(24)</t>
  </si>
  <si>
    <t>83</t>
  </si>
  <si>
    <t>20</t>
  </si>
  <si>
    <t>236</t>
  </si>
  <si>
    <t>681</t>
  </si>
  <si>
    <t>1,054</t>
  </si>
  <si>
    <t>(163)</t>
  </si>
  <si>
    <t>(292)</t>
  </si>
  <si>
    <t>318</t>
  </si>
  <si>
    <t>41</t>
  </si>
  <si>
    <t>274</t>
  </si>
  <si>
    <t>524</t>
  </si>
  <si>
    <t>605</t>
  </si>
  <si>
    <t>270</t>
  </si>
  <si>
    <t>621</t>
  </si>
  <si>
    <t>(1,007)</t>
  </si>
  <si>
    <t>715</t>
  </si>
  <si>
    <t>5,794</t>
  </si>
  <si>
    <t>1,285</t>
  </si>
  <si>
    <t>1,030</t>
  </si>
  <si>
    <t>1,249</t>
  </si>
  <si>
    <t>(383)</t>
  </si>
  <si>
    <t>877</t>
  </si>
  <si>
    <t>(490)</t>
  </si>
  <si>
    <t>(759)</t>
  </si>
  <si>
    <t>(350)</t>
  </si>
  <si>
    <t>700</t>
  </si>
  <si>
    <t>752</t>
  </si>
  <si>
    <t>2,117</t>
  </si>
  <si>
    <t>Income Before Tax</t>
  </si>
  <si>
    <t>1,093</t>
  </si>
  <si>
    <t>1,764</t>
  </si>
  <si>
    <t>2,014</t>
  </si>
  <si>
    <t>2,383</t>
  </si>
  <si>
    <t>2,746</t>
  </si>
  <si>
    <t>3,185</t>
  </si>
  <si>
    <t>3,728</t>
  </si>
  <si>
    <t>4,328</t>
  </si>
  <si>
    <t>4,596</t>
  </si>
  <si>
    <t>5,198</t>
  </si>
  <si>
    <t>3,819</t>
  </si>
  <si>
    <t>3,399</t>
  </si>
  <si>
    <t>5,670</t>
  </si>
  <si>
    <t>5,499</t>
  </si>
  <si>
    <t>5,495</t>
  </si>
  <si>
    <t>6,222</t>
  </si>
  <si>
    <t>6,690</t>
  </si>
  <si>
    <t>6,578</t>
  </si>
  <si>
    <t>7,873</t>
  </si>
  <si>
    <t>7,439</t>
  </si>
  <si>
    <t>8,946</t>
  </si>
  <si>
    <t>14,243</t>
  </si>
  <si>
    <t>11,439</t>
  </si>
  <si>
    <t>11,477</t>
  </si>
  <si>
    <t>9,325</t>
  </si>
  <si>
    <t>9,605</t>
  </si>
  <si>
    <t>8,136</t>
  </si>
  <si>
    <t>6,742</t>
  </si>
  <si>
    <t>8,350</t>
  </si>
  <si>
    <t>10,786</t>
  </si>
  <si>
    <t>9,749</t>
  </si>
  <si>
    <t>12,425</t>
  </si>
  <si>
    <t>Income Tax Expense (Gain)</t>
  </si>
  <si>
    <t>415</t>
  </si>
  <si>
    <t>577</t>
  </si>
  <si>
    <t>494</t>
  </si>
  <si>
    <t>537</t>
  </si>
  <si>
    <t>572</t>
  </si>
  <si>
    <t>633</t>
  </si>
  <si>
    <t>765</t>
  </si>
  <si>
    <t>862</t>
  </si>
  <si>
    <t>997</t>
  </si>
  <si>
    <t>1,174</t>
  </si>
  <si>
    <t>1,342</t>
  </si>
  <si>
    <t>1,104</t>
  </si>
  <si>
    <t>1,926</t>
  </si>
  <si>
    <t>1,665</t>
  </si>
  <si>
    <t>1,388</t>
  </si>
  <si>
    <t>1,222</t>
  </si>
  <si>
    <t>1,691</t>
  </si>
  <si>
    <t>1,523</t>
  </si>
  <si>
    <t>1,148</t>
  </si>
  <si>
    <t>1,375</t>
  </si>
  <si>
    <t>1,818</t>
  </si>
  <si>
    <t>1,498</t>
  </si>
  <si>
    <t>1,892</t>
  </si>
  <si>
    <t>1,632</t>
  </si>
  <si>
    <t>2,040</t>
  </si>
  <si>
    <t>2,384</t>
  </si>
  <si>
    <t>2,805</t>
  </si>
  <si>
    <t>2,723</t>
  </si>
  <si>
    <t>2,851</t>
  </si>
  <si>
    <t>2,201</t>
  </si>
  <si>
    <t>2,239</t>
  </si>
  <si>
    <t>1,586</t>
  </si>
  <si>
    <t>5,560</t>
  </si>
  <si>
    <t>1,623</t>
  </si>
  <si>
    <t>1,801</t>
  </si>
  <si>
    <t>1,981</t>
  </si>
  <si>
    <t>2,621</t>
  </si>
  <si>
    <t>Net Income</t>
  </si>
  <si>
    <t>722</t>
  </si>
  <si>
    <t>934</t>
  </si>
  <si>
    <t>916</t>
  </si>
  <si>
    <t>1,382</t>
  </si>
  <si>
    <t>1,618</t>
  </si>
  <si>
    <t>1,664</t>
  </si>
  <si>
    <t>2,176</t>
  </si>
  <si>
    <t>2,554</t>
  </si>
  <si>
    <t>2,986</t>
  </si>
  <si>
    <t>3,492</t>
  </si>
  <si>
    <t>4,129</t>
  </si>
  <si>
    <t>2,431</t>
  </si>
  <si>
    <t>2,177</t>
  </si>
  <si>
    <t>3,969</t>
  </si>
  <si>
    <t>3,050</t>
  </si>
  <si>
    <t>4,347</t>
  </si>
  <si>
    <t>4,847</t>
  </si>
  <si>
    <t>4,872</t>
  </si>
  <si>
    <t>Weighted Avg. Shares Outs.</t>
  </si>
  <si>
    <t>6,019</t>
  </si>
  <si>
    <t>6,028</t>
  </si>
  <si>
    <t>5,910</t>
  </si>
  <si>
    <t>5,768</t>
  </si>
  <si>
    <t>4,338</t>
  </si>
  <si>
    <t>5,348</t>
  </si>
  <si>
    <t>5,303</t>
  </si>
  <si>
    <t>5,284</t>
  </si>
  <si>
    <t>5,181</t>
  </si>
  <si>
    <t>5,160</t>
  </si>
  <si>
    <t>5,048</t>
  </si>
  <si>
    <t>4,988</t>
  </si>
  <si>
    <t>4,954</t>
  </si>
  <si>
    <t>4,934</t>
  </si>
  <si>
    <t>4,938</t>
  </si>
  <si>
    <t>4,974</t>
  </si>
  <si>
    <t>4,956</t>
  </si>
  <si>
    <t>4,918</t>
  </si>
  <si>
    <t>4,852</t>
  </si>
  <si>
    <t>4,784</t>
  </si>
  <si>
    <t>Weighted Avg. Shares Outs. Dil.</t>
  </si>
  <si>
    <t>5,933</t>
  </si>
  <si>
    <t>4,418</t>
  </si>
  <si>
    <t>5,455</t>
  </si>
  <si>
    <t>5,392</t>
  </si>
  <si>
    <t>5,369</t>
  </si>
  <si>
    <t>5,243</t>
  </si>
  <si>
    <t>5,172</t>
  </si>
  <si>
    <t>5,064</t>
  </si>
  <si>
    <t>4,994</t>
  </si>
  <si>
    <t>5,030</t>
  </si>
  <si>
    <t>4,992</t>
  </si>
  <si>
    <t>4,966</t>
  </si>
  <si>
    <t>4,924</t>
  </si>
  <si>
    <t>4,858</t>
  </si>
  <si>
    <t>4,786</t>
  </si>
  <si>
    <t>4,700</t>
  </si>
  <si>
    <t>4,662</t>
  </si>
  <si>
    <t>4,672</t>
  </si>
  <si>
    <t>4,658</t>
  </si>
  <si>
    <t>4,666</t>
  </si>
  <si>
    <t>4,646</t>
  </si>
  <si>
    <t>4,584</t>
  </si>
  <si>
    <t>4,509</t>
  </si>
  <si>
    <t>4,450</t>
  </si>
  <si>
    <t>4,405</t>
  </si>
  <si>
    <t>4,367</t>
  </si>
  <si>
    <t>4,324</t>
  </si>
  <si>
    <t>4,299</t>
  </si>
  <si>
    <t>4,314</t>
  </si>
  <si>
    <t>4,323</t>
  </si>
  <si>
    <t>revenue y/y</t>
  </si>
  <si>
    <t>net profit y/y</t>
  </si>
  <si>
    <t>Gross Margin</t>
  </si>
  <si>
    <t>Operating Margin</t>
  </si>
  <si>
    <t>Net Margin</t>
  </si>
  <si>
    <t xml:space="preserve">EPS </t>
  </si>
  <si>
    <t>Cash and Cash Equivalents</t>
  </si>
  <si>
    <t>1,386</t>
  </si>
  <si>
    <t>1,167</t>
  </si>
  <si>
    <t>1,433</t>
  </si>
  <si>
    <t>1,737</t>
  </si>
  <si>
    <t>1,648</t>
  </si>
  <si>
    <t>1,611</t>
  </si>
  <si>
    <t>1,819</t>
  </si>
  <si>
    <t>1,866</t>
  </si>
  <si>
    <t>2,126</t>
  </si>
  <si>
    <t>3,362</t>
  </si>
  <si>
    <t>6,707</t>
  </si>
  <si>
    <t>4,701</t>
  </si>
  <si>
    <t>2,440</t>
  </si>
  <si>
    <t>4,093</t>
  </si>
  <si>
    <t>7,021</t>
  </si>
  <si>
    <t>8,517</t>
  </si>
  <si>
    <t>12,803</t>
  </si>
  <si>
    <t>8,442</t>
  </si>
  <si>
    <t>10,414</t>
  </si>
  <si>
    <t>8,958</t>
  </si>
  <si>
    <t>7,309</t>
  </si>
  <si>
    <t>8,555</t>
  </si>
  <si>
    <t>6,006</t>
  </si>
  <si>
    <t>8,926</t>
  </si>
  <si>
    <t>6,480</t>
  </si>
  <si>
    <t>6,795</t>
  </si>
  <si>
    <t>9,684</t>
  </si>
  <si>
    <t>Short-Term Investments</t>
  </si>
  <si>
    <t>159</t>
  </si>
  <si>
    <t>201</t>
  </si>
  <si>
    <t>73</t>
  </si>
  <si>
    <t>68</t>
  </si>
  <si>
    <t>219</t>
  </si>
  <si>
    <t>120</t>
  </si>
  <si>
    <t>61</t>
  </si>
  <si>
    <t>66</t>
  </si>
  <si>
    <t>150</t>
  </si>
  <si>
    <t>215</t>
  </si>
  <si>
    <t>278</t>
  </si>
  <si>
    <t>2,192</t>
  </si>
  <si>
    <t>2,820</t>
  </si>
  <si>
    <t>1,232</t>
  </si>
  <si>
    <t>8,109</t>
  </si>
  <si>
    <t>9,854</t>
  </si>
  <si>
    <t>12,717</t>
  </si>
  <si>
    <t>12,591</t>
  </si>
  <si>
    <t>13,646</t>
  </si>
  <si>
    <t>14,669</t>
  </si>
  <si>
    <t>7,038</t>
  </si>
  <si>
    <t>4,695</t>
  </si>
  <si>
    <t>4,119</t>
  </si>
  <si>
    <t>2,941</t>
  </si>
  <si>
    <t>Cash &amp; Short-Term Investments</t>
  </si>
  <si>
    <t>1,807</t>
  </si>
  <si>
    <t>1,812</t>
  </si>
  <si>
    <t>1,934</t>
  </si>
  <si>
    <t>2,345</t>
  </si>
  <si>
    <t>3,482</t>
  </si>
  <si>
    <t>6,768</t>
  </si>
  <si>
    <t>4,767</t>
  </si>
  <si>
    <t>2,590</t>
  </si>
  <si>
    <t>4,308</t>
  </si>
  <si>
    <t>4,979</t>
  </si>
  <si>
    <t>9,213</t>
  </si>
  <si>
    <t>11,337</t>
  </si>
  <si>
    <t>14,035</t>
  </si>
  <si>
    <t>16,551</t>
  </si>
  <si>
    <t>20,268</t>
  </si>
  <si>
    <t>21,675</t>
  </si>
  <si>
    <t>19,900</t>
  </si>
  <si>
    <t>22,201</t>
  </si>
  <si>
    <t>20,675</t>
  </si>
  <si>
    <t>15,964</t>
  </si>
  <si>
    <t>11,175</t>
  </si>
  <si>
    <t>10,914</t>
  </si>
  <si>
    <t>12,625</t>
  </si>
  <si>
    <t>Net Receivables</t>
  </si>
  <si>
    <t>1,525</t>
  </si>
  <si>
    <t>1,750</t>
  </si>
  <si>
    <t>1,641</t>
  </si>
  <si>
    <t>1,639</t>
  </si>
  <si>
    <t>1,666</t>
  </si>
  <si>
    <t>1,798</t>
  </si>
  <si>
    <t>1,757</t>
  </si>
  <si>
    <t>1,882</t>
  </si>
  <si>
    <t>2,097</t>
  </si>
  <si>
    <t>2,091</t>
  </si>
  <si>
    <t>2,171</t>
  </si>
  <si>
    <t>2,281</t>
  </si>
  <si>
    <t>2,587</t>
  </si>
  <si>
    <t>3,317</t>
  </si>
  <si>
    <t>3,090</t>
  </si>
  <si>
    <t>3,758</t>
  </si>
  <si>
    <t>4,430</t>
  </si>
  <si>
    <t>4,920</t>
  </si>
  <si>
    <t>4,759</t>
  </si>
  <si>
    <t>4,873</t>
  </si>
  <si>
    <t>4,466</t>
  </si>
  <si>
    <t>3,941</t>
  </si>
  <si>
    <t>3,856</t>
  </si>
  <si>
    <t>3,667</t>
  </si>
  <si>
    <t>3,396</t>
  </si>
  <si>
    <t>3,971</t>
  </si>
  <si>
    <t>3,144</t>
  </si>
  <si>
    <t>3,512</t>
  </si>
  <si>
    <t>Inventory</t>
  </si>
  <si>
    <t>1,047</t>
  </si>
  <si>
    <t>1,117</t>
  </si>
  <si>
    <t>952</t>
  </si>
  <si>
    <t>959</t>
  </si>
  <si>
    <t>890</t>
  </si>
  <si>
    <t>1,076</t>
  </si>
  <si>
    <t>1,066</t>
  </si>
  <si>
    <t>1,055</t>
  </si>
  <si>
    <t>1,294</t>
  </si>
  <si>
    <t>1,252</t>
  </si>
  <si>
    <t>1,420</t>
  </si>
  <si>
    <t>1,424</t>
  </si>
  <si>
    <t>2,220</t>
  </si>
  <si>
    <t>2,187</t>
  </si>
  <si>
    <t>2,354</t>
  </si>
  <si>
    <t>2,650</t>
  </si>
  <si>
    <t>3,092</t>
  </si>
  <si>
    <t>3,264</t>
  </si>
  <si>
    <t>3,100</t>
  </si>
  <si>
    <t>2,902</t>
  </si>
  <si>
    <t>2,675</t>
  </si>
  <si>
    <t>2,655</t>
  </si>
  <si>
    <t>2,766</t>
  </si>
  <si>
    <t>3,379</t>
  </si>
  <si>
    <t>3,266</t>
  </si>
  <si>
    <t>3,414</t>
  </si>
  <si>
    <t>Other Current Assets</t>
  </si>
  <si>
    <t>1,247</t>
  </si>
  <si>
    <t>1,416</t>
  </si>
  <si>
    <t>1,884</t>
  </si>
  <si>
    <t>1,634</t>
  </si>
  <si>
    <t>2,017</t>
  </si>
  <si>
    <t>1,794</t>
  </si>
  <si>
    <t>1,905</t>
  </si>
  <si>
    <t>2,300</t>
  </si>
  <si>
    <t>1,616</t>
  </si>
  <si>
    <t>1,571</t>
  </si>
  <si>
    <t>1,735</t>
  </si>
  <si>
    <t>1,778</t>
  </si>
  <si>
    <t>2,260</t>
  </si>
  <si>
    <t>1,920</t>
  </si>
  <si>
    <t>2,226</t>
  </si>
  <si>
    <t>3,162</t>
  </si>
  <si>
    <t>3,450</t>
  </si>
  <si>
    <t>5,754</t>
  </si>
  <si>
    <t>2,886</t>
  </si>
  <si>
    <t>3,745</t>
  </si>
  <si>
    <t>6,652</t>
  </si>
  <si>
    <t>5,278</t>
  </si>
  <si>
    <t>9,548</t>
  </si>
  <si>
    <t>8,508</t>
  </si>
  <si>
    <t>1,886</t>
  </si>
  <si>
    <t>1,916</t>
  </si>
  <si>
    <t>2,994</t>
  </si>
  <si>
    <t>5,205</t>
  </si>
  <si>
    <t>5,450</t>
  </si>
  <si>
    <t>5,969</t>
  </si>
  <si>
    <t>6,380</t>
  </si>
  <si>
    <t>6,620</t>
  </si>
  <si>
    <t>7,171</t>
  </si>
  <si>
    <t>7,352</t>
  </si>
  <si>
    <t>8,396</t>
  </si>
  <si>
    <t>12,094</t>
  </si>
  <si>
    <t>10,250</t>
  </si>
  <si>
    <t>8,441</t>
  </si>
  <si>
    <t>12,105</t>
  </si>
  <si>
    <t>12,176</t>
  </si>
  <si>
    <t>17,551</t>
  </si>
  <si>
    <t>21,579</t>
  </si>
  <si>
    <t>25,497</t>
  </si>
  <si>
    <t>30,328</t>
  </si>
  <si>
    <t>31,304</t>
  </si>
  <si>
    <t>32,986</t>
  </si>
  <si>
    <t>33,395</t>
  </si>
  <si>
    <t>34,010</t>
  </si>
  <si>
    <t>36,545</t>
  </si>
  <si>
    <t>30,634</t>
  </si>
  <si>
    <t>20,411</t>
  </si>
  <si>
    <t>19,240</t>
  </si>
  <si>
    <t>22,545</t>
  </si>
  <si>
    <t>4,080</t>
  </si>
  <si>
    <t>4,336</t>
  </si>
  <si>
    <t>3,550</t>
  </si>
  <si>
    <t>3,743</t>
  </si>
  <si>
    <t>3,669</t>
  </si>
  <si>
    <t>4,267</t>
  </si>
  <si>
    <t>4,168</t>
  </si>
  <si>
    <t>4,453</t>
  </si>
  <si>
    <t>5,911</t>
  </si>
  <si>
    <t>6,097</t>
  </si>
  <si>
    <t>6,091</t>
  </si>
  <si>
    <t>5,786</t>
  </si>
  <si>
    <t>6,903</t>
  </si>
  <si>
    <t>8,493</t>
  </si>
  <si>
    <t>8,326</t>
  </si>
  <si>
    <t>9,561</t>
  </si>
  <si>
    <t>14,727</t>
  </si>
  <si>
    <t>14,939</t>
  </si>
  <si>
    <t>14,476</t>
  </si>
  <si>
    <t>14,967</t>
  </si>
  <si>
    <t>14,633</t>
  </si>
  <si>
    <t>12,571</t>
  </si>
  <si>
    <t>10,635</t>
  </si>
  <si>
    <t>8,203</t>
  </si>
  <si>
    <t>8,232</t>
  </si>
  <si>
    <t>10,838</t>
  </si>
  <si>
    <t>10,777</t>
  </si>
  <si>
    <t>9,920</t>
  </si>
  <si>
    <t>1,403</t>
  </si>
  <si>
    <t>4,256</t>
  </si>
  <si>
    <t>4,029</t>
  </si>
  <si>
    <t>4,224</t>
  </si>
  <si>
    <t>11,665</t>
  </si>
  <si>
    <t>12,219</t>
  </si>
  <si>
    <t>12,255</t>
  </si>
  <si>
    <t>12,312</t>
  </si>
  <si>
    <t>12,100</t>
  </si>
  <si>
    <t>11,289</t>
  </si>
  <si>
    <t>10,629</t>
  </si>
  <si>
    <t>9,401</t>
  </si>
  <si>
    <t>10,263</t>
  </si>
  <si>
    <t>16,764</t>
  </si>
  <si>
    <t>17,506</t>
  </si>
  <si>
    <t>19,363</t>
  </si>
  <si>
    <t>Intangible Assets</t>
  </si>
  <si>
    <t>660</t>
  </si>
  <si>
    <t>944</t>
  </si>
  <si>
    <t>753</t>
  </si>
  <si>
    <t>727</t>
  </si>
  <si>
    <t>547</t>
  </si>
  <si>
    <t>1,960</t>
  </si>
  <si>
    <t>1,917</t>
  </si>
  <si>
    <t>2,579</t>
  </si>
  <si>
    <t>3,553</t>
  </si>
  <si>
    <t>3,989</t>
  </si>
  <si>
    <t>3,836</t>
  </si>
  <si>
    <t>3,821</t>
  </si>
  <si>
    <t>3,732</t>
  </si>
  <si>
    <t>7,963</t>
  </si>
  <si>
    <t>8,476</t>
  </si>
  <si>
    <t>8,604</t>
  </si>
  <si>
    <t>15,244</t>
  </si>
  <si>
    <t>15,450</t>
  </si>
  <si>
    <t>15,082</t>
  </si>
  <si>
    <t>15,299</t>
  </si>
  <si>
    <t>14,272</t>
  </si>
  <si>
    <t>12,843</t>
  </si>
  <si>
    <t>10,499</t>
  </si>
  <si>
    <t>7,235</t>
  </si>
  <si>
    <t>7,007</t>
  </si>
  <si>
    <t>10,002</t>
  </si>
  <si>
    <t>11,044</t>
  </si>
  <si>
    <t>15,250</t>
  </si>
  <si>
    <t>Goodwill and Intangible Assets</t>
  </si>
  <si>
    <t>5,135</t>
  </si>
  <si>
    <t>12,505</t>
  </si>
  <si>
    <t>12,828</t>
  </si>
  <si>
    <t>26,909</t>
  </si>
  <si>
    <t>27,669</t>
  </si>
  <si>
    <t>27,337</t>
  </si>
  <si>
    <t>27,611</t>
  </si>
  <si>
    <t>26,372</t>
  </si>
  <si>
    <t>24,132</t>
  </si>
  <si>
    <t>21,128</t>
  </si>
  <si>
    <t>16,636</t>
  </si>
  <si>
    <t>17,270</t>
  </si>
  <si>
    <t>26,766</t>
  </si>
  <si>
    <t>28,550</t>
  </si>
  <si>
    <t>34,613</t>
  </si>
  <si>
    <t>Investments</t>
  </si>
  <si>
    <t>5,779</t>
  </si>
  <si>
    <t>6,755</t>
  </si>
  <si>
    <t>7,585</t>
  </si>
  <si>
    <t>8,374</t>
  </si>
  <si>
    <t>10,448</t>
  </si>
  <si>
    <t>11,512</t>
  </si>
  <si>
    <t>13,625</t>
  </si>
  <si>
    <t>15,788</t>
  </si>
  <si>
    <t>17,249</t>
  </si>
  <si>
    <t>21,952</t>
  </si>
  <si>
    <t>20,274</t>
  </si>
  <si>
    <t>19,879</t>
  </si>
  <si>
    <t>20,085</t>
  </si>
  <si>
    <t>18,416</t>
  </si>
  <si>
    <t>Tax Assets</t>
  </si>
  <si>
    <t>2,667</t>
  </si>
  <si>
    <t>2,412</t>
  </si>
  <si>
    <t>2,460</t>
  </si>
  <si>
    <t>2,129</t>
  </si>
  <si>
    <t>Other Non-Current Assets</t>
  </si>
  <si>
    <t>3,928</t>
  </si>
  <si>
    <t>4,311</t>
  </si>
  <si>
    <t>5,948</t>
  </si>
  <si>
    <t>6,501</t>
  </si>
  <si>
    <t>8,549</t>
  </si>
  <si>
    <t>8,916</t>
  </si>
  <si>
    <t>8,129</t>
  </si>
  <si>
    <t>8,214</t>
  </si>
  <si>
    <t>7,685</t>
  </si>
  <si>
    <t>8,860</t>
  </si>
  <si>
    <t>9,306</t>
  </si>
  <si>
    <t>9,570</t>
  </si>
  <si>
    <t>9,484</t>
  </si>
  <si>
    <t>10,452</t>
  </si>
  <si>
    <t>1,733</t>
  </si>
  <si>
    <t>2,121</t>
  </si>
  <si>
    <t>3,495</t>
  </si>
  <si>
    <t>3,585</t>
  </si>
  <si>
    <t>4,661</t>
  </si>
  <si>
    <t>4,407</t>
  </si>
  <si>
    <t>4,207</t>
  </si>
  <si>
    <t>4,248</t>
  </si>
  <si>
    <t>4,560</t>
  </si>
  <si>
    <t>6,075</t>
  </si>
  <si>
    <t>6,184</t>
  </si>
  <si>
    <t>6,731</t>
  </si>
  <si>
    <t>Total Non-Current Assets</t>
  </si>
  <si>
    <t>8,668</t>
  </si>
  <si>
    <t>9,591</t>
  </si>
  <si>
    <t>10,251</t>
  </si>
  <si>
    <t>10,971</t>
  </si>
  <si>
    <t>12,765</t>
  </si>
  <si>
    <t>15,143</t>
  </si>
  <si>
    <t>14,214</t>
  </si>
  <si>
    <t>15,246</t>
  </si>
  <si>
    <t>17,149</t>
  </si>
  <si>
    <t>18,946</t>
  </si>
  <si>
    <t>19,233</t>
  </si>
  <si>
    <t>19,177</t>
  </si>
  <si>
    <t>21,522</t>
  </si>
  <si>
    <t>31,164</t>
  </si>
  <si>
    <t>28,343</t>
  </si>
  <si>
    <t>31,120</t>
  </si>
  <si>
    <t>51,342</t>
  </si>
  <si>
    <t>54,477</t>
  </si>
  <si>
    <t>55,846</t>
  </si>
  <si>
    <t>58,751</t>
  </si>
  <si>
    <t>59,037</t>
  </si>
  <si>
    <t>56,698</t>
  </si>
  <si>
    <t>53,260</t>
  </si>
  <si>
    <t>51,351</t>
  </si>
  <si>
    <t>52,582</t>
  </si>
  <si>
    <t>65,970</t>
  </si>
  <si>
    <t>68,056</t>
  </si>
  <si>
    <t>71,809</t>
  </si>
  <si>
    <t>Other Assets</t>
  </si>
  <si>
    <t>13,873</t>
  </si>
  <si>
    <t>15,041</t>
  </si>
  <si>
    <t>16,161</t>
  </si>
  <si>
    <t>16,940</t>
  </si>
  <si>
    <t>19,145</t>
  </si>
  <si>
    <t>21,623</t>
  </si>
  <si>
    <t>20,834</t>
  </si>
  <si>
    <t>22,417</t>
  </si>
  <si>
    <t>24,501</t>
  </si>
  <si>
    <t>27,342</t>
  </si>
  <si>
    <t>31,327</t>
  </si>
  <si>
    <t>29,427</t>
  </si>
  <si>
    <t>29,963</t>
  </si>
  <si>
    <t>43,269</t>
  </si>
  <si>
    <t>40,519</t>
  </si>
  <si>
    <t>48,671</t>
  </si>
  <si>
    <t>72,921</t>
  </si>
  <si>
    <t>79,974</t>
  </si>
  <si>
    <t>86,174</t>
  </si>
  <si>
    <t>90,055</t>
  </si>
  <si>
    <t>92,023</t>
  </si>
  <si>
    <t>90,093</t>
  </si>
  <si>
    <t>87,270</t>
  </si>
  <si>
    <t>87,896</t>
  </si>
  <si>
    <t>83,216</t>
  </si>
  <si>
    <t>86,381</t>
  </si>
  <si>
    <t>87,296</t>
  </si>
  <si>
    <t>94,354</t>
  </si>
  <si>
    <t>Accounts Payable</t>
  </si>
  <si>
    <t>2,564</t>
  </si>
  <si>
    <t>2,894</t>
  </si>
  <si>
    <t>2,972</t>
  </si>
  <si>
    <t>3,249</t>
  </si>
  <si>
    <t>3,141</t>
  </si>
  <si>
    <t>3,714</t>
  </si>
  <si>
    <t>3,905</t>
  </si>
  <si>
    <t>3,679</t>
  </si>
  <si>
    <t>3,692</t>
  </si>
  <si>
    <t>4,058</t>
  </si>
  <si>
    <t>4,283</t>
  </si>
  <si>
    <t>929</t>
  </si>
  <si>
    <t>1,380</t>
  </si>
  <si>
    <t>1,370</t>
  </si>
  <si>
    <t>1,887</t>
  </si>
  <si>
    <t>2,172</t>
  </si>
  <si>
    <t>1,969</t>
  </si>
  <si>
    <t>1,933</t>
  </si>
  <si>
    <t>2,089</t>
  </si>
  <si>
    <t>2,795</t>
  </si>
  <si>
    <t>2,682</t>
  </si>
  <si>
    <t>2,288</t>
  </si>
  <si>
    <t>2,498</t>
  </si>
  <si>
    <t>3,804</t>
  </si>
  <si>
    <t>3,517</t>
  </si>
  <si>
    <t>4,602</t>
  </si>
  <si>
    <t>Short-Term Debt</t>
  </si>
  <si>
    <t>2,083</t>
  </si>
  <si>
    <t>2,923</t>
  </si>
  <si>
    <t>3,397</t>
  </si>
  <si>
    <t>3,074</t>
  </si>
  <si>
    <t>4,462</t>
  </si>
  <si>
    <t>5,373</t>
  </si>
  <si>
    <t>4,816</t>
  </si>
  <si>
    <t>156</t>
  </si>
  <si>
    <t>2,906</t>
  </si>
  <si>
    <t>6,021</t>
  </si>
  <si>
    <t>4,546</t>
  </si>
  <si>
    <t>3,268</t>
  </si>
  <si>
    <t>6,052</t>
  </si>
  <si>
    <t>6,531</t>
  </si>
  <si>
    <t>6,800</t>
  </si>
  <si>
    <t>9,376</t>
  </si>
  <si>
    <t>14,912</t>
  </si>
  <si>
    <t>17,874</t>
  </si>
  <si>
    <t>17,925</t>
  </si>
  <si>
    <t>22,682</t>
  </si>
  <si>
    <t>15,806</t>
  </si>
  <si>
    <t>16,025</t>
  </si>
  <si>
    <t>16,503</t>
  </si>
  <si>
    <t>18,191</t>
  </si>
  <si>
    <t>15,247</t>
  </si>
  <si>
    <t>2,668</t>
  </si>
  <si>
    <t>4,645</t>
  </si>
  <si>
    <t>Tax Payable</t>
  </si>
  <si>
    <t>252</t>
  </si>
  <si>
    <t>264</t>
  </si>
  <si>
    <t>273</t>
  </si>
  <si>
    <t>362</t>
  </si>
  <si>
    <t>860</t>
  </si>
  <si>
    <t>759</t>
  </si>
  <si>
    <t>911</t>
  </si>
  <si>
    <t>775</t>
  </si>
  <si>
    <t>679</t>
  </si>
  <si>
    <t>757</t>
  </si>
  <si>
    <t>693</t>
  </si>
  <si>
    <t>1,231</t>
  </si>
  <si>
    <t>686</t>
  </si>
  <si>
    <t>Deferred Revenue</t>
  </si>
  <si>
    <t>Other Current Liabilities</t>
  </si>
  <si>
    <t>1,530</t>
  </si>
  <si>
    <t>1,531</t>
  </si>
  <si>
    <t>1,037</t>
  </si>
  <si>
    <t>1,056</t>
  </si>
  <si>
    <t>769</t>
  </si>
  <si>
    <t>600</t>
  </si>
  <si>
    <t>4,594</t>
  </si>
  <si>
    <t>994</t>
  </si>
  <si>
    <t>922</t>
  </si>
  <si>
    <t>667</t>
  </si>
  <si>
    <t>797</t>
  </si>
  <si>
    <t>4,693</t>
  </si>
  <si>
    <t>5,793</t>
  </si>
  <si>
    <t>5,087</t>
  </si>
  <si>
    <t>5,511</t>
  </si>
  <si>
    <t>7,245</t>
  </si>
  <si>
    <t>7,199</t>
  </si>
  <si>
    <t>7,978</t>
  </si>
  <si>
    <t>7,953</t>
  </si>
  <si>
    <t>7,603</t>
  </si>
  <si>
    <t>8,329</t>
  </si>
  <si>
    <t>7,825</t>
  </si>
  <si>
    <t>8,403</t>
  </si>
  <si>
    <t>8,534</t>
  </si>
  <si>
    <t>7,922</t>
  </si>
  <si>
    <t>8,416</t>
  </si>
  <si>
    <t>10,703</t>
  </si>
  <si>
    <t>Total Current Liabilities</t>
  </si>
  <si>
    <t>6,177</t>
  </si>
  <si>
    <t>7,348</t>
  </si>
  <si>
    <t>7,406</t>
  </si>
  <si>
    <t>7,379</t>
  </si>
  <si>
    <t>8,640</t>
  </si>
  <si>
    <t>9,856</t>
  </si>
  <si>
    <t>9,321</t>
  </si>
  <si>
    <t>8,429</t>
  </si>
  <si>
    <t>7,341</t>
  </si>
  <si>
    <t>7,886</t>
  </si>
  <si>
    <t>9,836</t>
  </si>
  <si>
    <t>8,890</t>
  </si>
  <si>
    <t>13,225</t>
  </si>
  <si>
    <t>12,988</t>
  </si>
  <si>
    <t>13,721</t>
  </si>
  <si>
    <t>18,508</t>
  </si>
  <si>
    <t>24,283</t>
  </si>
  <si>
    <t>27,821</t>
  </si>
  <si>
    <t>27,811</t>
  </si>
  <si>
    <t>32,374</t>
  </si>
  <si>
    <t>26,930</t>
  </si>
  <si>
    <t>26,532</t>
  </si>
  <si>
    <t>27,194</t>
  </si>
  <si>
    <t>29,223</t>
  </si>
  <si>
    <t>26,973</t>
  </si>
  <si>
    <t>14,601</t>
  </si>
  <si>
    <t>19,950</t>
  </si>
  <si>
    <t>Long-Term Debt</t>
  </si>
  <si>
    <t>1,426</t>
  </si>
  <si>
    <t>1,141</t>
  </si>
  <si>
    <t>1,116</t>
  </si>
  <si>
    <t>801</t>
  </si>
  <si>
    <t>687</t>
  </si>
  <si>
    <t>854</t>
  </si>
  <si>
    <t>835</t>
  </si>
  <si>
    <t>1,219</t>
  </si>
  <si>
    <t>2,701</t>
  </si>
  <si>
    <t>2,517</t>
  </si>
  <si>
    <t>1,157</t>
  </si>
  <si>
    <t>1,154</t>
  </si>
  <si>
    <t>Deferred Tax Liabilities</t>
  </si>
  <si>
    <t>180</t>
  </si>
  <si>
    <t>194</t>
  </si>
  <si>
    <t>301</t>
  </si>
  <si>
    <t>448</t>
  </si>
  <si>
    <t>424</t>
  </si>
  <si>
    <t>498</t>
  </si>
  <si>
    <t>358</t>
  </si>
  <si>
    <t>442</t>
  </si>
  <si>
    <t>399</t>
  </si>
  <si>
    <t>337</t>
  </si>
  <si>
    <t>450</t>
  </si>
  <si>
    <t>352</t>
  </si>
  <si>
    <t>608</t>
  </si>
  <si>
    <t>1,890</t>
  </si>
  <si>
    <t>1,580</t>
  </si>
  <si>
    <t>4,261</t>
  </si>
  <si>
    <t>4,694</t>
  </si>
  <si>
    <t>4,981</t>
  </si>
  <si>
    <t>6,152</t>
  </si>
  <si>
    <t>5,636</t>
  </si>
  <si>
    <t>4,691</t>
  </si>
  <si>
    <t>3,753</t>
  </si>
  <si>
    <t>2,522</t>
  </si>
  <si>
    <t>2,284</t>
  </si>
  <si>
    <t>1,833</t>
  </si>
  <si>
    <t>2,821</t>
  </si>
  <si>
    <t>Other Non-Current Liabilities</t>
  </si>
  <si>
    <t>855</t>
  </si>
  <si>
    <t>966</t>
  </si>
  <si>
    <t>1,182</t>
  </si>
  <si>
    <t>1,001</t>
  </si>
  <si>
    <t>991</t>
  </si>
  <si>
    <t>902</t>
  </si>
  <si>
    <t>1,004</t>
  </si>
  <si>
    <t>961</t>
  </si>
  <si>
    <t>2,512</t>
  </si>
  <si>
    <t>2,814</t>
  </si>
  <si>
    <t>1,730</t>
  </si>
  <si>
    <t>2,231</t>
  </si>
  <si>
    <t>3,133</t>
  </si>
  <si>
    <t>3,401</t>
  </si>
  <si>
    <t>2,965</t>
  </si>
  <si>
    <t>4,794</t>
  </si>
  <si>
    <t>5,420</t>
  </si>
  <si>
    <t>5,468</t>
  </si>
  <si>
    <t>3,498</t>
  </si>
  <si>
    <t>4,389</t>
  </si>
  <si>
    <t>4,301</t>
  </si>
  <si>
    <t>4,081</t>
  </si>
  <si>
    <t>8,021</t>
  </si>
  <si>
    <t>8,510</t>
  </si>
  <si>
    <t>9,453</t>
  </si>
  <si>
    <t>8,607</t>
  </si>
  <si>
    <t>Total Non-Current Liabilities</t>
  </si>
  <si>
    <t>2,461</t>
  </si>
  <si>
    <t>2,301</t>
  </si>
  <si>
    <t>2,599</t>
  </si>
  <si>
    <t>2,250</t>
  </si>
  <si>
    <t>2,102</t>
  </si>
  <si>
    <t>2,254</t>
  </si>
  <si>
    <t>2,197</t>
  </si>
  <si>
    <t>2,622</t>
  </si>
  <si>
    <t>5,360</t>
  </si>
  <si>
    <t>5,366</t>
  </si>
  <si>
    <t>4,421</t>
  </si>
  <si>
    <t>3,236</t>
  </si>
  <si>
    <t>4,153</t>
  </si>
  <si>
    <t>8,300</t>
  </si>
  <si>
    <t>7,059</t>
  </si>
  <si>
    <t>9,604</t>
  </si>
  <si>
    <t>23,096</t>
  </si>
  <si>
    <t>23,770</t>
  </si>
  <si>
    <t>25,185</t>
  </si>
  <si>
    <t>28,804</t>
  </si>
  <si>
    <t>29,088</t>
  </si>
  <si>
    <t>37,399</t>
  </si>
  <si>
    <t>37,518</t>
  </si>
  <si>
    <t>41,725</t>
  </si>
  <si>
    <t>34,935</t>
  </si>
  <si>
    <t>38,310</t>
  </si>
  <si>
    <t>51,411</t>
  </si>
  <si>
    <t>49,544</t>
  </si>
  <si>
    <t>Other Liabilities</t>
  </si>
  <si>
    <t>Capital Lease Obligations</t>
  </si>
  <si>
    <t>Total Liabilities</t>
  </si>
  <si>
    <t>8,638</t>
  </si>
  <si>
    <t>9,649</t>
  </si>
  <si>
    <t>10,005</t>
  </si>
  <si>
    <t>9,629</t>
  </si>
  <si>
    <t>10,742</t>
  </si>
  <si>
    <t>12,110</t>
  </si>
  <si>
    <t>11,518</t>
  </si>
  <si>
    <t>11,051</t>
  </si>
  <si>
    <t>13,252</t>
  </si>
  <si>
    <t>15,392</t>
  </si>
  <si>
    <t>13,072</t>
  </si>
  <si>
    <t>13,043</t>
  </si>
  <si>
    <t>21,525</t>
  </si>
  <si>
    <t>20,047</t>
  </si>
  <si>
    <t>23,325</t>
  </si>
  <si>
    <t>41,604</t>
  </si>
  <si>
    <t>48,053</t>
  </si>
  <si>
    <t>53,006</t>
  </si>
  <si>
    <t>56,615</t>
  </si>
  <si>
    <t>61,462</t>
  </si>
  <si>
    <t>64,329</t>
  </si>
  <si>
    <t>64,050</t>
  </si>
  <si>
    <t>68,919</t>
  </si>
  <si>
    <t>64,158</t>
  </si>
  <si>
    <t>65,283</t>
  </si>
  <si>
    <t>66,012</t>
  </si>
  <si>
    <t>69,494</t>
  </si>
  <si>
    <t>Preferred Stock</t>
  </si>
  <si>
    <t>867</t>
  </si>
  <si>
    <t>870</t>
  </si>
  <si>
    <t>873</t>
  </si>
  <si>
    <t>874</t>
  </si>
  <si>
    <t>875</t>
  </si>
  <si>
    <t>878</t>
  </si>
  <si>
    <t>880</t>
  </si>
  <si>
    <t>1,760</t>
  </si>
  <si>
    <t>Retained Earnings</t>
  </si>
  <si>
    <t>11,006</t>
  </si>
  <si>
    <t>12,882</t>
  </si>
  <si>
    <t>15,127</t>
  </si>
  <si>
    <t>17,869</t>
  </si>
  <si>
    <t>19,922</t>
  </si>
  <si>
    <t>20,773</t>
  </si>
  <si>
    <t>21,265</t>
  </si>
  <si>
    <t>23,443</t>
  </si>
  <si>
    <t>24,506</t>
  </si>
  <si>
    <t>26,687</t>
  </si>
  <si>
    <t>29,105</t>
  </si>
  <si>
    <t>31,299</t>
  </si>
  <si>
    <t>33,468</t>
  </si>
  <si>
    <t>36,235</t>
  </si>
  <si>
    <t>38,513</t>
  </si>
  <si>
    <t>41,537</t>
  </si>
  <si>
    <t>49,278</t>
  </si>
  <si>
    <t>53,550</t>
  </si>
  <si>
    <t>58,045</t>
  </si>
  <si>
    <t>61,660</t>
  </si>
  <si>
    <t>63,408</t>
  </si>
  <si>
    <t>65,018</t>
  </si>
  <si>
    <t>65,502</t>
  </si>
  <si>
    <t>60,430</t>
  </si>
  <si>
    <t>63,234</t>
  </si>
  <si>
    <t>65,855</t>
  </si>
  <si>
    <t>66,555</t>
  </si>
  <si>
    <t>69,094</t>
  </si>
  <si>
    <t>Other Compreh. Income(Loss)</t>
  </si>
  <si>
    <t>(2,077)</t>
  </si>
  <si>
    <t>(2,321)</t>
  </si>
  <si>
    <t>(2,031)</t>
  </si>
  <si>
    <t>(2,028)</t>
  </si>
  <si>
    <t>(2,016)</t>
  </si>
  <si>
    <t>(2,204)</t>
  </si>
  <si>
    <t>(2,446)</t>
  </si>
  <si>
    <t>(2,652)</t>
  </si>
  <si>
    <t>(3,047)</t>
  </si>
  <si>
    <t>(1,995)</t>
  </si>
  <si>
    <t>(1,348)</t>
  </si>
  <si>
    <t>(1,669)</t>
  </si>
  <si>
    <t>(1,291)</t>
  </si>
  <si>
    <t>(2,674)</t>
  </si>
  <si>
    <t>(757)</t>
  </si>
  <si>
    <t>(1,450)</t>
  </si>
  <si>
    <t>(2,703)</t>
  </si>
  <si>
    <t>(3,385)</t>
  </si>
  <si>
    <t>(3,432)</t>
  </si>
  <si>
    <t>(5,777)</t>
  </si>
  <si>
    <t>(10,174)</t>
  </si>
  <si>
    <t>(11,205)</t>
  </si>
  <si>
    <t>(10,305)</t>
  </si>
  <si>
    <t>(12,814)</t>
  </si>
  <si>
    <t>(13,544)</t>
  </si>
  <si>
    <t>(14,601)</t>
  </si>
  <si>
    <t>(14,330)</t>
  </si>
  <si>
    <t>Other Total Stockhold. Equity</t>
  </si>
  <si>
    <t>(10,532)</t>
  </si>
  <si>
    <t>(11,476)</t>
  </si>
  <si>
    <t>(12,697)</t>
  </si>
  <si>
    <t>(14,152)</t>
  </si>
  <si>
    <t>(16,135)</t>
  </si>
  <si>
    <t>(15,997)</t>
  </si>
  <si>
    <t>(16,247)</t>
  </si>
  <si>
    <t>(17,705)</t>
  </si>
  <si>
    <t>(20,092)</t>
  </si>
  <si>
    <t>(23,630)</t>
  </si>
  <si>
    <t>(26,815)</t>
  </si>
  <si>
    <t>(29,071)</t>
  </si>
  <si>
    <t>(31,050)</t>
  </si>
  <si>
    <t>(32,995)</t>
  </si>
  <si>
    <t>(34,813)</t>
  </si>
  <si>
    <t>(35,199)</t>
  </si>
  <si>
    <t>(35,090)</t>
  </si>
  <si>
    <t>(34,415)</t>
  </si>
  <si>
    <t>Total Stockholders Equity</t>
  </si>
  <si>
    <t>5,235</t>
  </si>
  <si>
    <t>6,156</t>
  </si>
  <si>
    <t>7,311</t>
  </si>
  <si>
    <t>9,513</t>
  </si>
  <si>
    <t>9,316</t>
  </si>
  <si>
    <t>11,366</t>
  </si>
  <si>
    <t>11,800</t>
  </si>
  <si>
    <t>14,090</t>
  </si>
  <si>
    <t>15,935</t>
  </si>
  <si>
    <t>16,355</t>
  </si>
  <si>
    <t>Total Liab.&amp;Stockhold. Equity</t>
  </si>
  <si>
    <t>48,124</t>
  </si>
  <si>
    <t>72,607</t>
  </si>
  <si>
    <t>79,688</t>
  </si>
  <si>
    <t>85,796</t>
  </si>
  <si>
    <t>89,788</t>
  </si>
  <si>
    <t>91,782</t>
  </si>
  <si>
    <t>89,883</t>
  </si>
  <si>
    <t>87,112</t>
  </si>
  <si>
    <t>85,991</t>
  </si>
  <si>
    <t>81,139</t>
  </si>
  <si>
    <t>84,264</t>
  </si>
  <si>
    <t>85,311</t>
  </si>
  <si>
    <t>92,493</t>
  </si>
  <si>
    <t>Minority Interest</t>
  </si>
  <si>
    <t>314</t>
  </si>
  <si>
    <t>286</t>
  </si>
  <si>
    <t>378</t>
  </si>
  <si>
    <t>267</t>
  </si>
  <si>
    <t>241</t>
  </si>
  <si>
    <t>210</t>
  </si>
  <si>
    <t>158</t>
  </si>
  <si>
    <t>2,077</t>
  </si>
  <si>
    <t>1,985</t>
  </si>
  <si>
    <t>1,861</t>
  </si>
  <si>
    <t>Total Liabilities &amp; Equity</t>
  </si>
  <si>
    <t>Deferred Income Tax</t>
  </si>
  <si>
    <t>37</t>
  </si>
  <si>
    <t>(30)</t>
  </si>
  <si>
    <t>(66)</t>
  </si>
  <si>
    <t>(27)</t>
  </si>
  <si>
    <t>(62)</t>
  </si>
  <si>
    <t>58</t>
  </si>
  <si>
    <t>157</t>
  </si>
  <si>
    <t>(145)</t>
  </si>
  <si>
    <t>380</t>
  </si>
  <si>
    <t>(38)</t>
  </si>
  <si>
    <t>97</t>
  </si>
  <si>
    <t>3</t>
  </si>
  <si>
    <t>56</t>
  </si>
  <si>
    <t>40</t>
  </si>
  <si>
    <t>(188)</t>
  </si>
  <si>
    <t>162</t>
  </si>
  <si>
    <t>(88)</t>
  </si>
  <si>
    <t>(35)</t>
  </si>
  <si>
    <t>109</t>
  </si>
  <si>
    <t>(360)</t>
  </si>
  <si>
    <t>353</t>
  </si>
  <si>
    <t>617</t>
  </si>
  <si>
    <t>1,028</t>
  </si>
  <si>
    <t>632</t>
  </si>
  <si>
    <t>648</t>
  </si>
  <si>
    <t>(40)</t>
  </si>
  <si>
    <t>(856)</t>
  </si>
  <si>
    <t>(1,256)</t>
  </si>
  <si>
    <t>(450)</t>
  </si>
  <si>
    <t>(280)</t>
  </si>
  <si>
    <t>(18)</t>
  </si>
  <si>
    <t>894</t>
  </si>
  <si>
    <t>Stock Based Compensation</t>
  </si>
  <si>
    <t>266</t>
  </si>
  <si>
    <t>354</t>
  </si>
  <si>
    <t>259</t>
  </si>
  <si>
    <t>227</t>
  </si>
  <si>
    <t>209</t>
  </si>
  <si>
    <t>258</t>
  </si>
  <si>
    <t>225</t>
  </si>
  <si>
    <t>126</t>
  </si>
  <si>
    <t>Change in Working Capital</t>
  </si>
  <si>
    <t>279</t>
  </si>
  <si>
    <t>(178)</t>
  </si>
  <si>
    <t>223</t>
  </si>
  <si>
    <t>(43)</t>
  </si>
  <si>
    <t>54</t>
  </si>
  <si>
    <t>129</t>
  </si>
  <si>
    <t>(405)</t>
  </si>
  <si>
    <t>36</t>
  </si>
  <si>
    <t>(47)</t>
  </si>
  <si>
    <t>(550)</t>
  </si>
  <si>
    <t>(557)</t>
  </si>
  <si>
    <t>(852)</t>
  </si>
  <si>
    <t>(462)</t>
  </si>
  <si>
    <t>(407)</t>
  </si>
  <si>
    <t>(168)</t>
  </si>
  <si>
    <t>(617)</t>
  </si>
  <si>
    <t>430</t>
  </si>
  <si>
    <t>(615)</t>
  </si>
  <si>
    <t>6</t>
  </si>
  <si>
    <t>(688)</t>
  </si>
  <si>
    <t>(564)</t>
  </si>
  <si>
    <t>(1,893)</t>
  </si>
  <si>
    <t>(1,080)</t>
  </si>
  <si>
    <t>(932)</t>
  </si>
  <si>
    <t>(439)</t>
  </si>
  <si>
    <t>(157)</t>
  </si>
  <si>
    <t>(221)</t>
  </si>
  <si>
    <t>3,529</t>
  </si>
  <si>
    <t>(1,202)</t>
  </si>
  <si>
    <t>690</t>
  </si>
  <si>
    <t>1,325</t>
  </si>
  <si>
    <t>Accounts Receivable</t>
  </si>
  <si>
    <t>148</t>
  </si>
  <si>
    <t>(404)</t>
  </si>
  <si>
    <t>(41)</t>
  </si>
  <si>
    <t>(562)</t>
  </si>
  <si>
    <t>(33)</t>
  </si>
  <si>
    <t>28</t>
  </si>
  <si>
    <t>(253)</t>
  </si>
  <si>
    <t>(212)</t>
  </si>
  <si>
    <t>(28)</t>
  </si>
  <si>
    <t>(141)</t>
  </si>
  <si>
    <t>(158)</t>
  </si>
  <si>
    <t>882</t>
  </si>
  <si>
    <t>(225)</t>
  </si>
  <si>
    <t>(169)</t>
  </si>
  <si>
    <t>(3)</t>
  </si>
  <si>
    <t>(138)</t>
  </si>
  <si>
    <t>43</t>
  </si>
  <si>
    <t>(80)</t>
  </si>
  <si>
    <t>(12)</t>
  </si>
  <si>
    <t>(17)</t>
  </si>
  <si>
    <t>(49)</t>
  </si>
  <si>
    <t>111</t>
  </si>
  <si>
    <t>(57)</t>
  </si>
  <si>
    <t>(79)</t>
  </si>
  <si>
    <t>(150)</t>
  </si>
  <si>
    <t>(258)</t>
  </si>
  <si>
    <t>(165)</t>
  </si>
  <si>
    <t>(50)</t>
  </si>
  <si>
    <t>182</t>
  </si>
  <si>
    <t>(447)</t>
  </si>
  <si>
    <t>(286)</t>
  </si>
  <si>
    <t>(105)</t>
  </si>
  <si>
    <t>35</t>
  </si>
  <si>
    <t>(250)</t>
  </si>
  <si>
    <t>(142)</t>
  </si>
  <si>
    <t>(355)</t>
  </si>
  <si>
    <t>(171)</t>
  </si>
  <si>
    <t>(183)</t>
  </si>
  <si>
    <t>99</t>
  </si>
  <si>
    <t>(135)</t>
  </si>
  <si>
    <t>(556)</t>
  </si>
  <si>
    <t>(540)</t>
  </si>
  <si>
    <t>(445)</t>
  </si>
  <si>
    <t>(289)</t>
  </si>
  <si>
    <t>1,318</t>
  </si>
  <si>
    <t>(860)</t>
  </si>
  <si>
    <t>2,843</t>
  </si>
  <si>
    <t>Other Working Capital</t>
  </si>
  <si>
    <t>(972)</t>
  </si>
  <si>
    <t>(1,898)</t>
  </si>
  <si>
    <t>(1,496)</t>
  </si>
  <si>
    <t>(1,410)</t>
  </si>
  <si>
    <t>(2,260)</t>
  </si>
  <si>
    <t>(3,376)</t>
  </si>
  <si>
    <t>(2,701)</t>
  </si>
  <si>
    <t>(1,258)</t>
  </si>
  <si>
    <t>510</t>
  </si>
  <si>
    <t>1,123</t>
  </si>
  <si>
    <t>414</t>
  </si>
  <si>
    <t>(204)</t>
  </si>
  <si>
    <t>(465)</t>
  </si>
  <si>
    <t>(946)</t>
  </si>
  <si>
    <t>(316)</t>
  </si>
  <si>
    <t>(516)</t>
  </si>
  <si>
    <t>(544)</t>
  </si>
  <si>
    <t>4,052</t>
  </si>
  <si>
    <t>(575)</t>
  </si>
  <si>
    <t>(620)</t>
  </si>
  <si>
    <t>507</t>
  </si>
  <si>
    <t>Other Non-Cash Items</t>
  </si>
  <si>
    <t>(580)</t>
  </si>
  <si>
    <t>(133)</t>
  </si>
  <si>
    <t>316</t>
  </si>
  <si>
    <t>(20)</t>
  </si>
  <si>
    <t>31</t>
  </si>
  <si>
    <t>(77)</t>
  </si>
  <si>
    <t>(399)</t>
  </si>
  <si>
    <t>(1,055)</t>
  </si>
  <si>
    <t>1,120</t>
  </si>
  <si>
    <t>1,484</t>
  </si>
  <si>
    <t>(256)</t>
  </si>
  <si>
    <t>1,253</t>
  </si>
  <si>
    <t>615</t>
  </si>
  <si>
    <t>683</t>
  </si>
  <si>
    <t>277</t>
  </si>
  <si>
    <t>589</t>
  </si>
  <si>
    <t>(109)</t>
  </si>
  <si>
    <t>96</t>
  </si>
  <si>
    <t>(5,087)</t>
  </si>
  <si>
    <t>(541)</t>
  </si>
  <si>
    <t>(167)</t>
  </si>
  <si>
    <t>38</t>
  </si>
  <si>
    <t>1,811</t>
  </si>
  <si>
    <t>1,301</t>
  </si>
  <si>
    <t>2,106</t>
  </si>
  <si>
    <t>1,534</t>
  </si>
  <si>
    <t>(101)</t>
  </si>
  <si>
    <t>(237)</t>
  </si>
  <si>
    <t>(1,154)</t>
  </si>
  <si>
    <t>Cash Provided by Operating Activities</t>
  </si>
  <si>
    <t>1,135</t>
  </si>
  <si>
    <t>1,284</t>
  </si>
  <si>
    <t>2,084</t>
  </si>
  <si>
    <t>2,232</t>
  </si>
  <si>
    <t>2,508</t>
  </si>
  <si>
    <t>3,183</t>
  </si>
  <si>
    <t>3,115</t>
  </si>
  <si>
    <t>3,463</t>
  </si>
  <si>
    <t>4,033</t>
  </si>
  <si>
    <t>3,433</t>
  </si>
  <si>
    <t>3,883</t>
  </si>
  <si>
    <t>4,110</t>
  </si>
  <si>
    <t>4,742</t>
  </si>
  <si>
    <t>5,456</t>
  </si>
  <si>
    <t>5,968</t>
  </si>
  <si>
    <t>6,423</t>
  </si>
  <si>
    <t>5,957</t>
  </si>
  <si>
    <t>7,150</t>
  </si>
  <si>
    <t>7,571</t>
  </si>
  <si>
    <t>8,186</t>
  </si>
  <si>
    <t>9,532</t>
  </si>
  <si>
    <t>9,474</t>
  </si>
  <si>
    <t>10,645</t>
  </si>
  <si>
    <t>10,542</t>
  </si>
  <si>
    <t>10,615</t>
  </si>
  <si>
    <t>10,528</t>
  </si>
  <si>
    <t>8,796</t>
  </si>
  <si>
    <t>7,106</t>
  </si>
  <si>
    <t>7,627</t>
  </si>
  <si>
    <t>10,471</t>
  </si>
  <si>
    <t>9,844</t>
  </si>
  <si>
    <t>CAPEX</t>
  </si>
  <si>
    <t>(463)</t>
  </si>
  <si>
    <t>(593)</t>
  </si>
  <si>
    <t>(792)</t>
  </si>
  <si>
    <t>(1,083)</t>
  </si>
  <si>
    <t>(800)</t>
  </si>
  <si>
    <t>(878)</t>
  </si>
  <si>
    <t>(937)</t>
  </si>
  <si>
    <t>(990)</t>
  </si>
  <si>
    <t>(1,093)</t>
  </si>
  <si>
    <t>(863)</t>
  </si>
  <si>
    <t>(1,069)</t>
  </si>
  <si>
    <t>(733)</t>
  </si>
  <si>
    <t>(769)</t>
  </si>
  <si>
    <t>(851)</t>
  </si>
  <si>
    <t>(755)</t>
  </si>
  <si>
    <t>(899)</t>
  </si>
  <si>
    <t>(1,407)</t>
  </si>
  <si>
    <t>(1,648)</t>
  </si>
  <si>
    <t>(1,968)</t>
  </si>
  <si>
    <t>(1,993)</t>
  </si>
  <si>
    <t>(2,215)</t>
  </si>
  <si>
    <t>(2,920)</t>
  </si>
  <si>
    <t>(2,780)</t>
  </si>
  <si>
    <t>(2,550)</t>
  </si>
  <si>
    <t>(2,406)</t>
  </si>
  <si>
    <t>(2,553)</t>
  </si>
  <si>
    <t>(2,262)</t>
  </si>
  <si>
    <t>(1,675)</t>
  </si>
  <si>
    <t>(1,347)</t>
  </si>
  <si>
    <t>(2,054)</t>
  </si>
  <si>
    <t>(1,177)</t>
  </si>
  <si>
    <t>(1,367)</t>
  </si>
  <si>
    <t>Acquisitions Net</t>
  </si>
  <si>
    <t>(311)</t>
  </si>
  <si>
    <t>(338)</t>
  </si>
  <si>
    <t>(645)</t>
  </si>
  <si>
    <t>(1,100)</t>
  </si>
  <si>
    <t>(1,428)</t>
  </si>
  <si>
    <t>(1,876)</t>
  </si>
  <si>
    <t>(397)</t>
  </si>
  <si>
    <t>(651)</t>
  </si>
  <si>
    <t>(359)</t>
  </si>
  <si>
    <t>(267)</t>
  </si>
  <si>
    <t>(637)</t>
  </si>
  <si>
    <t>(901)</t>
  </si>
  <si>
    <t>(5,653)</t>
  </si>
  <si>
    <t>(60)</t>
  </si>
  <si>
    <t>(1,539)</t>
  </si>
  <si>
    <t>562</t>
  </si>
  <si>
    <t>654</t>
  </si>
  <si>
    <t>519</t>
  </si>
  <si>
    <t>(241)</t>
  </si>
  <si>
    <t>(1,926)</t>
  </si>
  <si>
    <t>197</t>
  </si>
  <si>
    <t>(5,113)</t>
  </si>
  <si>
    <t>(2,586)</t>
  </si>
  <si>
    <t>Purchases of Investments</t>
  </si>
  <si>
    <t>(301)</t>
  </si>
  <si>
    <t>(401)</t>
  </si>
  <si>
    <t>(770)</t>
  </si>
  <si>
    <t>(816)</t>
  </si>
  <si>
    <t>(758)</t>
  </si>
  <si>
    <t>(190)</t>
  </si>
  <si>
    <t>(623)</t>
  </si>
  <si>
    <t>(459)</t>
  </si>
  <si>
    <t>(610)</t>
  </si>
  <si>
    <t>(518)</t>
  </si>
  <si>
    <t>(508)</t>
  </si>
  <si>
    <t>(456)</t>
  </si>
  <si>
    <t>(156)</t>
  </si>
  <si>
    <t>(177)</t>
  </si>
  <si>
    <t>(46)</t>
  </si>
  <si>
    <t>(53)</t>
  </si>
  <si>
    <t>(82)</t>
  </si>
  <si>
    <t>(99)</t>
  </si>
  <si>
    <t>(244)</t>
  </si>
  <si>
    <t>(2,200)</t>
  </si>
  <si>
    <t>(4,817)</t>
  </si>
  <si>
    <t>(5,821)</t>
  </si>
  <si>
    <t>(14,856)</t>
  </si>
  <si>
    <t>(14,782)</t>
  </si>
  <si>
    <t>(17,800)</t>
  </si>
  <si>
    <t>(15,831)</t>
  </si>
  <si>
    <t>(15,499)</t>
  </si>
  <si>
    <t>(16,520)</t>
  </si>
  <si>
    <t>(7,789)</t>
  </si>
  <si>
    <t>(4,704)</t>
  </si>
  <si>
    <t>(13,583)</t>
  </si>
  <si>
    <t>(6,030)</t>
  </si>
  <si>
    <t>Sales/Maturities of Investments</t>
  </si>
  <si>
    <t>1,680</t>
  </si>
  <si>
    <t>183</t>
  </si>
  <si>
    <t>247</t>
  </si>
  <si>
    <t>29</t>
  </si>
  <si>
    <t>580</t>
  </si>
  <si>
    <t>1,302</t>
  </si>
  <si>
    <t>1,999</t>
  </si>
  <si>
    <t>1,036</t>
  </si>
  <si>
    <t>176</t>
  </si>
  <si>
    <t>290</t>
  </si>
  <si>
    <t>455</t>
  </si>
  <si>
    <t>243</t>
  </si>
  <si>
    <t>147</t>
  </si>
  <si>
    <t>161</t>
  </si>
  <si>
    <t>33</t>
  </si>
  <si>
    <t>640</t>
  </si>
  <si>
    <t>4,032</t>
  </si>
  <si>
    <t>5,647</t>
  </si>
  <si>
    <t>5,622</t>
  </si>
  <si>
    <t>12,791</t>
  </si>
  <si>
    <t>12,986</t>
  </si>
  <si>
    <t>14,079</t>
  </si>
  <si>
    <t>16,624</t>
  </si>
  <si>
    <t>15,911</t>
  </si>
  <si>
    <t>14,977</t>
  </si>
  <si>
    <t>6,973</t>
  </si>
  <si>
    <t>13,835</t>
  </si>
  <si>
    <t>Other Investing Activities</t>
  </si>
  <si>
    <t>(543)</t>
  </si>
  <si>
    <t>196</t>
  </si>
  <si>
    <t>(114)</t>
  </si>
  <si>
    <t>246</t>
  </si>
  <si>
    <t>702</t>
  </si>
  <si>
    <t>(128)</t>
  </si>
  <si>
    <t>(94)</t>
  </si>
  <si>
    <t>153</t>
  </si>
  <si>
    <t>(296)</t>
  </si>
  <si>
    <t>(134)</t>
  </si>
  <si>
    <t>233</t>
  </si>
  <si>
    <t>121</t>
  </si>
  <si>
    <t>265</t>
  </si>
  <si>
    <t>404</t>
  </si>
  <si>
    <t>60</t>
  </si>
  <si>
    <t>104</t>
  </si>
  <si>
    <t>134</t>
  </si>
  <si>
    <t>8</t>
  </si>
  <si>
    <t>(44)</t>
  </si>
  <si>
    <t>(192)</t>
  </si>
  <si>
    <t>(45)</t>
  </si>
  <si>
    <t>45</t>
  </si>
  <si>
    <t>(59)</t>
  </si>
  <si>
    <t>(87)</t>
  </si>
  <si>
    <t>(236)</t>
  </si>
  <si>
    <t>311</t>
  </si>
  <si>
    <t>Cash Used for Investing Activities</t>
  </si>
  <si>
    <t>530</t>
  </si>
  <si>
    <t>(440)</t>
  </si>
  <si>
    <t>(1,125)</t>
  </si>
  <si>
    <t>(1,360)</t>
  </si>
  <si>
    <t>(885)</t>
  </si>
  <si>
    <t>(1,037)</t>
  </si>
  <si>
    <t>(1,013)</t>
  </si>
  <si>
    <t>(1,050)</t>
  </si>
  <si>
    <t>(500)</t>
  </si>
  <si>
    <t>(2,161)</t>
  </si>
  <si>
    <t>(3,421)</t>
  </si>
  <si>
    <t>(1,165)</t>
  </si>
  <si>
    <t>(1,188)</t>
  </si>
  <si>
    <t>(1,187)</t>
  </si>
  <si>
    <t>(936)</t>
  </si>
  <si>
    <t>(503)</t>
  </si>
  <si>
    <t>(1,700)</t>
  </si>
  <si>
    <t>(6,719)</t>
  </si>
  <si>
    <t>(2,363)</t>
  </si>
  <si>
    <t>(4,149)</t>
  </si>
  <si>
    <t>(4,405)</t>
  </si>
  <si>
    <t>(2,524)</t>
  </si>
  <si>
    <t>(11,404)</t>
  </si>
  <si>
    <t>(4,214)</t>
  </si>
  <si>
    <t>(7,506)</t>
  </si>
  <si>
    <t>(6,186)</t>
  </si>
  <si>
    <t>(999)</t>
  </si>
  <si>
    <t>(2,450)</t>
  </si>
  <si>
    <t>5,927</t>
  </si>
  <si>
    <t>(3,976)</t>
  </si>
  <si>
    <t>(1,477)</t>
  </si>
  <si>
    <t>(2,765)</t>
  </si>
  <si>
    <t>Debt Repayment</t>
  </si>
  <si>
    <t>(4,308)</t>
  </si>
  <si>
    <t>(12,326)</t>
  </si>
  <si>
    <t>(13,403)</t>
  </si>
  <si>
    <t>(22,530)</t>
  </si>
  <si>
    <t>(38,573)</t>
  </si>
  <si>
    <t>(38,714)</t>
  </si>
  <si>
    <t>(36,962)</t>
  </si>
  <si>
    <t>(37,738)</t>
  </si>
  <si>
    <t>(25,615)</t>
  </si>
  <si>
    <t>(28,768)</t>
  </si>
  <si>
    <t>(30,568)</t>
  </si>
  <si>
    <t>(24,850)</t>
  </si>
  <si>
    <t>(28,796)</t>
  </si>
  <si>
    <t>(12,866)</t>
  </si>
  <si>
    <t>Common Stock Issued</t>
  </si>
  <si>
    <t>30</t>
  </si>
  <si>
    <t>131</t>
  </si>
  <si>
    <t>145</t>
  </si>
  <si>
    <t>69</t>
  </si>
  <si>
    <t>86</t>
  </si>
  <si>
    <t>124</t>
  </si>
  <si>
    <t>302</t>
  </si>
  <si>
    <t>168</t>
  </si>
  <si>
    <t>331</t>
  </si>
  <si>
    <t>164</t>
  </si>
  <si>
    <t>107</t>
  </si>
  <si>
    <t>98</t>
  </si>
  <si>
    <t>193</t>
  </si>
  <si>
    <t>230</t>
  </si>
  <si>
    <t>1,619</t>
  </si>
  <si>
    <t>586</t>
  </si>
  <si>
    <t>662</t>
  </si>
  <si>
    <t>1,569</t>
  </si>
  <si>
    <t>1,489</t>
  </si>
  <si>
    <t>1,328</t>
  </si>
  <si>
    <t>1,532</t>
  </si>
  <si>
    <t>1,245</t>
  </si>
  <si>
    <t>1,434</t>
  </si>
  <si>
    <t>1,595</t>
  </si>
  <si>
    <t>1,476</t>
  </si>
  <si>
    <t>1,012</t>
  </si>
  <si>
    <t>647</t>
  </si>
  <si>
    <t>Common Stock Repurchased</t>
  </si>
  <si>
    <t>(1,167)</t>
  </si>
  <si>
    <t>(532)</t>
  </si>
  <si>
    <t>(474)</t>
  </si>
  <si>
    <t>(1,260)</t>
  </si>
  <si>
    <t>(680)</t>
  </si>
  <si>
    <t>(1,192)</t>
  </si>
  <si>
    <t>(1,796)</t>
  </si>
  <si>
    <t>(1,521)</t>
  </si>
  <si>
    <t>(1,262)</t>
  </si>
  <si>
    <t>(1,563)</t>
  </si>
  <si>
    <t>(15)</t>
  </si>
  <si>
    <t>(277)</t>
  </si>
  <si>
    <t>(691)</t>
  </si>
  <si>
    <t>(1,440)</t>
  </si>
  <si>
    <t>(1,739)</t>
  </si>
  <si>
    <t>(2,055)</t>
  </si>
  <si>
    <t>(2,416)</t>
  </si>
  <si>
    <t>(1,838)</t>
  </si>
  <si>
    <t>(1,079)</t>
  </si>
  <si>
    <t>(1,518)</t>
  </si>
  <si>
    <t>(2,961)</t>
  </si>
  <si>
    <t>(4,513)</t>
  </si>
  <si>
    <t>(4,559)</t>
  </si>
  <si>
    <t>(4,832)</t>
  </si>
  <si>
    <t>(4,162)</t>
  </si>
  <si>
    <t>(3,564)</t>
  </si>
  <si>
    <t>(3,681)</t>
  </si>
  <si>
    <t>(3,682)</t>
  </si>
  <si>
    <t>(1,912)</t>
  </si>
  <si>
    <t>(1,103)</t>
  </si>
  <si>
    <t>(118)</t>
  </si>
  <si>
    <t>(111)</t>
  </si>
  <si>
    <t>Dividends Paid</t>
  </si>
  <si>
    <t>(491)</t>
  </si>
  <si>
    <t>(553)</t>
  </si>
  <si>
    <t>(640)</t>
  </si>
  <si>
    <t>(738)</t>
  </si>
  <si>
    <t>(883)</t>
  </si>
  <si>
    <t>(1,006)</t>
  </si>
  <si>
    <t>(1,110)</t>
  </si>
  <si>
    <t>(1,247)</t>
  </si>
  <si>
    <t>(1,387)</t>
  </si>
  <si>
    <t>(1,480)</t>
  </si>
  <si>
    <t>(1,580)</t>
  </si>
  <si>
    <t>(1,685)</t>
  </si>
  <si>
    <t>(1,791)</t>
  </si>
  <si>
    <t>(1,987)</t>
  </si>
  <si>
    <t>(2,166)</t>
  </si>
  <si>
    <t>(2,429)</t>
  </si>
  <si>
    <t>(2,678)</t>
  </si>
  <si>
    <t>(2,911)</t>
  </si>
  <si>
    <t>(3,149)</t>
  </si>
  <si>
    <t>(3,521)</t>
  </si>
  <si>
    <t>(3,800)</t>
  </si>
  <si>
    <t>(4,068)</t>
  </si>
  <si>
    <t>(4,300)</t>
  </si>
  <si>
    <t>(4,595)</t>
  </si>
  <si>
    <t>(4,969)</t>
  </si>
  <si>
    <t>(5,350)</t>
  </si>
  <si>
    <t>(5,741)</t>
  </si>
  <si>
    <t>(6,043)</t>
  </si>
  <si>
    <t>(6,320)</t>
  </si>
  <si>
    <t>(6,644)</t>
  </si>
  <si>
    <t>(6,845)</t>
  </si>
  <si>
    <t>(7,047)</t>
  </si>
  <si>
    <t>(7,252)</t>
  </si>
  <si>
    <t>Other Financing Activities</t>
  </si>
  <si>
    <t>(74)</t>
  </si>
  <si>
    <t>511</t>
  </si>
  <si>
    <t>(257)</t>
  </si>
  <si>
    <t>949</t>
  </si>
  <si>
    <t>(122)</t>
  </si>
  <si>
    <t>542</t>
  </si>
  <si>
    <t>(596)</t>
  </si>
  <si>
    <t>1,408</t>
  </si>
  <si>
    <t>956</t>
  </si>
  <si>
    <t>(585)</t>
  </si>
  <si>
    <t>(926)</t>
  </si>
  <si>
    <t>(756)</t>
  </si>
  <si>
    <t>(93)</t>
  </si>
  <si>
    <t>1,714</t>
  </si>
  <si>
    <t>(2,282)</t>
  </si>
  <si>
    <t>(1,404)</t>
  </si>
  <si>
    <t>4,341</t>
  </si>
  <si>
    <t>4,337</t>
  </si>
  <si>
    <t>14,689</t>
  </si>
  <si>
    <t>15,301</t>
  </si>
  <si>
    <t>27,540</t>
  </si>
  <si>
    <t>42,891</t>
  </si>
  <si>
    <t>43,442</t>
  </si>
  <si>
    <t>41,311</t>
  </si>
  <si>
    <t>40,685</t>
  </si>
  <si>
    <t>27,360</t>
  </si>
  <si>
    <t>29,728</t>
  </si>
  <si>
    <t>27,301</t>
  </si>
  <si>
    <t>22,782</t>
  </si>
  <si>
    <t>27,244</t>
  </si>
  <si>
    <t>12,741</t>
  </si>
  <si>
    <t>Cash Used/Provided by Financing Activities</t>
  </si>
  <si>
    <t>(1,691)</t>
  </si>
  <si>
    <t>(1,332)</t>
  </si>
  <si>
    <t>(917)</t>
  </si>
  <si>
    <t>(1,540)</t>
  </si>
  <si>
    <t>(1,792)</t>
  </si>
  <si>
    <t>(2,278)</t>
  </si>
  <si>
    <t>(2,102)</t>
  </si>
  <si>
    <t>(3,095)</t>
  </si>
  <si>
    <t>(1,333)</t>
  </si>
  <si>
    <t>(471)</t>
  </si>
  <si>
    <t>(2,072)</t>
  </si>
  <si>
    <t>(2,830)</t>
  </si>
  <si>
    <t>(3,327)</t>
  </si>
  <si>
    <t>(3,601)</t>
  </si>
  <si>
    <t>(2,261)</t>
  </si>
  <si>
    <t>(6,785)</t>
  </si>
  <si>
    <t>(6,583)</t>
  </si>
  <si>
    <t>973</t>
  </si>
  <si>
    <t>(3,985)</t>
  </si>
  <si>
    <t>(2,293)</t>
  </si>
  <si>
    <t>(3,465)</t>
  </si>
  <si>
    <t>(2,234)</t>
  </si>
  <si>
    <t>(3,347)</t>
  </si>
  <si>
    <t>(3,745)</t>
  </si>
  <si>
    <t>(3,631)</t>
  </si>
  <si>
    <t>(6,545)</t>
  </si>
  <si>
    <t>(7,447)</t>
  </si>
  <si>
    <t>(10,347)</t>
  </si>
  <si>
    <t>(9,004)</t>
  </si>
  <si>
    <t>(8,070)</t>
  </si>
  <si>
    <t>(6,786)</t>
  </si>
  <si>
    <t>Effect of Forex Changes on Cash</t>
  </si>
  <si>
    <t>(23)</t>
  </si>
  <si>
    <t>1</t>
  </si>
  <si>
    <t>(58)</t>
  </si>
  <si>
    <t>34</t>
  </si>
  <si>
    <t>(140)</t>
  </si>
  <si>
    <t>32</t>
  </si>
  <si>
    <t>141</t>
  </si>
  <si>
    <t>(148)</t>
  </si>
  <si>
    <t>65</t>
  </si>
  <si>
    <t>576</t>
  </si>
  <si>
    <t>(166)</t>
  </si>
  <si>
    <t>(430)</t>
  </si>
  <si>
    <t>(255)</t>
  </si>
  <si>
    <t>(611)</t>
  </si>
  <si>
    <t>(934)</t>
  </si>
  <si>
    <t>(6)</t>
  </si>
  <si>
    <t>242</t>
  </si>
  <si>
    <t>(262)</t>
  </si>
  <si>
    <t>(72)</t>
  </si>
  <si>
    <t>76</t>
  </si>
  <si>
    <t>(159)</t>
  </si>
  <si>
    <t>Net Change In Cash</t>
  </si>
  <si>
    <t>388</t>
  </si>
  <si>
    <t>(219)</t>
  </si>
  <si>
    <t>304</t>
  </si>
  <si>
    <t>(89)</t>
  </si>
  <si>
    <t>(37)</t>
  </si>
  <si>
    <t>208</t>
  </si>
  <si>
    <t>47</t>
  </si>
  <si>
    <t>260</t>
  </si>
  <si>
    <t>1,102</t>
  </si>
  <si>
    <t>3,345</t>
  </si>
  <si>
    <t>(2,006)</t>
  </si>
  <si>
    <t>1,653</t>
  </si>
  <si>
    <t>2,320</t>
  </si>
  <si>
    <t>1,496</t>
  </si>
  <si>
    <t>4,286</t>
  </si>
  <si>
    <t>(4,361)</t>
  </si>
  <si>
    <t>1,972</t>
  </si>
  <si>
    <t>(1,456)</t>
  </si>
  <si>
    <t>(1,649)</t>
  </si>
  <si>
    <t>1,246</t>
  </si>
  <si>
    <t>(2,549)</t>
  </si>
  <si>
    <t>2,945</t>
  </si>
  <si>
    <t>(2,581)</t>
  </si>
  <si>
    <t>373</t>
  </si>
  <si>
    <t>2,915</t>
  </si>
  <si>
    <t>Cash at the End of Period</t>
  </si>
  <si>
    <t>9,318</t>
  </si>
  <si>
    <t>6,737</t>
  </si>
  <si>
    <t>7,110</t>
  </si>
  <si>
    <t>10,025</t>
  </si>
  <si>
    <t>Cash at the Beginning of Period</t>
  </si>
  <si>
    <t>1,096</t>
  </si>
  <si>
    <t>1,430</t>
  </si>
  <si>
    <t>1,058</t>
  </si>
  <si>
    <t>998</t>
  </si>
  <si>
    <t>6,373</t>
  </si>
  <si>
    <t>Free Cash Flow</t>
  </si>
  <si>
    <t>672</t>
  </si>
  <si>
    <t>691</t>
  </si>
  <si>
    <t>1,293</t>
  </si>
  <si>
    <t>1,149</t>
  </si>
  <si>
    <t>1,708</t>
  </si>
  <si>
    <t>2,305</t>
  </si>
  <si>
    <t>2,178</t>
  </si>
  <si>
    <t>2,473</t>
  </si>
  <si>
    <t>2,940</t>
  </si>
  <si>
    <t>2,570</t>
  </si>
  <si>
    <t>2,852</t>
  </si>
  <si>
    <t>3,341</t>
  </si>
  <si>
    <t>3,891</t>
  </si>
  <si>
    <t>4,644</t>
  </si>
  <si>
    <t>5,213</t>
  </si>
  <si>
    <t>5,524</t>
  </si>
  <si>
    <t>4,550</t>
  </si>
  <si>
    <t>5,502</t>
  </si>
  <si>
    <t>5,603</t>
  </si>
  <si>
    <t>6,193</t>
  </si>
  <si>
    <t>7,317</t>
  </si>
  <si>
    <t>6,554</t>
  </si>
  <si>
    <t>7,865</t>
  </si>
  <si>
    <t>7,992</t>
  </si>
  <si>
    <t>8,209</t>
  </si>
  <si>
    <t>7,975</t>
  </si>
  <si>
    <t>6,534</t>
  </si>
  <si>
    <t>5,431</t>
  </si>
  <si>
    <t>6,280</t>
  </si>
  <si>
    <t>8,417</t>
  </si>
  <si>
    <t>8,667</t>
  </si>
  <si>
    <t>11,258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</si>
</sst>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409]* #,##0.00_);_([$$-409]* \(#,##0.00\);_([$$-409]* &quot;-&quot;??_);_(@_)"/>
  </numFmts>
  <fonts count="7">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1"/>
      <color theme="0"/>
      <name val="Calibri"/>
      <family val="2"/>
      <scheme val="minor"/>
    </font>
    <font>
      <i/>
      <u/>
      <sz val="11"/>
      <color theme="1"/>
      <name val="Calibri"/>
      <family val="2"/>
      <scheme val="minor"/>
    </font>
    <font>
      <i/>
      <u/>
      <sz val="1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1">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9" fontId="0" fillId="0" borderId="0" xfId="0" applyNumberFormat="1"/>
    <xf numFmtId="2" fontId="0" fillId="0" borderId="0" xfId="0" applyNumberFormat="1"/>
    <xf numFmtId="0" fontId="1" fillId="0" borderId="0" xfId="0" applyFont="1"/>
    <xf numFmtId="0" fontId="0" fillId="0" borderId="2" xfId="0" applyBorder="1"/>
    <xf numFmtId="14" fontId="0" fillId="0" borderId="0" xfId="0" applyNumberFormat="1"/>
    <xf numFmtId="0" fontId="0" fillId="3" borderId="0" xfId="0" applyFill="1"/>
    <xf numFmtId="3" fontId="0" fillId="0" borderId="0" xfId="0" applyNumberFormat="1"/>
    <xf numFmtId="3" fontId="0" fillId="0" borderId="2" xfId="0" applyNumberFormat="1" applyBorder="1"/>
    <xf numFmtId="164" fontId="0" fillId="0" borderId="0" xfId="0" applyNumberFormat="1"/>
    <xf numFmtId="37" fontId="0" fillId="0" borderId="0" xfId="0" applyNumberFormat="1"/>
    <xf numFmtId="0" fontId="5" fillId="3" borderId="0" xfId="0" applyFont="1" applyFill="1"/>
    <xf numFmtId="0" fontId="1" fillId="3" borderId="0" xfId="0" applyFont="1" applyFill="1"/>
    <xf numFmtId="0" fontId="6" fillId="3" borderId="0" xfId="0" applyFont="1" applyFill="1"/>
    <xf numFmtId="2" fontId="1" fillId="0" borderId="0" xfId="0" applyNumberFormat="1" applyFont="1"/>
    <xf numFmtId="3" fontId="1" fillId="0" borderId="0" xfId="0" applyNumberFormat="1" applyFont="1"/>
    <xf numFmtId="14" fontId="5" fillId="3" borderId="0" xfId="0" applyNumberFormat="1" applyFont="1" applyFill="1"/>
    <xf numFmtId="3" fontId="5" fillId="3" borderId="0" xfId="0" applyNumberFormat="1" applyFont="1" applyFill="1"/>
    <xf numFmtId="3" fontId="0" fillId="3" borderId="0" xfId="0" applyNumberFormat="1" applyFill="1"/>
    <xf numFmtId="3" fontId="1" fillId="0" borderId="3" xfId="0" applyNumberFormat="1" applyFont="1" applyBorder="1"/>
    <xf numFmtId="0" fontId="4" fillId="2" borderId="0" xfId="0" applyFont="1" applyFill="1"/>
    <xf numFmtId="0" fontId="1" fillId="2" borderId="0" xfId="0" applyFont="1" applyFill="1"/>
    <xf numFmtId="14" fontId="1" fillId="2" borderId="0" xfId="0" applyNumberFormat="1" applyFont="1" applyFill="1"/>
    <xf numFmtId="3" fontId="1" fillId="2" borderId="0" xfId="0" applyNumberFormat="1" applyFont="1" applyFill="1"/>
    <xf numFmtId="9" fontId="0" fillId="0" borderId="2" xfId="0" applyNumberFormat="1" applyBorder="1"/>
    <xf numFmtId="9" fontId="1" fillId="0" borderId="0" xfId="0" applyNumberFormat="1" applyFont="1"/>
    <xf numFmtId="44" fontId="0" fillId="0" borderId="0" xfId="0" applyNumberFormat="1"/>
    <xf numFmtId="0" fontId="0" fillId="0" borderId="4" xfId="0" applyBorder="1"/>
    <xf numFmtId="0" fontId="1" fillId="2" borderId="4" xfId="0" applyFont="1" applyFill="1" applyBorder="1"/>
    <xf numFmtId="0" fontId="5" fillId="3" borderId="4" xfId="0" applyFont="1" applyFill="1" applyBorder="1"/>
    <xf numFmtId="3" fontId="0" fillId="0" borderId="4" xfId="0" applyNumberFormat="1" applyBorder="1"/>
    <xf numFmtId="3" fontId="0" fillId="0" borderId="5" xfId="0" applyNumberFormat="1" applyBorder="1"/>
    <xf numFmtId="3" fontId="1" fillId="0" borderId="4" xfId="0" applyNumberFormat="1" applyFont="1" applyBorder="1"/>
    <xf numFmtId="3" fontId="5" fillId="3" borderId="4" xfId="0" applyNumberFormat="1" applyFont="1" applyFill="1" applyBorder="1"/>
    <xf numFmtId="3" fontId="0" fillId="3" borderId="4" xfId="0" applyNumberFormat="1" applyFill="1" applyBorder="1"/>
    <xf numFmtId="9" fontId="0" fillId="0" borderId="4" xfId="0" applyNumberFormat="1" applyBorder="1"/>
    <xf numFmtId="9" fontId="0" fillId="0" borderId="5" xfId="0" applyNumberFormat="1" applyBorder="1"/>
    <xf numFmtId="9" fontId="1" fillId="0" borderId="4" xfId="0" applyNumberFormat="1" applyFont="1" applyBorder="1"/>
    <xf numFmtId="3" fontId="1" fillId="2" borderId="4" xfId="0" applyNumberFormat="1" applyFont="1" applyFill="1" applyBorder="1"/>
    <xf numFmtId="0" fontId="1" fillId="3" borderId="4" xfId="0" applyFont="1" applyFill="1" applyBorder="1"/>
    <xf numFmtId="2" fontId="0" fillId="0" borderId="4" xfId="0" applyNumberFormat="1" applyBorder="1"/>
    <xf numFmtId="0" fontId="6" fillId="3" borderId="4" xfId="0" applyFont="1" applyFill="1" applyBorder="1"/>
    <xf numFmtId="3" fontId="1" fillId="0" borderId="6" xfId="0" applyNumberFormat="1" applyFont="1" applyBorder="1"/>
    <xf numFmtId="14" fontId="0" fillId="0" borderId="4" xfId="0" applyNumberFormat="1" applyBorder="1"/>
    <xf numFmtId="44" fontId="0" fillId="0" borderId="4" xfId="0" applyNumberFormat="1" applyBorder="1"/>
    <xf numFmtId="0" fontId="1" fillId="0" borderId="2" xfId="0" applyFont="1" applyBorder="1"/>
    <xf numFmtId="14" fontId="1" fillId="0" borderId="2" xfId="0" applyNumberFormat="1" applyFont="1" applyBorder="1"/>
    <xf numFmtId="14" fontId="1" fillId="0" borderId="5" xfId="0" applyNumberFormat="1" applyFont="1" applyBorder="1"/>
    <xf numFmtId="0" fontId="1" fillId="0" borderId="5"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6</xdr:col>
      <xdr:colOff>0</xdr:colOff>
      <xdr:row>0</xdr:row>
      <xdr:rowOff>0</xdr:rowOff>
    </xdr:from>
    <xdr:to>
      <xdr:col>6</xdr:col>
      <xdr:colOff>8059</xdr:colOff>
      <xdr:row>120</xdr:row>
      <xdr:rowOff>62832</xdr:rowOff>
    </xdr:to>
    <xdr:cxnSp macro="">
      <xdr:nvCxnSpPr>
        <xdr:cNvPr id="2" name="Straight Connector 1">
          <a:extLst>
            <a:ext uri="{FF2B5EF4-FFF2-40B4-BE49-F238E27FC236}">
              <a16:creationId xmlns:a16="http://schemas.microsoft.com/office/drawing/2014/main" id="{28E475C1-8820-45AA-8B40-C64F7C8E86A9}"/>
            </a:ext>
          </a:extLst>
        </xdr:cNvPr>
        <xdr:cNvCxnSpPr/>
      </xdr:nvCxnSpPr>
      <xdr:spPr>
        <a:xfrm>
          <a:off x="3600450" y="0"/>
          <a:ext cx="8059" cy="1589973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0</xdr:row>
      <xdr:rowOff>0</xdr:rowOff>
    </xdr:from>
    <xdr:to>
      <xdr:col>10</xdr:col>
      <xdr:colOff>8059</xdr:colOff>
      <xdr:row>120</xdr:row>
      <xdr:rowOff>62832</xdr:rowOff>
    </xdr:to>
    <xdr:cxnSp macro="">
      <xdr:nvCxnSpPr>
        <xdr:cNvPr id="3" name="Straight Connector 2">
          <a:extLst>
            <a:ext uri="{FF2B5EF4-FFF2-40B4-BE49-F238E27FC236}">
              <a16:creationId xmlns:a16="http://schemas.microsoft.com/office/drawing/2014/main" id="{1895BE91-5E7F-4EB8-84A6-C86C859A75D6}"/>
            </a:ext>
          </a:extLst>
        </xdr:cNvPr>
        <xdr:cNvCxnSpPr/>
      </xdr:nvCxnSpPr>
      <xdr:spPr>
        <a:xfrm>
          <a:off x="6066118" y="0"/>
          <a:ext cx="8059" cy="1612459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0</xdr:row>
      <xdr:rowOff>0</xdr:rowOff>
    </xdr:from>
    <xdr:to>
      <xdr:col>14</xdr:col>
      <xdr:colOff>8059</xdr:colOff>
      <xdr:row>120</xdr:row>
      <xdr:rowOff>62832</xdr:rowOff>
    </xdr:to>
    <xdr:cxnSp macro="">
      <xdr:nvCxnSpPr>
        <xdr:cNvPr id="4" name="Straight Connector 3">
          <a:extLst>
            <a:ext uri="{FF2B5EF4-FFF2-40B4-BE49-F238E27FC236}">
              <a16:creationId xmlns:a16="http://schemas.microsoft.com/office/drawing/2014/main" id="{80D2EE2D-77DD-4756-8A6F-782A1B48DAE9}"/>
            </a:ext>
          </a:extLst>
        </xdr:cNvPr>
        <xdr:cNvCxnSpPr/>
      </xdr:nvCxnSpPr>
      <xdr:spPr>
        <a:xfrm>
          <a:off x="8516471" y="0"/>
          <a:ext cx="8059" cy="1612459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0</xdr:row>
      <xdr:rowOff>0</xdr:rowOff>
    </xdr:from>
    <xdr:to>
      <xdr:col>18</xdr:col>
      <xdr:colOff>8059</xdr:colOff>
      <xdr:row>120</xdr:row>
      <xdr:rowOff>62832</xdr:rowOff>
    </xdr:to>
    <xdr:cxnSp macro="">
      <xdr:nvCxnSpPr>
        <xdr:cNvPr id="5" name="Straight Connector 4">
          <a:extLst>
            <a:ext uri="{FF2B5EF4-FFF2-40B4-BE49-F238E27FC236}">
              <a16:creationId xmlns:a16="http://schemas.microsoft.com/office/drawing/2014/main" id="{5FE5456D-3F1C-463B-9FAE-1A02E7104A35}"/>
            </a:ext>
          </a:extLst>
        </xdr:cNvPr>
        <xdr:cNvCxnSpPr/>
      </xdr:nvCxnSpPr>
      <xdr:spPr>
        <a:xfrm>
          <a:off x="10966824" y="0"/>
          <a:ext cx="8059" cy="1612459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https://www.bing.com/financeapi/forcetrigger?t=a1wljc&amp;q=XNYS%3aKO&amp;form=skydnc</v>
    <v>Learn more on Bing</v>
  </rv>
  <rv s="1">
    <v>en-US</v>
    <v>a1wljc</v>
    <v>268435456</v>
    <v>1</v>
    <v>Powered by Refinitiv</v>
    <v>0</v>
    <v>THE COCA-COLA COMPANY (XNYS:KO)</v>
    <v>2</v>
    <v>3</v>
    <v>Finance</v>
    <v>4</v>
    <v>67.2</v>
    <v>54.015000000000001</v>
    <v>0.5423</v>
    <v>-0.28000000000000003</v>
    <v>5.0469999999999996E-4</v>
    <v>-4.6889999999999996E-3</v>
    <v>0.03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59.68</v>
    <v>Beverages</v>
    <v>Stock</v>
    <v>44988.905439745315</v>
    <v>0</v>
    <v>59.204999999999998</v>
    <v>257178600000</v>
    <v>THE COCA-COLA COMPANY</v>
    <v>THE COCA-COLA COMPANY</v>
    <v>59.55</v>
    <v>27.226299999999998</v>
    <v>59.72</v>
    <v>59.44</v>
    <v>59.47</v>
    <v>4326692000</v>
    <v>KO</v>
    <v>THE COCA-COLA COMPANY (XNYS:KO)</v>
    <v>13101766</v>
    <v>13875479</v>
    <v>1919</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1E39B-7222-4137-BD4F-45AC947A8244}">
  <dimension ref="A1:B7"/>
  <sheetViews>
    <sheetView workbookViewId="0">
      <selection activeCell="D12" sqref="D12"/>
    </sheetView>
  </sheetViews>
  <sheetFormatPr defaultRowHeight="14.45"/>
  <sheetData>
    <row r="1" spans="1:2">
      <c r="A1" t="e" vm="1">
        <v>#VALUE!</v>
      </c>
    </row>
    <row r="2" spans="1:2">
      <c r="A2" s="1" t="s">
        <v>0</v>
      </c>
      <c r="B2" s="11" cm="1">
        <f t="array" ref="B2">_FV(A1,"Price")</f>
        <v>59.44</v>
      </c>
    </row>
    <row r="3" spans="1:2">
      <c r="A3" s="1" t="s">
        <v>1</v>
      </c>
      <c r="B3" s="9" cm="1">
        <f t="array" ref="B3">_FV(A1,"Shares outstanding",TRUE)/1000000</f>
        <v>4326.692</v>
      </c>
    </row>
    <row r="4" spans="1:2">
      <c r="A4" s="1" t="s">
        <v>2</v>
      </c>
      <c r="B4" s="12">
        <f>B2*B3</f>
        <v>257178.57248</v>
      </c>
    </row>
    <row r="5" spans="1:2">
      <c r="A5" s="1" t="s">
        <v>3</v>
      </c>
      <c r="B5" s="9">
        <f>Model!BP57</f>
        <v>9519</v>
      </c>
    </row>
    <row r="6" spans="1:2">
      <c r="A6" s="1" t="s">
        <v>4</v>
      </c>
      <c r="B6" s="9">
        <f>Model!BP83+Model!BP78</f>
        <v>36776</v>
      </c>
    </row>
    <row r="7" spans="1:2">
      <c r="A7" s="1" t="s">
        <v>5</v>
      </c>
      <c r="B7"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300D-C782-4C6A-94D3-8551050A8D65}">
  <dimension ref="A4:B8"/>
  <sheetViews>
    <sheetView workbookViewId="0">
      <selection activeCell="J9" sqref="J9"/>
    </sheetView>
  </sheetViews>
  <sheetFormatPr defaultRowHeight="14.45"/>
  <sheetData>
    <row r="4" spans="1:2">
      <c r="A4" t="s">
        <v>6</v>
      </c>
      <c r="B4" t="s">
        <v>7</v>
      </c>
    </row>
    <row r="5" spans="1:2">
      <c r="A5" t="s">
        <v>8</v>
      </c>
      <c r="B5" t="s">
        <v>9</v>
      </c>
    </row>
    <row r="6" spans="1:2">
      <c r="A6" t="s">
        <v>10</v>
      </c>
      <c r="B6" t="s">
        <v>11</v>
      </c>
    </row>
    <row r="7" spans="1:2">
      <c r="A7" t="s">
        <v>12</v>
      </c>
      <c r="B7" t="s">
        <v>13</v>
      </c>
    </row>
    <row r="8" spans="1:2">
      <c r="A8" t="s">
        <v>14</v>
      </c>
      <c r="B8"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237F9-BFE6-4E2A-ACDA-702CBC7FA05A}">
  <dimension ref="B1:BY114"/>
  <sheetViews>
    <sheetView tabSelected="1" zoomScale="70" zoomScaleNormal="70" workbookViewId="0">
      <pane xSplit="2" ySplit="3" topLeftCell="AX4" activePane="bottomRight" state="frozen"/>
      <selection pane="bottomRight" activeCell="AX105" sqref="AX105"/>
      <selection pane="bottomLeft" activeCell="A4" sqref="A4"/>
      <selection pane="topRight" activeCell="B1" sqref="B1"/>
    </sheetView>
  </sheetViews>
  <sheetFormatPr defaultRowHeight="14.45"/>
  <cols>
    <col min="2" max="2" width="35.85546875" customWidth="1"/>
    <col min="3" max="22" width="10.5703125" customWidth="1"/>
    <col min="23" max="23" width="10.5703125" style="29" customWidth="1"/>
    <col min="24" max="26" width="10.5703125" customWidth="1"/>
    <col min="27" max="27" width="10.5703125" style="29" customWidth="1"/>
    <col min="28" max="30" width="10.5703125" customWidth="1"/>
    <col min="31" max="31" width="10.5703125" style="29" customWidth="1"/>
    <col min="32" max="34" width="10.5703125" customWidth="1"/>
    <col min="35" max="35" width="10.5703125" style="29" customWidth="1"/>
    <col min="36" max="38" width="10.5703125" customWidth="1"/>
    <col min="39" max="39" width="10.5703125" style="29" customWidth="1"/>
    <col min="40" max="55" width="10.5703125" customWidth="1"/>
    <col min="56" max="56" width="10.5703125" style="29" customWidth="1"/>
    <col min="57" max="65" width="10.5703125" customWidth="1"/>
    <col min="66" max="66" width="10.5703125" style="29" customWidth="1"/>
    <col min="67" max="72" width="10.5703125" customWidth="1"/>
    <col min="73" max="112" width="9.5703125" customWidth="1"/>
  </cols>
  <sheetData>
    <row r="1" spans="2:77">
      <c r="B1" t="s">
        <v>16</v>
      </c>
      <c r="G1" t="s">
        <v>17</v>
      </c>
      <c r="H1" t="s">
        <v>18</v>
      </c>
      <c r="I1" t="s">
        <v>19</v>
      </c>
      <c r="J1" t="s">
        <v>20</v>
      </c>
      <c r="K1" t="s">
        <v>21</v>
      </c>
      <c r="L1" t="s">
        <v>22</v>
      </c>
      <c r="M1" t="s">
        <v>23</v>
      </c>
      <c r="N1" t="s">
        <v>24</v>
      </c>
      <c r="O1" t="s">
        <v>25</v>
      </c>
      <c r="P1" t="s">
        <v>26</v>
      </c>
      <c r="Q1" t="s">
        <v>27</v>
      </c>
      <c r="R1" t="s">
        <v>28</v>
      </c>
      <c r="S1" t="s">
        <v>29</v>
      </c>
      <c r="T1" t="s">
        <v>30</v>
      </c>
      <c r="U1" t="s">
        <v>31</v>
      </c>
      <c r="V1" t="s">
        <v>32</v>
      </c>
      <c r="W1" s="29" t="s">
        <v>33</v>
      </c>
      <c r="X1" t="s">
        <v>34</v>
      </c>
      <c r="Y1" t="s">
        <v>35</v>
      </c>
      <c r="Z1" t="s">
        <v>36</v>
      </c>
      <c r="AA1" s="29" t="s">
        <v>37</v>
      </c>
      <c r="AB1" t="s">
        <v>38</v>
      </c>
      <c r="AC1" t="s">
        <v>39</v>
      </c>
      <c r="AD1" t="s">
        <v>40</v>
      </c>
      <c r="AE1" s="29" t="s">
        <v>41</v>
      </c>
      <c r="AF1" t="s">
        <v>42</v>
      </c>
      <c r="AG1" t="s">
        <v>43</v>
      </c>
      <c r="AH1" t="s">
        <v>44</v>
      </c>
      <c r="AI1" s="29" t="s">
        <v>45</v>
      </c>
      <c r="AJ1" t="s">
        <v>46</v>
      </c>
      <c r="AK1" t="s">
        <v>47</v>
      </c>
      <c r="AL1" t="s">
        <v>48</v>
      </c>
    </row>
    <row r="2" spans="2:77">
      <c r="B2" t="s">
        <v>49</v>
      </c>
      <c r="W2" s="45">
        <v>43580</v>
      </c>
      <c r="X2" s="7">
        <v>43671</v>
      </c>
      <c r="Y2" s="7">
        <v>43762</v>
      </c>
      <c r="AA2" s="45">
        <v>43945</v>
      </c>
      <c r="AB2" s="7">
        <v>44034</v>
      </c>
      <c r="AC2" s="7">
        <v>44126</v>
      </c>
      <c r="AE2" s="45">
        <v>44313</v>
      </c>
      <c r="AF2" s="7">
        <v>44403</v>
      </c>
      <c r="AG2" s="7">
        <v>44497</v>
      </c>
      <c r="AI2" s="45">
        <v>44679</v>
      </c>
      <c r="AJ2" s="7">
        <v>44769</v>
      </c>
      <c r="AK2" s="7">
        <v>44860</v>
      </c>
    </row>
    <row r="3" spans="2:77" s="47" customFormat="1" ht="15">
      <c r="B3" s="47" t="s">
        <v>50</v>
      </c>
      <c r="S3" s="48">
        <v>43189</v>
      </c>
      <c r="W3" s="49">
        <v>43553</v>
      </c>
      <c r="X3" s="48">
        <v>43644</v>
      </c>
      <c r="Y3" s="48"/>
      <c r="Z3" s="48">
        <v>43830</v>
      </c>
      <c r="AA3" s="49">
        <v>43917</v>
      </c>
      <c r="AB3" s="48">
        <v>44008</v>
      </c>
      <c r="AC3" s="48">
        <v>44099</v>
      </c>
      <c r="AE3" s="49">
        <v>44288</v>
      </c>
      <c r="AF3" s="48">
        <v>44379</v>
      </c>
      <c r="AG3" s="48">
        <v>44470</v>
      </c>
      <c r="AH3" s="48">
        <v>44561</v>
      </c>
      <c r="AI3" s="49">
        <v>44652</v>
      </c>
      <c r="AJ3" s="48">
        <v>44743</v>
      </c>
      <c r="AK3" s="48">
        <v>44834</v>
      </c>
      <c r="AM3" s="50"/>
      <c r="AX3" s="47">
        <f t="shared" ref="AX3:BC3" si="0">AY3-1</f>
        <v>2004</v>
      </c>
      <c r="AY3" s="47">
        <f t="shared" si="0"/>
        <v>2005</v>
      </c>
      <c r="AZ3" s="47">
        <f t="shared" si="0"/>
        <v>2006</v>
      </c>
      <c r="BA3" s="47">
        <f t="shared" si="0"/>
        <v>2007</v>
      </c>
      <c r="BB3" s="47">
        <f t="shared" si="0"/>
        <v>2008</v>
      </c>
      <c r="BC3" s="47">
        <f t="shared" si="0"/>
        <v>2009</v>
      </c>
      <c r="BD3" s="50">
        <f t="shared" ref="BD3:BJ3" si="1">BE3-1</f>
        <v>2010</v>
      </c>
      <c r="BE3" s="47">
        <f t="shared" si="1"/>
        <v>2011</v>
      </c>
      <c r="BF3" s="47">
        <f t="shared" si="1"/>
        <v>2012</v>
      </c>
      <c r="BG3" s="47">
        <f t="shared" si="1"/>
        <v>2013</v>
      </c>
      <c r="BH3" s="47">
        <f t="shared" si="1"/>
        <v>2014</v>
      </c>
      <c r="BI3" s="47">
        <f t="shared" si="1"/>
        <v>2015</v>
      </c>
      <c r="BJ3" s="47">
        <f t="shared" si="1"/>
        <v>2016</v>
      </c>
      <c r="BK3" s="47">
        <f>BL3-1</f>
        <v>2017</v>
      </c>
      <c r="BL3" s="47">
        <v>2018</v>
      </c>
      <c r="BM3" s="47">
        <v>2019</v>
      </c>
      <c r="BN3" s="50">
        <v>2020</v>
      </c>
      <c r="BO3" s="47">
        <v>2021</v>
      </c>
      <c r="BP3" s="47">
        <v>2022</v>
      </c>
      <c r="BQ3" s="47">
        <f>BP3+1</f>
        <v>2023</v>
      </c>
      <c r="BR3" s="47">
        <f t="shared" ref="BR3:BY3" si="2">BQ3+1</f>
        <v>2024</v>
      </c>
      <c r="BS3" s="47">
        <f t="shared" si="2"/>
        <v>2025</v>
      </c>
      <c r="BT3" s="47">
        <f t="shared" si="2"/>
        <v>2026</v>
      </c>
      <c r="BU3" s="47">
        <f t="shared" si="2"/>
        <v>2027</v>
      </c>
      <c r="BV3" s="47">
        <f t="shared" si="2"/>
        <v>2028</v>
      </c>
      <c r="BW3" s="47">
        <f t="shared" si="2"/>
        <v>2029</v>
      </c>
      <c r="BX3" s="47">
        <f t="shared" si="2"/>
        <v>2030</v>
      </c>
      <c r="BY3" s="47">
        <f t="shared" si="2"/>
        <v>2031</v>
      </c>
    </row>
    <row r="4" spans="2:77">
      <c r="AG4" s="7"/>
      <c r="AH4" s="7"/>
      <c r="AK4" s="7"/>
      <c r="AZ4" s="28">
        <f>Summary!B3*Summary!B9</f>
        <v>21.815999999999999</v>
      </c>
      <c r="BA4" s="28">
        <f>Summary!C3*Summary!C9</f>
        <v>26.832000000000001</v>
      </c>
      <c r="BB4" s="28">
        <f>Summary!D3*Summary!D9</f>
        <v>26.875</v>
      </c>
      <c r="BC4" s="28">
        <f>Summary!E3*Summary!E9</f>
        <v>24.254999999999999</v>
      </c>
      <c r="BD4" s="46">
        <f>Summary!F3*Summary!F9</f>
        <v>28.16</v>
      </c>
      <c r="BE4" s="28">
        <f>Summary!G3*Summary!G9</f>
        <v>33.264000000000003</v>
      </c>
      <c r="BF4" s="28">
        <f>Summary!H3*Summary!H9</f>
        <v>37</v>
      </c>
      <c r="BG4" s="28">
        <f>Summary!I3*Summary!I9</f>
        <v>39.575999999999993</v>
      </c>
      <c r="BH4" s="28">
        <f>Summary!J3*Summary!J9</f>
        <v>40.823999999999998</v>
      </c>
      <c r="BI4" s="28">
        <f>Summary!K3*Summary!K9</f>
        <v>41.235999999999997</v>
      </c>
      <c r="BJ4" s="28">
        <f>Summary!L3*Summary!L9</f>
        <v>43.336999999999996</v>
      </c>
      <c r="BK4" s="28">
        <f>Summary!M3*Summary!M9</f>
        <v>44.021999999999998</v>
      </c>
      <c r="BL4" s="28">
        <f>Summary!N3*Summary!N9</f>
        <v>45.451000000000001</v>
      </c>
      <c r="BM4" s="28">
        <f>Summary!O3*Summary!O9</f>
        <v>50.995999999999995</v>
      </c>
      <c r="BN4" s="46">
        <f>Summary!P3*Summary!P9</f>
        <v>49.680000000000007</v>
      </c>
      <c r="BO4" s="28">
        <f>Summary!Q3*Summary!Q9</f>
        <v>53.798999999999999</v>
      </c>
    </row>
    <row r="5" spans="2:77" s="23" customFormat="1">
      <c r="B5" s="22" t="s">
        <v>51</v>
      </c>
      <c r="W5" s="30"/>
      <c r="AA5" s="30"/>
      <c r="AE5" s="30"/>
      <c r="AG5" s="24"/>
      <c r="AH5" s="24"/>
      <c r="AI5" s="30"/>
      <c r="AK5" s="24"/>
      <c r="AM5" s="30"/>
      <c r="BD5" s="30"/>
      <c r="BN5" s="30"/>
    </row>
    <row r="6" spans="2:77" s="13" customFormat="1">
      <c r="B6" s="13" t="s">
        <v>52</v>
      </c>
      <c r="W6" s="31"/>
      <c r="AA6" s="31"/>
      <c r="AE6" s="31"/>
      <c r="AG6" s="18"/>
      <c r="AH6" s="18"/>
      <c r="AI6" s="31"/>
      <c r="AK6" s="18"/>
      <c r="AM6" s="31"/>
      <c r="BD6" s="31"/>
      <c r="BN6" s="31"/>
    </row>
    <row r="7" spans="2:77">
      <c r="B7" t="s">
        <v>53</v>
      </c>
      <c r="C7" s="9"/>
      <c r="D7" s="9"/>
      <c r="E7" s="9"/>
      <c r="F7" s="9"/>
      <c r="G7" s="9"/>
      <c r="H7" s="9"/>
      <c r="I7" s="9"/>
      <c r="J7" s="9"/>
      <c r="K7" s="9"/>
      <c r="L7" s="9"/>
      <c r="M7" s="9"/>
      <c r="N7" s="9"/>
      <c r="O7" s="9"/>
      <c r="P7" s="9"/>
      <c r="Q7" s="9"/>
      <c r="R7" s="9"/>
      <c r="S7" s="9"/>
      <c r="T7" s="9"/>
      <c r="U7" s="9"/>
      <c r="V7" s="9"/>
      <c r="W7" s="32">
        <v>1185</v>
      </c>
      <c r="X7" s="9">
        <v>1415</v>
      </c>
      <c r="Y7" s="9">
        <v>1414</v>
      </c>
      <c r="Z7" s="9"/>
      <c r="AA7" s="32">
        <v>1324</v>
      </c>
      <c r="AB7" s="9">
        <v>1270</v>
      </c>
      <c r="AC7" s="9">
        <v>1523</v>
      </c>
      <c r="AD7" s="9"/>
      <c r="AE7" s="32">
        <v>1410</v>
      </c>
      <c r="AF7" s="9">
        <v>1740</v>
      </c>
      <c r="AG7" s="9">
        <v>1749</v>
      </c>
      <c r="AH7" s="9"/>
      <c r="AI7" s="32">
        <v>1641</v>
      </c>
      <c r="AJ7" s="9">
        <v>1892</v>
      </c>
      <c r="AK7" s="9">
        <v>2235</v>
      </c>
      <c r="AL7" s="9"/>
      <c r="AM7" s="32"/>
      <c r="AN7" s="9"/>
      <c r="AO7" s="9"/>
      <c r="AP7" s="9"/>
      <c r="AQ7" s="9"/>
      <c r="AR7" s="9"/>
      <c r="AS7" s="9"/>
      <c r="AT7" s="9"/>
      <c r="AU7" s="9"/>
      <c r="AV7" s="9"/>
      <c r="AW7" s="9"/>
      <c r="AX7" s="9">
        <f t="shared" ref="AX7:BC7" si="3">AX9*AX18</f>
        <v>0</v>
      </c>
      <c r="AY7" s="9">
        <f t="shared" si="3"/>
        <v>0</v>
      </c>
      <c r="AZ7" s="9">
        <f t="shared" si="3"/>
        <v>0</v>
      </c>
      <c r="BA7" s="9">
        <f t="shared" si="3"/>
        <v>0</v>
      </c>
      <c r="BB7" s="9">
        <f t="shared" si="3"/>
        <v>4327.5600000000004</v>
      </c>
      <c r="BC7" s="9">
        <f t="shared" si="3"/>
        <v>4325.9400000000005</v>
      </c>
      <c r="BD7" s="32">
        <f t="shared" ref="BD7:BE7" si="4">BD9*BD18</f>
        <v>5420.79</v>
      </c>
      <c r="BE7" s="9">
        <f t="shared" si="4"/>
        <v>7292.6100000000006</v>
      </c>
      <c r="BF7" s="9">
        <f t="shared" ref="BF7:BG7" si="5">BF9*BF18</f>
        <v>7498.16</v>
      </c>
      <c r="BG7" s="9">
        <f t="shared" si="5"/>
        <v>7531.6</v>
      </c>
      <c r="BH7" s="9">
        <f>BH9*BH18</f>
        <v>7509.9400000000005</v>
      </c>
      <c r="BI7" s="9">
        <f>BI9*0.37</f>
        <v>7533.2</v>
      </c>
      <c r="BJ7" s="9">
        <f>BJ9*0.4</f>
        <v>7959.6</v>
      </c>
      <c r="BK7" s="9">
        <f>BK9*0.51</f>
        <v>7510.77</v>
      </c>
      <c r="BL7" s="9">
        <v>4571</v>
      </c>
      <c r="BM7" s="9">
        <v>5252</v>
      </c>
      <c r="BN7" s="32">
        <v>5443</v>
      </c>
      <c r="BO7" s="9">
        <v>6551</v>
      </c>
      <c r="BP7" s="9">
        <v>7702</v>
      </c>
      <c r="BQ7" s="9"/>
    </row>
    <row r="8" spans="2:77" s="6" customFormat="1">
      <c r="B8" s="6" t="s">
        <v>54</v>
      </c>
      <c r="C8" s="10"/>
      <c r="D8" s="10"/>
      <c r="E8" s="10"/>
      <c r="F8" s="10"/>
      <c r="G8" s="10"/>
      <c r="H8" s="10"/>
      <c r="I8" s="10"/>
      <c r="J8" s="10"/>
      <c r="K8" s="10"/>
      <c r="L8" s="10"/>
      <c r="M8" s="10"/>
      <c r="N8" s="10"/>
      <c r="O8" s="10"/>
      <c r="P8" s="10"/>
      <c r="Q8" s="10"/>
      <c r="R8" s="10"/>
      <c r="S8" s="10"/>
      <c r="T8" s="10"/>
      <c r="U8" s="10"/>
      <c r="V8" s="10"/>
      <c r="W8" s="33">
        <v>1460</v>
      </c>
      <c r="X8" s="10">
        <v>1688</v>
      </c>
      <c r="Y8" s="10">
        <v>1676</v>
      </c>
      <c r="Z8" s="10"/>
      <c r="AA8" s="33">
        <v>1483</v>
      </c>
      <c r="AB8" s="10">
        <v>1313</v>
      </c>
      <c r="AC8" s="10">
        <v>1503</v>
      </c>
      <c r="AD8" s="10"/>
      <c r="AE8" s="33">
        <v>1483</v>
      </c>
      <c r="AF8" s="10">
        <v>1592</v>
      </c>
      <c r="AG8" s="10">
        <v>1669</v>
      </c>
      <c r="AH8" s="10"/>
      <c r="AI8" s="33">
        <v>1882</v>
      </c>
      <c r="AJ8" s="10">
        <v>2065</v>
      </c>
      <c r="AK8" s="10">
        <v>1909</v>
      </c>
      <c r="AL8" s="10"/>
      <c r="AM8" s="33"/>
      <c r="AN8" s="10"/>
      <c r="AO8" s="10"/>
      <c r="AP8" s="10"/>
      <c r="AQ8" s="10"/>
      <c r="AR8" s="10"/>
      <c r="AS8" s="10"/>
      <c r="AT8" s="10"/>
      <c r="AU8" s="10"/>
      <c r="AV8" s="10"/>
      <c r="AW8" s="10"/>
      <c r="AX8" s="10">
        <f t="shared" ref="AX8" si="6">AX9*AX19</f>
        <v>0</v>
      </c>
      <c r="AY8" s="10">
        <f t="shared" ref="AY8" si="7">AY9*AY19</f>
        <v>0</v>
      </c>
      <c r="AZ8" s="10">
        <f t="shared" ref="AZ8" si="8">AZ9*AZ19</f>
        <v>0</v>
      </c>
      <c r="BA8" s="10">
        <f t="shared" ref="BA8" si="9">BA9*BA19</f>
        <v>0</v>
      </c>
      <c r="BB8" s="10">
        <f t="shared" ref="BB8" si="10">BB9*BB19</f>
        <v>3686.44</v>
      </c>
      <c r="BC8" s="10">
        <f t="shared" ref="BC8" si="11">BC9*BC19</f>
        <v>3685.06</v>
      </c>
      <c r="BD8" s="33">
        <f t="shared" ref="BD8" si="12">BD9*BD19</f>
        <v>5208.21</v>
      </c>
      <c r="BE8" s="10">
        <f t="shared" ref="BE8" si="13">BE9*BE19</f>
        <v>11406.39</v>
      </c>
      <c r="BF8" s="10">
        <f t="shared" ref="BF8:BG8" si="14">BF9*BF19</f>
        <v>12233.84</v>
      </c>
      <c r="BG8" s="10">
        <f t="shared" si="14"/>
        <v>12288.4</v>
      </c>
      <c r="BH8" s="10">
        <f>BH9*BH19</f>
        <v>12253.06</v>
      </c>
      <c r="BI8" s="10">
        <f>BI9*0.63</f>
        <v>12826.8</v>
      </c>
      <c r="BJ8" s="10">
        <f>BJ9*0.6</f>
        <v>11939.4</v>
      </c>
      <c r="BK8" s="10">
        <f>BK9*0.49</f>
        <v>7216.23</v>
      </c>
      <c r="BL8" s="10">
        <v>6773</v>
      </c>
      <c r="BM8" s="10">
        <v>6463</v>
      </c>
      <c r="BN8" s="33">
        <v>5838</v>
      </c>
      <c r="BO8" s="10">
        <v>6459</v>
      </c>
      <c r="BP8" s="10">
        <v>7711</v>
      </c>
      <c r="BQ8" s="10"/>
    </row>
    <row r="9" spans="2:77" s="5" customFormat="1">
      <c r="B9" s="5" t="s">
        <v>55</v>
      </c>
      <c r="C9" s="17">
        <f t="shared" ref="C9" si="15">C7+C8</f>
        <v>0</v>
      </c>
      <c r="D9" s="17">
        <f t="shared" ref="D9" si="16">D7+D8</f>
        <v>0</v>
      </c>
      <c r="E9" s="17">
        <f t="shared" ref="E9" si="17">E7+E8</f>
        <v>0</v>
      </c>
      <c r="F9" s="17">
        <f t="shared" ref="F9" si="18">F7+F8</f>
        <v>0</v>
      </c>
      <c r="G9" s="17">
        <f t="shared" ref="G9" si="19">G7+G8</f>
        <v>0</v>
      </c>
      <c r="H9" s="17">
        <f t="shared" ref="H9" si="20">H7+H8</f>
        <v>0</v>
      </c>
      <c r="I9" s="17">
        <f t="shared" ref="I9" si="21">I7+I8</f>
        <v>0</v>
      </c>
      <c r="J9" s="17">
        <f t="shared" ref="J9" si="22">J7+J8</f>
        <v>0</v>
      </c>
      <c r="K9" s="17">
        <f t="shared" ref="K9" si="23">K7+K8</f>
        <v>0</v>
      </c>
      <c r="L9" s="17">
        <f t="shared" ref="L9" si="24">L7+L8</f>
        <v>0</v>
      </c>
      <c r="M9" s="17">
        <f t="shared" ref="M9" si="25">M7+M8</f>
        <v>0</v>
      </c>
      <c r="N9" s="17">
        <f t="shared" ref="N9" si="26">N7+N8</f>
        <v>0</v>
      </c>
      <c r="O9" s="17">
        <f t="shared" ref="O9" si="27">O7+O8</f>
        <v>0</v>
      </c>
      <c r="P9" s="17">
        <f t="shared" ref="P9" si="28">P7+P8</f>
        <v>0</v>
      </c>
      <c r="Q9" s="17">
        <f t="shared" ref="Q9" si="29">Q7+Q8</f>
        <v>0</v>
      </c>
      <c r="R9" s="17">
        <f t="shared" ref="R9" si="30">R7+R8</f>
        <v>0</v>
      </c>
      <c r="S9" s="17">
        <f t="shared" ref="S9" si="31">S7+S8</f>
        <v>0</v>
      </c>
      <c r="T9" s="17">
        <f t="shared" ref="T9" si="32">T7+T8</f>
        <v>0</v>
      </c>
      <c r="U9" s="17">
        <f t="shared" ref="U9" si="33">U7+U8</f>
        <v>0</v>
      </c>
      <c r="V9" s="17">
        <f t="shared" ref="V9" si="34">V7+V8</f>
        <v>0</v>
      </c>
      <c r="W9" s="34">
        <f t="shared" ref="W9" si="35">W7+W8</f>
        <v>2645</v>
      </c>
      <c r="X9" s="17">
        <f t="shared" ref="X9" si="36">X7+X8</f>
        <v>3103</v>
      </c>
      <c r="Y9" s="17">
        <f t="shared" ref="Y9" si="37">Y7+Y8</f>
        <v>3090</v>
      </c>
      <c r="Z9" s="17">
        <f t="shared" ref="Z9" si="38">Z7+Z8</f>
        <v>0</v>
      </c>
      <c r="AA9" s="34">
        <f t="shared" ref="AA9" si="39">AA7+AA8</f>
        <v>2807</v>
      </c>
      <c r="AB9" s="17">
        <f t="shared" ref="AB9" si="40">AB7+AB8</f>
        <v>2583</v>
      </c>
      <c r="AC9" s="17">
        <f t="shared" ref="AC9" si="41">AC7+AC8</f>
        <v>3026</v>
      </c>
      <c r="AD9" s="17">
        <f t="shared" ref="AD9" si="42">AD7+AD8</f>
        <v>0</v>
      </c>
      <c r="AE9" s="34">
        <f t="shared" ref="AE9" si="43">AE7+AE8</f>
        <v>2893</v>
      </c>
      <c r="AF9" s="17">
        <f t="shared" ref="AF9" si="44">AF7+AF8</f>
        <v>3332</v>
      </c>
      <c r="AG9" s="17">
        <f t="shared" ref="AG9" si="45">AG7+AG8</f>
        <v>3418</v>
      </c>
      <c r="AH9" s="17">
        <f t="shared" ref="AH9" si="46">AH7+AH8</f>
        <v>0</v>
      </c>
      <c r="AI9" s="34">
        <f t="shared" ref="AI9" si="47">AI7+AI8</f>
        <v>3523</v>
      </c>
      <c r="AJ9" s="17">
        <f t="shared" ref="AJ9" si="48">AJ7+AJ8</f>
        <v>3957</v>
      </c>
      <c r="AK9" s="17">
        <f>AK7+AK8</f>
        <v>4144</v>
      </c>
      <c r="AL9" s="17"/>
      <c r="AM9" s="34"/>
      <c r="AN9" s="17"/>
      <c r="AO9" s="17"/>
      <c r="AP9" s="17"/>
      <c r="AQ9" s="17"/>
      <c r="AR9" s="17"/>
      <c r="AS9" s="17"/>
      <c r="AT9" s="17"/>
      <c r="AU9" s="17"/>
      <c r="AV9" s="17"/>
      <c r="AW9" s="17"/>
      <c r="AX9" s="17"/>
      <c r="AY9" s="17"/>
      <c r="AZ9" s="17">
        <v>6662</v>
      </c>
      <c r="BA9" s="17">
        <v>7556</v>
      </c>
      <c r="BB9" s="17">
        <v>8014</v>
      </c>
      <c r="BC9" s="17">
        <v>8011</v>
      </c>
      <c r="BD9" s="34">
        <v>10629</v>
      </c>
      <c r="BE9" s="17">
        <v>18699</v>
      </c>
      <c r="BF9" s="17">
        <v>19732</v>
      </c>
      <c r="BG9" s="17">
        <v>19820</v>
      </c>
      <c r="BH9" s="17">
        <v>19763</v>
      </c>
      <c r="BI9" s="17">
        <v>20360</v>
      </c>
      <c r="BJ9" s="17">
        <v>19899</v>
      </c>
      <c r="BK9" s="17">
        <v>14727</v>
      </c>
      <c r="BL9" s="17">
        <f>SUM(BL7:BL8)</f>
        <v>11344</v>
      </c>
      <c r="BM9" s="17">
        <f>SUM(BM7:BM8)</f>
        <v>11715</v>
      </c>
      <c r="BN9" s="34">
        <f>SUM(BN7:BN8)</f>
        <v>11281</v>
      </c>
      <c r="BO9" s="17">
        <f t="shared" ref="BO9:BQ9" si="49">SUM(BO7:BO8)</f>
        <v>13010</v>
      </c>
      <c r="BP9" s="17">
        <f t="shared" si="49"/>
        <v>15413</v>
      </c>
      <c r="BQ9" s="17">
        <f t="shared" si="49"/>
        <v>0</v>
      </c>
    </row>
    <row r="10" spans="2:77" s="13" customFormat="1">
      <c r="B10" s="13" t="s">
        <v>56</v>
      </c>
      <c r="C10" s="19"/>
      <c r="D10" s="19"/>
      <c r="E10" s="19"/>
      <c r="F10" s="19"/>
      <c r="G10" s="19"/>
      <c r="H10" s="19"/>
      <c r="I10" s="19"/>
      <c r="J10" s="19"/>
      <c r="K10" s="19"/>
      <c r="L10" s="19"/>
      <c r="M10" s="19"/>
      <c r="N10" s="19"/>
      <c r="O10" s="19"/>
      <c r="P10" s="19"/>
      <c r="Q10" s="19"/>
      <c r="R10" s="19"/>
      <c r="S10" s="19"/>
      <c r="T10" s="19"/>
      <c r="U10" s="19"/>
      <c r="V10" s="19"/>
      <c r="W10" s="35"/>
      <c r="X10" s="19"/>
      <c r="Y10" s="19"/>
      <c r="Z10" s="19"/>
      <c r="AA10" s="35"/>
      <c r="AB10" s="19"/>
      <c r="AC10" s="19"/>
      <c r="AD10" s="19"/>
      <c r="AE10" s="35"/>
      <c r="AF10" s="19"/>
      <c r="AG10" s="19"/>
      <c r="AH10" s="19"/>
      <c r="AI10" s="35"/>
      <c r="AJ10" s="19"/>
      <c r="AK10" s="19"/>
      <c r="AL10" s="19"/>
      <c r="AM10" s="35"/>
      <c r="AN10" s="19"/>
      <c r="AO10" s="19"/>
      <c r="AP10" s="19"/>
      <c r="AQ10" s="19"/>
      <c r="AR10" s="19"/>
      <c r="AS10" s="19"/>
      <c r="AT10" s="19"/>
      <c r="AU10" s="19"/>
      <c r="AV10" s="19"/>
      <c r="AW10" s="19"/>
      <c r="AX10" s="19"/>
      <c r="AY10" s="19"/>
      <c r="AZ10" s="19"/>
      <c r="BA10" s="19"/>
      <c r="BB10" s="19"/>
      <c r="BC10" s="19"/>
      <c r="BD10" s="35"/>
      <c r="BE10" s="19"/>
      <c r="BF10" s="19"/>
      <c r="BG10" s="19"/>
      <c r="BH10" s="19"/>
      <c r="BI10" s="19"/>
      <c r="BJ10" s="19"/>
      <c r="BK10" s="19"/>
      <c r="BL10" s="19"/>
      <c r="BM10" s="19"/>
      <c r="BN10" s="35"/>
      <c r="BO10" s="19"/>
      <c r="BP10" s="19"/>
      <c r="BQ10" s="19"/>
    </row>
    <row r="11" spans="2:77">
      <c r="B11" t="s">
        <v>53</v>
      </c>
      <c r="C11" s="9"/>
      <c r="D11" s="9"/>
      <c r="E11" s="9"/>
      <c r="F11" s="9"/>
      <c r="G11" s="9"/>
      <c r="H11" s="9"/>
      <c r="I11" s="9"/>
      <c r="J11" s="9"/>
      <c r="K11" s="9"/>
      <c r="L11" s="9"/>
      <c r="M11" s="9"/>
      <c r="N11" s="9"/>
      <c r="O11" s="9"/>
      <c r="P11" s="9"/>
      <c r="Q11" s="9"/>
      <c r="R11" s="9"/>
      <c r="S11" s="9"/>
      <c r="T11" s="9"/>
      <c r="U11" s="9"/>
      <c r="V11" s="9"/>
      <c r="W11" s="32">
        <v>3593</v>
      </c>
      <c r="X11" s="9">
        <v>4163</v>
      </c>
      <c r="Y11" s="9">
        <v>4026</v>
      </c>
      <c r="Z11" s="9"/>
      <c r="AA11" s="32">
        <v>3465</v>
      </c>
      <c r="AB11" s="9">
        <v>2945</v>
      </c>
      <c r="AC11" s="9">
        <v>3556</v>
      </c>
      <c r="AD11" s="9"/>
      <c r="AE11" s="32">
        <v>3572</v>
      </c>
      <c r="AF11" s="9">
        <v>4254</v>
      </c>
      <c r="AG11" s="9">
        <v>4122</v>
      </c>
      <c r="AH11" s="9"/>
      <c r="AI11" s="32">
        <v>4083</v>
      </c>
      <c r="AJ11" s="9">
        <v>4473</v>
      </c>
      <c r="AK11" s="9">
        <v>4339</v>
      </c>
      <c r="AL11" s="9"/>
      <c r="AM11" s="32"/>
      <c r="AN11" s="9"/>
      <c r="AO11" s="9"/>
      <c r="AP11" s="9"/>
      <c r="AQ11" s="9"/>
      <c r="AR11" s="9"/>
      <c r="AS11" s="9"/>
      <c r="AT11" s="9"/>
      <c r="AU11" s="9"/>
      <c r="AV11" s="9"/>
      <c r="AW11" s="9"/>
      <c r="AX11" s="9">
        <f t="shared" ref="AX11:BC11" si="50">AX13*AX18</f>
        <v>0</v>
      </c>
      <c r="AY11" s="9">
        <f t="shared" si="50"/>
        <v>0</v>
      </c>
      <c r="AZ11" s="9">
        <f t="shared" si="50"/>
        <v>0</v>
      </c>
      <c r="BA11" s="9">
        <f t="shared" si="50"/>
        <v>0</v>
      </c>
      <c r="BB11" s="9">
        <f t="shared" si="50"/>
        <v>12922.2</v>
      </c>
      <c r="BC11" s="9">
        <f t="shared" si="50"/>
        <v>12408.660000000002</v>
      </c>
      <c r="BD11" s="32">
        <f t="shared" ref="BD11:BE11" si="51">BD13*BD18</f>
        <v>12489.9</v>
      </c>
      <c r="BE11" s="9">
        <f t="shared" si="51"/>
        <v>10858.77</v>
      </c>
      <c r="BF11" s="9">
        <f t="shared" ref="BF11:BG11" si="52">BF13*BF18</f>
        <v>10748.3</v>
      </c>
      <c r="BG11" s="9">
        <f t="shared" si="52"/>
        <v>10272.92</v>
      </c>
      <c r="BH11" s="9">
        <f>BH13*BH18</f>
        <v>9969.2999999999993</v>
      </c>
      <c r="BI11" s="9">
        <f>BI13*0.37</f>
        <v>8855.58</v>
      </c>
      <c r="BJ11" s="9">
        <f>BJ13*0.4</f>
        <v>8785.6</v>
      </c>
      <c r="BK11" s="9">
        <f>BK13*0.51</f>
        <v>10548.33</v>
      </c>
      <c r="BL11" s="9">
        <v>15323</v>
      </c>
      <c r="BM11" s="9">
        <v>15247</v>
      </c>
      <c r="BN11" s="32">
        <v>13139</v>
      </c>
      <c r="BO11" s="9">
        <v>15248</v>
      </c>
      <c r="BP11" s="9">
        <v>16369</v>
      </c>
      <c r="BQ11" s="9"/>
    </row>
    <row r="12" spans="2:77" s="6" customFormat="1">
      <c r="B12" s="6" t="s">
        <v>54</v>
      </c>
      <c r="C12" s="10"/>
      <c r="D12" s="10"/>
      <c r="E12" s="10"/>
      <c r="F12" s="10"/>
      <c r="G12" s="10"/>
      <c r="H12" s="10"/>
      <c r="I12" s="10"/>
      <c r="J12" s="10"/>
      <c r="K12" s="10"/>
      <c r="L12" s="10"/>
      <c r="M12" s="10"/>
      <c r="N12" s="10"/>
      <c r="O12" s="10"/>
      <c r="P12" s="10"/>
      <c r="Q12" s="10"/>
      <c r="R12" s="10"/>
      <c r="S12" s="10"/>
      <c r="T12" s="10"/>
      <c r="U12" s="10"/>
      <c r="V12" s="10"/>
      <c r="W12" s="33">
        <v>2456</v>
      </c>
      <c r="X12" s="10">
        <v>2731</v>
      </c>
      <c r="Y12" s="10">
        <v>2391</v>
      </c>
      <c r="Z12" s="10"/>
      <c r="AA12" s="33">
        <v>2329</v>
      </c>
      <c r="AB12" s="10">
        <v>1622</v>
      </c>
      <c r="AC12" s="10">
        <v>2070</v>
      </c>
      <c r="AD12" s="10"/>
      <c r="AE12" s="33">
        <v>2555</v>
      </c>
      <c r="AF12" s="10">
        <v>2543</v>
      </c>
      <c r="AG12" s="10">
        <v>2502</v>
      </c>
      <c r="AH12" s="10"/>
      <c r="AI12" s="33">
        <v>2885</v>
      </c>
      <c r="AJ12" s="10">
        <v>2895</v>
      </c>
      <c r="AK12" s="10">
        <v>2580</v>
      </c>
      <c r="AL12" s="10"/>
      <c r="AM12" s="33"/>
      <c r="AN12" s="10"/>
      <c r="AO12" s="10"/>
      <c r="AP12" s="10"/>
      <c r="AQ12" s="10"/>
      <c r="AR12" s="10"/>
      <c r="AS12" s="10"/>
      <c r="AT12" s="10"/>
      <c r="AU12" s="10"/>
      <c r="AV12" s="10"/>
      <c r="AW12" s="10"/>
      <c r="AX12" s="10">
        <f t="shared" ref="AX12" si="53">AX13*AX19</f>
        <v>0</v>
      </c>
      <c r="AY12" s="10">
        <f t="shared" ref="AY12" si="54">AY13*AY19</f>
        <v>0</v>
      </c>
      <c r="AZ12" s="10">
        <f t="shared" ref="AZ12" si="55">AZ13*AZ19</f>
        <v>0</v>
      </c>
      <c r="BA12" s="10">
        <f t="shared" ref="BA12" si="56">BA13*BA19</f>
        <v>0</v>
      </c>
      <c r="BB12" s="10">
        <f t="shared" ref="BB12" si="57">BB13*BB19</f>
        <v>11007.800000000001</v>
      </c>
      <c r="BC12" s="10">
        <f t="shared" ref="BC12" si="58">BC13*BC19</f>
        <v>10570.34</v>
      </c>
      <c r="BD12" s="33">
        <f t="shared" ref="BD12" si="59">BD13*BD19</f>
        <v>12000.1</v>
      </c>
      <c r="BE12" s="10">
        <f t="shared" ref="BE12" si="60">BE13*BE19</f>
        <v>16984.23</v>
      </c>
      <c r="BF12" s="10">
        <f t="shared" ref="BF12:BG12" si="61">BF13*BF19</f>
        <v>17536.7</v>
      </c>
      <c r="BG12" s="10">
        <f t="shared" si="61"/>
        <v>16761.079999999998</v>
      </c>
      <c r="BH12" s="10">
        <f>BH13*BH19</f>
        <v>16265.7</v>
      </c>
      <c r="BI12" s="10">
        <f>BI13*0.63</f>
        <v>15078.42</v>
      </c>
      <c r="BJ12" s="10">
        <f>BJ13*0.6</f>
        <v>13178.4</v>
      </c>
      <c r="BK12" s="10">
        <f>BK13*0.49</f>
        <v>10134.67</v>
      </c>
      <c r="BL12" s="10">
        <v>7633</v>
      </c>
      <c r="BM12" s="10">
        <v>10304</v>
      </c>
      <c r="BN12" s="33">
        <v>8594</v>
      </c>
      <c r="BO12" s="10">
        <v>10397</v>
      </c>
      <c r="BP12" s="10">
        <v>11222</v>
      </c>
      <c r="BQ12" s="10"/>
    </row>
    <row r="13" spans="2:77" s="5" customFormat="1">
      <c r="B13" s="5" t="s">
        <v>57</v>
      </c>
      <c r="C13" s="17">
        <f t="shared" ref="C13:AF13" si="62">C12+C11</f>
        <v>0</v>
      </c>
      <c r="D13" s="17">
        <f t="shared" si="62"/>
        <v>0</v>
      </c>
      <c r="E13" s="17">
        <f t="shared" si="62"/>
        <v>0</v>
      </c>
      <c r="F13" s="17">
        <f t="shared" si="62"/>
        <v>0</v>
      </c>
      <c r="G13" s="17">
        <f t="shared" si="62"/>
        <v>0</v>
      </c>
      <c r="H13" s="17">
        <f t="shared" si="62"/>
        <v>0</v>
      </c>
      <c r="I13" s="17">
        <f t="shared" si="62"/>
        <v>0</v>
      </c>
      <c r="J13" s="17">
        <f t="shared" si="62"/>
        <v>0</v>
      </c>
      <c r="K13" s="17">
        <f t="shared" si="62"/>
        <v>0</v>
      </c>
      <c r="L13" s="17">
        <f t="shared" si="62"/>
        <v>0</v>
      </c>
      <c r="M13" s="17">
        <f t="shared" si="62"/>
        <v>0</v>
      </c>
      <c r="N13" s="17">
        <f t="shared" si="62"/>
        <v>0</v>
      </c>
      <c r="O13" s="17">
        <f t="shared" si="62"/>
        <v>0</v>
      </c>
      <c r="P13" s="17">
        <f t="shared" si="62"/>
        <v>0</v>
      </c>
      <c r="Q13" s="17">
        <f t="shared" si="62"/>
        <v>0</v>
      </c>
      <c r="R13" s="17">
        <f t="shared" si="62"/>
        <v>0</v>
      </c>
      <c r="S13" s="17">
        <f t="shared" si="62"/>
        <v>0</v>
      </c>
      <c r="T13" s="17">
        <f t="shared" si="62"/>
        <v>0</v>
      </c>
      <c r="U13" s="17">
        <f t="shared" si="62"/>
        <v>0</v>
      </c>
      <c r="V13" s="17">
        <f t="shared" si="62"/>
        <v>0</v>
      </c>
      <c r="W13" s="34">
        <f t="shared" si="62"/>
        <v>6049</v>
      </c>
      <c r="X13" s="17">
        <f t="shared" si="62"/>
        <v>6894</v>
      </c>
      <c r="Y13" s="17">
        <f t="shared" si="62"/>
        <v>6417</v>
      </c>
      <c r="Z13" s="17">
        <f t="shared" si="62"/>
        <v>0</v>
      </c>
      <c r="AA13" s="34">
        <f t="shared" si="62"/>
        <v>5794</v>
      </c>
      <c r="AB13" s="17">
        <f t="shared" si="62"/>
        <v>4567</v>
      </c>
      <c r="AC13" s="17">
        <f t="shared" si="62"/>
        <v>5626</v>
      </c>
      <c r="AD13" s="17">
        <f t="shared" si="62"/>
        <v>0</v>
      </c>
      <c r="AE13" s="34">
        <f t="shared" si="62"/>
        <v>6127</v>
      </c>
      <c r="AF13" s="17">
        <f t="shared" si="62"/>
        <v>6797</v>
      </c>
      <c r="AG13" s="17">
        <f>AG12+AG11</f>
        <v>6624</v>
      </c>
      <c r="AH13" s="17">
        <f t="shared" ref="AH13" si="63">AH12+AH11</f>
        <v>0</v>
      </c>
      <c r="AI13" s="34">
        <f t="shared" ref="AI13" si="64">AI12+AI11</f>
        <v>6968</v>
      </c>
      <c r="AJ13" s="17">
        <f t="shared" ref="AJ13" si="65">AJ12+AJ11</f>
        <v>7368</v>
      </c>
      <c r="AK13" s="17">
        <f t="shared" ref="AK13" si="66">AK12+AK11</f>
        <v>6919</v>
      </c>
      <c r="AL13" s="17"/>
      <c r="AM13" s="34"/>
      <c r="AN13" s="17"/>
      <c r="AO13" s="17"/>
      <c r="AP13" s="17"/>
      <c r="AQ13" s="17"/>
      <c r="AR13" s="17"/>
      <c r="AS13" s="17"/>
      <c r="AT13" s="17"/>
      <c r="AU13" s="17"/>
      <c r="AV13" s="17"/>
      <c r="AW13" s="17"/>
      <c r="AX13" s="17"/>
      <c r="AY13" s="17"/>
      <c r="AZ13" s="17">
        <v>17426</v>
      </c>
      <c r="BA13" s="17">
        <v>21301</v>
      </c>
      <c r="BB13" s="17">
        <v>23930</v>
      </c>
      <c r="BC13" s="17">
        <v>22979</v>
      </c>
      <c r="BD13" s="34">
        <v>24490</v>
      </c>
      <c r="BE13" s="17">
        <v>27843</v>
      </c>
      <c r="BF13" s="17">
        <v>28285</v>
      </c>
      <c r="BG13" s="17">
        <v>27034</v>
      </c>
      <c r="BH13" s="17">
        <v>26235</v>
      </c>
      <c r="BI13" s="17">
        <v>23934</v>
      </c>
      <c r="BJ13" s="17">
        <v>21964</v>
      </c>
      <c r="BK13" s="17">
        <v>20683</v>
      </c>
      <c r="BL13" s="17">
        <f>SUM(BL11:BL12)</f>
        <v>22956</v>
      </c>
      <c r="BM13" s="17">
        <f>SUM(BM11:BM12)</f>
        <v>25551</v>
      </c>
      <c r="BN13" s="34">
        <f>SUM(BN11:BN12)</f>
        <v>21733</v>
      </c>
      <c r="BO13" s="17">
        <f t="shared" ref="BO13:BQ13" si="67">SUM(BO11:BO12)</f>
        <v>25645</v>
      </c>
      <c r="BP13" s="17">
        <f t="shared" si="67"/>
        <v>27591</v>
      </c>
      <c r="BQ13" s="17">
        <f t="shared" si="67"/>
        <v>0</v>
      </c>
    </row>
    <row r="14" spans="2:77" s="8" customFormat="1">
      <c r="B14" s="8" t="s">
        <v>58</v>
      </c>
      <c r="C14" s="20"/>
      <c r="D14" s="20"/>
      <c r="E14" s="20"/>
      <c r="F14" s="20"/>
      <c r="G14" s="20"/>
      <c r="H14" s="20"/>
      <c r="I14" s="20"/>
      <c r="J14" s="20"/>
      <c r="K14" s="20"/>
      <c r="L14" s="20"/>
      <c r="M14" s="20"/>
      <c r="N14" s="20"/>
      <c r="O14" s="20"/>
      <c r="P14" s="20"/>
      <c r="Q14" s="20"/>
      <c r="R14" s="20"/>
      <c r="S14" s="20"/>
      <c r="T14" s="20"/>
      <c r="U14" s="20"/>
      <c r="V14" s="20"/>
      <c r="W14" s="36"/>
      <c r="X14" s="20"/>
      <c r="Y14" s="20"/>
      <c r="Z14" s="20"/>
      <c r="AA14" s="36"/>
      <c r="AB14" s="20"/>
      <c r="AC14" s="20"/>
      <c r="AD14" s="20"/>
      <c r="AE14" s="36"/>
      <c r="AF14" s="20"/>
      <c r="AG14" s="20"/>
      <c r="AH14" s="20"/>
      <c r="AI14" s="36"/>
      <c r="AJ14" s="20"/>
      <c r="AK14" s="20"/>
      <c r="AL14" s="20"/>
      <c r="AM14" s="36"/>
      <c r="AN14" s="20"/>
      <c r="AO14" s="20"/>
      <c r="AP14" s="20"/>
      <c r="AQ14" s="20"/>
      <c r="AR14" s="20"/>
      <c r="AS14" s="20"/>
      <c r="AT14" s="20"/>
      <c r="AU14" s="20"/>
      <c r="AV14" s="20"/>
      <c r="AW14" s="20"/>
      <c r="AX14" s="20"/>
      <c r="AY14" s="20"/>
      <c r="AZ14" s="20"/>
      <c r="BA14" s="20"/>
      <c r="BB14" s="20"/>
      <c r="BC14" s="20"/>
      <c r="BD14" s="36"/>
      <c r="BE14" s="20"/>
      <c r="BF14" s="20"/>
      <c r="BG14" s="20"/>
      <c r="BH14" s="20"/>
      <c r="BI14" s="20"/>
      <c r="BJ14" s="20"/>
      <c r="BK14" s="20"/>
      <c r="BL14" s="20"/>
      <c r="BM14" s="20"/>
      <c r="BN14" s="36"/>
      <c r="BO14" s="20"/>
      <c r="BP14" s="20"/>
      <c r="BQ14" s="20"/>
    </row>
    <row r="15" spans="2:77">
      <c r="B15" t="s">
        <v>53</v>
      </c>
      <c r="C15" s="9">
        <f>C11+C7</f>
        <v>0</v>
      </c>
      <c r="D15" s="9">
        <f>D11+D7</f>
        <v>0</v>
      </c>
      <c r="E15" s="9">
        <f>E11+E7</f>
        <v>0</v>
      </c>
      <c r="F15" s="9">
        <f>F11+F7</f>
        <v>0</v>
      </c>
      <c r="G15" s="9">
        <f>G11+G7</f>
        <v>0</v>
      </c>
      <c r="H15" s="9">
        <f>H11+H7</f>
        <v>0</v>
      </c>
      <c r="I15" s="9">
        <f>I11+I7</f>
        <v>0</v>
      </c>
      <c r="J15" s="9">
        <f>J11+J7</f>
        <v>0</v>
      </c>
      <c r="K15" s="9">
        <f>K11+K7</f>
        <v>0</v>
      </c>
      <c r="L15" s="9">
        <f>L11+L7</f>
        <v>0</v>
      </c>
      <c r="M15" s="9">
        <f>M11+M7</f>
        <v>0</v>
      </c>
      <c r="N15" s="9">
        <f>N11+N7</f>
        <v>0</v>
      </c>
      <c r="O15" s="9">
        <f>O11+O7</f>
        <v>0</v>
      </c>
      <c r="P15" s="9">
        <f>P11+P7</f>
        <v>0</v>
      </c>
      <c r="Q15" s="9">
        <f>Q11+Q7</f>
        <v>0</v>
      </c>
      <c r="R15" s="9">
        <f>R11+R7</f>
        <v>0</v>
      </c>
      <c r="S15" s="9">
        <f>S11+S7</f>
        <v>0</v>
      </c>
      <c r="T15" s="9">
        <f>T11+T7</f>
        <v>0</v>
      </c>
      <c r="U15" s="9">
        <f>U11+U7</f>
        <v>0</v>
      </c>
      <c r="V15" s="9">
        <f>V11+V7</f>
        <v>0</v>
      </c>
      <c r="W15" s="32">
        <f>W11+W7</f>
        <v>4778</v>
      </c>
      <c r="X15" s="9">
        <f>X11+X7</f>
        <v>5578</v>
      </c>
      <c r="Y15" s="9">
        <f>Y11+Y7</f>
        <v>5440</v>
      </c>
      <c r="Z15" s="9">
        <f>Z11+Z7</f>
        <v>0</v>
      </c>
      <c r="AA15" s="32">
        <f>AA11+AA7</f>
        <v>4789</v>
      </c>
      <c r="AB15" s="9">
        <f>AB11+AB7</f>
        <v>4215</v>
      </c>
      <c r="AC15" s="9">
        <f>AC11+AC7</f>
        <v>5079</v>
      </c>
      <c r="AD15" s="9">
        <f>AD11+AD7</f>
        <v>0</v>
      </c>
      <c r="AE15" s="32">
        <f>AE11+AE7</f>
        <v>4982</v>
      </c>
      <c r="AF15" s="9">
        <f>AF11+AF7</f>
        <v>5994</v>
      </c>
      <c r="AG15" s="9">
        <f>AG11+AG7</f>
        <v>5871</v>
      </c>
      <c r="AH15" s="9">
        <f>AH11+AH7</f>
        <v>0</v>
      </c>
      <c r="AI15" s="32">
        <f>AI11+AI7</f>
        <v>5724</v>
      </c>
      <c r="AJ15" s="9">
        <f>AJ11+AJ7</f>
        <v>6365</v>
      </c>
      <c r="AK15" s="9">
        <f>AK11+AK7</f>
        <v>6574</v>
      </c>
      <c r="AL15" s="9"/>
      <c r="AM15" s="32"/>
      <c r="AN15" s="9"/>
      <c r="AO15" s="9"/>
      <c r="AP15" s="9"/>
      <c r="AQ15" s="9"/>
      <c r="AR15" s="9"/>
      <c r="AS15" s="9"/>
      <c r="AT15" s="9"/>
      <c r="AU15" s="9"/>
      <c r="AV15" s="9"/>
      <c r="AW15" s="9"/>
      <c r="AX15" s="9">
        <f t="shared" ref="AX15:BC15" si="68">AX11+AX7</f>
        <v>0</v>
      </c>
      <c r="AY15" s="9">
        <f t="shared" si="68"/>
        <v>0</v>
      </c>
      <c r="AZ15" s="9">
        <f t="shared" si="68"/>
        <v>0</v>
      </c>
      <c r="BA15" s="9">
        <f t="shared" si="68"/>
        <v>0</v>
      </c>
      <c r="BB15" s="9">
        <f t="shared" si="68"/>
        <v>17249.760000000002</v>
      </c>
      <c r="BC15" s="9">
        <f t="shared" si="68"/>
        <v>16734.600000000002</v>
      </c>
      <c r="BD15" s="32">
        <f t="shared" ref="BD15:BE15" si="69">BD11+BD7</f>
        <v>17910.689999999999</v>
      </c>
      <c r="BE15" s="9">
        <f t="shared" si="69"/>
        <v>18151.38</v>
      </c>
      <c r="BF15" s="9">
        <f>BF11+BF7</f>
        <v>18246.46</v>
      </c>
      <c r="BG15" s="9">
        <f t="shared" ref="BG15:BK15" si="70">BG11+BG7</f>
        <v>17804.52</v>
      </c>
      <c r="BH15" s="9">
        <f t="shared" si="70"/>
        <v>17479.239999999998</v>
      </c>
      <c r="BI15" s="9">
        <f t="shared" si="70"/>
        <v>16388.78</v>
      </c>
      <c r="BJ15" s="9">
        <f t="shared" si="70"/>
        <v>16745.2</v>
      </c>
      <c r="BK15" s="9">
        <f t="shared" si="70"/>
        <v>18059.099999999999</v>
      </c>
      <c r="BL15" s="9">
        <f>BL11+BL7</f>
        <v>19894</v>
      </c>
      <c r="BM15" s="9">
        <f t="shared" ref="BM15:BQ15" si="71">BM11+BM7</f>
        <v>20499</v>
      </c>
      <c r="BN15" s="32">
        <f t="shared" si="71"/>
        <v>18582</v>
      </c>
      <c r="BO15" s="9">
        <f t="shared" si="71"/>
        <v>21799</v>
      </c>
      <c r="BP15" s="9">
        <f t="shared" si="71"/>
        <v>24071</v>
      </c>
      <c r="BQ15" s="9">
        <f t="shared" si="71"/>
        <v>0</v>
      </c>
    </row>
    <row r="16" spans="2:77" s="6" customFormat="1">
      <c r="B16" s="6" t="s">
        <v>54</v>
      </c>
      <c r="C16" s="10">
        <f>C12+C8</f>
        <v>0</v>
      </c>
      <c r="D16" s="10">
        <f>D12+D8</f>
        <v>0</v>
      </c>
      <c r="E16" s="10">
        <f>E12+E8</f>
        <v>0</v>
      </c>
      <c r="F16" s="10">
        <f>F12+F8</f>
        <v>0</v>
      </c>
      <c r="G16" s="10">
        <f>G12+G8</f>
        <v>0</v>
      </c>
      <c r="H16" s="10">
        <f>H12+H8</f>
        <v>0</v>
      </c>
      <c r="I16" s="10">
        <f>I12+I8</f>
        <v>0</v>
      </c>
      <c r="J16" s="10">
        <f>J12+J8</f>
        <v>0</v>
      </c>
      <c r="K16" s="10">
        <f>K12+K8</f>
        <v>0</v>
      </c>
      <c r="L16" s="10">
        <f>L12+L8</f>
        <v>0</v>
      </c>
      <c r="M16" s="10">
        <f>M12+M8</f>
        <v>0</v>
      </c>
      <c r="N16" s="10">
        <f>N12+N8</f>
        <v>0</v>
      </c>
      <c r="O16" s="10">
        <f>O12+O8</f>
        <v>0</v>
      </c>
      <c r="P16" s="10">
        <f>P12+P8</f>
        <v>0</v>
      </c>
      <c r="Q16" s="10">
        <f>Q12+Q8</f>
        <v>0</v>
      </c>
      <c r="R16" s="10">
        <f>R12+R8</f>
        <v>0</v>
      </c>
      <c r="S16" s="10">
        <f>S12+S8</f>
        <v>0</v>
      </c>
      <c r="T16" s="10">
        <f>T12+T8</f>
        <v>0</v>
      </c>
      <c r="U16" s="10">
        <f>U12+U8</f>
        <v>0</v>
      </c>
      <c r="V16" s="10">
        <f>V12+V8</f>
        <v>0</v>
      </c>
      <c r="W16" s="33">
        <f>W12+W8</f>
        <v>3916</v>
      </c>
      <c r="X16" s="10">
        <f>X12+X8</f>
        <v>4419</v>
      </c>
      <c r="Y16" s="10">
        <f>Y12+Y8</f>
        <v>4067</v>
      </c>
      <c r="Z16" s="10">
        <f>Z12+Z8</f>
        <v>0</v>
      </c>
      <c r="AA16" s="33">
        <f>AA12+AA8</f>
        <v>3812</v>
      </c>
      <c r="AB16" s="10">
        <f>AB12+AB8</f>
        <v>2935</v>
      </c>
      <c r="AC16" s="10">
        <f>AC12+AC8</f>
        <v>3573</v>
      </c>
      <c r="AD16" s="10">
        <f>AD12+AD8</f>
        <v>0</v>
      </c>
      <c r="AE16" s="33">
        <f>AE12+AE8</f>
        <v>4038</v>
      </c>
      <c r="AF16" s="10">
        <f>AF12+AF8</f>
        <v>4135</v>
      </c>
      <c r="AG16" s="10">
        <f>AG12+AG8</f>
        <v>4171</v>
      </c>
      <c r="AH16" s="10">
        <f>AH12+AH8</f>
        <v>0</v>
      </c>
      <c r="AI16" s="33">
        <f>AI12+AI8</f>
        <v>4767</v>
      </c>
      <c r="AJ16" s="10">
        <f>AJ12+AJ8</f>
        <v>4960</v>
      </c>
      <c r="AK16" s="10">
        <f>AK12+AK8</f>
        <v>4489</v>
      </c>
      <c r="AL16" s="10"/>
      <c r="AM16" s="33"/>
      <c r="AN16" s="10"/>
      <c r="AO16" s="10"/>
      <c r="AP16" s="10"/>
      <c r="AQ16" s="10"/>
      <c r="AR16" s="10"/>
      <c r="AS16" s="10"/>
      <c r="AT16" s="10"/>
      <c r="AU16" s="10"/>
      <c r="AV16" s="10"/>
      <c r="AW16" s="10"/>
      <c r="AX16" s="10">
        <f t="shared" ref="AX16:BC16" si="72">AX12+AX8</f>
        <v>0</v>
      </c>
      <c r="AY16" s="10">
        <f t="shared" si="72"/>
        <v>0</v>
      </c>
      <c r="AZ16" s="10">
        <f t="shared" si="72"/>
        <v>0</v>
      </c>
      <c r="BA16" s="10">
        <f t="shared" si="72"/>
        <v>0</v>
      </c>
      <c r="BB16" s="10">
        <f t="shared" si="72"/>
        <v>14694.240000000002</v>
      </c>
      <c r="BC16" s="10">
        <f t="shared" si="72"/>
        <v>14255.4</v>
      </c>
      <c r="BD16" s="33">
        <f t="shared" ref="BD16:BE16" si="73">BD12+BD8</f>
        <v>17208.310000000001</v>
      </c>
      <c r="BE16" s="10">
        <f t="shared" si="73"/>
        <v>28390.62</v>
      </c>
      <c r="BF16" s="10">
        <f>BF12+BF8</f>
        <v>29770.54</v>
      </c>
      <c r="BG16" s="10">
        <f t="shared" ref="BG16:BK16" si="74">BG12+BG8</f>
        <v>29049.479999999996</v>
      </c>
      <c r="BH16" s="10">
        <f t="shared" si="74"/>
        <v>28518.760000000002</v>
      </c>
      <c r="BI16" s="10">
        <f t="shared" si="74"/>
        <v>27905.22</v>
      </c>
      <c r="BJ16" s="10">
        <f t="shared" si="74"/>
        <v>25117.8</v>
      </c>
      <c r="BK16" s="10">
        <f t="shared" si="74"/>
        <v>17350.900000000001</v>
      </c>
      <c r="BL16" s="10">
        <f>BL12+BL8</f>
        <v>14406</v>
      </c>
      <c r="BM16" s="10">
        <f t="shared" ref="BM16:BQ16" si="75">BM12+BM8</f>
        <v>16767</v>
      </c>
      <c r="BN16" s="33">
        <f t="shared" si="75"/>
        <v>14432</v>
      </c>
      <c r="BO16" s="10">
        <f t="shared" si="75"/>
        <v>16856</v>
      </c>
      <c r="BP16" s="10">
        <f t="shared" si="75"/>
        <v>18933</v>
      </c>
      <c r="BQ16" s="10">
        <f t="shared" si="75"/>
        <v>0</v>
      </c>
    </row>
    <row r="17" spans="2:69" s="5" customFormat="1">
      <c r="B17" s="5" t="s">
        <v>58</v>
      </c>
      <c r="C17" s="17">
        <f t="shared" ref="C17:AJ17" si="76">C15+C16</f>
        <v>0</v>
      </c>
      <c r="D17" s="17">
        <f t="shared" si="76"/>
        <v>0</v>
      </c>
      <c r="E17" s="17">
        <f t="shared" si="76"/>
        <v>0</v>
      </c>
      <c r="F17" s="17">
        <f t="shared" si="76"/>
        <v>0</v>
      </c>
      <c r="G17" s="17">
        <f t="shared" si="76"/>
        <v>0</v>
      </c>
      <c r="H17" s="17">
        <f t="shared" si="76"/>
        <v>0</v>
      </c>
      <c r="I17" s="17">
        <f t="shared" si="76"/>
        <v>0</v>
      </c>
      <c r="J17" s="17">
        <f t="shared" si="76"/>
        <v>0</v>
      </c>
      <c r="K17" s="17">
        <f t="shared" si="76"/>
        <v>0</v>
      </c>
      <c r="L17" s="17">
        <f t="shared" si="76"/>
        <v>0</v>
      </c>
      <c r="M17" s="17">
        <f t="shared" si="76"/>
        <v>0</v>
      </c>
      <c r="N17" s="17">
        <f t="shared" si="76"/>
        <v>0</v>
      </c>
      <c r="O17" s="17">
        <f t="shared" si="76"/>
        <v>0</v>
      </c>
      <c r="P17" s="17">
        <f t="shared" si="76"/>
        <v>0</v>
      </c>
      <c r="Q17" s="17">
        <f t="shared" si="76"/>
        <v>0</v>
      </c>
      <c r="R17" s="17">
        <f t="shared" si="76"/>
        <v>0</v>
      </c>
      <c r="S17" s="17">
        <f t="shared" si="76"/>
        <v>0</v>
      </c>
      <c r="T17" s="17">
        <f t="shared" si="76"/>
        <v>0</v>
      </c>
      <c r="U17" s="17">
        <f t="shared" si="76"/>
        <v>0</v>
      </c>
      <c r="V17" s="17">
        <f t="shared" si="76"/>
        <v>0</v>
      </c>
      <c r="W17" s="34">
        <f t="shared" si="76"/>
        <v>8694</v>
      </c>
      <c r="X17" s="17">
        <f t="shared" si="76"/>
        <v>9997</v>
      </c>
      <c r="Y17" s="17">
        <f t="shared" si="76"/>
        <v>9507</v>
      </c>
      <c r="Z17" s="17">
        <f t="shared" si="76"/>
        <v>0</v>
      </c>
      <c r="AA17" s="34">
        <f t="shared" si="76"/>
        <v>8601</v>
      </c>
      <c r="AB17" s="17">
        <f t="shared" si="76"/>
        <v>7150</v>
      </c>
      <c r="AC17" s="17">
        <f t="shared" si="76"/>
        <v>8652</v>
      </c>
      <c r="AD17" s="17">
        <f t="shared" si="76"/>
        <v>0</v>
      </c>
      <c r="AE17" s="34">
        <f t="shared" si="76"/>
        <v>9020</v>
      </c>
      <c r="AF17" s="17">
        <f t="shared" si="76"/>
        <v>10129</v>
      </c>
      <c r="AG17" s="17">
        <f t="shared" si="76"/>
        <v>10042</v>
      </c>
      <c r="AH17" s="17">
        <f t="shared" si="76"/>
        <v>0</v>
      </c>
      <c r="AI17" s="34">
        <f t="shared" si="76"/>
        <v>10491</v>
      </c>
      <c r="AJ17" s="17">
        <f t="shared" si="76"/>
        <v>11325</v>
      </c>
      <c r="AK17" s="17">
        <f>AK15+AK16</f>
        <v>11063</v>
      </c>
      <c r="AL17" s="17">
        <f>AL15+AL16</f>
        <v>0</v>
      </c>
      <c r="AM17" s="34"/>
      <c r="AN17" s="17"/>
      <c r="AO17" s="17"/>
      <c r="AP17" s="17"/>
      <c r="AQ17" s="17"/>
      <c r="AR17" s="17"/>
      <c r="AS17" s="17"/>
      <c r="AT17" s="17"/>
      <c r="AU17" s="17"/>
      <c r="AV17" s="17"/>
      <c r="AW17" s="17"/>
      <c r="AX17" s="17">
        <f t="shared" ref="AX17" si="77">SUM(AX15:AX16)</f>
        <v>0</v>
      </c>
      <c r="AY17" s="17">
        <f t="shared" ref="AY17" si="78">SUM(AY15:AY16)</f>
        <v>0</v>
      </c>
      <c r="AZ17" s="17">
        <f t="shared" ref="AZ17" si="79">SUM(AZ15:AZ16)</f>
        <v>0</v>
      </c>
      <c r="BA17" s="17">
        <f t="shared" ref="BA17" si="80">SUM(BA15:BA16)</f>
        <v>0</v>
      </c>
      <c r="BB17" s="17">
        <f t="shared" ref="BB17" si="81">SUM(BB15:BB16)</f>
        <v>31944.000000000004</v>
      </c>
      <c r="BC17" s="17">
        <f t="shared" ref="BC17" si="82">SUM(BC15:BC16)</f>
        <v>30990</v>
      </c>
      <c r="BD17" s="34">
        <f t="shared" ref="BD17:BE17" si="83">SUM(BD15:BD16)</f>
        <v>35119</v>
      </c>
      <c r="BE17" s="17">
        <f t="shared" si="83"/>
        <v>46542</v>
      </c>
      <c r="BF17" s="17">
        <f>SUM(BF15:BF16)</f>
        <v>48017</v>
      </c>
      <c r="BG17" s="17">
        <f t="shared" ref="BG17:BK17" si="84">SUM(BG15:BG16)</f>
        <v>46854</v>
      </c>
      <c r="BH17" s="17">
        <f t="shared" si="84"/>
        <v>45998</v>
      </c>
      <c r="BI17" s="17">
        <f t="shared" si="84"/>
        <v>44294</v>
      </c>
      <c r="BJ17" s="17">
        <f t="shared" si="84"/>
        <v>41863</v>
      </c>
      <c r="BK17" s="17">
        <f t="shared" si="84"/>
        <v>35410</v>
      </c>
      <c r="BL17" s="17">
        <f>SUM(BL15:BL16)</f>
        <v>34300</v>
      </c>
      <c r="BM17" s="17">
        <f t="shared" ref="BM17:BQ17" si="85">SUM(BM15:BM16)</f>
        <v>37266</v>
      </c>
      <c r="BN17" s="34">
        <f t="shared" si="85"/>
        <v>33014</v>
      </c>
      <c r="BO17" s="17">
        <f t="shared" si="85"/>
        <v>38655</v>
      </c>
      <c r="BP17" s="17">
        <f t="shared" si="85"/>
        <v>43004</v>
      </c>
      <c r="BQ17" s="17">
        <f t="shared" si="85"/>
        <v>0</v>
      </c>
    </row>
    <row r="18" spans="2:69" s="3" customFormat="1">
      <c r="B18" s="3" t="s">
        <v>59</v>
      </c>
      <c r="W18" s="37"/>
      <c r="AA18" s="37"/>
      <c r="AE18" s="37"/>
      <c r="AI18" s="37"/>
      <c r="AM18" s="37"/>
      <c r="BB18" s="3">
        <v>0.54</v>
      </c>
      <c r="BC18" s="3">
        <v>0.54</v>
      </c>
      <c r="BD18" s="37">
        <v>0.51</v>
      </c>
      <c r="BE18" s="3">
        <v>0.39</v>
      </c>
      <c r="BF18" s="3">
        <v>0.38</v>
      </c>
      <c r="BG18" s="3">
        <v>0.38</v>
      </c>
      <c r="BH18" s="3">
        <v>0.38</v>
      </c>
      <c r="BI18" s="3">
        <f t="shared" ref="BG18:BO18" si="86">BI15/BI17</f>
        <v>0.37</v>
      </c>
      <c r="BJ18" s="3">
        <f t="shared" si="86"/>
        <v>0.4</v>
      </c>
      <c r="BK18" s="3">
        <f t="shared" si="86"/>
        <v>0.51</v>
      </c>
      <c r="BL18" s="3">
        <f t="shared" si="86"/>
        <v>0.57999999999999996</v>
      </c>
      <c r="BM18" s="3">
        <f t="shared" si="86"/>
        <v>0.55007245210111089</v>
      </c>
      <c r="BN18" s="37">
        <f t="shared" si="86"/>
        <v>0.56285212334161261</v>
      </c>
      <c r="BO18" s="3">
        <f t="shared" si="86"/>
        <v>0.5639373949036347</v>
      </c>
      <c r="BP18" s="3">
        <f>BP15/BP17</f>
        <v>0.55973862896474746</v>
      </c>
    </row>
    <row r="19" spans="2:69" s="26" customFormat="1">
      <c r="B19" s="26" t="s">
        <v>60</v>
      </c>
      <c r="W19" s="38"/>
      <c r="AA19" s="38"/>
      <c r="AE19" s="38"/>
      <c r="AI19" s="38"/>
      <c r="AM19" s="38"/>
      <c r="BB19" s="26">
        <v>0.46</v>
      </c>
      <c r="BC19" s="26">
        <v>0.46</v>
      </c>
      <c r="BD19" s="38">
        <v>0.49</v>
      </c>
      <c r="BE19" s="26">
        <v>0.61</v>
      </c>
      <c r="BF19" s="26">
        <v>0.62</v>
      </c>
      <c r="BG19" s="26">
        <v>0.62</v>
      </c>
      <c r="BH19" s="26">
        <v>0.62</v>
      </c>
      <c r="BI19" s="26">
        <f t="shared" ref="BG19:BO19" si="87">BI16/BI17</f>
        <v>0.63</v>
      </c>
      <c r="BJ19" s="26">
        <f t="shared" si="87"/>
        <v>0.6</v>
      </c>
      <c r="BK19" s="26">
        <f t="shared" si="87"/>
        <v>0.49000000000000005</v>
      </c>
      <c r="BL19" s="26">
        <f t="shared" si="87"/>
        <v>0.42</v>
      </c>
      <c r="BM19" s="26">
        <f t="shared" si="87"/>
        <v>0.44992754789888906</v>
      </c>
      <c r="BN19" s="38">
        <f t="shared" si="87"/>
        <v>0.43714787665838734</v>
      </c>
      <c r="BO19" s="26">
        <f t="shared" si="87"/>
        <v>0.4360626050963653</v>
      </c>
      <c r="BP19" s="26">
        <f>BP16/BP17</f>
        <v>0.44026137103525254</v>
      </c>
    </row>
    <row r="20" spans="2:69" s="27" customFormat="1">
      <c r="W20" s="39"/>
      <c r="AA20" s="39"/>
      <c r="AE20" s="39"/>
      <c r="AI20" s="39"/>
      <c r="AM20" s="39"/>
      <c r="AZ20" s="27">
        <f t="shared" ref="AZ20:BE20" si="88">SUM(AZ18:AZ19)</f>
        <v>0</v>
      </c>
      <c r="BA20" s="27">
        <f t="shared" si="88"/>
        <v>0</v>
      </c>
      <c r="BB20" s="27">
        <f t="shared" si="88"/>
        <v>1</v>
      </c>
      <c r="BC20" s="27">
        <f t="shared" si="88"/>
        <v>1</v>
      </c>
      <c r="BD20" s="39">
        <f t="shared" si="88"/>
        <v>1</v>
      </c>
      <c r="BE20" s="27">
        <f t="shared" si="88"/>
        <v>1</v>
      </c>
      <c r="BF20" s="27">
        <f>SUM(BF18:BF19)</f>
        <v>1</v>
      </c>
      <c r="BG20" s="27">
        <f t="shared" ref="BG20:BO20" si="89">SUM(BG18:BG19)</f>
        <v>1</v>
      </c>
      <c r="BH20" s="27">
        <f t="shared" si="89"/>
        <v>1</v>
      </c>
      <c r="BI20" s="27">
        <f t="shared" si="89"/>
        <v>1</v>
      </c>
      <c r="BJ20" s="27">
        <f t="shared" si="89"/>
        <v>1</v>
      </c>
      <c r="BK20" s="27">
        <f t="shared" si="89"/>
        <v>1</v>
      </c>
      <c r="BL20" s="27">
        <f t="shared" si="89"/>
        <v>1</v>
      </c>
      <c r="BM20" s="27">
        <f t="shared" si="89"/>
        <v>1</v>
      </c>
      <c r="BN20" s="39">
        <f t="shared" si="89"/>
        <v>1</v>
      </c>
      <c r="BO20" s="27">
        <f t="shared" si="89"/>
        <v>1</v>
      </c>
      <c r="BP20" s="27">
        <f>SUM(BP18:BP19)</f>
        <v>1</v>
      </c>
    </row>
    <row r="21" spans="2:69" s="13" customFormat="1">
      <c r="B21" s="13" t="s">
        <v>61</v>
      </c>
      <c r="C21" s="19"/>
      <c r="D21" s="19"/>
      <c r="E21" s="19"/>
      <c r="F21" s="19"/>
      <c r="G21" s="19"/>
      <c r="H21" s="19"/>
      <c r="I21" s="19"/>
      <c r="J21" s="19"/>
      <c r="K21" s="19"/>
      <c r="L21" s="19"/>
      <c r="M21" s="19"/>
      <c r="N21" s="19"/>
      <c r="O21" s="19"/>
      <c r="P21" s="19"/>
      <c r="Q21" s="19"/>
      <c r="R21" s="19"/>
      <c r="S21" s="19"/>
      <c r="T21" s="19"/>
      <c r="U21" s="19"/>
      <c r="V21" s="19"/>
      <c r="W21" s="35"/>
      <c r="X21" s="19"/>
      <c r="Y21" s="19"/>
      <c r="Z21" s="19"/>
      <c r="AA21" s="35"/>
      <c r="AB21" s="19"/>
      <c r="AC21" s="19"/>
      <c r="AD21" s="19"/>
      <c r="AE21" s="35"/>
      <c r="AF21" s="19"/>
      <c r="AG21" s="19"/>
      <c r="AH21" s="19"/>
      <c r="AI21" s="35"/>
      <c r="AJ21" s="19"/>
      <c r="AK21" s="19"/>
      <c r="AL21" s="19"/>
      <c r="AM21" s="35"/>
      <c r="AN21" s="19"/>
      <c r="AO21" s="19"/>
      <c r="AP21" s="19"/>
      <c r="AQ21" s="19"/>
      <c r="AR21" s="19"/>
      <c r="AS21" s="19"/>
      <c r="AT21" s="19"/>
      <c r="AU21" s="19"/>
      <c r="AV21" s="19"/>
      <c r="AW21" s="19"/>
      <c r="AX21" s="19"/>
      <c r="AY21" s="19"/>
      <c r="AZ21" s="19"/>
      <c r="BA21" s="19"/>
      <c r="BB21" s="19"/>
      <c r="BC21" s="19"/>
      <c r="BD21" s="35"/>
      <c r="BE21" s="19"/>
      <c r="BF21" s="19"/>
      <c r="BG21" s="19"/>
      <c r="BH21" s="19"/>
      <c r="BI21" s="19"/>
      <c r="BJ21" s="19"/>
      <c r="BK21" s="19"/>
      <c r="BL21" s="19"/>
      <c r="BM21" s="19"/>
      <c r="BN21" s="35"/>
      <c r="BO21" s="19"/>
      <c r="BP21" s="19"/>
      <c r="BQ21" s="19"/>
    </row>
    <row r="22" spans="2:69">
      <c r="B22" t="s">
        <v>53</v>
      </c>
      <c r="C22" s="9"/>
      <c r="D22" s="9"/>
      <c r="E22" s="9"/>
      <c r="F22" s="9"/>
      <c r="G22" s="9"/>
      <c r="H22" s="9"/>
      <c r="I22" s="9"/>
      <c r="J22" s="9"/>
      <c r="K22" s="9"/>
      <c r="L22" s="9"/>
      <c r="M22" s="9"/>
      <c r="N22" s="9"/>
      <c r="O22" s="9"/>
      <c r="P22" s="9"/>
      <c r="Q22" s="9"/>
      <c r="R22" s="9"/>
      <c r="S22" s="9"/>
      <c r="T22" s="9"/>
      <c r="U22" s="9"/>
      <c r="V22" s="9"/>
      <c r="W22" s="32"/>
      <c r="X22" s="9"/>
      <c r="Y22" s="9"/>
      <c r="Z22" s="9"/>
      <c r="AA22" s="32"/>
      <c r="AB22" s="9"/>
      <c r="AC22" s="9"/>
      <c r="AD22" s="9"/>
      <c r="AE22" s="32"/>
      <c r="AF22" s="9"/>
      <c r="AG22" s="9"/>
      <c r="AH22" s="9"/>
      <c r="AI22" s="32"/>
      <c r="AJ22" s="9"/>
      <c r="AK22" s="9"/>
      <c r="AL22" s="9"/>
      <c r="AM22" s="32"/>
      <c r="AN22" s="9"/>
      <c r="AO22" s="9"/>
      <c r="AP22" s="9"/>
      <c r="AQ22" s="9"/>
      <c r="AR22" s="9"/>
      <c r="AS22" s="9"/>
      <c r="AT22" s="9"/>
      <c r="AU22" s="9"/>
      <c r="AV22" s="9"/>
      <c r="AW22" s="9"/>
      <c r="AX22" s="9"/>
      <c r="AY22" s="9"/>
      <c r="AZ22" s="3">
        <v>0</v>
      </c>
      <c r="BA22" s="3">
        <v>0</v>
      </c>
      <c r="BB22" s="3">
        <v>0.77</v>
      </c>
      <c r="BC22" s="3">
        <v>0.78</v>
      </c>
      <c r="BD22" s="37">
        <v>0.76</v>
      </c>
      <c r="BE22" s="3">
        <v>0.7</v>
      </c>
      <c r="BF22" s="3">
        <v>0.7</v>
      </c>
      <c r="BG22" s="3">
        <v>0.72</v>
      </c>
      <c r="BH22" s="3">
        <v>0.73</v>
      </c>
      <c r="BI22" s="3">
        <v>0.73</v>
      </c>
      <c r="BJ22" s="3">
        <v>0.76</v>
      </c>
      <c r="BK22" s="3">
        <v>0.77</v>
      </c>
      <c r="BL22" s="3">
        <v>0.82</v>
      </c>
      <c r="BM22" s="3">
        <v>0.83</v>
      </c>
      <c r="BN22" s="37">
        <v>0.82</v>
      </c>
      <c r="BO22" s="3">
        <v>0.83</v>
      </c>
      <c r="BP22" s="3">
        <v>0.82</v>
      </c>
      <c r="BQ22" s="3">
        <v>0</v>
      </c>
    </row>
    <row r="23" spans="2:69" s="6" customFormat="1">
      <c r="B23" s="6" t="s">
        <v>54</v>
      </c>
      <c r="C23" s="10"/>
      <c r="D23" s="10"/>
      <c r="E23" s="10"/>
      <c r="F23" s="10"/>
      <c r="G23" s="10"/>
      <c r="H23" s="10"/>
      <c r="I23" s="10"/>
      <c r="J23" s="10"/>
      <c r="K23" s="10"/>
      <c r="L23" s="10"/>
      <c r="M23" s="10"/>
      <c r="N23" s="10"/>
      <c r="O23" s="10"/>
      <c r="P23" s="10"/>
      <c r="Q23" s="10"/>
      <c r="R23" s="10"/>
      <c r="S23" s="10"/>
      <c r="T23" s="10"/>
      <c r="U23" s="10"/>
      <c r="V23" s="10"/>
      <c r="W23" s="33"/>
      <c r="X23" s="10"/>
      <c r="Y23" s="10"/>
      <c r="Z23" s="10"/>
      <c r="AA23" s="33"/>
      <c r="AB23" s="10"/>
      <c r="AC23" s="10"/>
      <c r="AD23" s="10"/>
      <c r="AE23" s="33"/>
      <c r="AF23" s="10"/>
      <c r="AG23" s="10"/>
      <c r="AH23" s="10"/>
      <c r="AI23" s="33"/>
      <c r="AJ23" s="10"/>
      <c r="AK23" s="10"/>
      <c r="AL23" s="10"/>
      <c r="AM23" s="33"/>
      <c r="AN23" s="10"/>
      <c r="AO23" s="10"/>
      <c r="AP23" s="10"/>
      <c r="AQ23" s="10"/>
      <c r="AR23" s="10"/>
      <c r="AS23" s="10"/>
      <c r="AT23" s="10"/>
      <c r="AU23" s="10"/>
      <c r="AV23" s="10"/>
      <c r="AW23" s="10"/>
      <c r="AX23" s="10"/>
      <c r="AY23" s="10"/>
      <c r="AZ23" s="26">
        <v>0</v>
      </c>
      <c r="BA23" s="26">
        <v>0</v>
      </c>
      <c r="BB23" s="26">
        <v>0.23</v>
      </c>
      <c r="BC23" s="26">
        <v>0.22</v>
      </c>
      <c r="BD23" s="38">
        <v>0.24</v>
      </c>
      <c r="BE23" s="26">
        <v>0.3</v>
      </c>
      <c r="BF23" s="26">
        <v>0.3</v>
      </c>
      <c r="BG23" s="26">
        <v>0.28000000000000003</v>
      </c>
      <c r="BH23" s="26">
        <v>0.27</v>
      </c>
      <c r="BI23" s="26">
        <v>0.27</v>
      </c>
      <c r="BJ23" s="26">
        <v>0.24</v>
      </c>
      <c r="BK23" s="26">
        <v>0.23</v>
      </c>
      <c r="BL23" s="26">
        <v>0.18</v>
      </c>
      <c r="BM23" s="26">
        <v>0.17</v>
      </c>
      <c r="BN23" s="38">
        <v>0.18</v>
      </c>
      <c r="BO23" s="26">
        <v>0.17</v>
      </c>
      <c r="BP23" s="26">
        <v>0.18</v>
      </c>
      <c r="BQ23" s="26">
        <v>0</v>
      </c>
    </row>
    <row r="24" spans="2:69" s="5" customFormat="1">
      <c r="B24" s="5" t="s">
        <v>58</v>
      </c>
      <c r="C24" s="17"/>
      <c r="D24" s="17"/>
      <c r="E24" s="17"/>
      <c r="F24" s="17"/>
      <c r="G24" s="17"/>
      <c r="H24" s="17"/>
      <c r="I24" s="17"/>
      <c r="J24" s="17"/>
      <c r="K24" s="17"/>
      <c r="L24" s="17"/>
      <c r="M24" s="17"/>
      <c r="N24" s="17"/>
      <c r="O24" s="17"/>
      <c r="P24" s="17"/>
      <c r="Q24" s="17"/>
      <c r="R24" s="17"/>
      <c r="S24" s="17"/>
      <c r="T24" s="17"/>
      <c r="U24" s="17"/>
      <c r="V24" s="17"/>
      <c r="W24" s="34"/>
      <c r="X24" s="17"/>
      <c r="Y24" s="17"/>
      <c r="Z24" s="17"/>
      <c r="AA24" s="34"/>
      <c r="AB24" s="17"/>
      <c r="AC24" s="17"/>
      <c r="AD24" s="17"/>
      <c r="AE24" s="34"/>
      <c r="AF24" s="17"/>
      <c r="AG24" s="17"/>
      <c r="AH24" s="17"/>
      <c r="AI24" s="34"/>
      <c r="AJ24" s="17"/>
      <c r="AK24" s="17"/>
      <c r="AL24" s="17"/>
      <c r="AM24" s="34"/>
      <c r="AN24" s="17"/>
      <c r="AO24" s="17"/>
      <c r="AP24" s="17"/>
      <c r="AQ24" s="17"/>
      <c r="AR24" s="17"/>
      <c r="AS24" s="17"/>
      <c r="AT24" s="17"/>
      <c r="AU24" s="17"/>
      <c r="AV24" s="17"/>
      <c r="AW24" s="17"/>
      <c r="AX24" s="17"/>
      <c r="AY24" s="17"/>
      <c r="AZ24" s="27">
        <f>SUM(AZ22:AZ23)</f>
        <v>0</v>
      </c>
      <c r="BA24" s="27">
        <f t="shared" ref="BA24:BE24" si="90">SUM(BA22:BA23)</f>
        <v>0</v>
      </c>
      <c r="BB24" s="27">
        <f t="shared" si="90"/>
        <v>1</v>
      </c>
      <c r="BC24" s="27">
        <f t="shared" si="90"/>
        <v>1</v>
      </c>
      <c r="BD24" s="39">
        <f t="shared" si="90"/>
        <v>1</v>
      </c>
      <c r="BE24" s="27">
        <f t="shared" si="90"/>
        <v>1</v>
      </c>
      <c r="BF24" s="27">
        <f>SUM(BF22:BF23)</f>
        <v>1</v>
      </c>
      <c r="BG24" s="27">
        <f>SUM(BG22:BG23)</f>
        <v>1</v>
      </c>
      <c r="BH24" s="27">
        <f>SUM(BH22:BH23)</f>
        <v>1</v>
      </c>
      <c r="BI24" s="27">
        <f t="shared" ref="BI24:BL24" si="91">SUM(BI22:BI23)</f>
        <v>1</v>
      </c>
      <c r="BJ24" s="27">
        <f t="shared" si="91"/>
        <v>1</v>
      </c>
      <c r="BK24" s="27">
        <f t="shared" si="91"/>
        <v>1</v>
      </c>
      <c r="BL24" s="27">
        <f t="shared" si="91"/>
        <v>1</v>
      </c>
      <c r="BM24" s="27">
        <f>SUM(BM22:BM23)</f>
        <v>1</v>
      </c>
      <c r="BN24" s="39">
        <f t="shared" ref="BN24:BQ24" si="92">SUM(BN22:BN23)</f>
        <v>1</v>
      </c>
      <c r="BO24" s="27">
        <f t="shared" si="92"/>
        <v>1</v>
      </c>
      <c r="BP24" s="27">
        <f t="shared" si="92"/>
        <v>1</v>
      </c>
      <c r="BQ24" s="27">
        <f t="shared" si="92"/>
        <v>0</v>
      </c>
    </row>
    <row r="25" spans="2:69">
      <c r="C25" s="9"/>
      <c r="D25" s="9"/>
      <c r="E25" s="9"/>
      <c r="F25" s="9"/>
      <c r="G25" s="9"/>
      <c r="H25" s="9"/>
      <c r="I25" s="9"/>
      <c r="J25" s="9"/>
      <c r="K25" s="9"/>
      <c r="L25" s="9"/>
      <c r="M25" s="9"/>
      <c r="N25" s="9"/>
      <c r="O25" s="9"/>
      <c r="P25" s="9"/>
      <c r="Q25" s="9"/>
      <c r="R25" s="9"/>
      <c r="S25" s="9"/>
      <c r="T25" s="9"/>
      <c r="U25" s="9"/>
      <c r="V25" s="9"/>
      <c r="W25" s="32"/>
      <c r="X25" s="9"/>
      <c r="Y25" s="9"/>
      <c r="Z25" s="9"/>
      <c r="AA25" s="32"/>
      <c r="AB25" s="9"/>
      <c r="AC25" s="9"/>
      <c r="AD25" s="9"/>
      <c r="AE25" s="32"/>
      <c r="AF25" s="9"/>
      <c r="AG25" s="9"/>
      <c r="AH25" s="9"/>
      <c r="AI25" s="32"/>
      <c r="AJ25" s="9"/>
      <c r="AK25" s="9"/>
      <c r="AL25" s="9"/>
      <c r="AM25" s="32"/>
      <c r="AN25" s="9"/>
      <c r="AO25" s="9"/>
      <c r="AP25" s="9"/>
      <c r="AQ25" s="9"/>
      <c r="AR25" s="9"/>
      <c r="AS25" s="9"/>
      <c r="AT25" s="9"/>
      <c r="AU25" s="9"/>
      <c r="AV25" s="9"/>
      <c r="AW25" s="9"/>
      <c r="AX25" s="9"/>
      <c r="AY25" s="9"/>
      <c r="AZ25" s="9"/>
      <c r="BA25" s="9"/>
      <c r="BB25" s="9"/>
      <c r="BC25" s="9"/>
      <c r="BD25" s="32"/>
      <c r="BE25" s="9"/>
      <c r="BF25" s="9"/>
      <c r="BG25" s="9"/>
      <c r="BH25" s="9"/>
      <c r="BI25" s="9"/>
      <c r="BJ25" s="9"/>
      <c r="BK25" s="9"/>
      <c r="BL25" s="9"/>
      <c r="BM25" s="9"/>
      <c r="BN25" s="32"/>
      <c r="BO25" s="9"/>
      <c r="BP25" s="9"/>
      <c r="BQ25" s="9"/>
    </row>
    <row r="26" spans="2:69">
      <c r="C26" s="9"/>
      <c r="D26" s="9"/>
      <c r="E26" s="9"/>
      <c r="F26" s="9"/>
      <c r="G26" s="9"/>
      <c r="H26" s="9"/>
      <c r="I26" s="9"/>
      <c r="J26" s="9"/>
      <c r="K26" s="9"/>
      <c r="L26" s="9"/>
      <c r="M26" s="9"/>
      <c r="N26" s="9"/>
      <c r="O26" s="9"/>
      <c r="P26" s="9"/>
      <c r="Q26" s="9"/>
      <c r="R26" s="9"/>
      <c r="S26" s="9"/>
      <c r="T26" s="9"/>
      <c r="U26" s="9"/>
      <c r="V26" s="9"/>
      <c r="W26" s="32"/>
      <c r="X26" s="9"/>
      <c r="Y26" s="9"/>
      <c r="Z26" s="9"/>
      <c r="AA26" s="32"/>
      <c r="AB26" s="9"/>
      <c r="AC26" s="9"/>
      <c r="AD26" s="9"/>
      <c r="AE26" s="32"/>
      <c r="AF26" s="9"/>
      <c r="AG26" s="9"/>
      <c r="AH26" s="9"/>
      <c r="AI26" s="32"/>
      <c r="AJ26" s="9"/>
      <c r="AK26" s="9"/>
      <c r="AL26" s="9"/>
      <c r="AM26" s="32"/>
      <c r="AN26" s="9"/>
      <c r="AO26" s="9"/>
      <c r="AP26" s="9"/>
      <c r="AQ26" s="9"/>
      <c r="AR26" s="9"/>
      <c r="AS26" s="9"/>
      <c r="AT26" s="9"/>
      <c r="AU26" s="9"/>
      <c r="AV26" s="9"/>
      <c r="AW26" s="9"/>
      <c r="AX26" s="9"/>
      <c r="AY26" s="9"/>
      <c r="AZ26" s="9"/>
      <c r="BA26" s="9"/>
      <c r="BB26" s="9"/>
      <c r="BC26" s="9"/>
      <c r="BD26" s="32"/>
      <c r="BE26" s="9"/>
      <c r="BF26" s="9"/>
      <c r="BG26" s="9"/>
      <c r="BH26" s="9"/>
      <c r="BI26" s="9"/>
      <c r="BJ26" s="9"/>
      <c r="BK26" s="9"/>
      <c r="BL26" s="9"/>
      <c r="BM26" s="9"/>
      <c r="BN26" s="32"/>
      <c r="BO26" s="9"/>
      <c r="BP26" s="9"/>
      <c r="BQ26" s="9"/>
    </row>
    <row r="27" spans="2:69">
      <c r="C27" s="9"/>
      <c r="D27" s="9"/>
      <c r="E27" s="9"/>
      <c r="F27" s="9"/>
      <c r="G27" s="9"/>
      <c r="H27" s="9"/>
      <c r="I27" s="9"/>
      <c r="J27" s="9"/>
      <c r="K27" s="9"/>
      <c r="L27" s="9"/>
      <c r="M27" s="9"/>
      <c r="N27" s="9"/>
      <c r="O27" s="9"/>
      <c r="P27" s="9"/>
      <c r="Q27" s="9"/>
      <c r="R27" s="9"/>
      <c r="S27" s="9"/>
      <c r="T27" s="9"/>
      <c r="U27" s="9"/>
      <c r="V27" s="9"/>
      <c r="W27" s="32"/>
      <c r="X27" s="9"/>
      <c r="Y27" s="9"/>
      <c r="Z27" s="9"/>
      <c r="AA27" s="32"/>
      <c r="AB27" s="9"/>
      <c r="AC27" s="9"/>
      <c r="AD27" s="9"/>
      <c r="AE27" s="32"/>
      <c r="AF27" s="9"/>
      <c r="AG27" s="9"/>
      <c r="AH27" s="9"/>
      <c r="AI27" s="32"/>
      <c r="AJ27" s="9"/>
      <c r="AK27" s="9"/>
      <c r="AL27" s="9"/>
      <c r="AM27" s="32"/>
      <c r="AN27" s="9"/>
      <c r="AO27" s="9"/>
      <c r="AP27" s="9"/>
      <c r="AQ27" s="9"/>
      <c r="AR27" s="9"/>
      <c r="AS27" s="9"/>
      <c r="AT27" s="9"/>
      <c r="AU27" s="9"/>
      <c r="AV27" s="9"/>
      <c r="AW27" s="9"/>
      <c r="AX27" s="9"/>
      <c r="AY27" s="9"/>
      <c r="AZ27" s="9"/>
      <c r="BA27" s="9"/>
      <c r="BB27" s="9"/>
      <c r="BC27" s="9"/>
      <c r="BD27" s="32"/>
      <c r="BE27" s="9"/>
      <c r="BF27" s="9"/>
      <c r="BG27" s="9"/>
      <c r="BH27" s="9"/>
      <c r="BI27" s="9"/>
      <c r="BJ27" s="9"/>
      <c r="BK27" s="9"/>
      <c r="BL27" s="9"/>
      <c r="BM27" s="9"/>
      <c r="BN27" s="32"/>
      <c r="BO27" s="9"/>
      <c r="BP27" s="9"/>
      <c r="BQ27" s="9"/>
    </row>
    <row r="28" spans="2:69">
      <c r="C28" s="9"/>
      <c r="D28" s="9"/>
      <c r="E28" s="9"/>
      <c r="F28" s="9"/>
      <c r="G28" s="9"/>
      <c r="H28" s="9"/>
      <c r="I28" s="9"/>
      <c r="J28" s="9"/>
      <c r="K28" s="9"/>
      <c r="L28" s="9"/>
      <c r="M28" s="9"/>
      <c r="N28" s="9"/>
      <c r="O28" s="9"/>
      <c r="P28" s="9"/>
      <c r="Q28" s="9"/>
      <c r="R28" s="9"/>
      <c r="S28" s="9"/>
      <c r="T28" s="9"/>
      <c r="U28" s="9"/>
      <c r="V28" s="9"/>
      <c r="W28" s="32"/>
      <c r="X28" s="9"/>
      <c r="Y28" s="9"/>
      <c r="Z28" s="9"/>
      <c r="AA28" s="32"/>
      <c r="AB28" s="9"/>
      <c r="AC28" s="9"/>
      <c r="AD28" s="9"/>
      <c r="AE28" s="32"/>
      <c r="AF28" s="9"/>
      <c r="AG28" s="9"/>
      <c r="AH28" s="9"/>
      <c r="AI28" s="32"/>
      <c r="AJ28" s="9"/>
      <c r="AK28" s="9"/>
      <c r="AL28" s="9"/>
      <c r="AM28" s="32"/>
      <c r="AN28" s="9"/>
      <c r="AO28" s="9"/>
      <c r="AP28" s="9"/>
      <c r="AQ28" s="9"/>
      <c r="AR28" s="9"/>
      <c r="AS28" s="9"/>
      <c r="AT28" s="9"/>
      <c r="AU28" s="9"/>
      <c r="AV28" s="9"/>
      <c r="AW28" s="9"/>
      <c r="AX28" s="9"/>
      <c r="AY28" s="9"/>
      <c r="AZ28" s="9"/>
      <c r="BA28" s="9"/>
      <c r="BB28" s="9"/>
      <c r="BC28" s="9"/>
      <c r="BD28" s="32"/>
      <c r="BE28" s="9"/>
      <c r="BF28" s="9"/>
      <c r="BG28" s="9"/>
      <c r="BH28" s="9"/>
      <c r="BI28" s="9"/>
      <c r="BJ28" s="9"/>
      <c r="BK28" s="9"/>
      <c r="BL28" s="9"/>
      <c r="BM28" s="9"/>
      <c r="BN28" s="32"/>
      <c r="BO28" s="9"/>
      <c r="BP28" s="9"/>
      <c r="BQ28" s="9"/>
    </row>
    <row r="29" spans="2:69">
      <c r="C29" s="9"/>
      <c r="D29" s="9"/>
      <c r="E29" s="9"/>
      <c r="F29" s="9"/>
      <c r="G29" s="9"/>
      <c r="H29" s="9"/>
      <c r="I29" s="9"/>
      <c r="J29" s="9"/>
      <c r="K29" s="9"/>
      <c r="L29" s="9"/>
      <c r="M29" s="9"/>
      <c r="N29" s="9"/>
      <c r="O29" s="9"/>
      <c r="P29" s="9"/>
      <c r="Q29" s="9"/>
      <c r="R29" s="9"/>
      <c r="S29" s="9"/>
      <c r="T29" s="9"/>
      <c r="U29" s="9"/>
      <c r="V29" s="9"/>
      <c r="W29" s="32"/>
      <c r="X29" s="9"/>
      <c r="Y29" s="9"/>
      <c r="Z29" s="9"/>
      <c r="AA29" s="32"/>
      <c r="AB29" s="9"/>
      <c r="AC29" s="9"/>
      <c r="AD29" s="9"/>
      <c r="AE29" s="32"/>
      <c r="AF29" s="9"/>
      <c r="AG29" s="9"/>
      <c r="AH29" s="9"/>
      <c r="AI29" s="32"/>
      <c r="AJ29" s="9"/>
      <c r="AK29" s="9"/>
      <c r="AL29" s="9"/>
      <c r="AM29" s="32"/>
      <c r="AN29" s="9"/>
      <c r="AO29" s="9"/>
      <c r="AP29" s="9"/>
      <c r="AQ29" s="9"/>
      <c r="AR29" s="9"/>
      <c r="AS29" s="9"/>
      <c r="AT29" s="9"/>
      <c r="AU29" s="9"/>
      <c r="AV29" s="9"/>
      <c r="AW29" s="9"/>
      <c r="AX29" s="9"/>
      <c r="AY29" s="9"/>
      <c r="AZ29" s="9"/>
      <c r="BA29" s="9"/>
      <c r="BB29" s="9"/>
      <c r="BC29" s="9"/>
      <c r="BD29" s="32"/>
      <c r="BE29" s="9"/>
      <c r="BF29" s="9"/>
      <c r="BG29" s="9"/>
      <c r="BH29" s="9"/>
      <c r="BI29" s="9"/>
      <c r="BJ29" s="9"/>
      <c r="BK29" s="9"/>
      <c r="BL29" s="9"/>
      <c r="BM29" s="9"/>
      <c r="BN29" s="32"/>
      <c r="BO29" s="9"/>
      <c r="BP29" s="9"/>
      <c r="BQ29" s="9"/>
    </row>
    <row r="30" spans="2:69" s="23" customFormat="1">
      <c r="B30" s="22" t="s">
        <v>62</v>
      </c>
      <c r="C30" s="25"/>
      <c r="D30" s="25"/>
      <c r="E30" s="25"/>
      <c r="F30" s="25"/>
      <c r="G30" s="25"/>
      <c r="H30" s="25"/>
      <c r="I30" s="25"/>
      <c r="J30" s="25"/>
      <c r="K30" s="25"/>
      <c r="L30" s="25"/>
      <c r="M30" s="25"/>
      <c r="N30" s="25"/>
      <c r="O30" s="25"/>
      <c r="P30" s="25"/>
      <c r="Q30" s="25"/>
      <c r="R30" s="25"/>
      <c r="S30" s="25"/>
      <c r="T30" s="25"/>
      <c r="U30" s="25"/>
      <c r="V30" s="25"/>
      <c r="W30" s="40"/>
      <c r="X30" s="25"/>
      <c r="Y30" s="25"/>
      <c r="Z30" s="25"/>
      <c r="AA30" s="40"/>
      <c r="AB30" s="25"/>
      <c r="AC30" s="25"/>
      <c r="AD30" s="25"/>
      <c r="AE30" s="40"/>
      <c r="AF30" s="25"/>
      <c r="AG30" s="25"/>
      <c r="AH30" s="25"/>
      <c r="AI30" s="40"/>
      <c r="AJ30" s="25"/>
      <c r="AK30" s="25"/>
      <c r="AL30" s="25"/>
      <c r="AM30" s="40"/>
      <c r="AN30" s="25"/>
      <c r="AO30" s="25"/>
      <c r="AP30" s="25"/>
      <c r="AQ30" s="25"/>
      <c r="AR30" s="25"/>
      <c r="AS30" s="25"/>
      <c r="AT30" s="25"/>
      <c r="AU30" s="25"/>
      <c r="AV30" s="25"/>
      <c r="AW30" s="25"/>
      <c r="AX30" s="25"/>
      <c r="AY30" s="25"/>
      <c r="AZ30" s="25"/>
      <c r="BA30" s="25"/>
      <c r="BB30" s="25"/>
      <c r="BC30" s="25"/>
      <c r="BD30" s="40"/>
      <c r="BE30" s="25"/>
      <c r="BF30" s="25"/>
      <c r="BG30" s="25"/>
      <c r="BH30" s="25"/>
      <c r="BI30" s="25"/>
      <c r="BJ30" s="25"/>
      <c r="BK30" s="25"/>
      <c r="BL30" s="25"/>
      <c r="BM30" s="25"/>
      <c r="BN30" s="40"/>
      <c r="BO30" s="25"/>
      <c r="BP30" s="25"/>
      <c r="BQ30" s="25"/>
    </row>
    <row r="31" spans="2:69">
      <c r="B31" t="s">
        <v>63</v>
      </c>
      <c r="C31" s="9"/>
      <c r="D31" s="9"/>
      <c r="E31" s="9"/>
      <c r="F31" s="9"/>
      <c r="G31" s="9"/>
      <c r="H31" s="9"/>
      <c r="I31" s="9"/>
      <c r="J31" s="9"/>
      <c r="K31" s="9"/>
      <c r="L31" s="9"/>
      <c r="M31" s="9"/>
      <c r="N31" s="9"/>
      <c r="O31" s="9"/>
      <c r="P31" s="9"/>
      <c r="Q31" s="9"/>
      <c r="R31" s="9"/>
      <c r="S31" s="9">
        <v>7626</v>
      </c>
      <c r="T31" s="9"/>
      <c r="U31" s="9"/>
      <c r="V31" s="9"/>
      <c r="W31" s="32">
        <v>8694</v>
      </c>
      <c r="X31" s="9">
        <v>9997</v>
      </c>
      <c r="Y31" s="9">
        <v>9507</v>
      </c>
      <c r="Z31" s="9"/>
      <c r="AA31" s="32">
        <v>8601</v>
      </c>
      <c r="AB31" s="9">
        <v>7150</v>
      </c>
      <c r="AC31" s="9">
        <v>8652</v>
      </c>
      <c r="AD31" s="9"/>
      <c r="AE31" s="32">
        <v>9020</v>
      </c>
      <c r="AF31" s="9">
        <v>10129</v>
      </c>
      <c r="AG31" s="9">
        <v>10042</v>
      </c>
      <c r="AH31" s="9"/>
      <c r="AI31" s="32">
        <v>10491</v>
      </c>
      <c r="AJ31" s="9">
        <v>11325</v>
      </c>
      <c r="AK31" s="9">
        <v>11063</v>
      </c>
      <c r="AL31" s="9"/>
      <c r="AM31" s="32"/>
      <c r="AN31" s="9"/>
      <c r="AO31" s="9"/>
      <c r="AP31" s="9"/>
      <c r="AQ31" s="9"/>
      <c r="AR31" s="9"/>
      <c r="AS31" s="9"/>
      <c r="AT31" s="9"/>
      <c r="AU31" s="9"/>
      <c r="AV31" s="9"/>
      <c r="AW31" s="9"/>
      <c r="AX31" s="9">
        <v>21742</v>
      </c>
      <c r="AY31" s="9">
        <v>23104</v>
      </c>
      <c r="AZ31" s="9">
        <v>24088</v>
      </c>
      <c r="BA31" s="9">
        <v>28857</v>
      </c>
      <c r="BB31" s="9">
        <v>31944</v>
      </c>
      <c r="BC31" s="9">
        <v>30990</v>
      </c>
      <c r="BD31" s="32">
        <v>35119</v>
      </c>
      <c r="BE31" s="9">
        <v>46542</v>
      </c>
      <c r="BF31" s="9">
        <v>48017</v>
      </c>
      <c r="BG31" s="9">
        <v>46854</v>
      </c>
      <c r="BH31" s="9">
        <v>45998</v>
      </c>
      <c r="BI31" s="9">
        <v>44294</v>
      </c>
      <c r="BJ31" s="9">
        <v>41863</v>
      </c>
      <c r="BK31" s="9">
        <v>35410</v>
      </c>
      <c r="BL31" s="9">
        <v>34300</v>
      </c>
      <c r="BM31" s="9">
        <v>37266</v>
      </c>
      <c r="BN31" s="32">
        <v>33014</v>
      </c>
      <c r="BO31" s="9">
        <v>38655</v>
      </c>
      <c r="BP31" s="9">
        <v>43004</v>
      </c>
      <c r="BQ31" s="9"/>
    </row>
    <row r="32" spans="2:69" s="6" customFormat="1">
      <c r="B32" s="6" t="s">
        <v>64</v>
      </c>
      <c r="C32" s="10"/>
      <c r="D32" s="10"/>
      <c r="E32" s="10"/>
      <c r="F32" s="10"/>
      <c r="G32" s="10"/>
      <c r="H32" s="10"/>
      <c r="I32" s="10"/>
      <c r="J32" s="10"/>
      <c r="K32" s="10"/>
      <c r="L32" s="10"/>
      <c r="M32" s="10"/>
      <c r="N32" s="10"/>
      <c r="O32" s="10"/>
      <c r="P32" s="10"/>
      <c r="Q32" s="10"/>
      <c r="R32" s="10"/>
      <c r="S32" s="10">
        <v>2738</v>
      </c>
      <c r="T32" s="10"/>
      <c r="U32" s="10"/>
      <c r="V32" s="10"/>
      <c r="W32" s="33">
        <v>3365</v>
      </c>
      <c r="X32" s="10">
        <v>3921</v>
      </c>
      <c r="Y32" s="10">
        <v>3767</v>
      </c>
      <c r="Z32" s="10"/>
      <c r="AA32" s="33">
        <v>3371</v>
      </c>
      <c r="AB32" s="10">
        <v>3013</v>
      </c>
      <c r="AC32" s="10">
        <v>3471</v>
      </c>
      <c r="AD32" s="10"/>
      <c r="AE32" s="33">
        <v>3505</v>
      </c>
      <c r="AF32" s="10">
        <v>3787</v>
      </c>
      <c r="AG32" s="10">
        <v>3977</v>
      </c>
      <c r="AH32" s="10"/>
      <c r="AI32" s="33">
        <v>4091</v>
      </c>
      <c r="AJ32" s="10">
        <v>4830</v>
      </c>
      <c r="AK32" s="10">
        <v>4566</v>
      </c>
      <c r="AL32" s="10"/>
      <c r="AM32" s="33"/>
      <c r="AN32" s="10"/>
      <c r="AO32" s="10"/>
      <c r="AP32" s="10"/>
      <c r="AQ32" s="10"/>
      <c r="AR32" s="10"/>
      <c r="AS32" s="10"/>
      <c r="AT32" s="10"/>
      <c r="AU32" s="10"/>
      <c r="AV32" s="10"/>
      <c r="AW32" s="10"/>
      <c r="AX32" s="10">
        <v>7674</v>
      </c>
      <c r="AY32" s="10">
        <v>8195</v>
      </c>
      <c r="AZ32" s="10">
        <v>8164</v>
      </c>
      <c r="BA32" s="10">
        <v>10406</v>
      </c>
      <c r="BB32" s="10">
        <v>11374</v>
      </c>
      <c r="BC32" s="10">
        <v>11088</v>
      </c>
      <c r="BD32" s="33">
        <v>12693</v>
      </c>
      <c r="BE32" s="10">
        <v>18215</v>
      </c>
      <c r="BF32" s="10">
        <v>19053</v>
      </c>
      <c r="BG32" s="10">
        <v>18421</v>
      </c>
      <c r="BH32" s="10">
        <v>17889</v>
      </c>
      <c r="BI32" s="10">
        <v>17482</v>
      </c>
      <c r="BJ32" s="10">
        <v>16465</v>
      </c>
      <c r="BK32" s="10">
        <v>13256</v>
      </c>
      <c r="BL32" s="10">
        <v>13067</v>
      </c>
      <c r="BM32" s="10">
        <v>14619</v>
      </c>
      <c r="BN32" s="33">
        <v>13433</v>
      </c>
      <c r="BO32" s="10">
        <v>15357</v>
      </c>
      <c r="BP32" s="10">
        <v>18000</v>
      </c>
      <c r="BQ32" s="10"/>
    </row>
    <row r="33" spans="2:69" s="5" customFormat="1">
      <c r="B33" s="5" t="s">
        <v>65</v>
      </c>
      <c r="C33" s="17">
        <f t="shared" ref="C33:AJ33" si="93">C31-C32</f>
        <v>0</v>
      </c>
      <c r="D33" s="17">
        <f t="shared" si="93"/>
        <v>0</v>
      </c>
      <c r="E33" s="17">
        <f t="shared" si="93"/>
        <v>0</v>
      </c>
      <c r="F33" s="17">
        <f t="shared" si="93"/>
        <v>0</v>
      </c>
      <c r="G33" s="17">
        <f t="shared" si="93"/>
        <v>0</v>
      </c>
      <c r="H33" s="17">
        <f t="shared" si="93"/>
        <v>0</v>
      </c>
      <c r="I33" s="17">
        <f t="shared" si="93"/>
        <v>0</v>
      </c>
      <c r="J33" s="17">
        <f t="shared" si="93"/>
        <v>0</v>
      </c>
      <c r="K33" s="17">
        <f t="shared" si="93"/>
        <v>0</v>
      </c>
      <c r="L33" s="17">
        <f t="shared" si="93"/>
        <v>0</v>
      </c>
      <c r="M33" s="17">
        <f t="shared" si="93"/>
        <v>0</v>
      </c>
      <c r="N33" s="17">
        <f t="shared" si="93"/>
        <v>0</v>
      </c>
      <c r="O33" s="17">
        <f t="shared" si="93"/>
        <v>0</v>
      </c>
      <c r="P33" s="17">
        <f t="shared" si="93"/>
        <v>0</v>
      </c>
      <c r="Q33" s="17">
        <f t="shared" si="93"/>
        <v>0</v>
      </c>
      <c r="R33" s="17">
        <f t="shared" si="93"/>
        <v>0</v>
      </c>
      <c r="S33" s="17">
        <f t="shared" si="93"/>
        <v>4888</v>
      </c>
      <c r="T33" s="17">
        <f t="shared" si="93"/>
        <v>0</v>
      </c>
      <c r="U33" s="17">
        <f t="shared" si="93"/>
        <v>0</v>
      </c>
      <c r="V33" s="17">
        <f t="shared" si="93"/>
        <v>0</v>
      </c>
      <c r="W33" s="34">
        <f t="shared" si="93"/>
        <v>5329</v>
      </c>
      <c r="X33" s="17">
        <f t="shared" si="93"/>
        <v>6076</v>
      </c>
      <c r="Y33" s="17">
        <f t="shared" si="93"/>
        <v>5740</v>
      </c>
      <c r="Z33" s="17">
        <f t="shared" si="93"/>
        <v>0</v>
      </c>
      <c r="AA33" s="34">
        <f t="shared" si="93"/>
        <v>5230</v>
      </c>
      <c r="AB33" s="17">
        <f t="shared" si="93"/>
        <v>4137</v>
      </c>
      <c r="AC33" s="17">
        <f t="shared" si="93"/>
        <v>5181</v>
      </c>
      <c r="AD33" s="17">
        <f t="shared" si="93"/>
        <v>0</v>
      </c>
      <c r="AE33" s="34">
        <f t="shared" si="93"/>
        <v>5515</v>
      </c>
      <c r="AF33" s="17">
        <f t="shared" si="93"/>
        <v>6342</v>
      </c>
      <c r="AG33" s="17">
        <f t="shared" si="93"/>
        <v>6065</v>
      </c>
      <c r="AH33" s="17">
        <f t="shared" si="93"/>
        <v>0</v>
      </c>
      <c r="AI33" s="34">
        <f t="shared" si="93"/>
        <v>6400</v>
      </c>
      <c r="AJ33" s="17">
        <f t="shared" si="93"/>
        <v>6495</v>
      </c>
      <c r="AK33" s="17">
        <f>AK31-AK32</f>
        <v>6497</v>
      </c>
      <c r="AL33" s="17"/>
      <c r="AM33" s="34"/>
      <c r="AN33" s="17"/>
      <c r="AO33" s="17"/>
      <c r="AP33" s="17"/>
      <c r="AQ33" s="17"/>
      <c r="AR33" s="17"/>
      <c r="AS33" s="17"/>
      <c r="AT33" s="17"/>
      <c r="AU33" s="17"/>
      <c r="AV33" s="17"/>
      <c r="AW33" s="17"/>
      <c r="AX33" s="17">
        <f>AX31-AX32</f>
        <v>14068</v>
      </c>
      <c r="AY33" s="17">
        <f t="shared" ref="AY33:AZ33" si="94">AY31-AY32</f>
        <v>14909</v>
      </c>
      <c r="AZ33" s="17">
        <f t="shared" si="94"/>
        <v>15924</v>
      </c>
      <c r="BA33" s="17">
        <f>BA31-BA32</f>
        <v>18451</v>
      </c>
      <c r="BB33" s="17">
        <f t="shared" ref="BB33:BE33" si="95">BB31-BB32</f>
        <v>20570</v>
      </c>
      <c r="BC33" s="17">
        <f>BC31-BC32</f>
        <v>19902</v>
      </c>
      <c r="BD33" s="34">
        <f t="shared" si="95"/>
        <v>22426</v>
      </c>
      <c r="BE33" s="17">
        <f t="shared" si="95"/>
        <v>28327</v>
      </c>
      <c r="BF33" s="17">
        <f>BF31-BF32</f>
        <v>28964</v>
      </c>
      <c r="BG33" s="17">
        <f t="shared" ref="BG33:BK33" si="96">BG31-BG32</f>
        <v>28433</v>
      </c>
      <c r="BH33" s="17">
        <f t="shared" si="96"/>
        <v>28109</v>
      </c>
      <c r="BI33" s="17">
        <f t="shared" si="96"/>
        <v>26812</v>
      </c>
      <c r="BJ33" s="17">
        <f t="shared" si="96"/>
        <v>25398</v>
      </c>
      <c r="BK33" s="17">
        <f t="shared" si="96"/>
        <v>22154</v>
      </c>
      <c r="BL33" s="17">
        <f>BL31-BL32</f>
        <v>21233</v>
      </c>
      <c r="BM33" s="17">
        <f t="shared" ref="BM33:BO33" si="97">BM31-BM32</f>
        <v>22647</v>
      </c>
      <c r="BN33" s="34">
        <f t="shared" si="97"/>
        <v>19581</v>
      </c>
      <c r="BO33" s="17">
        <f t="shared" si="97"/>
        <v>23298</v>
      </c>
      <c r="BP33" s="17">
        <f>BP31-BP32</f>
        <v>25004</v>
      </c>
      <c r="BQ33" s="17"/>
    </row>
    <row r="34" spans="2:69" s="13" customFormat="1">
      <c r="B34" s="13" t="s">
        <v>66</v>
      </c>
      <c r="C34" s="19"/>
      <c r="D34" s="19"/>
      <c r="E34" s="19"/>
      <c r="F34" s="19"/>
      <c r="G34" s="19"/>
      <c r="H34" s="19"/>
      <c r="I34" s="19"/>
      <c r="J34" s="19"/>
      <c r="K34" s="19"/>
      <c r="L34" s="19"/>
      <c r="M34" s="19"/>
      <c r="N34" s="19"/>
      <c r="O34" s="19"/>
      <c r="P34" s="19"/>
      <c r="Q34" s="19"/>
      <c r="R34" s="19"/>
      <c r="S34" s="19"/>
      <c r="T34" s="19"/>
      <c r="U34" s="19"/>
      <c r="V34" s="19"/>
      <c r="W34" s="35"/>
      <c r="X34" s="19"/>
      <c r="Y34" s="19"/>
      <c r="Z34" s="19"/>
      <c r="AA34" s="35"/>
      <c r="AB34" s="19"/>
      <c r="AC34" s="19"/>
      <c r="AD34" s="19"/>
      <c r="AE34" s="35"/>
      <c r="AF34" s="19"/>
      <c r="AG34" s="19"/>
      <c r="AH34" s="19"/>
      <c r="AI34" s="35"/>
      <c r="AJ34" s="19"/>
      <c r="AK34" s="19"/>
      <c r="AL34" s="19"/>
      <c r="AM34" s="35"/>
      <c r="AN34" s="19"/>
      <c r="AO34" s="19"/>
      <c r="AP34" s="19"/>
      <c r="AQ34" s="19"/>
      <c r="AR34" s="19"/>
      <c r="AS34" s="19"/>
      <c r="AT34" s="19"/>
      <c r="AU34" s="19"/>
      <c r="AV34" s="19"/>
      <c r="AW34" s="19"/>
      <c r="AX34" s="19"/>
      <c r="AY34" s="19"/>
      <c r="AZ34" s="19"/>
      <c r="BA34" s="19"/>
      <c r="BB34" s="19"/>
      <c r="BC34" s="19"/>
      <c r="BD34" s="35"/>
      <c r="BE34" s="19"/>
      <c r="BF34" s="19"/>
      <c r="BG34" s="19"/>
      <c r="BH34" s="19"/>
      <c r="BI34" s="19"/>
      <c r="BJ34" s="19"/>
      <c r="BK34" s="19"/>
      <c r="BL34" s="19"/>
      <c r="BM34" s="19"/>
      <c r="BN34" s="35"/>
      <c r="BO34" s="19"/>
      <c r="BP34" s="19"/>
      <c r="BQ34" s="19"/>
    </row>
    <row r="35" spans="2:69">
      <c r="B35" t="s">
        <v>67</v>
      </c>
      <c r="C35" s="9"/>
      <c r="D35" s="9"/>
      <c r="E35" s="9"/>
      <c r="F35" s="9"/>
      <c r="G35" s="9"/>
      <c r="H35" s="9"/>
      <c r="I35" s="9"/>
      <c r="J35" s="9"/>
      <c r="K35" s="9"/>
      <c r="L35" s="9"/>
      <c r="M35" s="9"/>
      <c r="N35" s="9"/>
      <c r="O35" s="9"/>
      <c r="P35" s="9"/>
      <c r="Q35" s="9"/>
      <c r="R35" s="9"/>
      <c r="S35" s="9">
        <v>2541</v>
      </c>
      <c r="T35" s="9"/>
      <c r="U35" s="9"/>
      <c r="V35" s="9"/>
      <c r="W35" s="32">
        <v>2767</v>
      </c>
      <c r="X35" s="9">
        <v>2996</v>
      </c>
      <c r="Y35" s="9">
        <v>3116</v>
      </c>
      <c r="Z35" s="9"/>
      <c r="AA35" s="32">
        <v>2648</v>
      </c>
      <c r="AB35" s="9">
        <v>1983</v>
      </c>
      <c r="AC35" s="9">
        <v>2511</v>
      </c>
      <c r="AD35" s="9"/>
      <c r="AE35" s="32">
        <v>2669</v>
      </c>
      <c r="AF35" s="9">
        <v>3017</v>
      </c>
      <c r="AG35" s="9">
        <v>3122</v>
      </c>
      <c r="AH35" s="9"/>
      <c r="AI35" s="32">
        <v>2967</v>
      </c>
      <c r="AJ35" s="9">
        <v>3203</v>
      </c>
      <c r="AK35" s="9">
        <v>3279</v>
      </c>
      <c r="AL35" s="9"/>
      <c r="AM35" s="32"/>
      <c r="AN35" s="9"/>
      <c r="AO35" s="9"/>
      <c r="AP35" s="9"/>
      <c r="AQ35" s="9"/>
      <c r="AR35" s="9"/>
      <c r="AS35" s="9"/>
      <c r="AT35" s="9"/>
      <c r="AU35" s="9"/>
      <c r="AV35" s="9"/>
      <c r="AW35" s="9"/>
      <c r="AX35" s="9">
        <v>7890</v>
      </c>
      <c r="AY35" s="9">
        <v>8739</v>
      </c>
      <c r="AZ35" s="9">
        <v>9431</v>
      </c>
      <c r="BA35" s="9">
        <v>10945</v>
      </c>
      <c r="BB35" s="9">
        <v>11774</v>
      </c>
      <c r="BC35" s="9">
        <v>11358</v>
      </c>
      <c r="BD35" s="32">
        <v>13194</v>
      </c>
      <c r="BE35" s="9">
        <v>17422</v>
      </c>
      <c r="BF35" s="9">
        <v>17738</v>
      </c>
      <c r="BG35" s="9">
        <v>17310</v>
      </c>
      <c r="BH35" s="9">
        <v>17218</v>
      </c>
      <c r="BI35" s="9">
        <v>16427</v>
      </c>
      <c r="BJ35" s="9">
        <v>15262</v>
      </c>
      <c r="BK35" s="9">
        <v>12496</v>
      </c>
      <c r="BL35" s="9">
        <v>11002</v>
      </c>
      <c r="BM35" s="9">
        <v>12103</v>
      </c>
      <c r="BN35" s="32">
        <v>9731</v>
      </c>
      <c r="BO35" s="9">
        <v>12144</v>
      </c>
      <c r="BP35" s="9">
        <v>12880</v>
      </c>
      <c r="BQ35" s="9"/>
    </row>
    <row r="36" spans="2:69" s="6" customFormat="1">
      <c r="B36" s="6" t="s">
        <v>68</v>
      </c>
      <c r="C36" s="10"/>
      <c r="D36" s="10"/>
      <c r="E36" s="10"/>
      <c r="F36" s="10"/>
      <c r="G36" s="10"/>
      <c r="H36" s="10"/>
      <c r="I36" s="10"/>
      <c r="J36" s="10"/>
      <c r="K36" s="10"/>
      <c r="L36" s="10"/>
      <c r="M36" s="10"/>
      <c r="N36" s="10"/>
      <c r="O36" s="10"/>
      <c r="P36" s="10"/>
      <c r="Q36" s="10"/>
      <c r="R36" s="10"/>
      <c r="S36" s="10">
        <v>536</v>
      </c>
      <c r="T36" s="10"/>
      <c r="U36" s="10"/>
      <c r="V36" s="10"/>
      <c r="W36" s="33">
        <v>127</v>
      </c>
      <c r="X36" s="10">
        <v>92</v>
      </c>
      <c r="Y36" s="10">
        <v>125</v>
      </c>
      <c r="Z36" s="10"/>
      <c r="AA36" s="33">
        <v>202</v>
      </c>
      <c r="AB36" s="10">
        <v>173</v>
      </c>
      <c r="AC36" s="10">
        <v>372</v>
      </c>
      <c r="AD36" s="10"/>
      <c r="AE36" s="33">
        <v>124</v>
      </c>
      <c r="AF36" s="10">
        <v>309</v>
      </c>
      <c r="AG36" s="10">
        <v>45</v>
      </c>
      <c r="AH36" s="10"/>
      <c r="AI36" s="33">
        <v>28</v>
      </c>
      <c r="AJ36" s="10">
        <v>951</v>
      </c>
      <c r="AK36" s="10">
        <v>130</v>
      </c>
      <c r="AL36" s="10"/>
      <c r="AM36" s="33"/>
      <c r="AN36" s="10"/>
      <c r="AO36" s="10"/>
      <c r="AP36" s="10"/>
      <c r="AQ36" s="10"/>
      <c r="AR36" s="10"/>
      <c r="AS36" s="10"/>
      <c r="AT36" s="10"/>
      <c r="AU36" s="10"/>
      <c r="AV36" s="10"/>
      <c r="AW36" s="10"/>
      <c r="AX36" s="10">
        <v>480</v>
      </c>
      <c r="AY36" s="10">
        <v>85</v>
      </c>
      <c r="AZ36" s="10">
        <v>185</v>
      </c>
      <c r="BA36" s="10">
        <v>254</v>
      </c>
      <c r="BB36" s="10">
        <v>350</v>
      </c>
      <c r="BC36" s="10">
        <v>313</v>
      </c>
      <c r="BD36" s="33">
        <v>819</v>
      </c>
      <c r="BE36" s="10">
        <v>732</v>
      </c>
      <c r="BF36" s="10">
        <v>447</v>
      </c>
      <c r="BG36" s="10">
        <v>895</v>
      </c>
      <c r="BH36" s="10">
        <v>1183</v>
      </c>
      <c r="BI36" s="10">
        <v>1657</v>
      </c>
      <c r="BJ36" s="10">
        <v>1510</v>
      </c>
      <c r="BK36" s="10">
        <v>2157</v>
      </c>
      <c r="BL36" s="10">
        <v>1079</v>
      </c>
      <c r="BM36" s="10">
        <v>458</v>
      </c>
      <c r="BN36" s="33">
        <v>853</v>
      </c>
      <c r="BO36" s="10">
        <v>846</v>
      </c>
      <c r="BP36" s="10">
        <v>1215</v>
      </c>
      <c r="BQ36" s="10"/>
    </row>
    <row r="37" spans="2:69" s="5" customFormat="1">
      <c r="B37" s="5" t="s">
        <v>69</v>
      </c>
      <c r="C37" s="17">
        <f t="shared" ref="C37:AJ37" si="98">C33-C35-C36</f>
        <v>0</v>
      </c>
      <c r="D37" s="17">
        <f t="shared" si="98"/>
        <v>0</v>
      </c>
      <c r="E37" s="17">
        <f t="shared" si="98"/>
        <v>0</v>
      </c>
      <c r="F37" s="17">
        <f t="shared" si="98"/>
        <v>0</v>
      </c>
      <c r="G37" s="17">
        <f t="shared" si="98"/>
        <v>0</v>
      </c>
      <c r="H37" s="17">
        <f t="shared" si="98"/>
        <v>0</v>
      </c>
      <c r="I37" s="17">
        <f t="shared" si="98"/>
        <v>0</v>
      </c>
      <c r="J37" s="17">
        <f t="shared" si="98"/>
        <v>0</v>
      </c>
      <c r="K37" s="17">
        <f t="shared" si="98"/>
        <v>0</v>
      </c>
      <c r="L37" s="17">
        <f t="shared" si="98"/>
        <v>0</v>
      </c>
      <c r="M37" s="17">
        <f t="shared" si="98"/>
        <v>0</v>
      </c>
      <c r="N37" s="17">
        <f t="shared" si="98"/>
        <v>0</v>
      </c>
      <c r="O37" s="17">
        <f t="shared" si="98"/>
        <v>0</v>
      </c>
      <c r="P37" s="17">
        <f t="shared" si="98"/>
        <v>0</v>
      </c>
      <c r="Q37" s="17">
        <f t="shared" si="98"/>
        <v>0</v>
      </c>
      <c r="R37" s="17">
        <f t="shared" si="98"/>
        <v>0</v>
      </c>
      <c r="S37" s="17">
        <f t="shared" si="98"/>
        <v>1811</v>
      </c>
      <c r="T37" s="17">
        <f t="shared" si="98"/>
        <v>0</v>
      </c>
      <c r="U37" s="17">
        <f t="shared" si="98"/>
        <v>0</v>
      </c>
      <c r="V37" s="17">
        <f t="shared" si="98"/>
        <v>0</v>
      </c>
      <c r="W37" s="34">
        <f t="shared" si="98"/>
        <v>2435</v>
      </c>
      <c r="X37" s="17">
        <f t="shared" si="98"/>
        <v>2988</v>
      </c>
      <c r="Y37" s="17">
        <f t="shared" si="98"/>
        <v>2499</v>
      </c>
      <c r="Z37" s="17">
        <f t="shared" si="98"/>
        <v>0</v>
      </c>
      <c r="AA37" s="34">
        <f t="shared" si="98"/>
        <v>2380</v>
      </c>
      <c r="AB37" s="17">
        <f t="shared" si="98"/>
        <v>1981</v>
      </c>
      <c r="AC37" s="17">
        <f t="shared" si="98"/>
        <v>2298</v>
      </c>
      <c r="AD37" s="17">
        <f t="shared" si="98"/>
        <v>0</v>
      </c>
      <c r="AE37" s="34">
        <f t="shared" si="98"/>
        <v>2722</v>
      </c>
      <c r="AF37" s="17">
        <f t="shared" si="98"/>
        <v>3016</v>
      </c>
      <c r="AG37" s="17">
        <f t="shared" si="98"/>
        <v>2898</v>
      </c>
      <c r="AH37" s="17">
        <f t="shared" si="98"/>
        <v>0</v>
      </c>
      <c r="AI37" s="34">
        <f t="shared" si="98"/>
        <v>3405</v>
      </c>
      <c r="AJ37" s="17">
        <f t="shared" si="98"/>
        <v>2341</v>
      </c>
      <c r="AK37" s="17">
        <f>AK33-AK35-AK36</f>
        <v>3088</v>
      </c>
      <c r="AL37" s="17"/>
      <c r="AM37" s="34"/>
      <c r="AN37" s="17"/>
      <c r="AO37" s="17"/>
      <c r="AP37" s="17"/>
      <c r="AQ37" s="17"/>
      <c r="AR37" s="17"/>
      <c r="AS37" s="17"/>
      <c r="AT37" s="17"/>
      <c r="AU37" s="17"/>
      <c r="AV37" s="17"/>
      <c r="AW37" s="17"/>
      <c r="AX37" s="17">
        <f>AX33-SUM(AX35:AX36)</f>
        <v>5698</v>
      </c>
      <c r="AY37" s="17">
        <f t="shared" ref="AY37:AZ37" si="99">AY33-SUM(AY35:AY36)</f>
        <v>6085</v>
      </c>
      <c r="AZ37" s="17">
        <f t="shared" si="99"/>
        <v>6308</v>
      </c>
      <c r="BA37" s="17">
        <f>BA33-SUM(BA35:BA36)</f>
        <v>7252</v>
      </c>
      <c r="BB37" s="17">
        <f t="shared" ref="BB37:BE37" si="100">BB33-SUM(BB35:BB36)</f>
        <v>8446</v>
      </c>
      <c r="BC37" s="17">
        <f t="shared" si="100"/>
        <v>8231</v>
      </c>
      <c r="BD37" s="34">
        <f t="shared" si="100"/>
        <v>8413</v>
      </c>
      <c r="BE37" s="17">
        <f t="shared" si="100"/>
        <v>10173</v>
      </c>
      <c r="BF37" s="17">
        <f>BF33-SUM(BF35:BF36)</f>
        <v>10779</v>
      </c>
      <c r="BG37" s="17">
        <f t="shared" ref="BG37:BK37" si="101">BG33-SUM(BG35:BG36)</f>
        <v>10228</v>
      </c>
      <c r="BH37" s="17">
        <f t="shared" si="101"/>
        <v>9708</v>
      </c>
      <c r="BI37" s="17">
        <f t="shared" si="101"/>
        <v>8728</v>
      </c>
      <c r="BJ37" s="17">
        <f t="shared" si="101"/>
        <v>8626</v>
      </c>
      <c r="BK37" s="17">
        <f t="shared" si="101"/>
        <v>7501</v>
      </c>
      <c r="BL37" s="17">
        <f>BL33-SUM(BL35:BL36)</f>
        <v>9152</v>
      </c>
      <c r="BM37" s="17">
        <f t="shared" ref="BM37:BO37" si="102">BM33-SUM(BM35:BM36)</f>
        <v>10086</v>
      </c>
      <c r="BN37" s="34">
        <f t="shared" si="102"/>
        <v>8997</v>
      </c>
      <c r="BO37" s="17">
        <f t="shared" si="102"/>
        <v>10308</v>
      </c>
      <c r="BP37" s="17">
        <f>BP33-SUM(BP35:BP36)</f>
        <v>10909</v>
      </c>
      <c r="BQ37" s="17"/>
    </row>
    <row r="38" spans="2:69" s="13" customFormat="1">
      <c r="B38" s="13" t="s">
        <v>70</v>
      </c>
      <c r="C38" s="19"/>
      <c r="D38" s="19"/>
      <c r="E38" s="19"/>
      <c r="F38" s="19"/>
      <c r="G38" s="19"/>
      <c r="H38" s="19"/>
      <c r="I38" s="19"/>
      <c r="J38" s="19"/>
      <c r="K38" s="19"/>
      <c r="L38" s="19"/>
      <c r="M38" s="19"/>
      <c r="N38" s="19"/>
      <c r="O38" s="19"/>
      <c r="P38" s="19"/>
      <c r="Q38" s="19"/>
      <c r="R38" s="19"/>
      <c r="S38" s="19"/>
      <c r="T38" s="19"/>
      <c r="U38" s="19"/>
      <c r="V38" s="19"/>
      <c r="W38" s="35"/>
      <c r="X38" s="19"/>
      <c r="Y38" s="19"/>
      <c r="Z38" s="19"/>
      <c r="AA38" s="35"/>
      <c r="AB38" s="19"/>
      <c r="AC38" s="19"/>
      <c r="AD38" s="19"/>
      <c r="AE38" s="35"/>
      <c r="AF38" s="19"/>
      <c r="AG38" s="19"/>
      <c r="AH38" s="19"/>
      <c r="AI38" s="35"/>
      <c r="AJ38" s="19"/>
      <c r="AK38" s="19"/>
      <c r="AL38" s="19"/>
      <c r="AM38" s="35"/>
      <c r="AN38" s="19"/>
      <c r="AO38" s="19"/>
      <c r="AP38" s="19"/>
      <c r="AQ38" s="19"/>
      <c r="AR38" s="19"/>
      <c r="AS38" s="19"/>
      <c r="AT38" s="19"/>
      <c r="AU38" s="19"/>
      <c r="AV38" s="19"/>
      <c r="AW38" s="19"/>
      <c r="AX38" s="19"/>
      <c r="AY38" s="19"/>
      <c r="AZ38" s="19"/>
      <c r="BA38" s="19"/>
      <c r="BB38" s="19"/>
      <c r="BC38" s="19"/>
      <c r="BD38" s="35"/>
      <c r="BE38" s="19"/>
      <c r="BF38" s="19"/>
      <c r="BG38" s="19"/>
      <c r="BH38" s="19"/>
      <c r="BI38" s="19"/>
      <c r="BJ38" s="19"/>
      <c r="BK38" s="19"/>
      <c r="BL38" s="19"/>
      <c r="BM38" s="19"/>
      <c r="BN38" s="35"/>
      <c r="BO38" s="19"/>
      <c r="BP38" s="19"/>
      <c r="BQ38" s="19"/>
    </row>
    <row r="39" spans="2:69">
      <c r="B39" t="s">
        <v>71</v>
      </c>
      <c r="C39" s="9"/>
      <c r="D39" s="9"/>
      <c r="E39" s="9"/>
      <c r="F39" s="9"/>
      <c r="G39" s="9"/>
      <c r="H39" s="9"/>
      <c r="I39" s="9"/>
      <c r="J39" s="9"/>
      <c r="K39" s="9"/>
      <c r="L39" s="9"/>
      <c r="M39" s="9"/>
      <c r="N39" s="9"/>
      <c r="O39" s="9"/>
      <c r="P39" s="9"/>
      <c r="Q39" s="9"/>
      <c r="R39" s="9"/>
      <c r="S39" s="9">
        <v>165</v>
      </c>
      <c r="T39" s="9"/>
      <c r="U39" s="9"/>
      <c r="V39" s="9"/>
      <c r="W39" s="32">
        <v>133</v>
      </c>
      <c r="X39" s="9">
        <v>142</v>
      </c>
      <c r="Y39" s="9">
        <v>153</v>
      </c>
      <c r="Z39" s="9"/>
      <c r="AA39" s="32">
        <v>112</v>
      </c>
      <c r="AB39" s="9">
        <v>100</v>
      </c>
      <c r="AC39" s="9">
        <v>82</v>
      </c>
      <c r="AD39" s="9"/>
      <c r="AE39" s="32">
        <v>66</v>
      </c>
      <c r="AF39" s="9">
        <v>71</v>
      </c>
      <c r="AG39" s="9">
        <v>68</v>
      </c>
      <c r="AH39" s="9"/>
      <c r="AI39" s="32">
        <v>78</v>
      </c>
      <c r="AJ39" s="9">
        <v>100</v>
      </c>
      <c r="AK39" s="9">
        <v>128</v>
      </c>
      <c r="AL39" s="9"/>
      <c r="AM39" s="32"/>
      <c r="AN39" s="9"/>
      <c r="AO39" s="9"/>
      <c r="AP39" s="9"/>
      <c r="AQ39" s="9"/>
      <c r="AR39" s="9"/>
      <c r="AS39" s="9"/>
      <c r="AT39" s="9"/>
      <c r="AU39" s="9"/>
      <c r="AV39" s="9"/>
      <c r="AW39" s="9"/>
      <c r="AX39" s="9">
        <v>157</v>
      </c>
      <c r="AY39" s="9">
        <v>235</v>
      </c>
      <c r="AZ39" s="9">
        <v>193</v>
      </c>
      <c r="BA39" s="9">
        <v>236</v>
      </c>
      <c r="BB39" s="9">
        <v>333</v>
      </c>
      <c r="BC39" s="9">
        <v>249</v>
      </c>
      <c r="BD39" s="32">
        <v>317</v>
      </c>
      <c r="BE39" s="9">
        <v>483</v>
      </c>
      <c r="BF39" s="9">
        <v>471</v>
      </c>
      <c r="BG39" s="9">
        <v>534</v>
      </c>
      <c r="BH39" s="9">
        <v>594</v>
      </c>
      <c r="BI39" s="9">
        <v>613</v>
      </c>
      <c r="BJ39" s="9">
        <v>642</v>
      </c>
      <c r="BK39" s="9">
        <v>677</v>
      </c>
      <c r="BL39" s="9">
        <v>689</v>
      </c>
      <c r="BM39" s="9">
        <v>563</v>
      </c>
      <c r="BN39" s="32">
        <v>370</v>
      </c>
      <c r="BO39" s="9">
        <v>276</v>
      </c>
      <c r="BP39" s="9">
        <v>449</v>
      </c>
      <c r="BQ39" s="9"/>
    </row>
    <row r="40" spans="2:69">
      <c r="B40" t="s">
        <v>72</v>
      </c>
      <c r="C40" s="9"/>
      <c r="D40" s="9"/>
      <c r="E40" s="9"/>
      <c r="F40" s="9"/>
      <c r="G40" s="9"/>
      <c r="H40" s="9"/>
      <c r="I40" s="9"/>
      <c r="J40" s="9"/>
      <c r="K40" s="9"/>
      <c r="L40" s="9"/>
      <c r="M40" s="9"/>
      <c r="N40" s="9"/>
      <c r="O40" s="9"/>
      <c r="P40" s="9"/>
      <c r="Q40" s="9"/>
      <c r="R40" s="9"/>
      <c r="S40" s="9">
        <v>230</v>
      </c>
      <c r="T40" s="9"/>
      <c r="U40" s="9"/>
      <c r="V40" s="9"/>
      <c r="W40" s="32">
        <v>245</v>
      </c>
      <c r="X40" s="9">
        <v>236</v>
      </c>
      <c r="Y40" s="9">
        <v>230</v>
      </c>
      <c r="Z40" s="9"/>
      <c r="AA40" s="32">
        <v>193</v>
      </c>
      <c r="AB40" s="9">
        <v>274</v>
      </c>
      <c r="AC40" s="9">
        <v>660</v>
      </c>
      <c r="AD40" s="9"/>
      <c r="AE40" s="32">
        <v>442</v>
      </c>
      <c r="AF40" s="9">
        <v>780</v>
      </c>
      <c r="AG40" s="9">
        <v>210</v>
      </c>
      <c r="AH40" s="9"/>
      <c r="AI40" s="32">
        <v>182</v>
      </c>
      <c r="AJ40" s="9">
        <v>198</v>
      </c>
      <c r="AK40" s="9">
        <v>198</v>
      </c>
      <c r="AL40" s="9"/>
      <c r="AM40" s="32"/>
      <c r="AN40" s="9"/>
      <c r="AO40" s="9"/>
      <c r="AP40" s="9"/>
      <c r="AQ40" s="9"/>
      <c r="AR40" s="9"/>
      <c r="AS40" s="9"/>
      <c r="AT40" s="9"/>
      <c r="AU40" s="9"/>
      <c r="AV40" s="9"/>
      <c r="AW40" s="9"/>
      <c r="AX40" s="9">
        <v>-196</v>
      </c>
      <c r="AY40" s="9">
        <v>-240</v>
      </c>
      <c r="AZ40" s="9">
        <v>-220</v>
      </c>
      <c r="BA40" s="9">
        <v>-456</v>
      </c>
      <c r="BB40" s="9">
        <v>-438</v>
      </c>
      <c r="BC40" s="9">
        <v>-355</v>
      </c>
      <c r="BD40" s="32">
        <v>-733</v>
      </c>
      <c r="BE40" s="9">
        <v>-417</v>
      </c>
      <c r="BF40" s="9">
        <v>-397</v>
      </c>
      <c r="BG40" s="9">
        <v>-463</v>
      </c>
      <c r="BH40" s="9">
        <v>-483</v>
      </c>
      <c r="BI40" s="9">
        <v>-856</v>
      </c>
      <c r="BJ40" s="9">
        <v>-733</v>
      </c>
      <c r="BK40" s="9">
        <v>-841</v>
      </c>
      <c r="BL40" s="9">
        <v>-950</v>
      </c>
      <c r="BM40" s="9">
        <v>-946</v>
      </c>
      <c r="BN40" s="32">
        <v>-1437</v>
      </c>
      <c r="BO40" s="9">
        <v>-1597</v>
      </c>
      <c r="BP40" s="9">
        <v>-882</v>
      </c>
      <c r="BQ40" s="9"/>
    </row>
    <row r="41" spans="2:69">
      <c r="B41" t="s">
        <v>73</v>
      </c>
      <c r="C41" s="9"/>
      <c r="D41" s="9"/>
      <c r="E41" s="9"/>
      <c r="F41" s="9"/>
      <c r="G41" s="9"/>
      <c r="H41" s="9"/>
      <c r="I41" s="9"/>
      <c r="J41" s="9"/>
      <c r="K41" s="9"/>
      <c r="L41" s="9"/>
      <c r="M41" s="9"/>
      <c r="N41" s="9"/>
      <c r="O41" s="9"/>
      <c r="P41" s="9"/>
      <c r="Q41" s="9"/>
      <c r="R41" s="9"/>
      <c r="S41" s="9">
        <v>142</v>
      </c>
      <c r="T41" s="9"/>
      <c r="U41" s="9"/>
      <c r="V41" s="9"/>
      <c r="W41" s="32">
        <v>133</v>
      </c>
      <c r="X41" s="9">
        <v>329</v>
      </c>
      <c r="Y41" s="9">
        <v>346</v>
      </c>
      <c r="Z41" s="9"/>
      <c r="AA41" s="32">
        <v>167</v>
      </c>
      <c r="AB41" s="9">
        <v>176</v>
      </c>
      <c r="AC41" s="9">
        <v>431</v>
      </c>
      <c r="AD41" s="9"/>
      <c r="AE41" s="32">
        <v>279</v>
      </c>
      <c r="AF41" s="9">
        <v>402</v>
      </c>
      <c r="AG41" s="9">
        <v>455</v>
      </c>
      <c r="AH41" s="9"/>
      <c r="AI41" s="32">
        <v>262</v>
      </c>
      <c r="AJ41" s="9">
        <v>392</v>
      </c>
      <c r="AK41" s="9">
        <v>479</v>
      </c>
      <c r="AL41" s="9"/>
      <c r="AM41" s="32"/>
      <c r="AN41" s="9"/>
      <c r="AO41" s="9"/>
      <c r="AP41" s="9"/>
      <c r="AQ41" s="9"/>
      <c r="AR41" s="9"/>
      <c r="AS41" s="9"/>
      <c r="AT41" s="9"/>
      <c r="AU41" s="9"/>
      <c r="AV41" s="9"/>
      <c r="AW41" s="9"/>
      <c r="AX41" s="9">
        <v>621</v>
      </c>
      <c r="AY41" s="9">
        <v>680</v>
      </c>
      <c r="AZ41" s="9">
        <v>102</v>
      </c>
      <c r="BA41" s="9">
        <v>668</v>
      </c>
      <c r="BB41" s="9">
        <v>-847</v>
      </c>
      <c r="BC41" s="9">
        <v>781</v>
      </c>
      <c r="BD41" s="32">
        <v>1025</v>
      </c>
      <c r="BE41" s="9">
        <v>690</v>
      </c>
      <c r="BF41" s="9">
        <v>819</v>
      </c>
      <c r="BG41" s="9">
        <v>602</v>
      </c>
      <c r="BH41" s="9">
        <v>769</v>
      </c>
      <c r="BI41" s="9">
        <v>489</v>
      </c>
      <c r="BJ41" s="9">
        <v>835</v>
      </c>
      <c r="BK41" s="9">
        <v>1071</v>
      </c>
      <c r="BL41" s="9">
        <v>1008</v>
      </c>
      <c r="BM41" s="9">
        <v>1049</v>
      </c>
      <c r="BN41" s="32">
        <v>978</v>
      </c>
      <c r="BO41" s="9">
        <v>1438</v>
      </c>
      <c r="BP41" s="9">
        <v>1472</v>
      </c>
      <c r="BQ41" s="9"/>
    </row>
    <row r="42" spans="2:69" s="6" customFormat="1">
      <c r="B42" s="6" t="s">
        <v>74</v>
      </c>
      <c r="C42" s="10"/>
      <c r="D42" s="10"/>
      <c r="E42" s="10"/>
      <c r="F42" s="10"/>
      <c r="G42" s="10"/>
      <c r="H42" s="10"/>
      <c r="I42" s="10"/>
      <c r="J42" s="10"/>
      <c r="K42" s="10"/>
      <c r="L42" s="10"/>
      <c r="M42" s="10"/>
      <c r="N42" s="10"/>
      <c r="O42" s="10"/>
      <c r="P42" s="10"/>
      <c r="Q42" s="10"/>
      <c r="R42" s="10"/>
      <c r="S42" s="10">
        <v>-55</v>
      </c>
      <c r="T42" s="10"/>
      <c r="U42" s="10"/>
      <c r="V42" s="10"/>
      <c r="W42" s="33">
        <v>-231</v>
      </c>
      <c r="X42" s="10">
        <v>-174</v>
      </c>
      <c r="Y42" s="10">
        <v>324</v>
      </c>
      <c r="Z42" s="10"/>
      <c r="AA42" s="33">
        <v>544</v>
      </c>
      <c r="AB42" s="10">
        <v>214</v>
      </c>
      <c r="AC42" s="10">
        <v>30</v>
      </c>
      <c r="AD42" s="10"/>
      <c r="AE42" s="33">
        <v>138</v>
      </c>
      <c r="AF42" s="10">
        <v>909</v>
      </c>
      <c r="AG42" s="10">
        <v>-127</v>
      </c>
      <c r="AH42" s="10"/>
      <c r="AI42" s="33">
        <v>-105</v>
      </c>
      <c r="AJ42" s="10">
        <v>-351</v>
      </c>
      <c r="AK42" s="10">
        <v>-53</v>
      </c>
      <c r="AL42" s="10"/>
      <c r="AM42" s="33"/>
      <c r="AN42" s="10"/>
      <c r="AO42" s="10"/>
      <c r="AP42" s="10"/>
      <c r="AQ42" s="10"/>
      <c r="AR42" s="10"/>
      <c r="AS42" s="10"/>
      <c r="AT42" s="10"/>
      <c r="AU42" s="10"/>
      <c r="AV42" s="10"/>
      <c r="AW42" s="10"/>
      <c r="AX42" s="10">
        <v>-82</v>
      </c>
      <c r="AY42" s="10">
        <v>-93</v>
      </c>
      <c r="AZ42" s="10">
        <v>195</v>
      </c>
      <c r="BA42" s="10">
        <v>173</v>
      </c>
      <c r="BB42" s="10">
        <v>39</v>
      </c>
      <c r="BC42" s="10">
        <v>40</v>
      </c>
      <c r="BD42" s="33">
        <v>5185</v>
      </c>
      <c r="BE42" s="10">
        <v>529</v>
      </c>
      <c r="BF42" s="10">
        <v>137</v>
      </c>
      <c r="BG42" s="10">
        <v>576</v>
      </c>
      <c r="BH42" s="10">
        <v>-1263</v>
      </c>
      <c r="BI42" s="10">
        <v>631</v>
      </c>
      <c r="BJ42" s="10">
        <v>-1234</v>
      </c>
      <c r="BK42" s="10">
        <v>-1666</v>
      </c>
      <c r="BL42" s="10">
        <v>-1674</v>
      </c>
      <c r="BM42" s="10">
        <v>34</v>
      </c>
      <c r="BN42" s="33">
        <v>841</v>
      </c>
      <c r="BO42" s="10">
        <v>2000</v>
      </c>
      <c r="BP42" s="10">
        <v>-262</v>
      </c>
      <c r="BQ42" s="10"/>
    </row>
    <row r="43" spans="2:69" s="5" customFormat="1">
      <c r="B43" s="5" t="s">
        <v>75</v>
      </c>
      <c r="C43" s="17">
        <f t="shared" ref="C43:AJ43" si="103">C37+C39-C40+C41+C42</f>
        <v>0</v>
      </c>
      <c r="D43" s="17">
        <f t="shared" si="103"/>
        <v>0</v>
      </c>
      <c r="E43" s="17">
        <f t="shared" si="103"/>
        <v>0</v>
      </c>
      <c r="F43" s="17">
        <f t="shared" si="103"/>
        <v>0</v>
      </c>
      <c r="G43" s="17">
        <f t="shared" si="103"/>
        <v>0</v>
      </c>
      <c r="H43" s="17">
        <f t="shared" si="103"/>
        <v>0</v>
      </c>
      <c r="I43" s="17">
        <f t="shared" si="103"/>
        <v>0</v>
      </c>
      <c r="J43" s="17">
        <f t="shared" si="103"/>
        <v>0</v>
      </c>
      <c r="K43" s="17">
        <f t="shared" si="103"/>
        <v>0</v>
      </c>
      <c r="L43" s="17">
        <f t="shared" si="103"/>
        <v>0</v>
      </c>
      <c r="M43" s="17">
        <f t="shared" si="103"/>
        <v>0</v>
      </c>
      <c r="N43" s="17">
        <f t="shared" si="103"/>
        <v>0</v>
      </c>
      <c r="O43" s="17">
        <f t="shared" si="103"/>
        <v>0</v>
      </c>
      <c r="P43" s="17">
        <f t="shared" si="103"/>
        <v>0</v>
      </c>
      <c r="Q43" s="17">
        <f t="shared" si="103"/>
        <v>0</v>
      </c>
      <c r="R43" s="17">
        <f t="shared" si="103"/>
        <v>0</v>
      </c>
      <c r="S43" s="17">
        <f t="shared" si="103"/>
        <v>1833</v>
      </c>
      <c r="T43" s="17">
        <f t="shared" si="103"/>
        <v>0</v>
      </c>
      <c r="U43" s="17">
        <f t="shared" si="103"/>
        <v>0</v>
      </c>
      <c r="V43" s="17">
        <f t="shared" si="103"/>
        <v>0</v>
      </c>
      <c r="W43" s="34">
        <f t="shared" si="103"/>
        <v>2225</v>
      </c>
      <c r="X43" s="17">
        <f t="shared" si="103"/>
        <v>3049</v>
      </c>
      <c r="Y43" s="17">
        <f t="shared" si="103"/>
        <v>3092</v>
      </c>
      <c r="Z43" s="17">
        <f t="shared" si="103"/>
        <v>0</v>
      </c>
      <c r="AA43" s="34">
        <f t="shared" si="103"/>
        <v>3010</v>
      </c>
      <c r="AB43" s="17">
        <f t="shared" si="103"/>
        <v>2197</v>
      </c>
      <c r="AC43" s="17">
        <f t="shared" si="103"/>
        <v>2181</v>
      </c>
      <c r="AD43" s="17">
        <f t="shared" si="103"/>
        <v>0</v>
      </c>
      <c r="AE43" s="34">
        <f t="shared" si="103"/>
        <v>2763</v>
      </c>
      <c r="AF43" s="17">
        <f t="shared" si="103"/>
        <v>3618</v>
      </c>
      <c r="AG43" s="17">
        <f t="shared" si="103"/>
        <v>3084</v>
      </c>
      <c r="AH43" s="17">
        <f t="shared" si="103"/>
        <v>0</v>
      </c>
      <c r="AI43" s="34">
        <f t="shared" si="103"/>
        <v>3458</v>
      </c>
      <c r="AJ43" s="17">
        <f t="shared" si="103"/>
        <v>2284</v>
      </c>
      <c r="AK43" s="17">
        <f>AK37+AK39-AK40+AK41+AK42</f>
        <v>3444</v>
      </c>
      <c r="AL43" s="17"/>
      <c r="AM43" s="34"/>
      <c r="AN43" s="17"/>
      <c r="AO43" s="17"/>
      <c r="AP43" s="17"/>
      <c r="AQ43" s="17"/>
      <c r="AR43" s="17"/>
      <c r="AS43" s="17"/>
      <c r="AT43" s="17"/>
      <c r="AU43" s="17"/>
      <c r="AV43" s="17"/>
      <c r="AW43" s="17"/>
      <c r="AX43" s="17">
        <f>AX37+SUM(AX39:AX42)</f>
        <v>6198</v>
      </c>
      <c r="AY43" s="17">
        <f t="shared" ref="AY43:AZ43" si="104">AY37+SUM(AY39:AY42)</f>
        <v>6667</v>
      </c>
      <c r="AZ43" s="17">
        <f t="shared" si="104"/>
        <v>6578</v>
      </c>
      <c r="BA43" s="17">
        <f>BA37+SUM(BA39:BA42)</f>
        <v>7873</v>
      </c>
      <c r="BB43" s="17">
        <f t="shared" ref="BB43:BE43" si="105">BB37+SUM(BB39:BB42)</f>
        <v>7533</v>
      </c>
      <c r="BC43" s="17">
        <f t="shared" si="105"/>
        <v>8946</v>
      </c>
      <c r="BD43" s="34">
        <f t="shared" si="105"/>
        <v>14207</v>
      </c>
      <c r="BE43" s="17">
        <f t="shared" si="105"/>
        <v>11458</v>
      </c>
      <c r="BF43" s="17">
        <f>BF37+SUM(BF39:BF42)</f>
        <v>11809</v>
      </c>
      <c r="BG43" s="17">
        <f t="shared" ref="BG43:BK43" si="106">BG37+SUM(BG39:BG42)</f>
        <v>11477</v>
      </c>
      <c r="BH43" s="17">
        <f t="shared" si="106"/>
        <v>9325</v>
      </c>
      <c r="BI43" s="17">
        <f t="shared" si="106"/>
        <v>9605</v>
      </c>
      <c r="BJ43" s="17">
        <f t="shared" si="106"/>
        <v>8136</v>
      </c>
      <c r="BK43" s="17">
        <f t="shared" si="106"/>
        <v>6742</v>
      </c>
      <c r="BL43" s="17">
        <f>BL37+SUM(BL39:BL42)</f>
        <v>8225</v>
      </c>
      <c r="BM43" s="17">
        <f t="shared" ref="BM43:BO43" si="107">BM37+SUM(BM39:BM42)</f>
        <v>10786</v>
      </c>
      <c r="BN43" s="34">
        <f t="shared" si="107"/>
        <v>9749</v>
      </c>
      <c r="BO43" s="17">
        <f t="shared" si="107"/>
        <v>12425</v>
      </c>
      <c r="BP43" s="17">
        <f>BP37+SUM(BP39:BP42)</f>
        <v>11686</v>
      </c>
      <c r="BQ43" s="17"/>
    </row>
    <row r="44" spans="2:69" s="6" customFormat="1">
      <c r="B44" s="6" t="s">
        <v>76</v>
      </c>
      <c r="C44" s="10"/>
      <c r="D44" s="10"/>
      <c r="E44" s="10"/>
      <c r="F44" s="10"/>
      <c r="G44" s="10"/>
      <c r="H44" s="10"/>
      <c r="I44" s="10"/>
      <c r="J44" s="10"/>
      <c r="K44" s="10"/>
      <c r="L44" s="10"/>
      <c r="M44" s="10"/>
      <c r="N44" s="10"/>
      <c r="O44" s="10"/>
      <c r="P44" s="10"/>
      <c r="Q44" s="10"/>
      <c r="R44" s="10"/>
      <c r="S44" s="10">
        <v>506</v>
      </c>
      <c r="T44" s="10"/>
      <c r="U44" s="10"/>
      <c r="V44" s="10"/>
      <c r="W44" s="33">
        <v>522</v>
      </c>
      <c r="X44" s="10">
        <v>421</v>
      </c>
      <c r="Y44" s="10">
        <v>503</v>
      </c>
      <c r="Z44" s="10"/>
      <c r="AA44" s="33">
        <v>215</v>
      </c>
      <c r="AB44" s="10">
        <v>438</v>
      </c>
      <c r="AC44" s="10">
        <v>441</v>
      </c>
      <c r="AD44" s="10"/>
      <c r="AE44" s="33">
        <v>508</v>
      </c>
      <c r="AF44" s="10">
        <v>994</v>
      </c>
      <c r="AG44" s="10">
        <v>609</v>
      </c>
      <c r="AH44" s="10"/>
      <c r="AI44" s="33">
        <v>665</v>
      </c>
      <c r="AJ44" s="10">
        <v>384</v>
      </c>
      <c r="AK44" s="10">
        <v>622</v>
      </c>
      <c r="AL44" s="10"/>
      <c r="AM44" s="33"/>
      <c r="AN44" s="10"/>
      <c r="AO44" s="10"/>
      <c r="AP44" s="10"/>
      <c r="AQ44" s="10"/>
      <c r="AR44" s="10"/>
      <c r="AS44" s="10"/>
      <c r="AT44" s="10"/>
      <c r="AU44" s="10"/>
      <c r="AV44" s="10"/>
      <c r="AW44" s="10"/>
      <c r="AX44" s="10">
        <v>1375</v>
      </c>
      <c r="AY44" s="10">
        <v>1818</v>
      </c>
      <c r="AZ44" s="10">
        <v>1498</v>
      </c>
      <c r="BA44" s="10">
        <v>1892</v>
      </c>
      <c r="BB44" s="10">
        <v>1632</v>
      </c>
      <c r="BC44" s="10">
        <v>2040</v>
      </c>
      <c r="BD44" s="33">
        <v>2370</v>
      </c>
      <c r="BE44" s="10">
        <v>2812</v>
      </c>
      <c r="BF44" s="10">
        <v>2723</v>
      </c>
      <c r="BG44" s="10">
        <v>2851</v>
      </c>
      <c r="BH44" s="10">
        <v>2201</v>
      </c>
      <c r="BI44" s="10">
        <v>2239</v>
      </c>
      <c r="BJ44" s="10">
        <v>1586</v>
      </c>
      <c r="BK44" s="10">
        <v>5560</v>
      </c>
      <c r="BL44" s="10">
        <v>1749</v>
      </c>
      <c r="BM44" s="10">
        <v>1801</v>
      </c>
      <c r="BN44" s="33">
        <v>1981</v>
      </c>
      <c r="BO44" s="10">
        <v>2621</v>
      </c>
      <c r="BP44" s="10">
        <v>2115</v>
      </c>
      <c r="BQ44" s="10"/>
    </row>
    <row r="45" spans="2:69" s="5" customFormat="1">
      <c r="B45" s="5" t="s">
        <v>77</v>
      </c>
      <c r="C45" s="17">
        <f t="shared" ref="C45:AJ45" si="108">C43-C44</f>
        <v>0</v>
      </c>
      <c r="D45" s="17">
        <f t="shared" si="108"/>
        <v>0</v>
      </c>
      <c r="E45" s="17">
        <f t="shared" si="108"/>
        <v>0</v>
      </c>
      <c r="F45" s="17">
        <f t="shared" si="108"/>
        <v>0</v>
      </c>
      <c r="G45" s="17">
        <f t="shared" si="108"/>
        <v>0</v>
      </c>
      <c r="H45" s="17">
        <f t="shared" si="108"/>
        <v>0</v>
      </c>
      <c r="I45" s="17">
        <f t="shared" si="108"/>
        <v>0</v>
      </c>
      <c r="J45" s="17">
        <f t="shared" si="108"/>
        <v>0</v>
      </c>
      <c r="K45" s="17">
        <f t="shared" si="108"/>
        <v>0</v>
      </c>
      <c r="L45" s="17">
        <f t="shared" si="108"/>
        <v>0</v>
      </c>
      <c r="M45" s="17">
        <f t="shared" si="108"/>
        <v>0</v>
      </c>
      <c r="N45" s="17">
        <f t="shared" si="108"/>
        <v>0</v>
      </c>
      <c r="O45" s="17">
        <f t="shared" si="108"/>
        <v>0</v>
      </c>
      <c r="P45" s="17">
        <f t="shared" si="108"/>
        <v>0</v>
      </c>
      <c r="Q45" s="17">
        <f t="shared" si="108"/>
        <v>0</v>
      </c>
      <c r="R45" s="17">
        <f t="shared" si="108"/>
        <v>0</v>
      </c>
      <c r="S45" s="17">
        <f>S43-S44+73</f>
        <v>1400</v>
      </c>
      <c r="T45" s="17">
        <f t="shared" si="108"/>
        <v>0</v>
      </c>
      <c r="U45" s="17">
        <f t="shared" si="108"/>
        <v>0</v>
      </c>
      <c r="V45" s="17">
        <f t="shared" si="108"/>
        <v>0</v>
      </c>
      <c r="W45" s="34">
        <f t="shared" si="108"/>
        <v>1703</v>
      </c>
      <c r="X45" s="17">
        <f t="shared" si="108"/>
        <v>2628</v>
      </c>
      <c r="Y45" s="17">
        <f t="shared" si="108"/>
        <v>2589</v>
      </c>
      <c r="Z45" s="17">
        <f t="shared" si="108"/>
        <v>0</v>
      </c>
      <c r="AA45" s="34">
        <f t="shared" si="108"/>
        <v>2795</v>
      </c>
      <c r="AB45" s="17">
        <f t="shared" si="108"/>
        <v>1759</v>
      </c>
      <c r="AC45" s="17">
        <f t="shared" si="108"/>
        <v>1740</v>
      </c>
      <c r="AD45" s="17">
        <f t="shared" si="108"/>
        <v>0</v>
      </c>
      <c r="AE45" s="34">
        <f t="shared" si="108"/>
        <v>2255</v>
      </c>
      <c r="AF45" s="17">
        <f t="shared" si="108"/>
        <v>2624</v>
      </c>
      <c r="AG45" s="17">
        <f t="shared" si="108"/>
        <v>2475</v>
      </c>
      <c r="AH45" s="17">
        <f t="shared" si="108"/>
        <v>0</v>
      </c>
      <c r="AI45" s="34">
        <f t="shared" si="108"/>
        <v>2793</v>
      </c>
      <c r="AJ45" s="17">
        <f t="shared" si="108"/>
        <v>1900</v>
      </c>
      <c r="AK45" s="17">
        <f>AK43-AK44</f>
        <v>2822</v>
      </c>
      <c r="AL45" s="17"/>
      <c r="AM45" s="34"/>
      <c r="AN45" s="17"/>
      <c r="AO45" s="17"/>
      <c r="AP45" s="17"/>
      <c r="AQ45" s="17"/>
      <c r="AR45" s="17"/>
      <c r="AS45" s="17"/>
      <c r="AT45" s="17"/>
      <c r="AU45" s="17"/>
      <c r="AV45" s="17"/>
      <c r="AW45" s="17"/>
      <c r="AX45" s="17">
        <f>AX43-AX44</f>
        <v>4823</v>
      </c>
      <c r="AY45" s="17">
        <f t="shared" ref="AY45:AZ45" si="109">AY43-AY44</f>
        <v>4849</v>
      </c>
      <c r="AZ45" s="17">
        <f t="shared" si="109"/>
        <v>5080</v>
      </c>
      <c r="BA45" s="17">
        <f>BA43-BA44</f>
        <v>5981</v>
      </c>
      <c r="BB45" s="17">
        <f t="shared" ref="BB45:BE45" si="110">BB43-BB44</f>
        <v>5901</v>
      </c>
      <c r="BC45" s="17">
        <f t="shared" si="110"/>
        <v>6906</v>
      </c>
      <c r="BD45" s="34">
        <f t="shared" si="110"/>
        <v>11837</v>
      </c>
      <c r="BE45" s="17">
        <f t="shared" si="110"/>
        <v>8646</v>
      </c>
      <c r="BF45" s="17">
        <f>BF43-BF44</f>
        <v>9086</v>
      </c>
      <c r="BG45" s="17">
        <f t="shared" ref="BG45:BK45" si="111">BG43-BG44</f>
        <v>8626</v>
      </c>
      <c r="BH45" s="17">
        <f t="shared" si="111"/>
        <v>7124</v>
      </c>
      <c r="BI45" s="17">
        <f t="shared" si="111"/>
        <v>7366</v>
      </c>
      <c r="BJ45" s="17">
        <f t="shared" si="111"/>
        <v>6550</v>
      </c>
      <c r="BK45" s="17">
        <f t="shared" si="111"/>
        <v>1182</v>
      </c>
      <c r="BL45" s="17">
        <f>BL43-BL44</f>
        <v>6476</v>
      </c>
      <c r="BM45" s="17">
        <f t="shared" ref="BM45:BO45" si="112">BM43-BM44</f>
        <v>8985</v>
      </c>
      <c r="BN45" s="34">
        <f t="shared" si="112"/>
        <v>7768</v>
      </c>
      <c r="BO45" s="17">
        <f t="shared" si="112"/>
        <v>9804</v>
      </c>
      <c r="BP45" s="17">
        <f>BP43-BP44</f>
        <v>9571</v>
      </c>
      <c r="BQ45" s="17"/>
    </row>
    <row r="46" spans="2:69" s="6" customFormat="1">
      <c r="B46" s="6" t="s">
        <v>78</v>
      </c>
      <c r="C46" s="10"/>
      <c r="D46" s="10"/>
      <c r="E46" s="10"/>
      <c r="F46" s="10"/>
      <c r="G46" s="10"/>
      <c r="H46" s="10"/>
      <c r="I46" s="10"/>
      <c r="J46" s="10"/>
      <c r="K46" s="10"/>
      <c r="L46" s="10"/>
      <c r="M46" s="10"/>
      <c r="N46" s="10"/>
      <c r="O46" s="10"/>
      <c r="P46" s="10"/>
      <c r="Q46" s="10"/>
      <c r="R46" s="10"/>
      <c r="S46" s="10">
        <f>32</f>
        <v>32</v>
      </c>
      <c r="T46" s="10"/>
      <c r="U46" s="10"/>
      <c r="V46" s="10"/>
      <c r="W46" s="33">
        <v>25</v>
      </c>
      <c r="X46" s="10">
        <v>21</v>
      </c>
      <c r="Y46" s="10">
        <v>-4</v>
      </c>
      <c r="Z46" s="10"/>
      <c r="AA46" s="33">
        <v>20</v>
      </c>
      <c r="AB46" s="10">
        <v>-20</v>
      </c>
      <c r="AC46" s="10">
        <v>3</v>
      </c>
      <c r="AD46" s="10"/>
      <c r="AE46" s="33">
        <v>10</v>
      </c>
      <c r="AF46" s="10">
        <v>-17</v>
      </c>
      <c r="AG46" s="10">
        <v>4</v>
      </c>
      <c r="AH46" s="10"/>
      <c r="AI46" s="33">
        <v>12</v>
      </c>
      <c r="AJ46" s="10">
        <v>-5</v>
      </c>
      <c r="AK46" s="10">
        <v>-3</v>
      </c>
      <c r="AL46" s="10"/>
      <c r="AM46" s="33"/>
      <c r="AN46" s="10"/>
      <c r="AO46" s="10"/>
      <c r="AP46" s="10"/>
      <c r="AQ46" s="10"/>
      <c r="AR46" s="10"/>
      <c r="AS46" s="10"/>
      <c r="AT46" s="10"/>
      <c r="AU46" s="10"/>
      <c r="AV46" s="10"/>
      <c r="AW46" s="10"/>
      <c r="AX46" s="10">
        <v>0</v>
      </c>
      <c r="AY46" s="10">
        <v>0</v>
      </c>
      <c r="AZ46" s="10">
        <v>0</v>
      </c>
      <c r="BA46" s="10">
        <v>0</v>
      </c>
      <c r="BB46" s="10">
        <v>67</v>
      </c>
      <c r="BC46" s="10">
        <v>82</v>
      </c>
      <c r="BD46" s="33">
        <v>50</v>
      </c>
      <c r="BE46" s="10">
        <v>62</v>
      </c>
      <c r="BF46" s="10">
        <v>67</v>
      </c>
      <c r="BG46" s="10">
        <v>42</v>
      </c>
      <c r="BH46" s="10">
        <v>26</v>
      </c>
      <c r="BI46" s="10"/>
      <c r="BJ46" s="10"/>
      <c r="BK46" s="10">
        <f>35-101</f>
        <v>-66</v>
      </c>
      <c r="BL46" s="10">
        <v>42</v>
      </c>
      <c r="BM46" s="10">
        <v>65</v>
      </c>
      <c r="BN46" s="33">
        <v>21</v>
      </c>
      <c r="BO46" s="10">
        <v>33</v>
      </c>
      <c r="BP46" s="10">
        <v>29</v>
      </c>
      <c r="BQ46" s="10"/>
    </row>
    <row r="47" spans="2:69" s="5" customFormat="1">
      <c r="B47" s="5" t="s">
        <v>79</v>
      </c>
      <c r="C47" s="17">
        <f>C45-C46</f>
        <v>0</v>
      </c>
      <c r="D47" s="17">
        <f>D45-D46</f>
        <v>0</v>
      </c>
      <c r="E47" s="17">
        <f>E45-E46</f>
        <v>0</v>
      </c>
      <c r="F47" s="17">
        <f>F45-F46</f>
        <v>0</v>
      </c>
      <c r="G47" s="17">
        <f>G45-G46</f>
        <v>0</v>
      </c>
      <c r="H47" s="17">
        <f>H45-H46</f>
        <v>0</v>
      </c>
      <c r="I47" s="17">
        <f>I45-I46</f>
        <v>0</v>
      </c>
      <c r="J47" s="17">
        <f>J45-J46</f>
        <v>0</v>
      </c>
      <c r="K47" s="17">
        <f>K45-K46</f>
        <v>0</v>
      </c>
      <c r="L47" s="17">
        <f>L45-L46</f>
        <v>0</v>
      </c>
      <c r="M47" s="17">
        <f>M45-M46</f>
        <v>0</v>
      </c>
      <c r="N47" s="17">
        <f>N45-N46</f>
        <v>0</v>
      </c>
      <c r="O47" s="17">
        <f>O45-O46</f>
        <v>0</v>
      </c>
      <c r="P47" s="17">
        <f>P45-P46</f>
        <v>0</v>
      </c>
      <c r="Q47" s="17">
        <f>Q45-Q46</f>
        <v>0</v>
      </c>
      <c r="R47" s="17">
        <f>R45-R46</f>
        <v>0</v>
      </c>
      <c r="S47" s="17">
        <f>S45-S46</f>
        <v>1368</v>
      </c>
      <c r="T47" s="17">
        <f>T45-T46</f>
        <v>0</v>
      </c>
      <c r="U47" s="17">
        <f>U45-U46</f>
        <v>0</v>
      </c>
      <c r="V47" s="17">
        <f>V45-V46</f>
        <v>0</v>
      </c>
      <c r="W47" s="34">
        <f>W45-W46</f>
        <v>1678</v>
      </c>
      <c r="X47" s="17">
        <f>X45-X46</f>
        <v>2607</v>
      </c>
      <c r="Y47" s="17">
        <f>Y45-Y46</f>
        <v>2593</v>
      </c>
      <c r="Z47" s="17">
        <f>Z45-Z46</f>
        <v>0</v>
      </c>
      <c r="AA47" s="34">
        <f>AA45-AA46</f>
        <v>2775</v>
      </c>
      <c r="AB47" s="17">
        <f>AB45-AB46</f>
        <v>1779</v>
      </c>
      <c r="AC47" s="17">
        <f>AC45-AC46</f>
        <v>1737</v>
      </c>
      <c r="AD47" s="17">
        <f>AD45-AD46</f>
        <v>0</v>
      </c>
      <c r="AE47" s="34">
        <f>AE45-AE46</f>
        <v>2245</v>
      </c>
      <c r="AF47" s="17">
        <f>AF45-AF46</f>
        <v>2641</v>
      </c>
      <c r="AG47" s="17">
        <f>AG45-AG46</f>
        <v>2471</v>
      </c>
      <c r="AH47" s="17">
        <f>AH45-AH46</f>
        <v>0</v>
      </c>
      <c r="AI47" s="34">
        <f>AI45-AI46</f>
        <v>2781</v>
      </c>
      <c r="AJ47" s="17">
        <f>AJ45-AJ46</f>
        <v>1905</v>
      </c>
      <c r="AK47" s="17">
        <f>AK45-AK46</f>
        <v>2825</v>
      </c>
      <c r="AL47" s="17"/>
      <c r="AM47" s="34"/>
      <c r="AN47" s="17"/>
      <c r="AO47" s="17"/>
      <c r="AP47" s="17"/>
      <c r="AQ47" s="17"/>
      <c r="AR47" s="17"/>
      <c r="AS47" s="17"/>
      <c r="AT47" s="17"/>
      <c r="AU47" s="17"/>
      <c r="AV47" s="17"/>
      <c r="AW47" s="17"/>
      <c r="AX47" s="17">
        <f>AX45-AX46</f>
        <v>4823</v>
      </c>
      <c r="AY47" s="17">
        <f t="shared" ref="AY47:AZ47" si="113">AY45-AY46</f>
        <v>4849</v>
      </c>
      <c r="AZ47" s="17">
        <f t="shared" si="113"/>
        <v>5080</v>
      </c>
      <c r="BA47" s="17">
        <f>BA45-BA46</f>
        <v>5981</v>
      </c>
      <c r="BB47" s="17">
        <f t="shared" ref="BB47:BE47" si="114">BB45-BB46</f>
        <v>5834</v>
      </c>
      <c r="BC47" s="17">
        <f t="shared" si="114"/>
        <v>6824</v>
      </c>
      <c r="BD47" s="34">
        <f t="shared" si="114"/>
        <v>11787</v>
      </c>
      <c r="BE47" s="17">
        <f t="shared" si="114"/>
        <v>8584</v>
      </c>
      <c r="BF47" s="17">
        <f>BF45-BF46</f>
        <v>9019</v>
      </c>
      <c r="BG47" s="17">
        <f t="shared" ref="BG47:BJ47" si="115">BG45-BG46</f>
        <v>8584</v>
      </c>
      <c r="BH47" s="17">
        <f t="shared" si="115"/>
        <v>7098</v>
      </c>
      <c r="BI47" s="17">
        <f t="shared" si="115"/>
        <v>7366</v>
      </c>
      <c r="BJ47" s="17">
        <f t="shared" si="115"/>
        <v>6550</v>
      </c>
      <c r="BK47" s="17">
        <f>BK45-+BK46</f>
        <v>1248</v>
      </c>
      <c r="BL47" s="17">
        <f>BL45-BL46</f>
        <v>6434</v>
      </c>
      <c r="BM47" s="17">
        <f>BM45-BM46</f>
        <v>8920</v>
      </c>
      <c r="BN47" s="34">
        <f>BN45-BN46</f>
        <v>7747</v>
      </c>
      <c r="BO47" s="17">
        <f t="shared" ref="BO47:BP47" si="116">BO45-BO46</f>
        <v>9771</v>
      </c>
      <c r="BP47" s="17">
        <f t="shared" si="116"/>
        <v>9542</v>
      </c>
      <c r="BQ47" s="17"/>
    </row>
    <row r="48" spans="2:69" s="14" customFormat="1">
      <c r="B48" s="13" t="s">
        <v>1</v>
      </c>
      <c r="W48" s="41"/>
      <c r="AA48" s="41"/>
      <c r="AE48" s="41"/>
      <c r="AI48" s="41"/>
      <c r="AM48" s="41"/>
      <c r="BD48" s="41"/>
      <c r="BN48" s="41"/>
    </row>
    <row r="49" spans="2:68" s="4" customFormat="1">
      <c r="B49" s="4" t="s">
        <v>80</v>
      </c>
      <c r="C49" s="4" t="e">
        <f t="shared" ref="C49:AJ49" si="117">C47/C51</f>
        <v>#DIV/0!</v>
      </c>
      <c r="D49" s="4" t="e">
        <f t="shared" si="117"/>
        <v>#DIV/0!</v>
      </c>
      <c r="E49" s="4" t="e">
        <f t="shared" si="117"/>
        <v>#DIV/0!</v>
      </c>
      <c r="F49" s="4" t="e">
        <f t="shared" si="117"/>
        <v>#DIV/0!</v>
      </c>
      <c r="G49" s="4" t="e">
        <f t="shared" si="117"/>
        <v>#DIV/0!</v>
      </c>
      <c r="H49" s="4" t="e">
        <f t="shared" si="117"/>
        <v>#DIV/0!</v>
      </c>
      <c r="I49" s="4" t="e">
        <f t="shared" si="117"/>
        <v>#DIV/0!</v>
      </c>
      <c r="J49" s="4" t="e">
        <f t="shared" si="117"/>
        <v>#DIV/0!</v>
      </c>
      <c r="K49" s="4" t="e">
        <f t="shared" si="117"/>
        <v>#DIV/0!</v>
      </c>
      <c r="L49" s="4" t="e">
        <f t="shared" si="117"/>
        <v>#DIV/0!</v>
      </c>
      <c r="M49" s="4" t="e">
        <f t="shared" si="117"/>
        <v>#DIV/0!</v>
      </c>
      <c r="N49" s="4" t="e">
        <f t="shared" si="117"/>
        <v>#DIV/0!</v>
      </c>
      <c r="O49" s="4" t="e">
        <f t="shared" si="117"/>
        <v>#DIV/0!</v>
      </c>
      <c r="P49" s="4" t="e">
        <f t="shared" si="117"/>
        <v>#DIV/0!</v>
      </c>
      <c r="Q49" s="4" t="e">
        <f t="shared" si="117"/>
        <v>#DIV/0!</v>
      </c>
      <c r="R49" s="4" t="e">
        <f t="shared" si="117"/>
        <v>#DIV/0!</v>
      </c>
      <c r="S49" s="4">
        <f t="shared" si="117"/>
        <v>0.32075029308323566</v>
      </c>
      <c r="T49" s="4" t="e">
        <f t="shared" si="117"/>
        <v>#DIV/0!</v>
      </c>
      <c r="U49" s="4" t="e">
        <f t="shared" si="117"/>
        <v>#DIV/0!</v>
      </c>
      <c r="V49" s="4" t="e">
        <f t="shared" si="117"/>
        <v>#DIV/0!</v>
      </c>
      <c r="W49" s="42">
        <f t="shared" si="117"/>
        <v>0.39288222898618591</v>
      </c>
      <c r="X49" s="4">
        <f t="shared" si="117"/>
        <v>0.61068165846802525</v>
      </c>
      <c r="Y49" s="4">
        <f t="shared" si="117"/>
        <v>0.6058411214953271</v>
      </c>
      <c r="Z49" s="4" t="e">
        <f t="shared" si="117"/>
        <v>#DIV/0!</v>
      </c>
      <c r="AA49" s="42">
        <f t="shared" si="117"/>
        <v>0.64700396362788526</v>
      </c>
      <c r="AB49" s="4">
        <f t="shared" si="117"/>
        <v>0.41420256111757858</v>
      </c>
      <c r="AC49" s="4">
        <f t="shared" si="117"/>
        <v>0.40432960893854747</v>
      </c>
      <c r="AD49" s="4" t="e">
        <f t="shared" si="117"/>
        <v>#DIV/0!</v>
      </c>
      <c r="AE49" s="42">
        <f t="shared" si="117"/>
        <v>0.52124448572091941</v>
      </c>
      <c r="AF49" s="4">
        <f t="shared" si="117"/>
        <v>0.61233480176211452</v>
      </c>
      <c r="AG49" s="4">
        <f t="shared" si="117"/>
        <v>0.57225567392311261</v>
      </c>
      <c r="AH49" s="4" t="e">
        <f t="shared" si="117"/>
        <v>#DIV/0!</v>
      </c>
      <c r="AI49" s="42">
        <f t="shared" si="117"/>
        <v>0.64196675900277012</v>
      </c>
      <c r="AJ49" s="4">
        <f t="shared" si="117"/>
        <v>0.43985222812283536</v>
      </c>
      <c r="AK49" s="4">
        <f>AK47/AK51</f>
        <v>0.65317919075144504</v>
      </c>
      <c r="AM49" s="42"/>
      <c r="AX49" s="4">
        <f>2/2</f>
        <v>1</v>
      </c>
      <c r="AY49" s="4">
        <f>2.04/2</f>
        <v>1.02</v>
      </c>
      <c r="AZ49" s="4">
        <f>2.16/2</f>
        <v>1.08</v>
      </c>
      <c r="BA49" s="4">
        <f>2.59/2</f>
        <v>1.2949999999999999</v>
      </c>
      <c r="BB49" s="4">
        <f>BB47/BB51</f>
        <v>1.2600431965442764</v>
      </c>
      <c r="BC49" s="4">
        <f>BC47/BC51</f>
        <v>1.4745030250648228</v>
      </c>
      <c r="BD49" s="42">
        <f>BD47/BD51</f>
        <v>2.5535095320623915</v>
      </c>
      <c r="BE49" s="4">
        <f>BE47/BE51</f>
        <v>1.8791593695271454</v>
      </c>
      <c r="BF49" s="4">
        <f>BF47/BF51</f>
        <v>2.0024422735346357</v>
      </c>
      <c r="BG49" s="4">
        <v>1.94</v>
      </c>
      <c r="BH49" s="4">
        <v>1.62</v>
      </c>
      <c r="BI49" s="4">
        <f t="shared" ref="BG49:BK49" si="118">BI47/BI51</f>
        <v>1.6925551470588236</v>
      </c>
      <c r="BJ49" s="4">
        <f t="shared" si="118"/>
        <v>1.517257354644429</v>
      </c>
      <c r="BK49" s="4">
        <f t="shared" si="118"/>
        <v>0.29213483146067415</v>
      </c>
      <c r="BL49" s="4">
        <f>BL47/BL51</f>
        <v>1.5106832589809815</v>
      </c>
      <c r="BM49" s="4">
        <f>BM47/BM51</f>
        <v>2.0860617399438728</v>
      </c>
      <c r="BN49" s="42">
        <f>BN47/BN51</f>
        <v>1.8037252619324797</v>
      </c>
      <c r="BO49" s="4">
        <f t="shared" ref="BO49:BP49" si="119">BO47/BO51</f>
        <v>2.2644264194669756</v>
      </c>
      <c r="BP49" s="4">
        <f t="shared" si="119"/>
        <v>2.2047134935304991</v>
      </c>
    </row>
    <row r="50" spans="2:68" s="4" customFormat="1">
      <c r="B50" s="4" t="s">
        <v>81</v>
      </c>
      <c r="C50" s="4" t="e">
        <f t="shared" ref="C50:AJ50" si="120">C47/C52</f>
        <v>#DIV/0!</v>
      </c>
      <c r="D50" s="4" t="e">
        <f t="shared" si="120"/>
        <v>#DIV/0!</v>
      </c>
      <c r="E50" s="4" t="e">
        <f t="shared" si="120"/>
        <v>#DIV/0!</v>
      </c>
      <c r="F50" s="4" t="e">
        <f t="shared" si="120"/>
        <v>#DIV/0!</v>
      </c>
      <c r="G50" s="4" t="e">
        <f t="shared" si="120"/>
        <v>#DIV/0!</v>
      </c>
      <c r="H50" s="4" t="e">
        <f t="shared" si="120"/>
        <v>#DIV/0!</v>
      </c>
      <c r="I50" s="4" t="e">
        <f t="shared" si="120"/>
        <v>#DIV/0!</v>
      </c>
      <c r="J50" s="4" t="e">
        <f t="shared" si="120"/>
        <v>#DIV/0!</v>
      </c>
      <c r="K50" s="4" t="e">
        <f t="shared" si="120"/>
        <v>#DIV/0!</v>
      </c>
      <c r="L50" s="4" t="e">
        <f t="shared" si="120"/>
        <v>#DIV/0!</v>
      </c>
      <c r="M50" s="4" t="e">
        <f t="shared" si="120"/>
        <v>#DIV/0!</v>
      </c>
      <c r="N50" s="4" t="e">
        <f t="shared" si="120"/>
        <v>#DIV/0!</v>
      </c>
      <c r="O50" s="4" t="e">
        <f t="shared" si="120"/>
        <v>#DIV/0!</v>
      </c>
      <c r="P50" s="4" t="e">
        <f t="shared" si="120"/>
        <v>#DIV/0!</v>
      </c>
      <c r="Q50" s="4" t="e">
        <f t="shared" si="120"/>
        <v>#DIV/0!</v>
      </c>
      <c r="R50" s="4" t="e">
        <f t="shared" si="120"/>
        <v>#DIV/0!</v>
      </c>
      <c r="S50" s="4">
        <f t="shared" si="120"/>
        <v>0.31769623780771017</v>
      </c>
      <c r="T50" s="4" t="e">
        <f t="shared" si="120"/>
        <v>#DIV/0!</v>
      </c>
      <c r="U50" s="4" t="e">
        <f t="shared" si="120"/>
        <v>#DIV/0!</v>
      </c>
      <c r="V50" s="4" t="e">
        <f t="shared" si="120"/>
        <v>#DIV/0!</v>
      </c>
      <c r="W50" s="42">
        <f t="shared" si="120"/>
        <v>0.38968880631676728</v>
      </c>
      <c r="X50" s="4">
        <f t="shared" si="120"/>
        <v>0.60557491289198606</v>
      </c>
      <c r="Y50" s="4">
        <f t="shared" si="120"/>
        <v>0.60009257116408243</v>
      </c>
      <c r="Z50" s="4" t="e">
        <f t="shared" si="120"/>
        <v>#DIV/0!</v>
      </c>
      <c r="AA50" s="42">
        <f t="shared" si="120"/>
        <v>0.64161849710982655</v>
      </c>
      <c r="AB50" s="4">
        <f t="shared" si="120"/>
        <v>0.41218721037998146</v>
      </c>
      <c r="AC50" s="4">
        <f t="shared" si="120"/>
        <v>0.40199028002777137</v>
      </c>
      <c r="AD50" s="4" t="e">
        <f t="shared" si="120"/>
        <v>#DIV/0!</v>
      </c>
      <c r="AE50" s="42">
        <f t="shared" si="120"/>
        <v>0.51847575057736717</v>
      </c>
      <c r="AF50" s="4">
        <f t="shared" si="120"/>
        <v>0.60880590133702162</v>
      </c>
      <c r="AG50" s="4">
        <f t="shared" si="120"/>
        <v>0.56883057090239408</v>
      </c>
      <c r="AH50" s="4" t="e">
        <f t="shared" si="120"/>
        <v>#DIV/0!</v>
      </c>
      <c r="AI50" s="42">
        <f t="shared" si="120"/>
        <v>0.63828322240073443</v>
      </c>
      <c r="AJ50" s="4">
        <f t="shared" si="120"/>
        <v>0.43762922122674019</v>
      </c>
      <c r="AK50" s="4">
        <f>AK47/AK52</f>
        <v>0.6500230096640589</v>
      </c>
      <c r="AM50" s="42"/>
      <c r="AX50" s="4">
        <f>2/2</f>
        <v>1</v>
      </c>
      <c r="AY50" s="4">
        <f>2.04/2</f>
        <v>1.02</v>
      </c>
      <c r="AZ50" s="4">
        <f>2.16/2</f>
        <v>1.08</v>
      </c>
      <c r="BA50" s="4">
        <f>2.57/2</f>
        <v>1.2849999999999999</v>
      </c>
      <c r="BB50" s="4">
        <f>BB47/BB52</f>
        <v>1.2487157534246576</v>
      </c>
      <c r="BC50" s="4">
        <f>BC47/BC52</f>
        <v>1.4650064405324172</v>
      </c>
      <c r="BD50" s="42">
        <f>BD47/BD52</f>
        <v>2.5256053139061496</v>
      </c>
      <c r="BE50" s="4">
        <f>BE47/BE52</f>
        <v>1.8476108480413258</v>
      </c>
      <c r="BF50" s="4">
        <f>BF47/BF52</f>
        <v>1.9674956369982548</v>
      </c>
      <c r="BG50" s="4">
        <v>1.9</v>
      </c>
      <c r="BH50" s="4">
        <v>1.6</v>
      </c>
      <c r="BI50" s="4">
        <f t="shared" ref="BG50:BK50" si="121">BI47/BI52</f>
        <v>1.6721906923950056</v>
      </c>
      <c r="BJ50" s="4">
        <f t="shared" si="121"/>
        <v>1.4998855049232882</v>
      </c>
      <c r="BK50" s="4">
        <f t="shared" si="121"/>
        <v>0.28862164662349676</v>
      </c>
      <c r="BL50" s="4">
        <f>BL47/BL52</f>
        <v>1.4966271225866481</v>
      </c>
      <c r="BM50" s="4">
        <f>BM47/BM52</f>
        <v>2.0676866017617059</v>
      </c>
      <c r="BN50" s="42">
        <f>BN47/BN52</f>
        <v>1.7920425630349295</v>
      </c>
      <c r="BO50" s="4">
        <f t="shared" ref="BO50:BP50" si="122">BO47/BO52</f>
        <v>2.2513824884792628</v>
      </c>
      <c r="BP50" s="4">
        <f t="shared" si="122"/>
        <v>2.1935632183908047</v>
      </c>
    </row>
    <row r="51" spans="2:68" s="9" customFormat="1">
      <c r="B51" s="9" t="s">
        <v>82</v>
      </c>
      <c r="S51" s="9">
        <v>4265</v>
      </c>
      <c r="W51" s="32">
        <v>4271</v>
      </c>
      <c r="X51" s="9">
        <v>4269</v>
      </c>
      <c r="Y51" s="9">
        <v>4280</v>
      </c>
      <c r="AA51" s="32">
        <v>4289</v>
      </c>
      <c r="AB51" s="9">
        <v>4295</v>
      </c>
      <c r="AC51" s="9">
        <v>4296</v>
      </c>
      <c r="AE51" s="32">
        <v>4307</v>
      </c>
      <c r="AF51" s="9">
        <v>4313</v>
      </c>
      <c r="AG51" s="9">
        <v>4318</v>
      </c>
      <c r="AI51" s="32">
        <v>4332</v>
      </c>
      <c r="AJ51" s="9">
        <v>4331</v>
      </c>
      <c r="AK51" s="9">
        <v>4325</v>
      </c>
      <c r="AM51" s="32"/>
      <c r="AX51" s="9">
        <f>2426*2</f>
        <v>4852</v>
      </c>
      <c r="AY51" s="9">
        <f>2392*2</f>
        <v>4784</v>
      </c>
      <c r="AZ51" s="9">
        <f>2348*2</f>
        <v>4696</v>
      </c>
      <c r="BA51" s="9">
        <f>BA47/BA49</f>
        <v>4618.532818532819</v>
      </c>
      <c r="BB51" s="9">
        <f>2315*2</f>
        <v>4630</v>
      </c>
      <c r="BC51" s="9">
        <f>2314*2</f>
        <v>4628</v>
      </c>
      <c r="BD51" s="32">
        <v>4616</v>
      </c>
      <c r="BE51" s="9">
        <v>4568</v>
      </c>
      <c r="BF51" s="9">
        <v>4504</v>
      </c>
      <c r="BG51" s="9">
        <f>BG47/BG49</f>
        <v>4424.7422680412374</v>
      </c>
      <c r="BH51" s="9">
        <f>BH47/BH49</f>
        <v>4381.4814814814808</v>
      </c>
      <c r="BI51" s="9">
        <v>4352</v>
      </c>
      <c r="BJ51" s="9">
        <v>4317</v>
      </c>
      <c r="BK51" s="9">
        <v>4272</v>
      </c>
      <c r="BL51" s="9">
        <v>4259</v>
      </c>
      <c r="BM51" s="9">
        <v>4276</v>
      </c>
      <c r="BN51" s="32">
        <v>4295</v>
      </c>
      <c r="BO51" s="9">
        <v>4315</v>
      </c>
      <c r="BP51" s="9">
        <v>4328</v>
      </c>
    </row>
    <row r="52" spans="2:68" s="9" customFormat="1">
      <c r="B52" s="9" t="s">
        <v>83</v>
      </c>
      <c r="S52" s="9">
        <v>4306</v>
      </c>
      <c r="W52" s="32">
        <v>4306</v>
      </c>
      <c r="X52" s="9">
        <v>4305</v>
      </c>
      <c r="Y52" s="9">
        <v>4321</v>
      </c>
      <c r="AA52" s="32">
        <v>4325</v>
      </c>
      <c r="AB52" s="9">
        <v>4316</v>
      </c>
      <c r="AC52" s="9">
        <v>4321</v>
      </c>
      <c r="AE52" s="32">
        <v>4330</v>
      </c>
      <c r="AF52" s="9">
        <v>4338</v>
      </c>
      <c r="AG52" s="9">
        <v>4344</v>
      </c>
      <c r="AI52" s="32">
        <v>4357</v>
      </c>
      <c r="AJ52" s="9">
        <v>4353</v>
      </c>
      <c r="AK52" s="9">
        <v>4346</v>
      </c>
      <c r="AM52" s="32"/>
      <c r="AX52" s="9">
        <f>2429*2</f>
        <v>4858</v>
      </c>
      <c r="AY52" s="9">
        <f>2393*2</f>
        <v>4786</v>
      </c>
      <c r="AZ52" s="9">
        <f>2350*2</f>
        <v>4700</v>
      </c>
      <c r="BA52" s="9">
        <f>BA47/BA50</f>
        <v>4654.4747081712067</v>
      </c>
      <c r="BB52" s="9">
        <f>2336*2</f>
        <v>4672</v>
      </c>
      <c r="BC52" s="9">
        <f>2329*2</f>
        <v>4658</v>
      </c>
      <c r="BD52" s="32">
        <v>4667</v>
      </c>
      <c r="BE52" s="9">
        <v>4646</v>
      </c>
      <c r="BF52" s="9">
        <v>4584</v>
      </c>
      <c r="BG52" s="9">
        <f>BG47/BG50</f>
        <v>4517.8947368421059</v>
      </c>
      <c r="BH52" s="9">
        <f>BH47/BH50</f>
        <v>4436.25</v>
      </c>
      <c r="BI52" s="9">
        <v>4405</v>
      </c>
      <c r="BJ52" s="9">
        <v>4367</v>
      </c>
      <c r="BK52" s="9">
        <v>4324</v>
      </c>
      <c r="BL52" s="9">
        <v>4299</v>
      </c>
      <c r="BM52" s="9">
        <v>4314</v>
      </c>
      <c r="BN52" s="32">
        <v>4323</v>
      </c>
      <c r="BO52" s="9">
        <v>4340</v>
      </c>
      <c r="BP52" s="9">
        <v>4350</v>
      </c>
    </row>
    <row r="55" spans="2:68" s="23" customFormat="1">
      <c r="B55" s="22" t="s">
        <v>84</v>
      </c>
      <c r="W55" s="30"/>
      <c r="AA55" s="30"/>
      <c r="AE55" s="30"/>
      <c r="AI55" s="30"/>
      <c r="AM55" s="30"/>
      <c r="BD55" s="30"/>
      <c r="BN55" s="30"/>
    </row>
    <row r="56" spans="2:68" s="15" customFormat="1">
      <c r="B56" s="15" t="s">
        <v>85</v>
      </c>
      <c r="W56" s="43"/>
      <c r="AA56" s="43"/>
      <c r="AE56" s="43"/>
      <c r="AI56" s="43"/>
      <c r="AM56" s="43"/>
      <c r="BD56" s="43"/>
      <c r="BN56" s="43"/>
    </row>
    <row r="57" spans="2:68" s="9" customFormat="1">
      <c r="B57" s="9" t="s">
        <v>86</v>
      </c>
      <c r="W57" s="32">
        <v>5645</v>
      </c>
      <c r="Z57" s="9">
        <v>6480</v>
      </c>
      <c r="AA57" s="32">
        <v>13561</v>
      </c>
      <c r="AB57" s="9">
        <v>10037</v>
      </c>
      <c r="AC57" s="9">
        <v>11385</v>
      </c>
      <c r="AD57" s="9">
        <v>6795</v>
      </c>
      <c r="AE57" s="32">
        <v>8484</v>
      </c>
      <c r="AF57" s="9">
        <v>9188</v>
      </c>
      <c r="AG57" s="9">
        <v>11301</v>
      </c>
      <c r="AH57" s="9">
        <v>9684</v>
      </c>
      <c r="AI57" s="32">
        <v>7681</v>
      </c>
      <c r="AJ57" s="9">
        <v>8976</v>
      </c>
      <c r="AK57" s="9">
        <v>10127</v>
      </c>
      <c r="AM57" s="32"/>
      <c r="AY57" s="9">
        <v>4701</v>
      </c>
      <c r="AZ57" s="9">
        <v>2440</v>
      </c>
      <c r="BA57" s="9">
        <v>4093</v>
      </c>
      <c r="BB57" s="9">
        <v>4701</v>
      </c>
      <c r="BC57" s="9">
        <v>7021</v>
      </c>
      <c r="BD57" s="32">
        <v>8517</v>
      </c>
      <c r="BE57" s="9">
        <v>12803</v>
      </c>
      <c r="BF57" s="9">
        <v>8442</v>
      </c>
      <c r="BG57" s="9">
        <v>10414</v>
      </c>
      <c r="BH57" s="9">
        <v>8958</v>
      </c>
      <c r="BI57" s="9">
        <v>7309</v>
      </c>
      <c r="BJ57" s="9">
        <v>8555</v>
      </c>
      <c r="BK57" s="9">
        <v>6006</v>
      </c>
      <c r="BL57" s="9">
        <v>9077</v>
      </c>
      <c r="BM57" s="9">
        <v>6480</v>
      </c>
      <c r="BN57" s="32">
        <v>6795</v>
      </c>
      <c r="BO57" s="9">
        <v>9684</v>
      </c>
      <c r="BP57" s="9">
        <v>9519</v>
      </c>
    </row>
    <row r="58" spans="2:68" s="9" customFormat="1">
      <c r="B58" s="9" t="s">
        <v>87</v>
      </c>
      <c r="W58" s="32">
        <f>1538+4765</f>
        <v>6303</v>
      </c>
      <c r="Z58" s="9">
        <f>1467+3228</f>
        <v>4695</v>
      </c>
      <c r="AA58" s="32">
        <f>1713+2392</f>
        <v>4105</v>
      </c>
      <c r="AB58" s="9">
        <f>7551+2228</f>
        <v>9779</v>
      </c>
      <c r="AC58" s="9">
        <f>7347+2396</f>
        <v>9743</v>
      </c>
      <c r="AD58" s="9">
        <f>1771+2348</f>
        <v>4119</v>
      </c>
      <c r="AE58" s="32">
        <f>1871+2234</f>
        <v>4105</v>
      </c>
      <c r="AF58" s="9">
        <f>2079+1775</f>
        <v>3854</v>
      </c>
      <c r="AG58" s="9">
        <f>1844+1724</f>
        <v>3568</v>
      </c>
      <c r="AH58" s="9">
        <f>1242+1699</f>
        <v>2941</v>
      </c>
      <c r="AI58" s="32">
        <f>736+1939</f>
        <v>2675</v>
      </c>
      <c r="AJ58" s="9">
        <f>776+1867</f>
        <v>2643</v>
      </c>
      <c r="AK58" s="9">
        <f>1120+1973</f>
        <v>3093</v>
      </c>
      <c r="AM58" s="32"/>
      <c r="AY58" s="9">
        <v>0</v>
      </c>
      <c r="AZ58" s="9">
        <v>0</v>
      </c>
      <c r="BA58" s="9">
        <v>0</v>
      </c>
      <c r="BB58" s="9">
        <v>0</v>
      </c>
      <c r="BC58" s="9">
        <v>2130</v>
      </c>
      <c r="BD58" s="32">
        <v>2682</v>
      </c>
      <c r="BE58" s="9">
        <v>1088</v>
      </c>
      <c r="BF58" s="9">
        <v>5017</v>
      </c>
      <c r="BG58" s="9">
        <v>6707</v>
      </c>
      <c r="BH58" s="9">
        <v>9052</v>
      </c>
      <c r="BI58" s="9">
        <v>8322</v>
      </c>
      <c r="BJ58" s="9">
        <v>9595</v>
      </c>
      <c r="BK58" s="9">
        <v>9352</v>
      </c>
      <c r="BL58" s="9">
        <v>2025</v>
      </c>
      <c r="BM58" s="9">
        <v>1467</v>
      </c>
      <c r="BN58" s="32">
        <v>1171</v>
      </c>
      <c r="BO58" s="9">
        <v>1242</v>
      </c>
      <c r="BP58" s="9">
        <v>1043</v>
      </c>
    </row>
    <row r="59" spans="2:68" s="9" customFormat="1">
      <c r="B59" s="9" t="s">
        <v>88</v>
      </c>
      <c r="W59" s="32"/>
      <c r="AA59" s="32"/>
      <c r="AE59" s="32"/>
      <c r="AI59" s="32"/>
      <c r="AM59" s="32"/>
      <c r="AY59" s="9">
        <v>66</v>
      </c>
      <c r="AZ59" s="9">
        <v>150</v>
      </c>
      <c r="BA59" s="9">
        <v>215</v>
      </c>
      <c r="BB59" s="9">
        <v>278</v>
      </c>
      <c r="BC59" s="9">
        <v>62</v>
      </c>
      <c r="BD59" s="32">
        <v>138</v>
      </c>
      <c r="BE59" s="9">
        <v>144</v>
      </c>
      <c r="BF59" s="9">
        <v>3092</v>
      </c>
      <c r="BG59" s="9">
        <v>3147</v>
      </c>
      <c r="BH59" s="9">
        <v>3665</v>
      </c>
      <c r="BI59" s="9">
        <v>4269</v>
      </c>
      <c r="BJ59" s="9">
        <v>4051</v>
      </c>
      <c r="BK59" s="9">
        <v>5317</v>
      </c>
      <c r="BL59" s="9">
        <v>5013</v>
      </c>
      <c r="BM59" s="9">
        <v>3228</v>
      </c>
      <c r="BN59" s="32">
        <v>2348</v>
      </c>
      <c r="BO59" s="9">
        <v>1699</v>
      </c>
      <c r="BP59" s="9">
        <v>1069</v>
      </c>
    </row>
    <row r="60" spans="2:68" s="9" customFormat="1">
      <c r="B60" s="9" t="s">
        <v>89</v>
      </c>
      <c r="W60" s="32">
        <v>3852</v>
      </c>
      <c r="Z60" s="9">
        <v>3971</v>
      </c>
      <c r="AA60" s="32">
        <v>4430</v>
      </c>
      <c r="AB60" s="9">
        <v>3849</v>
      </c>
      <c r="AC60" s="9">
        <v>3827</v>
      </c>
      <c r="AD60" s="9">
        <v>3144</v>
      </c>
      <c r="AE60" s="32">
        <v>3762</v>
      </c>
      <c r="AF60" s="9">
        <v>4036</v>
      </c>
      <c r="AG60" s="9">
        <v>3889</v>
      </c>
      <c r="AH60" s="9">
        <v>3512</v>
      </c>
      <c r="AI60" s="32">
        <v>4641</v>
      </c>
      <c r="AJ60" s="9">
        <v>4494</v>
      </c>
      <c r="AK60" s="9">
        <v>3994</v>
      </c>
      <c r="AM60" s="32"/>
      <c r="AY60" s="9">
        <v>2281</v>
      </c>
      <c r="AZ60" s="9">
        <v>2587</v>
      </c>
      <c r="BA60" s="9">
        <v>3317</v>
      </c>
      <c r="BB60" s="9">
        <v>3090</v>
      </c>
      <c r="BC60" s="9">
        <v>3758</v>
      </c>
      <c r="BD60" s="32">
        <v>4430</v>
      </c>
      <c r="BE60" s="9">
        <v>4920</v>
      </c>
      <c r="BF60" s="9">
        <v>4759</v>
      </c>
      <c r="BG60" s="9">
        <v>4873</v>
      </c>
      <c r="BH60" s="9">
        <v>4466</v>
      </c>
      <c r="BI60" s="9">
        <v>3941</v>
      </c>
      <c r="BJ60" s="9">
        <v>3856</v>
      </c>
      <c r="BK60" s="9">
        <v>3667</v>
      </c>
      <c r="BL60" s="9">
        <v>3685</v>
      </c>
      <c r="BM60" s="9">
        <v>3971</v>
      </c>
      <c r="BN60" s="32">
        <v>3144</v>
      </c>
      <c r="BO60" s="9">
        <v>3512</v>
      </c>
      <c r="BP60" s="9">
        <v>3487</v>
      </c>
    </row>
    <row r="61" spans="2:68" s="9" customFormat="1">
      <c r="B61" s="9" t="s">
        <v>90</v>
      </c>
      <c r="W61" s="32">
        <v>3178</v>
      </c>
      <c r="Z61" s="9">
        <v>3379</v>
      </c>
      <c r="AA61" s="32">
        <v>3558</v>
      </c>
      <c r="AB61" s="9">
        <v>3501</v>
      </c>
      <c r="AC61" s="9">
        <v>3264</v>
      </c>
      <c r="AD61" s="9">
        <v>3266</v>
      </c>
      <c r="AE61" s="32">
        <v>3356</v>
      </c>
      <c r="AF61" s="9">
        <v>3281</v>
      </c>
      <c r="AG61" s="9">
        <v>3182</v>
      </c>
      <c r="AH61" s="9">
        <v>3414</v>
      </c>
      <c r="AI61" s="32">
        <v>3741</v>
      </c>
      <c r="AJ61" s="9">
        <v>3621</v>
      </c>
      <c r="AK61" s="9">
        <v>3708</v>
      </c>
      <c r="AM61" s="32"/>
      <c r="AY61" s="9">
        <v>1379</v>
      </c>
      <c r="AZ61" s="9">
        <v>1641</v>
      </c>
      <c r="BA61" s="9">
        <v>2220</v>
      </c>
      <c r="BB61" s="9">
        <v>2187</v>
      </c>
      <c r="BC61" s="9">
        <v>32354</v>
      </c>
      <c r="BD61" s="32">
        <v>2650</v>
      </c>
      <c r="BE61" s="9">
        <v>3092</v>
      </c>
      <c r="BF61" s="9">
        <v>3264</v>
      </c>
      <c r="BG61" s="9">
        <v>3277</v>
      </c>
      <c r="BH61" s="9">
        <v>3100</v>
      </c>
      <c r="BI61" s="9">
        <v>2902</v>
      </c>
      <c r="BJ61" s="9">
        <v>2675</v>
      </c>
      <c r="BK61" s="9">
        <v>2655</v>
      </c>
      <c r="BL61" s="9">
        <v>3071</v>
      </c>
      <c r="BM61" s="9">
        <v>3379</v>
      </c>
      <c r="BN61" s="32">
        <v>3266</v>
      </c>
      <c r="BO61" s="9">
        <v>3414</v>
      </c>
      <c r="BP61" s="9">
        <v>4233</v>
      </c>
    </row>
    <row r="62" spans="2:68" s="9" customFormat="1">
      <c r="B62" s="9" t="s">
        <v>91</v>
      </c>
      <c r="W62" s="32">
        <v>2935</v>
      </c>
      <c r="Z62" s="9">
        <v>1886</v>
      </c>
      <c r="AA62" s="32">
        <v>2580</v>
      </c>
      <c r="AB62" s="9">
        <v>2205</v>
      </c>
      <c r="AC62" s="9">
        <v>2191</v>
      </c>
      <c r="AD62" s="9">
        <v>1916</v>
      </c>
      <c r="AE62" s="32">
        <v>2225</v>
      </c>
      <c r="AF62" s="9">
        <v>2122</v>
      </c>
      <c r="AG62" s="9">
        <v>2300</v>
      </c>
      <c r="AH62" s="9">
        <v>2994</v>
      </c>
      <c r="AI62" s="32">
        <v>3418</v>
      </c>
      <c r="AJ62" s="9">
        <v>3407</v>
      </c>
      <c r="AK62" s="9">
        <v>3217</v>
      </c>
      <c r="AM62" s="32"/>
      <c r="AY62" s="9">
        <v>1778</v>
      </c>
      <c r="AZ62" s="9">
        <v>1623</v>
      </c>
      <c r="BA62" s="9">
        <v>2260</v>
      </c>
      <c r="BB62" s="9">
        <v>1920</v>
      </c>
      <c r="BC62" s="9">
        <v>2226</v>
      </c>
      <c r="BD62" s="32">
        <v>3162</v>
      </c>
      <c r="BE62" s="9">
        <v>3450</v>
      </c>
      <c r="BF62" s="9">
        <v>2781</v>
      </c>
      <c r="BG62" s="9">
        <v>2886</v>
      </c>
      <c r="BH62" s="9">
        <v>3066</v>
      </c>
      <c r="BI62" s="9">
        <v>2752</v>
      </c>
      <c r="BJ62" s="9">
        <v>2481</v>
      </c>
      <c r="BK62" s="9">
        <v>2000</v>
      </c>
      <c r="BL62" s="9">
        <v>2059</v>
      </c>
      <c r="BM62" s="9">
        <v>1886</v>
      </c>
      <c r="BN62" s="32">
        <v>1916</v>
      </c>
      <c r="BO62" s="9">
        <v>2994</v>
      </c>
      <c r="BP62" s="9">
        <v>3240</v>
      </c>
    </row>
    <row r="63" spans="2:68" s="10" customFormat="1">
      <c r="B63" s="10" t="s">
        <v>92</v>
      </c>
      <c r="T63" s="10">
        <v>0</v>
      </c>
      <c r="U63" s="10">
        <v>0</v>
      </c>
      <c r="V63" s="10">
        <v>0</v>
      </c>
      <c r="W63" s="33">
        <v>6627</v>
      </c>
      <c r="X63" s="10">
        <v>0</v>
      </c>
      <c r="Y63" s="10">
        <v>0</v>
      </c>
      <c r="Z63" s="10">
        <v>0</v>
      </c>
      <c r="AA63" s="33">
        <v>0</v>
      </c>
      <c r="AB63" s="10">
        <v>0</v>
      </c>
      <c r="AC63" s="10">
        <v>0</v>
      </c>
      <c r="AD63" s="10">
        <v>0</v>
      </c>
      <c r="AE63" s="33">
        <v>0</v>
      </c>
      <c r="AF63" s="10">
        <v>0</v>
      </c>
      <c r="AG63" s="10">
        <v>0</v>
      </c>
      <c r="AH63" s="10">
        <v>0</v>
      </c>
      <c r="AI63" s="33">
        <v>0</v>
      </c>
      <c r="AJ63" s="10">
        <v>0</v>
      </c>
      <c r="AK63" s="10">
        <v>0</v>
      </c>
      <c r="AM63" s="33"/>
      <c r="AY63" s="10">
        <v>0</v>
      </c>
      <c r="AZ63" s="10">
        <v>0</v>
      </c>
      <c r="BA63" s="10">
        <v>0</v>
      </c>
      <c r="BB63" s="10">
        <v>0</v>
      </c>
      <c r="BC63" s="10">
        <v>0</v>
      </c>
      <c r="BD63" s="33">
        <v>0</v>
      </c>
      <c r="BE63" s="10">
        <v>0</v>
      </c>
      <c r="BF63" s="10">
        <v>2973</v>
      </c>
      <c r="BG63" s="10">
        <v>0</v>
      </c>
      <c r="BH63" s="10">
        <v>679</v>
      </c>
      <c r="BI63" s="10">
        <v>3900</v>
      </c>
      <c r="BJ63" s="10">
        <v>2797</v>
      </c>
      <c r="BK63" s="10">
        <f>219+7329</f>
        <v>7548</v>
      </c>
      <c r="BL63" s="10">
        <v>0</v>
      </c>
      <c r="BM63" s="10">
        <v>0</v>
      </c>
      <c r="BN63" s="33">
        <v>0</v>
      </c>
      <c r="BO63" s="10">
        <v>0</v>
      </c>
      <c r="BP63" s="10">
        <v>0</v>
      </c>
    </row>
    <row r="64" spans="2:68" s="17" customFormat="1">
      <c r="B64" s="17" t="s">
        <v>93</v>
      </c>
      <c r="C64" s="17">
        <f t="shared" ref="C64:AJ64" si="123">SUM(C57:C62)</f>
        <v>0</v>
      </c>
      <c r="D64" s="17">
        <f t="shared" si="123"/>
        <v>0</v>
      </c>
      <c r="E64" s="17">
        <f t="shared" si="123"/>
        <v>0</v>
      </c>
      <c r="F64" s="17">
        <f t="shared" si="123"/>
        <v>0</v>
      </c>
      <c r="G64" s="17">
        <f t="shared" si="123"/>
        <v>0</v>
      </c>
      <c r="H64" s="17">
        <f t="shared" si="123"/>
        <v>0</v>
      </c>
      <c r="I64" s="17">
        <f t="shared" si="123"/>
        <v>0</v>
      </c>
      <c r="J64" s="17">
        <f t="shared" si="123"/>
        <v>0</v>
      </c>
      <c r="K64" s="17">
        <f t="shared" si="123"/>
        <v>0</v>
      </c>
      <c r="L64" s="17">
        <f t="shared" si="123"/>
        <v>0</v>
      </c>
      <c r="M64" s="17">
        <f t="shared" si="123"/>
        <v>0</v>
      </c>
      <c r="N64" s="17">
        <f t="shared" si="123"/>
        <v>0</v>
      </c>
      <c r="O64" s="17">
        <f t="shared" si="123"/>
        <v>0</v>
      </c>
      <c r="P64" s="17">
        <f t="shared" si="123"/>
        <v>0</v>
      </c>
      <c r="Q64" s="17">
        <f t="shared" si="123"/>
        <v>0</v>
      </c>
      <c r="R64" s="17">
        <f t="shared" si="123"/>
        <v>0</v>
      </c>
      <c r="T64" s="17">
        <f t="shared" si="123"/>
        <v>0</v>
      </c>
      <c r="U64" s="17">
        <f t="shared" si="123"/>
        <v>0</v>
      </c>
      <c r="V64" s="17">
        <f t="shared" si="123"/>
        <v>0</v>
      </c>
      <c r="W64" s="34">
        <f>SUM(W57:W63)</f>
        <v>28540</v>
      </c>
      <c r="X64" s="17">
        <f t="shared" si="123"/>
        <v>0</v>
      </c>
      <c r="Y64" s="17">
        <f t="shared" si="123"/>
        <v>0</v>
      </c>
      <c r="Z64" s="17">
        <f t="shared" si="123"/>
        <v>20411</v>
      </c>
      <c r="AA64" s="34">
        <f t="shared" si="123"/>
        <v>28234</v>
      </c>
      <c r="AB64" s="17">
        <f t="shared" si="123"/>
        <v>29371</v>
      </c>
      <c r="AC64" s="17">
        <f t="shared" si="123"/>
        <v>30410</v>
      </c>
      <c r="AD64" s="17">
        <f t="shared" si="123"/>
        <v>19240</v>
      </c>
      <c r="AE64" s="34">
        <f t="shared" si="123"/>
        <v>21932</v>
      </c>
      <c r="AF64" s="17">
        <f t="shared" si="123"/>
        <v>22481</v>
      </c>
      <c r="AG64" s="17">
        <f t="shared" si="123"/>
        <v>24240</v>
      </c>
      <c r="AH64" s="17">
        <f t="shared" si="123"/>
        <v>22545</v>
      </c>
      <c r="AI64" s="34">
        <f t="shared" si="123"/>
        <v>22156</v>
      </c>
      <c r="AJ64" s="17">
        <f t="shared" si="123"/>
        <v>23141</v>
      </c>
      <c r="AK64" s="17">
        <f>SUM(AK57:AK62)</f>
        <v>24139</v>
      </c>
      <c r="AM64" s="34"/>
      <c r="AX64" s="17">
        <f>SUM(AX57:AX63)</f>
        <v>0</v>
      </c>
      <c r="AY64" s="17">
        <f t="shared" ref="AY64:AZ64" si="124">SUM(AY57:AY63)</f>
        <v>10205</v>
      </c>
      <c r="AZ64" s="17">
        <f t="shared" si="124"/>
        <v>8441</v>
      </c>
      <c r="BA64" s="17">
        <f>SUM(BA57:BA63)</f>
        <v>12105</v>
      </c>
      <c r="BB64" s="17">
        <f t="shared" ref="BB64:BD64" si="125">SUM(BB57:BB63)</f>
        <v>12176</v>
      </c>
      <c r="BC64" s="17">
        <f t="shared" si="125"/>
        <v>47551</v>
      </c>
      <c r="BD64" s="34">
        <f t="shared" si="125"/>
        <v>21579</v>
      </c>
      <c r="BE64" s="17">
        <f>SUM(BE57:BE63)</f>
        <v>25497</v>
      </c>
      <c r="BF64" s="17">
        <f>SUM(BF57:BF63)</f>
        <v>30328</v>
      </c>
      <c r="BG64" s="17">
        <f t="shared" ref="BG64:BJ64" si="126">SUM(BG57:BG63)</f>
        <v>31304</v>
      </c>
      <c r="BH64" s="17">
        <f t="shared" si="126"/>
        <v>32986</v>
      </c>
      <c r="BI64" s="17">
        <f t="shared" si="126"/>
        <v>33395</v>
      </c>
      <c r="BJ64" s="17">
        <f t="shared" si="126"/>
        <v>34010</v>
      </c>
      <c r="BK64" s="17">
        <f>SUM(BK57:BK63)</f>
        <v>36545</v>
      </c>
      <c r="BL64" s="17">
        <f>SUM(BL57:BL63)</f>
        <v>24930</v>
      </c>
      <c r="BM64" s="17">
        <f t="shared" ref="BM64:BO64" si="127">SUM(BM57:BM63)</f>
        <v>20411</v>
      </c>
      <c r="BN64" s="34">
        <f t="shared" si="127"/>
        <v>18640</v>
      </c>
      <c r="BO64" s="17">
        <f t="shared" si="127"/>
        <v>22545</v>
      </c>
      <c r="BP64" s="17">
        <f>SUM(BP57:BP63)</f>
        <v>22591</v>
      </c>
    </row>
    <row r="65" spans="2:68" s="19" customFormat="1">
      <c r="B65" s="19" t="s">
        <v>94</v>
      </c>
      <c r="W65" s="35"/>
      <c r="AA65" s="35"/>
      <c r="AE65" s="35"/>
      <c r="AI65" s="35"/>
      <c r="AM65" s="35"/>
      <c r="BD65" s="35"/>
      <c r="BN65" s="35"/>
    </row>
    <row r="66" spans="2:68" s="9" customFormat="1">
      <c r="B66" s="9" t="s">
        <v>95</v>
      </c>
      <c r="W66" s="32">
        <v>19283</v>
      </c>
      <c r="Z66" s="9">
        <v>19025</v>
      </c>
      <c r="AA66" s="32">
        <v>18020</v>
      </c>
      <c r="AB66" s="9">
        <v>18189</v>
      </c>
      <c r="AC66" s="9">
        <v>18875</v>
      </c>
      <c r="AD66" s="9">
        <v>19273</v>
      </c>
      <c r="AE66" s="32">
        <v>18966</v>
      </c>
      <c r="AF66" s="9">
        <v>18471</v>
      </c>
      <c r="AG66" s="9">
        <v>18284</v>
      </c>
      <c r="AH66" s="9">
        <v>17598</v>
      </c>
      <c r="AI66" s="32">
        <v>18198</v>
      </c>
      <c r="AJ66" s="9">
        <v>17720</v>
      </c>
      <c r="AK66" s="9">
        <v>17723</v>
      </c>
      <c r="AM66" s="32"/>
      <c r="AY66" s="9">
        <f>6922-AY67</f>
        <v>6562</v>
      </c>
      <c r="AZ66" s="9">
        <f>6783-AZ67</f>
        <v>6310</v>
      </c>
      <c r="BA66" s="9">
        <f>7777-BA67</f>
        <v>7289</v>
      </c>
      <c r="BB66" s="9">
        <f>5779-BB67</f>
        <v>5316</v>
      </c>
      <c r="BC66" s="9">
        <v>6217</v>
      </c>
      <c r="BD66" s="32">
        <v>6954</v>
      </c>
      <c r="BE66" s="9">
        <v>7233</v>
      </c>
      <c r="BF66" s="9">
        <v>9216</v>
      </c>
      <c r="BG66" s="9">
        <v>10393</v>
      </c>
      <c r="BH66" s="9">
        <v>9947</v>
      </c>
      <c r="BI66" s="9">
        <v>12318</v>
      </c>
      <c r="BJ66" s="9">
        <v>16260</v>
      </c>
      <c r="BK66" s="9">
        <v>20856</v>
      </c>
      <c r="BL66" s="9">
        <v>19412</v>
      </c>
      <c r="BM66" s="9">
        <v>19025</v>
      </c>
      <c r="BN66" s="32">
        <v>19273</v>
      </c>
      <c r="BO66" s="9">
        <v>17598</v>
      </c>
      <c r="BP66" s="9">
        <v>18264</v>
      </c>
    </row>
    <row r="67" spans="2:68" s="9" customFormat="1">
      <c r="B67" s="9" t="s">
        <v>96</v>
      </c>
      <c r="W67" s="32">
        <v>915</v>
      </c>
      <c r="Z67" s="9">
        <v>854</v>
      </c>
      <c r="AA67" s="32">
        <v>652</v>
      </c>
      <c r="AB67" s="9">
        <v>746</v>
      </c>
      <c r="AC67" s="9">
        <v>712</v>
      </c>
      <c r="AD67" s="9">
        <v>812</v>
      </c>
      <c r="AE67" s="32">
        <v>806</v>
      </c>
      <c r="AF67" s="9">
        <v>945</v>
      </c>
      <c r="AG67" s="9">
        <v>897</v>
      </c>
      <c r="AH67" s="9">
        <v>818</v>
      </c>
      <c r="AI67" s="32">
        <v>788</v>
      </c>
      <c r="AJ67" s="9">
        <v>655</v>
      </c>
      <c r="AK67" s="9">
        <v>582</v>
      </c>
      <c r="AM67" s="32"/>
      <c r="AY67" s="9">
        <v>360</v>
      </c>
      <c r="AZ67" s="9">
        <v>473</v>
      </c>
      <c r="BA67" s="9">
        <v>488</v>
      </c>
      <c r="BB67" s="9">
        <v>463</v>
      </c>
      <c r="BC67" s="9">
        <v>538</v>
      </c>
      <c r="BD67" s="32">
        <v>631</v>
      </c>
      <c r="BE67" s="9">
        <v>1141</v>
      </c>
      <c r="BF67" s="9">
        <v>1232</v>
      </c>
      <c r="BG67" s="9">
        <v>1119</v>
      </c>
      <c r="BH67" s="9">
        <v>3678</v>
      </c>
      <c r="BI67" s="9">
        <v>3470</v>
      </c>
      <c r="BJ67" s="9">
        <v>989</v>
      </c>
      <c r="BK67" s="9">
        <v>1096</v>
      </c>
      <c r="BL67" s="9">
        <v>867</v>
      </c>
      <c r="BM67" s="9">
        <v>854</v>
      </c>
      <c r="BN67" s="32">
        <v>812</v>
      </c>
      <c r="BO67" s="9">
        <v>818</v>
      </c>
      <c r="BP67" s="9">
        <v>501</v>
      </c>
    </row>
    <row r="68" spans="2:68" s="9" customFormat="1">
      <c r="B68" s="9" t="s">
        <v>97</v>
      </c>
      <c r="W68" s="32">
        <v>5382</v>
      </c>
      <c r="Z68" s="9">
        <v>6075</v>
      </c>
      <c r="AA68" s="32">
        <v>6001</v>
      </c>
      <c r="AB68" s="9">
        <v>5875</v>
      </c>
      <c r="AC68" s="9">
        <v>6161</v>
      </c>
      <c r="AD68" s="9">
        <v>6184</v>
      </c>
      <c r="AE68" s="32">
        <v>6494</v>
      </c>
      <c r="AF68" s="9">
        <v>6553</v>
      </c>
      <c r="AG68" s="9">
        <v>6490</v>
      </c>
      <c r="AH68" s="9">
        <v>6731</v>
      </c>
      <c r="AI68" s="32">
        <v>6392</v>
      </c>
      <c r="AJ68" s="9">
        <v>6470</v>
      </c>
      <c r="AK68" s="9">
        <v>6130</v>
      </c>
      <c r="AM68" s="32"/>
      <c r="AY68" s="9">
        <v>2648</v>
      </c>
      <c r="AZ68" s="9">
        <v>2701</v>
      </c>
      <c r="BA68" s="9">
        <v>2675</v>
      </c>
      <c r="BB68" s="9">
        <v>1733</v>
      </c>
      <c r="BC68" s="9">
        <v>1976</v>
      </c>
      <c r="BD68" s="32">
        <v>2121</v>
      </c>
      <c r="BE68" s="9">
        <v>3495</v>
      </c>
      <c r="BF68" s="9">
        <v>3585</v>
      </c>
      <c r="BG68" s="9">
        <v>4661</v>
      </c>
      <c r="BH68" s="9">
        <v>4407</v>
      </c>
      <c r="BI68" s="9">
        <v>4207</v>
      </c>
      <c r="BJ68" s="9">
        <v>4248</v>
      </c>
      <c r="BK68" s="9">
        <v>4560</v>
      </c>
      <c r="BL68" s="9">
        <v>4148</v>
      </c>
      <c r="BM68" s="9">
        <v>6075</v>
      </c>
      <c r="BN68" s="32">
        <v>6184</v>
      </c>
      <c r="BO68" s="9">
        <v>6731</v>
      </c>
      <c r="BP68" s="9">
        <v>6189</v>
      </c>
    </row>
    <row r="69" spans="2:68" s="9" customFormat="1">
      <c r="B69" s="9" t="s">
        <v>98</v>
      </c>
      <c r="W69" s="32">
        <v>2617</v>
      </c>
      <c r="Z69" s="9">
        <v>2412</v>
      </c>
      <c r="AA69" s="32">
        <v>2275</v>
      </c>
      <c r="AB69" s="9">
        <v>2366</v>
      </c>
      <c r="AC69" s="9">
        <v>2439</v>
      </c>
      <c r="AD69" s="9">
        <v>2460</v>
      </c>
      <c r="AE69" s="32">
        <v>2332</v>
      </c>
      <c r="AF69" s="9">
        <v>2291</v>
      </c>
      <c r="AG69" s="9">
        <v>2237</v>
      </c>
      <c r="AH69" s="9">
        <v>2129</v>
      </c>
      <c r="AI69" s="32">
        <v>2006</v>
      </c>
      <c r="AJ69" s="9">
        <v>1833</v>
      </c>
      <c r="AK69" s="9">
        <v>1708</v>
      </c>
      <c r="AM69" s="32"/>
      <c r="AY69" s="9">
        <v>0</v>
      </c>
      <c r="AZ69" s="9">
        <v>0</v>
      </c>
      <c r="BA69" s="9">
        <v>0</v>
      </c>
      <c r="BB69" s="9">
        <v>0</v>
      </c>
      <c r="BC69" s="9">
        <v>9561</v>
      </c>
      <c r="BD69" s="32">
        <v>14727</v>
      </c>
      <c r="BE69" s="9">
        <v>14939</v>
      </c>
      <c r="BF69" s="9">
        <v>14476</v>
      </c>
      <c r="BG69" s="9">
        <v>14967</v>
      </c>
      <c r="BH69" s="9">
        <v>14633</v>
      </c>
      <c r="BI69" s="9">
        <v>12571</v>
      </c>
      <c r="BJ69" s="9">
        <v>10635</v>
      </c>
      <c r="BK69" s="9">
        <v>8203</v>
      </c>
      <c r="BL69" s="9">
        <v>2674</v>
      </c>
      <c r="BM69" s="9">
        <v>2412</v>
      </c>
      <c r="BN69" s="32">
        <v>2460</v>
      </c>
      <c r="BO69" s="9">
        <v>2129</v>
      </c>
      <c r="BP69" s="9">
        <v>1746</v>
      </c>
    </row>
    <row r="70" spans="2:68" s="9" customFormat="1">
      <c r="B70" s="9" t="s">
        <v>99</v>
      </c>
      <c r="W70" s="32">
        <v>8866</v>
      </c>
      <c r="Z70" s="9">
        <v>10838</v>
      </c>
      <c r="AA70" s="32">
        <v>10993</v>
      </c>
      <c r="AB70" s="9">
        <v>10695</v>
      </c>
      <c r="AC70" s="9">
        <v>10667</v>
      </c>
      <c r="AD70" s="9">
        <v>10777</v>
      </c>
      <c r="AE70" s="32">
        <v>10673</v>
      </c>
      <c r="AF70" s="9">
        <v>10547</v>
      </c>
      <c r="AG70" s="9">
        <v>10058</v>
      </c>
      <c r="AH70" s="9">
        <v>9920</v>
      </c>
      <c r="AI70" s="32">
        <v>9784</v>
      </c>
      <c r="AJ70" s="9">
        <v>9462</v>
      </c>
      <c r="AK70" s="9">
        <v>9243</v>
      </c>
      <c r="AM70" s="32"/>
      <c r="AY70" s="9">
        <v>5831</v>
      </c>
      <c r="AZ70" s="9">
        <v>6903</v>
      </c>
      <c r="BA70" s="9">
        <v>8493</v>
      </c>
      <c r="BB70" s="9">
        <v>8326</v>
      </c>
      <c r="BC70" s="9">
        <v>6183</v>
      </c>
      <c r="BD70" s="32">
        <v>6356</v>
      </c>
      <c r="BE70" s="9">
        <v>6430</v>
      </c>
      <c r="BF70" s="9">
        <v>6527</v>
      </c>
      <c r="BG70" s="9">
        <v>6744</v>
      </c>
      <c r="BH70" s="9">
        <v>6533</v>
      </c>
      <c r="BI70" s="9">
        <v>5989</v>
      </c>
      <c r="BJ70" s="9">
        <v>6097</v>
      </c>
      <c r="BK70" s="9">
        <v>6729</v>
      </c>
      <c r="BL70" s="9">
        <v>9598</v>
      </c>
      <c r="BM70" s="9">
        <v>10838</v>
      </c>
      <c r="BN70" s="32">
        <v>10777</v>
      </c>
      <c r="BO70" s="9">
        <v>9920</v>
      </c>
      <c r="BP70" s="9">
        <v>9841</v>
      </c>
    </row>
    <row r="71" spans="2:68" s="9" customFormat="1">
      <c r="B71" s="9" t="s">
        <v>100</v>
      </c>
      <c r="W71" s="32">
        <v>9351</v>
      </c>
      <c r="Z71" s="9">
        <v>9266</v>
      </c>
      <c r="AA71" s="32">
        <v>10457</v>
      </c>
      <c r="AB71" s="9">
        <v>10172</v>
      </c>
      <c r="AC71" s="9">
        <v>10333</v>
      </c>
      <c r="AD71" s="9">
        <v>10395</v>
      </c>
      <c r="AE71" s="32">
        <v>10584</v>
      </c>
      <c r="AF71" s="9">
        <v>10675</v>
      </c>
      <c r="AG71" s="9">
        <v>10449</v>
      </c>
      <c r="AH71" s="9">
        <v>14465</v>
      </c>
      <c r="AI71" s="32">
        <v>14388</v>
      </c>
      <c r="AJ71" s="9">
        <v>14271</v>
      </c>
      <c r="AK71" s="9">
        <v>13968</v>
      </c>
      <c r="AM71" s="32"/>
      <c r="AY71" s="9">
        <v>1946</v>
      </c>
      <c r="AZ71" s="9">
        <v>2045</v>
      </c>
      <c r="BA71" s="9">
        <v>5153</v>
      </c>
      <c r="BB71" s="9">
        <v>6059</v>
      </c>
      <c r="BC71" s="9">
        <v>1953</v>
      </c>
      <c r="BD71" s="32">
        <v>7511</v>
      </c>
      <c r="BE71" s="9">
        <v>7770</v>
      </c>
      <c r="BF71" s="9">
        <v>7405</v>
      </c>
      <c r="BG71" s="9">
        <v>7415</v>
      </c>
      <c r="BH71" s="9">
        <v>6689</v>
      </c>
      <c r="BI71" s="9">
        <v>6000</v>
      </c>
      <c r="BJ71" s="9">
        <v>3676</v>
      </c>
      <c r="BK71" s="9">
        <v>138</v>
      </c>
      <c r="BL71" s="9">
        <v>6682</v>
      </c>
      <c r="BM71" s="9">
        <v>9266</v>
      </c>
      <c r="BN71" s="32">
        <v>10395</v>
      </c>
      <c r="BO71" s="9">
        <v>14465</v>
      </c>
      <c r="BP71" s="9">
        <v>14214</v>
      </c>
    </row>
    <row r="72" spans="2:68" s="9" customFormat="1">
      <c r="B72" s="9" t="s">
        <v>101</v>
      </c>
      <c r="W72" s="32">
        <f>12964+111</f>
        <v>13075</v>
      </c>
      <c r="Z72" s="9">
        <f>16764+109</f>
        <v>16873</v>
      </c>
      <c r="AA72" s="32">
        <f>108+16673</f>
        <v>16781</v>
      </c>
      <c r="AB72" s="9">
        <f>16617+103</f>
        <v>16720</v>
      </c>
      <c r="AC72" s="9">
        <v>16887</v>
      </c>
      <c r="AD72" s="9">
        <v>17506</v>
      </c>
      <c r="AE72" s="32">
        <v>17618</v>
      </c>
      <c r="AF72" s="9">
        <v>17693</v>
      </c>
      <c r="AG72" s="9">
        <v>17455</v>
      </c>
      <c r="AH72" s="9">
        <v>19363</v>
      </c>
      <c r="AI72" s="32">
        <v>19598</v>
      </c>
      <c r="AJ72" s="9">
        <v>18910</v>
      </c>
      <c r="AK72" s="9">
        <v>18329</v>
      </c>
      <c r="AM72" s="32"/>
      <c r="AY72" s="9">
        <v>1047</v>
      </c>
      <c r="AZ72" s="9">
        <v>1403</v>
      </c>
      <c r="BA72" s="9">
        <v>4256</v>
      </c>
      <c r="BB72" s="9">
        <v>4029</v>
      </c>
      <c r="BC72" s="9">
        <v>4224</v>
      </c>
      <c r="BD72" s="32">
        <v>11665</v>
      </c>
      <c r="BE72" s="9">
        <v>12219</v>
      </c>
      <c r="BF72" s="9">
        <v>12255</v>
      </c>
      <c r="BG72" s="9">
        <v>12312</v>
      </c>
      <c r="BH72" s="9">
        <v>12100</v>
      </c>
      <c r="BI72" s="9">
        <v>11289</v>
      </c>
      <c r="BJ72" s="9">
        <v>10629</v>
      </c>
      <c r="BK72" s="9">
        <v>9401</v>
      </c>
      <c r="BL72" s="9">
        <v>14109</v>
      </c>
      <c r="BM72" s="9">
        <v>16764</v>
      </c>
      <c r="BN72" s="32">
        <v>17506</v>
      </c>
      <c r="BO72" s="9">
        <v>19363</v>
      </c>
      <c r="BP72" s="9">
        <v>18782</v>
      </c>
    </row>
    <row r="73" spans="2:68" s="10" customFormat="1">
      <c r="B73" s="10" t="s">
        <v>102</v>
      </c>
      <c r="W73" s="33">
        <v>318</v>
      </c>
      <c r="Z73" s="10">
        <v>627</v>
      </c>
      <c r="AA73" s="33">
        <v>600</v>
      </c>
      <c r="AB73" s="10">
        <v>555</v>
      </c>
      <c r="AC73" s="10">
        <v>700</v>
      </c>
      <c r="AD73" s="10">
        <v>649</v>
      </c>
      <c r="AE73" s="33">
        <v>588</v>
      </c>
      <c r="AF73" s="10">
        <v>538</v>
      </c>
      <c r="AG73" s="10">
        <v>496</v>
      </c>
      <c r="AH73" s="10">
        <v>785</v>
      </c>
      <c r="AI73" s="33">
        <v>754</v>
      </c>
      <c r="AJ73" s="10">
        <v>707</v>
      </c>
      <c r="AK73" s="10">
        <v>649</v>
      </c>
      <c r="AM73" s="33"/>
      <c r="AY73" s="10">
        <v>828</v>
      </c>
      <c r="AZ73" s="10">
        <v>1687</v>
      </c>
      <c r="BA73" s="10">
        <v>2810</v>
      </c>
      <c r="BB73" s="10">
        <v>2417</v>
      </c>
      <c r="BC73" s="10">
        <v>468</v>
      </c>
      <c r="BD73" s="33">
        <v>1377</v>
      </c>
      <c r="BE73" s="10">
        <v>1250</v>
      </c>
      <c r="BF73" s="10">
        <v>1150</v>
      </c>
      <c r="BG73" s="10">
        <v>1140</v>
      </c>
      <c r="BH73" s="10">
        <v>1050</v>
      </c>
      <c r="BI73" s="10">
        <v>854</v>
      </c>
      <c r="BJ73" s="10">
        <v>726</v>
      </c>
      <c r="BK73" s="10">
        <v>368</v>
      </c>
      <c r="BL73" s="10">
        <f>745+51</f>
        <v>796</v>
      </c>
      <c r="BM73" s="10">
        <v>736</v>
      </c>
      <c r="BN73" s="33">
        <v>649</v>
      </c>
      <c r="BO73" s="10">
        <v>785</v>
      </c>
      <c r="BP73" s="10">
        <v>635</v>
      </c>
    </row>
    <row r="74" spans="2:68" s="17" customFormat="1">
      <c r="B74" s="17" t="s">
        <v>103</v>
      </c>
      <c r="C74" s="17">
        <f t="shared" ref="C74:AJ74" si="128">SUM(C64:C73)</f>
        <v>0</v>
      </c>
      <c r="D74" s="17">
        <f t="shared" si="128"/>
        <v>0</v>
      </c>
      <c r="E74" s="17">
        <f t="shared" si="128"/>
        <v>0</v>
      </c>
      <c r="F74" s="17">
        <f t="shared" si="128"/>
        <v>0</v>
      </c>
      <c r="G74" s="17">
        <f t="shared" si="128"/>
        <v>0</v>
      </c>
      <c r="H74" s="17">
        <f t="shared" si="128"/>
        <v>0</v>
      </c>
      <c r="I74" s="17">
        <f t="shared" si="128"/>
        <v>0</v>
      </c>
      <c r="J74" s="17">
        <f t="shared" si="128"/>
        <v>0</v>
      </c>
      <c r="K74" s="17">
        <f t="shared" si="128"/>
        <v>0</v>
      </c>
      <c r="L74" s="17">
        <f t="shared" si="128"/>
        <v>0</v>
      </c>
      <c r="M74" s="17">
        <f t="shared" si="128"/>
        <v>0</v>
      </c>
      <c r="N74" s="17">
        <f t="shared" si="128"/>
        <v>0</v>
      </c>
      <c r="O74" s="17">
        <f t="shared" si="128"/>
        <v>0</v>
      </c>
      <c r="P74" s="17">
        <f t="shared" si="128"/>
        <v>0</v>
      </c>
      <c r="Q74" s="17">
        <f t="shared" si="128"/>
        <v>0</v>
      </c>
      <c r="R74" s="17">
        <f t="shared" si="128"/>
        <v>0</v>
      </c>
      <c r="T74" s="17">
        <f t="shared" si="128"/>
        <v>0</v>
      </c>
      <c r="U74" s="17">
        <f t="shared" si="128"/>
        <v>0</v>
      </c>
      <c r="V74" s="17">
        <f t="shared" si="128"/>
        <v>0</v>
      </c>
      <c r="W74" s="34">
        <f t="shared" si="128"/>
        <v>88347</v>
      </c>
      <c r="X74" s="17">
        <f t="shared" si="128"/>
        <v>0</v>
      </c>
      <c r="Y74" s="17">
        <f t="shared" si="128"/>
        <v>0</v>
      </c>
      <c r="Z74" s="17">
        <f t="shared" si="128"/>
        <v>86381</v>
      </c>
      <c r="AA74" s="34">
        <f t="shared" si="128"/>
        <v>94013</v>
      </c>
      <c r="AB74" s="17">
        <f t="shared" si="128"/>
        <v>94689</v>
      </c>
      <c r="AC74" s="17">
        <f t="shared" si="128"/>
        <v>97184</v>
      </c>
      <c r="AD74" s="17">
        <f t="shared" si="128"/>
        <v>87296</v>
      </c>
      <c r="AE74" s="34">
        <f t="shared" si="128"/>
        <v>89993</v>
      </c>
      <c r="AF74" s="17">
        <f t="shared" si="128"/>
        <v>90194</v>
      </c>
      <c r="AG74" s="17">
        <f t="shared" si="128"/>
        <v>90606</v>
      </c>
      <c r="AH74" s="17">
        <f t="shared" si="128"/>
        <v>94354</v>
      </c>
      <c r="AI74" s="34">
        <f t="shared" si="128"/>
        <v>94064</v>
      </c>
      <c r="AJ74" s="17">
        <f t="shared" si="128"/>
        <v>93169</v>
      </c>
      <c r="AK74" s="17">
        <f>SUM(AK64:AK73)</f>
        <v>92471</v>
      </c>
      <c r="AM74" s="34"/>
      <c r="AX74" s="17">
        <f>SUM(AX66:AX73)+AX64</f>
        <v>0</v>
      </c>
      <c r="AY74" s="17">
        <f t="shared" ref="AY74:AZ74" si="129">SUM(AY66:AY73)+AY64</f>
        <v>29427</v>
      </c>
      <c r="AZ74" s="17">
        <f t="shared" si="129"/>
        <v>29963</v>
      </c>
      <c r="BA74" s="17">
        <f>SUM(BA66:BA73)+BA64</f>
        <v>43269</v>
      </c>
      <c r="BB74" s="17">
        <f t="shared" ref="BB74:BD74" si="130">SUM(BB66:BB73)+BB64</f>
        <v>40519</v>
      </c>
      <c r="BC74" s="17">
        <f t="shared" si="130"/>
        <v>78671</v>
      </c>
      <c r="BD74" s="34">
        <f t="shared" si="130"/>
        <v>72921</v>
      </c>
      <c r="BE74" s="17">
        <f>SUM(BE66:BE73)+BE64</f>
        <v>79974</v>
      </c>
      <c r="BF74" s="17">
        <f>SUM(BF66:BF73)+BF64</f>
        <v>86174</v>
      </c>
      <c r="BG74" s="17">
        <f>SUM(BG66:BG73)+BG64</f>
        <v>90055</v>
      </c>
      <c r="BH74" s="17">
        <f>SUM(BH66:BH73)+BH64</f>
        <v>92023</v>
      </c>
      <c r="BI74" s="17">
        <f>SUM(BI66:BI73)+BI64</f>
        <v>90093</v>
      </c>
      <c r="BJ74" s="17">
        <f>SUM(BJ66:BJ73)+BJ64</f>
        <v>87270</v>
      </c>
      <c r="BK74" s="17">
        <f>SUM(BK66:BK73)+BK64</f>
        <v>87896</v>
      </c>
      <c r="BL74" s="17">
        <f>SUM(BL66:BL73)+BL64</f>
        <v>83216</v>
      </c>
      <c r="BM74" s="17">
        <f>SUM(BM66:BM73)+BM64</f>
        <v>86381</v>
      </c>
      <c r="BN74" s="34">
        <f>SUM(BN66:BN73)+BN64</f>
        <v>86696</v>
      </c>
      <c r="BO74" s="17">
        <f>SUM(BO66:BO73)+BO64</f>
        <v>94354</v>
      </c>
      <c r="BP74" s="17">
        <f>SUM(BP66:BP73)+BP64</f>
        <v>92763</v>
      </c>
    </row>
    <row r="75" spans="2:68" s="19" customFormat="1">
      <c r="B75" s="19" t="s">
        <v>104</v>
      </c>
      <c r="W75" s="35"/>
      <c r="AA75" s="35"/>
      <c r="AE75" s="35"/>
      <c r="AI75" s="35"/>
      <c r="AM75" s="35"/>
      <c r="BD75" s="35"/>
      <c r="BN75" s="35"/>
    </row>
    <row r="76" spans="2:68" s="9" customFormat="1">
      <c r="B76" s="9" t="s">
        <v>105</v>
      </c>
      <c r="W76" s="32">
        <v>10986</v>
      </c>
      <c r="Z76" s="9">
        <v>11312</v>
      </c>
      <c r="AA76" s="32">
        <v>12640</v>
      </c>
      <c r="AB76" s="9">
        <v>11668</v>
      </c>
      <c r="AC76" s="9">
        <v>12750</v>
      </c>
      <c r="AD76" s="9">
        <v>11145</v>
      </c>
      <c r="AE76" s="32">
        <v>10929</v>
      </c>
      <c r="AF76" s="9">
        <v>12124</v>
      </c>
      <c r="AG76" s="9">
        <v>12830</v>
      </c>
      <c r="AH76" s="9">
        <v>14619</v>
      </c>
      <c r="AI76" s="32">
        <v>13272</v>
      </c>
      <c r="AJ76" s="9">
        <v>14213</v>
      </c>
      <c r="AK76" s="9">
        <v>16103</v>
      </c>
      <c r="AM76" s="32"/>
      <c r="AY76" s="9">
        <v>4493</v>
      </c>
      <c r="AZ76" s="9">
        <v>5055</v>
      </c>
      <c r="BA76" s="9">
        <v>6915</v>
      </c>
      <c r="BB76" s="9">
        <v>6205</v>
      </c>
      <c r="BC76" s="9">
        <v>6657</v>
      </c>
      <c r="BD76" s="32">
        <v>8859</v>
      </c>
      <c r="BE76" s="9">
        <v>9009</v>
      </c>
      <c r="BF76" s="9">
        <v>8680</v>
      </c>
      <c r="BG76" s="9">
        <v>9577</v>
      </c>
      <c r="BH76" s="9">
        <v>9234</v>
      </c>
      <c r="BI76" s="9">
        <v>9660</v>
      </c>
      <c r="BJ76" s="9">
        <v>9490</v>
      </c>
      <c r="BK76" s="9">
        <v>8748</v>
      </c>
      <c r="BL76" s="9">
        <v>9533</v>
      </c>
      <c r="BM76" s="9">
        <v>11312</v>
      </c>
      <c r="BN76" s="32">
        <v>11145</v>
      </c>
      <c r="BO76" s="9">
        <v>14619</v>
      </c>
      <c r="BP76" s="9">
        <v>15749</v>
      </c>
    </row>
    <row r="77" spans="2:68" s="9" customFormat="1">
      <c r="B77" s="9" t="s">
        <v>106</v>
      </c>
      <c r="W77" s="32">
        <v>11570</v>
      </c>
      <c r="Z77" s="9">
        <v>10994</v>
      </c>
      <c r="AA77" s="32">
        <v>13657</v>
      </c>
      <c r="AB77" s="9">
        <v>9423</v>
      </c>
      <c r="AC77" s="9">
        <v>5857</v>
      </c>
      <c r="AD77" s="9">
        <v>2183</v>
      </c>
      <c r="AE77" s="32">
        <v>1933</v>
      </c>
      <c r="AF77" s="9">
        <v>1867</v>
      </c>
      <c r="AG77" s="9">
        <v>1866</v>
      </c>
      <c r="AH77" s="9">
        <v>3307</v>
      </c>
      <c r="AI77" s="32">
        <v>3610</v>
      </c>
      <c r="AJ77" s="9">
        <v>4358</v>
      </c>
      <c r="AK77" s="9">
        <v>3396</v>
      </c>
      <c r="AM77" s="32"/>
      <c r="AY77" s="9">
        <v>4518</v>
      </c>
      <c r="AZ77" s="9">
        <v>3235</v>
      </c>
      <c r="BA77" s="9">
        <v>5919</v>
      </c>
      <c r="BB77" s="9">
        <v>6066</v>
      </c>
      <c r="BC77" s="9">
        <v>6749</v>
      </c>
      <c r="BD77" s="32">
        <v>8100</v>
      </c>
      <c r="BE77" s="9">
        <v>12871</v>
      </c>
      <c r="BF77" s="9">
        <v>16297</v>
      </c>
      <c r="BG77" s="9">
        <v>16901</v>
      </c>
      <c r="BH77" s="9">
        <v>19130</v>
      </c>
      <c r="BI77" s="9">
        <v>13129</v>
      </c>
      <c r="BJ77" s="9">
        <v>12498</v>
      </c>
      <c r="BK77" s="9">
        <v>13205</v>
      </c>
      <c r="BL77" s="9">
        <v>13835</v>
      </c>
      <c r="BM77" s="9">
        <v>10994</v>
      </c>
      <c r="BN77" s="32">
        <v>2183</v>
      </c>
      <c r="BO77" s="9">
        <v>3307</v>
      </c>
      <c r="BP77" s="9">
        <v>2373</v>
      </c>
    </row>
    <row r="78" spans="2:68" s="9" customFormat="1">
      <c r="B78" s="9" t="s">
        <v>107</v>
      </c>
      <c r="W78" s="32">
        <v>3297</v>
      </c>
      <c r="Z78" s="9">
        <v>4253</v>
      </c>
      <c r="AA78" s="32">
        <v>5642</v>
      </c>
      <c r="AB78" s="9">
        <v>5181</v>
      </c>
      <c r="AC78" s="9">
        <v>7508</v>
      </c>
      <c r="AD78" s="9">
        <v>485</v>
      </c>
      <c r="AE78" s="32">
        <v>2880</v>
      </c>
      <c r="AF78" s="9">
        <v>337</v>
      </c>
      <c r="AG78" s="9">
        <v>448</v>
      </c>
      <c r="AH78" s="9">
        <v>1338</v>
      </c>
      <c r="AI78" s="32">
        <v>1039</v>
      </c>
      <c r="AJ78" s="9">
        <v>788</v>
      </c>
      <c r="AK78" s="9">
        <v>729</v>
      </c>
      <c r="AM78" s="32"/>
      <c r="AY78" s="9">
        <v>28</v>
      </c>
      <c r="AZ78" s="9">
        <v>33</v>
      </c>
      <c r="BA78" s="9">
        <v>133</v>
      </c>
      <c r="BB78" s="9">
        <v>465</v>
      </c>
      <c r="BC78" s="9">
        <v>51</v>
      </c>
      <c r="BD78" s="32">
        <v>1276</v>
      </c>
      <c r="BE78" s="9">
        <v>2041</v>
      </c>
      <c r="BF78" s="9">
        <v>1577</v>
      </c>
      <c r="BG78" s="9">
        <v>1024</v>
      </c>
      <c r="BH78" s="9">
        <v>3552</v>
      </c>
      <c r="BI78" s="9">
        <v>2677</v>
      </c>
      <c r="BJ78" s="9">
        <v>3527</v>
      </c>
      <c r="BK78" s="9">
        <v>3298</v>
      </c>
      <c r="BL78" s="9">
        <v>5003</v>
      </c>
      <c r="BM78" s="9">
        <v>4253</v>
      </c>
      <c r="BN78" s="32">
        <v>485</v>
      </c>
      <c r="BO78" s="9">
        <v>1338</v>
      </c>
      <c r="BP78" s="9">
        <v>399</v>
      </c>
    </row>
    <row r="79" spans="2:68" s="9" customFormat="1">
      <c r="B79" s="9" t="s">
        <v>108</v>
      </c>
      <c r="W79" s="32">
        <v>255</v>
      </c>
      <c r="Z79" s="9">
        <v>414</v>
      </c>
      <c r="AA79" s="32">
        <v>458</v>
      </c>
      <c r="AB79" s="9">
        <v>576</v>
      </c>
      <c r="AC79" s="9">
        <v>776</v>
      </c>
      <c r="AD79" s="9">
        <v>788</v>
      </c>
      <c r="AE79" s="32">
        <v>744</v>
      </c>
      <c r="AF79" s="9">
        <v>971</v>
      </c>
      <c r="AG79" s="9">
        <v>846</v>
      </c>
      <c r="AH79" s="9">
        <v>686</v>
      </c>
      <c r="AI79" s="32">
        <v>866</v>
      </c>
      <c r="AJ79" s="9">
        <v>1172</v>
      </c>
      <c r="AK79" s="9">
        <v>1211</v>
      </c>
      <c r="AM79" s="32"/>
      <c r="AY79" s="9">
        <v>797</v>
      </c>
      <c r="AZ79" s="9">
        <v>567</v>
      </c>
      <c r="BA79" s="9">
        <v>258</v>
      </c>
      <c r="BB79" s="9">
        <v>252</v>
      </c>
      <c r="BC79" s="9">
        <v>264</v>
      </c>
      <c r="BD79" s="32">
        <v>273</v>
      </c>
      <c r="BE79" s="9">
        <v>362</v>
      </c>
      <c r="BF79" s="9">
        <v>471</v>
      </c>
      <c r="BG79" s="9">
        <v>309</v>
      </c>
      <c r="BH79" s="9">
        <v>400</v>
      </c>
      <c r="BI79" s="9">
        <v>331</v>
      </c>
      <c r="BJ79" s="9">
        <v>307</v>
      </c>
      <c r="BK79" s="9">
        <v>410</v>
      </c>
      <c r="BL79" s="9">
        <v>411</v>
      </c>
      <c r="BM79" s="9">
        <v>414</v>
      </c>
      <c r="BN79" s="32">
        <v>788</v>
      </c>
      <c r="BO79" s="9">
        <v>686</v>
      </c>
      <c r="BP79" s="9">
        <v>1203</v>
      </c>
    </row>
    <row r="80" spans="2:68" s="10" customFormat="1">
      <c r="B80" s="10" t="s">
        <v>109</v>
      </c>
      <c r="W80" s="33">
        <v>1835</v>
      </c>
      <c r="AA80" s="33"/>
      <c r="AE80" s="33"/>
      <c r="AI80" s="33"/>
      <c r="AM80" s="33"/>
      <c r="AY80" s="10">
        <v>0</v>
      </c>
      <c r="AZ80" s="10">
        <v>0</v>
      </c>
      <c r="BA80" s="10">
        <v>0</v>
      </c>
      <c r="BB80" s="10">
        <v>0</v>
      </c>
      <c r="BC80" s="10">
        <v>0</v>
      </c>
      <c r="BD80" s="33">
        <v>0</v>
      </c>
      <c r="BE80" s="10">
        <v>0</v>
      </c>
      <c r="BF80" s="10">
        <v>796</v>
      </c>
      <c r="BG80" s="10">
        <v>0</v>
      </c>
      <c r="BH80" s="10">
        <v>58</v>
      </c>
      <c r="BI80" s="10">
        <v>1133</v>
      </c>
      <c r="BJ80" s="10">
        <v>710</v>
      </c>
      <c r="BK80" s="10">
        <f>37+1496</f>
        <v>1533</v>
      </c>
      <c r="BL80" s="10">
        <v>0</v>
      </c>
      <c r="BM80" s="10">
        <v>0</v>
      </c>
      <c r="BN80" s="33">
        <v>0</v>
      </c>
      <c r="BO80" s="10">
        <v>0</v>
      </c>
      <c r="BP80" s="10">
        <v>0</v>
      </c>
    </row>
    <row r="81" spans="2:68" s="17" customFormat="1">
      <c r="B81" s="17" t="s">
        <v>110</v>
      </c>
      <c r="C81" s="17">
        <f t="shared" ref="C81:R81" si="131">SUM(C76:C79)</f>
        <v>0</v>
      </c>
      <c r="D81" s="17">
        <f t="shared" si="131"/>
        <v>0</v>
      </c>
      <c r="E81" s="17">
        <f t="shared" si="131"/>
        <v>0</v>
      </c>
      <c r="F81" s="17">
        <f t="shared" si="131"/>
        <v>0</v>
      </c>
      <c r="G81" s="17">
        <f t="shared" si="131"/>
        <v>0</v>
      </c>
      <c r="H81" s="17">
        <f t="shared" si="131"/>
        <v>0</v>
      </c>
      <c r="I81" s="17">
        <f t="shared" si="131"/>
        <v>0</v>
      </c>
      <c r="J81" s="17">
        <f t="shared" si="131"/>
        <v>0</v>
      </c>
      <c r="K81" s="17">
        <f t="shared" si="131"/>
        <v>0</v>
      </c>
      <c r="L81" s="17">
        <f t="shared" si="131"/>
        <v>0</v>
      </c>
      <c r="M81" s="17">
        <f t="shared" si="131"/>
        <v>0</v>
      </c>
      <c r="N81" s="17">
        <f t="shared" si="131"/>
        <v>0</v>
      </c>
      <c r="O81" s="17">
        <f t="shared" si="131"/>
        <v>0</v>
      </c>
      <c r="P81" s="17">
        <f t="shared" si="131"/>
        <v>0</v>
      </c>
      <c r="Q81" s="17">
        <f t="shared" si="131"/>
        <v>0</v>
      </c>
      <c r="R81" s="17">
        <f t="shared" si="131"/>
        <v>0</v>
      </c>
      <c r="T81" s="17">
        <f>SUM(T76:T79)</f>
        <v>0</v>
      </c>
      <c r="U81" s="17">
        <f>SUM(U76:U79)</f>
        <v>0</v>
      </c>
      <c r="V81" s="17">
        <f>SUM(V76:V79)</f>
        <v>0</v>
      </c>
      <c r="W81" s="34">
        <f>SUM(W75:W80)</f>
        <v>27943</v>
      </c>
      <c r="X81" s="17">
        <f t="shared" ref="X81:AK81" si="132">SUM(X76:X79)</f>
        <v>0</v>
      </c>
      <c r="Y81" s="17">
        <f t="shared" si="132"/>
        <v>0</v>
      </c>
      <c r="Z81" s="17">
        <f t="shared" si="132"/>
        <v>26973</v>
      </c>
      <c r="AA81" s="34">
        <f t="shared" si="132"/>
        <v>32397</v>
      </c>
      <c r="AB81" s="17">
        <f t="shared" si="132"/>
        <v>26848</v>
      </c>
      <c r="AC81" s="17">
        <f t="shared" si="132"/>
        <v>26891</v>
      </c>
      <c r="AD81" s="17">
        <f t="shared" si="132"/>
        <v>14601</v>
      </c>
      <c r="AE81" s="34">
        <f t="shared" si="132"/>
        <v>16486</v>
      </c>
      <c r="AF81" s="17">
        <f t="shared" si="132"/>
        <v>15299</v>
      </c>
      <c r="AG81" s="17">
        <f t="shared" si="132"/>
        <v>15990</v>
      </c>
      <c r="AH81" s="17">
        <f t="shared" si="132"/>
        <v>19950</v>
      </c>
      <c r="AI81" s="34">
        <f t="shared" si="132"/>
        <v>18787</v>
      </c>
      <c r="AJ81" s="17">
        <f t="shared" si="132"/>
        <v>20531</v>
      </c>
      <c r="AK81" s="17">
        <f t="shared" si="132"/>
        <v>21439</v>
      </c>
      <c r="AM81" s="34"/>
      <c r="AX81" s="17">
        <f>SUM(AX76:AX80)</f>
        <v>0</v>
      </c>
      <c r="AY81" s="17">
        <f t="shared" ref="AY81:AZ81" si="133">SUM(AY76:AY80)</f>
        <v>9836</v>
      </c>
      <c r="AZ81" s="17">
        <f t="shared" si="133"/>
        <v>8890</v>
      </c>
      <c r="BA81" s="17">
        <f>SUM(BA76:BA80)</f>
        <v>13225</v>
      </c>
      <c r="BB81" s="17">
        <f t="shared" ref="BB81:BD81" si="134">SUM(BB76:BB80)</f>
        <v>12988</v>
      </c>
      <c r="BC81" s="17">
        <f t="shared" si="134"/>
        <v>13721</v>
      </c>
      <c r="BD81" s="34">
        <f t="shared" si="134"/>
        <v>18508</v>
      </c>
      <c r="BE81" s="17">
        <f>SUM(BE76:BE80)</f>
        <v>24283</v>
      </c>
      <c r="BF81" s="17">
        <f>SUM(BF76:BF80)</f>
        <v>27821</v>
      </c>
      <c r="BG81" s="17">
        <f t="shared" ref="BG81:BK81" si="135">SUM(BG76:BG80)</f>
        <v>27811</v>
      </c>
      <c r="BH81" s="17">
        <f t="shared" si="135"/>
        <v>32374</v>
      </c>
      <c r="BI81" s="17">
        <f t="shared" si="135"/>
        <v>26930</v>
      </c>
      <c r="BJ81" s="17">
        <f t="shared" si="135"/>
        <v>26532</v>
      </c>
      <c r="BK81" s="17">
        <f t="shared" si="135"/>
        <v>27194</v>
      </c>
      <c r="BL81" s="17">
        <f>SUM(BL76:BL80)</f>
        <v>28782</v>
      </c>
      <c r="BM81" s="17">
        <f t="shared" ref="BM81:BN81" si="136">SUM(BM76:BM80)</f>
        <v>26973</v>
      </c>
      <c r="BN81" s="34">
        <f t="shared" si="136"/>
        <v>14601</v>
      </c>
      <c r="BO81" s="17">
        <f>SUM(BO76:BO80)</f>
        <v>19950</v>
      </c>
      <c r="BP81" s="17">
        <f>SUM(BP76:BP80)</f>
        <v>19724</v>
      </c>
    </row>
    <row r="82" spans="2:68" s="20" customFormat="1">
      <c r="B82" s="19" t="s">
        <v>111</v>
      </c>
      <c r="W82" s="36"/>
      <c r="AA82" s="36"/>
      <c r="AE82" s="36"/>
      <c r="AI82" s="36"/>
      <c r="AM82" s="36"/>
      <c r="BD82" s="36"/>
      <c r="BN82" s="36"/>
    </row>
    <row r="83" spans="2:68" s="9" customFormat="1">
      <c r="B83" s="9" t="s">
        <v>112</v>
      </c>
      <c r="W83" s="32">
        <v>29400</v>
      </c>
      <c r="Z83" s="9">
        <v>27516</v>
      </c>
      <c r="AA83" s="32">
        <v>61094</v>
      </c>
      <c r="AB83" s="9">
        <v>37729</v>
      </c>
      <c r="AC83" s="9">
        <v>39502</v>
      </c>
      <c r="AD83" s="9">
        <v>40125</v>
      </c>
      <c r="AE83" s="32">
        <v>40170</v>
      </c>
      <c r="AF83" s="9">
        <v>39804</v>
      </c>
      <c r="AG83" s="9">
        <v>39394</v>
      </c>
      <c r="AH83" s="9">
        <v>38116</v>
      </c>
      <c r="AI83" s="32">
        <v>37052</v>
      </c>
      <c r="AJ83" s="9">
        <v>36755</v>
      </c>
      <c r="AK83" s="9">
        <v>35462</v>
      </c>
      <c r="AM83" s="32"/>
      <c r="AY83" s="9">
        <v>1154</v>
      </c>
      <c r="AZ83" s="9">
        <v>1314</v>
      </c>
      <c r="BA83" s="9">
        <v>3277</v>
      </c>
      <c r="BB83" s="9">
        <v>2781</v>
      </c>
      <c r="BC83" s="9">
        <v>5059</v>
      </c>
      <c r="BD83" s="32">
        <v>14041</v>
      </c>
      <c r="BE83" s="9">
        <v>13656</v>
      </c>
      <c r="BF83" s="9">
        <v>14736</v>
      </c>
      <c r="BG83" s="9">
        <v>19154</v>
      </c>
      <c r="BH83" s="9">
        <v>19063</v>
      </c>
      <c r="BI83" s="9">
        <v>28407</v>
      </c>
      <c r="BJ83" s="9">
        <v>29684</v>
      </c>
      <c r="BK83" s="9">
        <v>31182</v>
      </c>
      <c r="BL83" s="9">
        <v>25376</v>
      </c>
      <c r="BM83" s="9">
        <v>27516</v>
      </c>
      <c r="BN83" s="32">
        <v>40125</v>
      </c>
      <c r="BO83" s="9">
        <v>38116</v>
      </c>
      <c r="BP83" s="9">
        <v>36377</v>
      </c>
    </row>
    <row r="84" spans="2:68" s="9" customFormat="1">
      <c r="B84" s="9" t="s">
        <v>113</v>
      </c>
      <c r="W84" s="32">
        <v>8598</v>
      </c>
      <c r="Z84" s="9">
        <v>8510</v>
      </c>
      <c r="AA84" s="32">
        <v>8832</v>
      </c>
      <c r="AB84" s="9">
        <v>8954</v>
      </c>
      <c r="AC84" s="9">
        <v>8530</v>
      </c>
      <c r="AD84" s="9">
        <v>9453</v>
      </c>
      <c r="AE84" s="32">
        <v>8558</v>
      </c>
      <c r="AF84" s="9">
        <v>8350</v>
      </c>
      <c r="AG84" s="9">
        <v>8401</v>
      </c>
      <c r="AH84" s="9">
        <v>8607</v>
      </c>
      <c r="AI84" s="32">
        <v>8252</v>
      </c>
      <c r="AJ84" s="9">
        <v>8046</v>
      </c>
      <c r="AK84" s="9">
        <v>8010</v>
      </c>
      <c r="AM84" s="32"/>
      <c r="AY84" s="9">
        <v>1730</v>
      </c>
      <c r="AZ84" s="9">
        <v>2231</v>
      </c>
      <c r="BA84" s="9">
        <v>3133</v>
      </c>
      <c r="BB84" s="9">
        <v>3401</v>
      </c>
      <c r="BC84" s="9">
        <v>2965</v>
      </c>
      <c r="BD84" s="32">
        <v>4794</v>
      </c>
      <c r="BE84" s="9">
        <v>5420</v>
      </c>
      <c r="BF84" s="9">
        <v>5468</v>
      </c>
      <c r="BG84" s="9">
        <v>3498</v>
      </c>
      <c r="BH84" s="9">
        <v>4389</v>
      </c>
      <c r="BI84" s="9">
        <v>4301</v>
      </c>
      <c r="BJ84" s="9">
        <v>4081</v>
      </c>
      <c r="BK84" s="9">
        <v>8021</v>
      </c>
      <c r="BL84" s="9">
        <v>7646</v>
      </c>
      <c r="BM84" s="9">
        <v>8510</v>
      </c>
      <c r="BN84" s="32">
        <v>9453</v>
      </c>
      <c r="BO84" s="9">
        <v>8607</v>
      </c>
      <c r="BP84" s="9">
        <v>7922</v>
      </c>
    </row>
    <row r="85" spans="2:68" s="10" customFormat="1">
      <c r="B85" s="10" t="s">
        <v>114</v>
      </c>
      <c r="W85" s="33">
        <v>2602</v>
      </c>
      <c r="Z85" s="10">
        <v>2284</v>
      </c>
      <c r="AA85" s="33">
        <v>1856</v>
      </c>
      <c r="AB85" s="10">
        <v>1969</v>
      </c>
      <c r="AC85" s="10">
        <v>1945</v>
      </c>
      <c r="AD85" s="10">
        <v>1833</v>
      </c>
      <c r="AE85" s="33">
        <v>2447</v>
      </c>
      <c r="AF85" s="10">
        <v>2486</v>
      </c>
      <c r="AG85" s="10">
        <v>2688</v>
      </c>
      <c r="AH85" s="10">
        <v>2821</v>
      </c>
      <c r="AI85" s="33">
        <v>3132</v>
      </c>
      <c r="AJ85" s="10">
        <v>3034</v>
      </c>
      <c r="AK85" s="10">
        <v>3124</v>
      </c>
      <c r="AM85" s="33"/>
      <c r="AY85" s="10">
        <v>352</v>
      </c>
      <c r="AZ85" s="10">
        <v>608</v>
      </c>
      <c r="BA85" s="10">
        <v>1890</v>
      </c>
      <c r="BB85" s="10">
        <v>877</v>
      </c>
      <c r="BC85" s="10">
        <v>1580</v>
      </c>
      <c r="BD85" s="33">
        <v>4261</v>
      </c>
      <c r="BE85" s="10">
        <v>4694</v>
      </c>
      <c r="BF85" s="10">
        <v>4981</v>
      </c>
      <c r="BG85" s="10">
        <v>6152</v>
      </c>
      <c r="BH85" s="10">
        <v>5636</v>
      </c>
      <c r="BI85" s="10">
        <v>4691</v>
      </c>
      <c r="BJ85" s="10">
        <v>3753</v>
      </c>
      <c r="BK85" s="10">
        <v>2522</v>
      </c>
      <c r="BL85" s="10">
        <v>2354</v>
      </c>
      <c r="BM85" s="10">
        <v>2284</v>
      </c>
      <c r="BN85" s="33">
        <v>1833</v>
      </c>
      <c r="BO85" s="10">
        <v>2821</v>
      </c>
      <c r="BP85" s="10">
        <v>2914</v>
      </c>
    </row>
    <row r="86" spans="2:68" s="17" customFormat="1">
      <c r="B86" s="17" t="s">
        <v>115</v>
      </c>
      <c r="W86" s="34"/>
      <c r="AA86" s="34"/>
      <c r="AE86" s="34"/>
      <c r="AI86" s="34"/>
      <c r="AM86" s="34"/>
      <c r="AX86" s="17">
        <f t="shared" ref="AX86:AZ86" si="137">SUM(AX83:AX85)+AX81</f>
        <v>0</v>
      </c>
      <c r="AY86" s="17">
        <f t="shared" si="137"/>
        <v>13072</v>
      </c>
      <c r="AZ86" s="17">
        <f t="shared" si="137"/>
        <v>13043</v>
      </c>
      <c r="BA86" s="17">
        <f t="shared" ref="BA86" si="138">SUM(BA83:BA85)+BA81</f>
        <v>21525</v>
      </c>
      <c r="BB86" s="17">
        <f t="shared" ref="BB86" si="139">SUM(BB83:BB85)+BB81</f>
        <v>20047</v>
      </c>
      <c r="BC86" s="17">
        <f t="shared" ref="BC86" si="140">SUM(BC83:BC85)+BC81</f>
        <v>23325</v>
      </c>
      <c r="BD86" s="34">
        <f t="shared" ref="BD86" si="141">SUM(BD83:BD85)+BD81</f>
        <v>41604</v>
      </c>
      <c r="BE86" s="17">
        <f t="shared" ref="BE86:BH86" si="142">SUM(BE83:BE85)+BE81</f>
        <v>48053</v>
      </c>
      <c r="BF86" s="17">
        <f t="shared" si="142"/>
        <v>53006</v>
      </c>
      <c r="BG86" s="17">
        <f t="shared" si="142"/>
        <v>56615</v>
      </c>
      <c r="BH86" s="17">
        <f t="shared" si="142"/>
        <v>61462</v>
      </c>
      <c r="BI86" s="17">
        <f t="shared" ref="BI86:BO86" si="143">SUM(BI83:BI85)+BI81</f>
        <v>64329</v>
      </c>
      <c r="BJ86" s="17">
        <f t="shared" si="143"/>
        <v>64050</v>
      </c>
      <c r="BK86" s="17">
        <f t="shared" si="143"/>
        <v>68919</v>
      </c>
      <c r="BL86" s="17">
        <f t="shared" si="143"/>
        <v>64158</v>
      </c>
      <c r="BM86" s="17">
        <f t="shared" si="143"/>
        <v>65283</v>
      </c>
      <c r="BN86" s="34">
        <f t="shared" si="143"/>
        <v>66012</v>
      </c>
      <c r="BO86" s="17">
        <f t="shared" si="143"/>
        <v>69494</v>
      </c>
      <c r="BP86" s="17">
        <f>SUM(BP83:BP85)+BP81</f>
        <v>66937</v>
      </c>
    </row>
    <row r="87" spans="2:68" s="19" customFormat="1">
      <c r="B87" s="19" t="s">
        <v>116</v>
      </c>
      <c r="W87" s="35"/>
      <c r="AA87" s="35"/>
      <c r="AE87" s="35"/>
      <c r="AI87" s="35"/>
      <c r="AM87" s="35"/>
      <c r="BD87" s="35"/>
      <c r="BN87" s="35"/>
    </row>
    <row r="88" spans="2:68" s="9" customFormat="1">
      <c r="B88" s="9" t="s">
        <v>117</v>
      </c>
      <c r="W88" s="32">
        <v>1760</v>
      </c>
      <c r="Z88" s="9">
        <v>1760</v>
      </c>
      <c r="AA88" s="32">
        <v>1760</v>
      </c>
      <c r="AB88" s="9">
        <v>1760</v>
      </c>
      <c r="AC88" s="9">
        <v>1760</v>
      </c>
      <c r="AD88" s="9">
        <v>1760</v>
      </c>
      <c r="AE88" s="32">
        <v>1760</v>
      </c>
      <c r="AF88" s="9">
        <v>1760</v>
      </c>
      <c r="AG88" s="9">
        <v>1760</v>
      </c>
      <c r="AH88" s="9">
        <v>1760</v>
      </c>
      <c r="AI88" s="32">
        <v>1760</v>
      </c>
      <c r="AJ88" s="9">
        <v>1760</v>
      </c>
      <c r="AK88" s="9">
        <v>1760</v>
      </c>
      <c r="AM88" s="32"/>
      <c r="AY88" s="9">
        <v>877</v>
      </c>
      <c r="AZ88" s="9">
        <v>878</v>
      </c>
      <c r="BA88" s="9">
        <v>880</v>
      </c>
      <c r="BB88" s="9">
        <v>880</v>
      </c>
      <c r="BC88" s="9">
        <v>880</v>
      </c>
      <c r="BD88" s="32">
        <v>880</v>
      </c>
      <c r="BE88" s="9">
        <v>1760</v>
      </c>
      <c r="BF88" s="9">
        <v>1760</v>
      </c>
      <c r="BG88" s="9">
        <v>1760</v>
      </c>
      <c r="BH88" s="9">
        <v>1760</v>
      </c>
      <c r="BI88" s="9">
        <v>1760</v>
      </c>
      <c r="BJ88" s="9">
        <v>1760</v>
      </c>
      <c r="BK88" s="9">
        <v>1760</v>
      </c>
      <c r="BL88" s="9">
        <v>1760</v>
      </c>
      <c r="BM88" s="9">
        <v>1760</v>
      </c>
      <c r="BN88" s="32">
        <v>1760</v>
      </c>
      <c r="BO88" s="9">
        <v>1760</v>
      </c>
      <c r="BP88" s="9">
        <v>1760</v>
      </c>
    </row>
    <row r="89" spans="2:68" s="9" customFormat="1">
      <c r="B89" s="9" t="s">
        <v>118</v>
      </c>
      <c r="W89" s="32">
        <v>16577</v>
      </c>
      <c r="Z89" s="9">
        <v>17154</v>
      </c>
      <c r="AA89" s="32">
        <v>17312</v>
      </c>
      <c r="AB89" s="9">
        <v>17367</v>
      </c>
      <c r="AC89" s="9">
        <v>17463</v>
      </c>
      <c r="AD89" s="9">
        <v>17601</v>
      </c>
      <c r="AE89" s="32">
        <v>17630</v>
      </c>
      <c r="AF89" s="9">
        <v>17781</v>
      </c>
      <c r="AG89" s="9">
        <v>17929</v>
      </c>
      <c r="AH89" s="9">
        <v>18116</v>
      </c>
      <c r="AI89" s="32">
        <v>18388</v>
      </c>
      <c r="AJ89" s="9">
        <v>18581</v>
      </c>
      <c r="AK89" s="9">
        <v>18687</v>
      </c>
      <c r="AM89" s="32"/>
      <c r="AY89" s="9">
        <v>5492</v>
      </c>
      <c r="AZ89" s="9">
        <v>5983</v>
      </c>
      <c r="BA89" s="9">
        <v>7378</v>
      </c>
      <c r="BB89" s="9">
        <v>7966</v>
      </c>
      <c r="BC89" s="9">
        <v>8537</v>
      </c>
      <c r="BD89" s="32">
        <v>10057</v>
      </c>
      <c r="BE89" s="9">
        <v>10332</v>
      </c>
      <c r="BF89" s="9">
        <v>11379</v>
      </c>
      <c r="BG89" s="9">
        <v>12276</v>
      </c>
      <c r="BH89" s="9">
        <v>13154</v>
      </c>
      <c r="BI89" s="9">
        <v>14016</v>
      </c>
      <c r="BJ89" s="9">
        <v>14993</v>
      </c>
      <c r="BK89" s="9">
        <v>15864</v>
      </c>
      <c r="BL89" s="9">
        <v>16520</v>
      </c>
      <c r="BM89" s="9">
        <v>17154</v>
      </c>
      <c r="BN89" s="32">
        <v>17601</v>
      </c>
      <c r="BO89" s="9">
        <v>18116</v>
      </c>
      <c r="BP89" s="9">
        <v>18822</v>
      </c>
    </row>
    <row r="90" spans="2:68" s="9" customFormat="1">
      <c r="B90" s="9" t="s">
        <v>119</v>
      </c>
      <c r="W90" s="32">
        <v>63704</v>
      </c>
      <c r="Z90" s="9">
        <v>65855</v>
      </c>
      <c r="AA90" s="32">
        <v>66870</v>
      </c>
      <c r="AB90" s="9">
        <v>66888</v>
      </c>
      <c r="AC90" s="9">
        <v>66863</v>
      </c>
      <c r="AD90" s="9">
        <v>66555</v>
      </c>
      <c r="AE90" s="32">
        <v>67009</v>
      </c>
      <c r="AF90" s="9">
        <v>67838</v>
      </c>
      <c r="AG90" s="9">
        <v>68494</v>
      </c>
      <c r="AH90" s="9">
        <v>69094</v>
      </c>
      <c r="AI90" s="32">
        <v>69969</v>
      </c>
      <c r="AJ90" s="9">
        <v>69970</v>
      </c>
      <c r="AK90" s="9">
        <v>70893</v>
      </c>
      <c r="AM90" s="32"/>
      <c r="AY90" s="9">
        <v>31299</v>
      </c>
      <c r="AZ90" s="9">
        <v>33468</v>
      </c>
      <c r="BA90" s="9">
        <v>36235</v>
      </c>
      <c r="BB90" s="9">
        <v>38513</v>
      </c>
      <c r="BC90" s="9">
        <v>41537</v>
      </c>
      <c r="BD90" s="32">
        <v>49278</v>
      </c>
      <c r="BE90" s="9">
        <v>53621</v>
      </c>
      <c r="BF90" s="9">
        <v>58045</v>
      </c>
      <c r="BG90" s="9">
        <v>61660</v>
      </c>
      <c r="BH90" s="9">
        <v>63408</v>
      </c>
      <c r="BI90" s="9">
        <v>65018</v>
      </c>
      <c r="BJ90" s="9">
        <v>65502</v>
      </c>
      <c r="BK90" s="9">
        <v>60430</v>
      </c>
      <c r="BL90" s="9">
        <v>63234</v>
      </c>
      <c r="BM90" s="9">
        <v>65855</v>
      </c>
      <c r="BN90" s="32">
        <v>66555</v>
      </c>
      <c r="BO90" s="9">
        <v>69094</v>
      </c>
      <c r="BP90" s="9">
        <v>71019</v>
      </c>
    </row>
    <row r="91" spans="2:68" s="9" customFormat="1">
      <c r="B91" s="9" t="s">
        <v>120</v>
      </c>
      <c r="W91" s="32">
        <v>-12325</v>
      </c>
      <c r="Z91" s="9">
        <v>-13544</v>
      </c>
      <c r="AA91" s="32">
        <v>-15696</v>
      </c>
      <c r="AB91" s="9">
        <v>-16460</v>
      </c>
      <c r="AC91" s="9">
        <v>-15446</v>
      </c>
      <c r="AD91" s="9">
        <v>-14601</v>
      </c>
      <c r="AE91" s="32">
        <v>-14133</v>
      </c>
      <c r="AF91" s="9">
        <v>-13299</v>
      </c>
      <c r="AG91" s="9">
        <v>-14250</v>
      </c>
      <c r="AH91" s="9">
        <v>-14330</v>
      </c>
      <c r="AI91" s="32">
        <v>-13340</v>
      </c>
      <c r="AJ91" s="9">
        <v>-14801</v>
      </c>
      <c r="AK91" s="9">
        <v>-15869</v>
      </c>
      <c r="AM91" s="32"/>
      <c r="AY91" s="9">
        <v>-1669</v>
      </c>
      <c r="AZ91" s="9">
        <v>-1291</v>
      </c>
      <c r="BA91" s="9">
        <v>626</v>
      </c>
      <c r="BB91" s="9">
        <v>-2674</v>
      </c>
      <c r="BC91" s="9">
        <v>-757</v>
      </c>
      <c r="BD91" s="32">
        <v>-1450</v>
      </c>
      <c r="BE91" s="9">
        <v>-2774</v>
      </c>
      <c r="BF91" s="9">
        <v>-3385</v>
      </c>
      <c r="BG91" s="9">
        <v>-3432</v>
      </c>
      <c r="BH91" s="9">
        <v>-5777</v>
      </c>
      <c r="BI91" s="9">
        <v>-10174</v>
      </c>
      <c r="BJ91" s="9">
        <v>-11205</v>
      </c>
      <c r="BK91" s="9">
        <v>-10305</v>
      </c>
      <c r="BL91" s="9">
        <v>-12814</v>
      </c>
      <c r="BM91" s="9">
        <v>-13544</v>
      </c>
      <c r="BN91" s="32">
        <v>-14601</v>
      </c>
      <c r="BO91" s="9">
        <v>-14330</v>
      </c>
      <c r="BP91" s="9">
        <v>-14895</v>
      </c>
    </row>
    <row r="92" spans="2:68" s="10" customFormat="1">
      <c r="B92" s="10" t="s">
        <v>121</v>
      </c>
      <c r="W92" s="33">
        <v>-51981</v>
      </c>
      <c r="Z92" s="10">
        <v>-52244</v>
      </c>
      <c r="AA92" s="33">
        <v>-52088</v>
      </c>
      <c r="AB92" s="10">
        <v>-52071</v>
      </c>
      <c r="AC92" s="10">
        <v>-52033</v>
      </c>
      <c r="AD92" s="10">
        <v>-52016</v>
      </c>
      <c r="AE92" s="33">
        <v>-51911</v>
      </c>
      <c r="AF92" s="10">
        <v>-51831</v>
      </c>
      <c r="AG92" s="10">
        <v>-51754</v>
      </c>
      <c r="AH92" s="10">
        <v>-51641</v>
      </c>
      <c r="AI92" s="33">
        <v>-51932</v>
      </c>
      <c r="AJ92" s="10">
        <v>-52505</v>
      </c>
      <c r="AK92" s="10">
        <v>-52666</v>
      </c>
      <c r="AM92" s="33"/>
      <c r="AY92" s="10">
        <v>-19644</v>
      </c>
      <c r="AZ92" s="10">
        <v>-22118</v>
      </c>
      <c r="BA92" s="10">
        <v>-23375</v>
      </c>
      <c r="BB92" s="10">
        <v>-24213</v>
      </c>
      <c r="BC92" s="10">
        <v>-25398</v>
      </c>
      <c r="BD92" s="33">
        <v>-27762</v>
      </c>
      <c r="BE92" s="10">
        <v>31304</v>
      </c>
      <c r="BF92" s="10">
        <v>-35009</v>
      </c>
      <c r="BG92" s="10">
        <v>-39091</v>
      </c>
      <c r="BH92" s="10">
        <v>-42225</v>
      </c>
      <c r="BI92" s="10">
        <v>-45066</v>
      </c>
      <c r="BJ92" s="10">
        <v>-47988</v>
      </c>
      <c r="BK92" s="10">
        <v>-50677</v>
      </c>
      <c r="BL92" s="10">
        <v>-51719</v>
      </c>
      <c r="BM92" s="10">
        <v>-52244</v>
      </c>
      <c r="BN92" s="33">
        <v>-52016</v>
      </c>
      <c r="BO92" s="10">
        <v>-51641</v>
      </c>
      <c r="BP92" s="10">
        <v>-52601</v>
      </c>
    </row>
    <row r="93" spans="2:68" s="17" customFormat="1">
      <c r="B93" s="17" t="s">
        <v>122</v>
      </c>
      <c r="C93" s="17">
        <f t="shared" ref="C93:AJ93" si="144">SUM(C88:C92)</f>
        <v>0</v>
      </c>
      <c r="D93" s="17">
        <f t="shared" si="144"/>
        <v>0</v>
      </c>
      <c r="E93" s="17">
        <f t="shared" si="144"/>
        <v>0</v>
      </c>
      <c r="F93" s="17">
        <f t="shared" si="144"/>
        <v>0</v>
      </c>
      <c r="G93" s="17">
        <f t="shared" si="144"/>
        <v>0</v>
      </c>
      <c r="H93" s="17">
        <f t="shared" si="144"/>
        <v>0</v>
      </c>
      <c r="I93" s="17">
        <f t="shared" si="144"/>
        <v>0</v>
      </c>
      <c r="J93" s="17">
        <f t="shared" si="144"/>
        <v>0</v>
      </c>
      <c r="K93" s="17">
        <f t="shared" si="144"/>
        <v>0</v>
      </c>
      <c r="L93" s="17">
        <f t="shared" si="144"/>
        <v>0</v>
      </c>
      <c r="M93" s="17">
        <f t="shared" si="144"/>
        <v>0</v>
      </c>
      <c r="N93" s="17">
        <f t="shared" si="144"/>
        <v>0</v>
      </c>
      <c r="O93" s="17">
        <f t="shared" si="144"/>
        <v>0</v>
      </c>
      <c r="P93" s="17">
        <f t="shared" si="144"/>
        <v>0</v>
      </c>
      <c r="Q93" s="17">
        <f t="shared" si="144"/>
        <v>0</v>
      </c>
      <c r="R93" s="17">
        <f t="shared" si="144"/>
        <v>0</v>
      </c>
      <c r="T93" s="17">
        <f t="shared" si="144"/>
        <v>0</v>
      </c>
      <c r="U93" s="17">
        <f t="shared" si="144"/>
        <v>0</v>
      </c>
      <c r="V93" s="17">
        <f t="shared" si="144"/>
        <v>0</v>
      </c>
      <c r="W93" s="34">
        <f t="shared" si="144"/>
        <v>17735</v>
      </c>
      <c r="X93" s="17">
        <f t="shared" si="144"/>
        <v>0</v>
      </c>
      <c r="Y93" s="17">
        <f t="shared" si="144"/>
        <v>0</v>
      </c>
      <c r="Z93" s="17">
        <f t="shared" si="144"/>
        <v>18981</v>
      </c>
      <c r="AA93" s="34">
        <f t="shared" si="144"/>
        <v>18158</v>
      </c>
      <c r="AB93" s="17">
        <f t="shared" si="144"/>
        <v>17484</v>
      </c>
      <c r="AC93" s="17">
        <f t="shared" si="144"/>
        <v>18607</v>
      </c>
      <c r="AD93" s="17">
        <f t="shared" si="144"/>
        <v>19299</v>
      </c>
      <c r="AE93" s="34">
        <f t="shared" si="144"/>
        <v>20355</v>
      </c>
      <c r="AF93" s="17">
        <f t="shared" si="144"/>
        <v>22249</v>
      </c>
      <c r="AG93" s="17">
        <f t="shared" si="144"/>
        <v>22179</v>
      </c>
      <c r="AH93" s="17">
        <f t="shared" si="144"/>
        <v>22999</v>
      </c>
      <c r="AI93" s="34">
        <f t="shared" si="144"/>
        <v>24845</v>
      </c>
      <c r="AJ93" s="17">
        <f t="shared" si="144"/>
        <v>23005</v>
      </c>
      <c r="AK93" s="17">
        <f>SUM(AK88:AK92)</f>
        <v>22805</v>
      </c>
      <c r="AM93" s="34"/>
      <c r="AX93" s="17">
        <f>SUM(AX88:AX92)</f>
        <v>0</v>
      </c>
      <c r="AY93" s="17">
        <f t="shared" ref="AY93:AZ93" si="145">SUM(AY88:AY92)</f>
        <v>16355</v>
      </c>
      <c r="AZ93" s="17">
        <f t="shared" si="145"/>
        <v>16920</v>
      </c>
      <c r="BA93" s="17">
        <f>SUM(BA88:BA92)</f>
        <v>21744</v>
      </c>
      <c r="BB93" s="17">
        <f t="shared" ref="BB93:BD93" si="146">SUM(BB88:BB92)</f>
        <v>20472</v>
      </c>
      <c r="BC93" s="17">
        <f t="shared" si="146"/>
        <v>24799</v>
      </c>
      <c r="BD93" s="34">
        <f t="shared" si="146"/>
        <v>31003</v>
      </c>
      <c r="BE93" s="17">
        <f>SUM(BE88:BE92)</f>
        <v>94243</v>
      </c>
      <c r="BF93" s="17">
        <f>SUM(BF88:BF92)</f>
        <v>32790</v>
      </c>
      <c r="BG93" s="17">
        <f t="shared" ref="BG93:BK93" si="147">SUM(BG88:BG92)</f>
        <v>33173</v>
      </c>
      <c r="BH93" s="17">
        <f t="shared" si="147"/>
        <v>30320</v>
      </c>
      <c r="BI93" s="17">
        <f t="shared" si="147"/>
        <v>25554</v>
      </c>
      <c r="BJ93" s="17">
        <f t="shared" si="147"/>
        <v>23062</v>
      </c>
      <c r="BK93" s="17">
        <f t="shared" si="147"/>
        <v>17072</v>
      </c>
      <c r="BL93" s="17">
        <f>SUM(BL88:BL92)</f>
        <v>16981</v>
      </c>
      <c r="BM93" s="17">
        <f t="shared" ref="BM93:BN93" si="148">SUM(BM88:BM92)</f>
        <v>18981</v>
      </c>
      <c r="BN93" s="34">
        <f t="shared" si="148"/>
        <v>19299</v>
      </c>
      <c r="BO93" s="17">
        <f>SUM(BO88:BO92)</f>
        <v>22999</v>
      </c>
      <c r="BP93" s="17">
        <f>SUM(BP88:BP92)</f>
        <v>24105</v>
      </c>
    </row>
    <row r="94" spans="2:68" s="10" customFormat="1">
      <c r="B94" s="10" t="s">
        <v>123</v>
      </c>
      <c r="W94" s="33">
        <v>2069</v>
      </c>
      <c r="Z94" s="10">
        <v>2117</v>
      </c>
      <c r="AA94" s="33">
        <v>1676</v>
      </c>
      <c r="AB94" s="10">
        <v>1705</v>
      </c>
      <c r="AC94" s="10">
        <v>1709</v>
      </c>
      <c r="AD94" s="10">
        <v>1985</v>
      </c>
      <c r="AE94" s="33">
        <v>1977</v>
      </c>
      <c r="AF94" s="10">
        <v>2006</v>
      </c>
      <c r="AG94" s="10">
        <v>1954</v>
      </c>
      <c r="AH94" s="10">
        <v>1861</v>
      </c>
      <c r="AI94" s="33">
        <v>1996</v>
      </c>
      <c r="AJ94" s="10">
        <v>1798</v>
      </c>
      <c r="AK94" s="10">
        <v>1631</v>
      </c>
      <c r="AM94" s="33"/>
      <c r="AY94" s="10">
        <v>0</v>
      </c>
      <c r="AZ94" s="10">
        <v>0</v>
      </c>
      <c r="BA94" s="10">
        <v>0</v>
      </c>
      <c r="BB94" s="10">
        <v>0</v>
      </c>
      <c r="BC94" s="10">
        <v>547</v>
      </c>
      <c r="BD94" s="33">
        <v>314</v>
      </c>
      <c r="BE94" s="10">
        <v>286</v>
      </c>
      <c r="BF94" s="10">
        <v>378</v>
      </c>
      <c r="BG94" s="10">
        <v>267</v>
      </c>
      <c r="BH94" s="10">
        <v>241</v>
      </c>
      <c r="BI94" s="10">
        <v>210</v>
      </c>
      <c r="BJ94" s="10">
        <v>158</v>
      </c>
      <c r="BK94" s="10">
        <v>1905</v>
      </c>
      <c r="BL94" s="10">
        <v>2077</v>
      </c>
      <c r="BM94" s="10">
        <v>2117</v>
      </c>
      <c r="BN94" s="33">
        <v>1985</v>
      </c>
      <c r="BO94" s="10">
        <v>1861</v>
      </c>
      <c r="BP94" s="10">
        <v>1721</v>
      </c>
    </row>
    <row r="95" spans="2:68" s="21" customFormat="1">
      <c r="B95" s="21" t="s">
        <v>124</v>
      </c>
      <c r="C95" s="21">
        <f t="shared" ref="C95:AJ95" si="149">C93+C94</f>
        <v>0</v>
      </c>
      <c r="D95" s="21">
        <f t="shared" si="149"/>
        <v>0</v>
      </c>
      <c r="E95" s="21">
        <f t="shared" si="149"/>
        <v>0</v>
      </c>
      <c r="F95" s="21">
        <f t="shared" si="149"/>
        <v>0</v>
      </c>
      <c r="G95" s="21">
        <f t="shared" si="149"/>
        <v>0</v>
      </c>
      <c r="H95" s="21">
        <f t="shared" si="149"/>
        <v>0</v>
      </c>
      <c r="I95" s="21">
        <f t="shared" si="149"/>
        <v>0</v>
      </c>
      <c r="J95" s="21">
        <f t="shared" si="149"/>
        <v>0</v>
      </c>
      <c r="K95" s="21">
        <f t="shared" si="149"/>
        <v>0</v>
      </c>
      <c r="L95" s="21">
        <f t="shared" si="149"/>
        <v>0</v>
      </c>
      <c r="M95" s="21">
        <f t="shared" si="149"/>
        <v>0</v>
      </c>
      <c r="N95" s="21">
        <f t="shared" si="149"/>
        <v>0</v>
      </c>
      <c r="O95" s="21">
        <f t="shared" si="149"/>
        <v>0</v>
      </c>
      <c r="P95" s="21">
        <f t="shared" si="149"/>
        <v>0</v>
      </c>
      <c r="Q95" s="21">
        <f t="shared" si="149"/>
        <v>0</v>
      </c>
      <c r="R95" s="21">
        <f t="shared" si="149"/>
        <v>0</v>
      </c>
      <c r="T95" s="21">
        <f t="shared" si="149"/>
        <v>0</v>
      </c>
      <c r="U95" s="21">
        <f t="shared" si="149"/>
        <v>0</v>
      </c>
      <c r="V95" s="21">
        <f t="shared" si="149"/>
        <v>0</v>
      </c>
      <c r="W95" s="44">
        <f t="shared" si="149"/>
        <v>19804</v>
      </c>
      <c r="X95" s="21">
        <f t="shared" si="149"/>
        <v>0</v>
      </c>
      <c r="Y95" s="21">
        <f t="shared" si="149"/>
        <v>0</v>
      </c>
      <c r="Z95" s="21">
        <f t="shared" si="149"/>
        <v>21098</v>
      </c>
      <c r="AA95" s="44">
        <f t="shared" si="149"/>
        <v>19834</v>
      </c>
      <c r="AB95" s="21">
        <f t="shared" si="149"/>
        <v>19189</v>
      </c>
      <c r="AC95" s="21">
        <f t="shared" si="149"/>
        <v>20316</v>
      </c>
      <c r="AD95" s="21">
        <f t="shared" si="149"/>
        <v>21284</v>
      </c>
      <c r="AE95" s="44">
        <f t="shared" si="149"/>
        <v>22332</v>
      </c>
      <c r="AF95" s="21">
        <f t="shared" si="149"/>
        <v>24255</v>
      </c>
      <c r="AG95" s="21">
        <f t="shared" si="149"/>
        <v>24133</v>
      </c>
      <c r="AH95" s="21">
        <f t="shared" si="149"/>
        <v>24860</v>
      </c>
      <c r="AI95" s="44">
        <f t="shared" si="149"/>
        <v>26841</v>
      </c>
      <c r="AJ95" s="21">
        <f t="shared" si="149"/>
        <v>24803</v>
      </c>
      <c r="AK95" s="21">
        <f>AK93+AK94</f>
        <v>24436</v>
      </c>
      <c r="AM95" s="44"/>
      <c r="AX95" s="21">
        <f>SUM(AX93:AX94)</f>
        <v>0</v>
      </c>
      <c r="AY95" s="21">
        <f t="shared" ref="AY95:AZ95" si="150">SUM(AY93:AY94)</f>
        <v>16355</v>
      </c>
      <c r="AZ95" s="21">
        <f t="shared" si="150"/>
        <v>16920</v>
      </c>
      <c r="BA95" s="21">
        <f>SUM(BA93:BA94)</f>
        <v>21744</v>
      </c>
      <c r="BB95" s="21">
        <f>SUM(BB93:BB94)</f>
        <v>20472</v>
      </c>
      <c r="BC95" s="21">
        <f>SUM(BC93:BC94)</f>
        <v>25346</v>
      </c>
      <c r="BD95" s="44">
        <f>SUM(BD93:BD94)</f>
        <v>31317</v>
      </c>
      <c r="BE95" s="21">
        <f>SUM(BE93:BE94)</f>
        <v>94529</v>
      </c>
      <c r="BF95" s="21">
        <f>SUM(BF93:BF94)</f>
        <v>33168</v>
      </c>
      <c r="BG95" s="21">
        <f t="shared" ref="BG95:BK95" si="151">SUM(BG93:BG94)</f>
        <v>33440</v>
      </c>
      <c r="BH95" s="21">
        <f t="shared" si="151"/>
        <v>30561</v>
      </c>
      <c r="BI95" s="21">
        <f t="shared" si="151"/>
        <v>25764</v>
      </c>
      <c r="BJ95" s="21">
        <f t="shared" si="151"/>
        <v>23220</v>
      </c>
      <c r="BK95" s="21">
        <f t="shared" si="151"/>
        <v>18977</v>
      </c>
      <c r="BL95" s="21">
        <f>SUM(BL93:BL94)</f>
        <v>19058</v>
      </c>
      <c r="BM95" s="21">
        <f t="shared" ref="BM95:BN95" si="152">SUM(BM93:BM94)</f>
        <v>21098</v>
      </c>
      <c r="BN95" s="44">
        <f t="shared" si="152"/>
        <v>21284</v>
      </c>
      <c r="BO95" s="21">
        <f>SUM(BO93:BO94)</f>
        <v>24860</v>
      </c>
      <c r="BP95" s="21">
        <f>SUM(BP93:BP94)</f>
        <v>25826</v>
      </c>
    </row>
    <row r="96" spans="2:68" s="17" customFormat="1">
      <c r="B96" s="17" t="s">
        <v>125</v>
      </c>
      <c r="C96" s="17">
        <f t="shared" ref="C96:AJ96" si="153">SUM(C81:C92)+C94</f>
        <v>0</v>
      </c>
      <c r="D96" s="17">
        <f t="shared" si="153"/>
        <v>0</v>
      </c>
      <c r="E96" s="17">
        <f t="shared" si="153"/>
        <v>0</v>
      </c>
      <c r="F96" s="17">
        <f t="shared" si="153"/>
        <v>0</v>
      </c>
      <c r="G96" s="17">
        <f t="shared" si="153"/>
        <v>0</v>
      </c>
      <c r="H96" s="17">
        <f t="shared" si="153"/>
        <v>0</v>
      </c>
      <c r="I96" s="17">
        <f t="shared" si="153"/>
        <v>0</v>
      </c>
      <c r="J96" s="17">
        <f t="shared" si="153"/>
        <v>0</v>
      </c>
      <c r="K96" s="17">
        <f t="shared" si="153"/>
        <v>0</v>
      </c>
      <c r="L96" s="17">
        <f t="shared" si="153"/>
        <v>0</v>
      </c>
      <c r="M96" s="17">
        <f t="shared" si="153"/>
        <v>0</v>
      </c>
      <c r="N96" s="17">
        <f t="shared" si="153"/>
        <v>0</v>
      </c>
      <c r="O96" s="17">
        <f t="shared" si="153"/>
        <v>0</v>
      </c>
      <c r="P96" s="17">
        <f t="shared" si="153"/>
        <v>0</v>
      </c>
      <c r="Q96" s="17">
        <f t="shared" si="153"/>
        <v>0</v>
      </c>
      <c r="R96" s="17">
        <f t="shared" si="153"/>
        <v>0</v>
      </c>
      <c r="T96" s="17">
        <f t="shared" si="153"/>
        <v>0</v>
      </c>
      <c r="U96" s="17">
        <f t="shared" si="153"/>
        <v>0</v>
      </c>
      <c r="V96" s="17">
        <f t="shared" si="153"/>
        <v>0</v>
      </c>
      <c r="W96" s="34">
        <f t="shared" ref="W96" si="154">SUM(W81:W92)+W94</f>
        <v>88347</v>
      </c>
      <c r="X96" s="17">
        <f t="shared" si="153"/>
        <v>0</v>
      </c>
      <c r="Y96" s="17">
        <f t="shared" si="153"/>
        <v>0</v>
      </c>
      <c r="Z96" s="17">
        <f t="shared" si="153"/>
        <v>86381</v>
      </c>
      <c r="AA96" s="34">
        <f t="shared" si="153"/>
        <v>124013</v>
      </c>
      <c r="AB96" s="17">
        <f t="shared" si="153"/>
        <v>94689</v>
      </c>
      <c r="AC96" s="17">
        <f t="shared" si="153"/>
        <v>97184</v>
      </c>
      <c r="AD96" s="17">
        <f t="shared" si="153"/>
        <v>87296</v>
      </c>
      <c r="AE96" s="34">
        <f t="shared" si="153"/>
        <v>89993</v>
      </c>
      <c r="AF96" s="17">
        <f t="shared" si="153"/>
        <v>90194</v>
      </c>
      <c r="AG96" s="17">
        <f t="shared" si="153"/>
        <v>90606</v>
      </c>
      <c r="AH96" s="17">
        <f t="shared" si="153"/>
        <v>94354</v>
      </c>
      <c r="AI96" s="34">
        <f t="shared" si="153"/>
        <v>94064</v>
      </c>
      <c r="AJ96" s="17">
        <f t="shared" si="153"/>
        <v>93169</v>
      </c>
      <c r="AK96" s="17">
        <f>SUM(AK81:AK92)+AK94</f>
        <v>92471</v>
      </c>
      <c r="AM96" s="34"/>
      <c r="AX96" s="17">
        <f>AX95+AX86</f>
        <v>0</v>
      </c>
      <c r="AY96" s="17">
        <f t="shared" ref="AY96:AZ96" si="155">AY95+AY86</f>
        <v>29427</v>
      </c>
      <c r="AZ96" s="17">
        <f t="shared" si="155"/>
        <v>29963</v>
      </c>
      <c r="BA96" s="17">
        <f>BA95+BA86</f>
        <v>43269</v>
      </c>
      <c r="BB96" s="17">
        <f>BB95+BB86</f>
        <v>40519</v>
      </c>
      <c r="BC96" s="17">
        <f>BC95+BC86</f>
        <v>48671</v>
      </c>
      <c r="BD96" s="34">
        <f>BD95+BD86</f>
        <v>72921</v>
      </c>
      <c r="BE96" s="17">
        <f>BE95+BE86</f>
        <v>142582</v>
      </c>
      <c r="BF96" s="17">
        <f>BF95+BF86</f>
        <v>86174</v>
      </c>
      <c r="BG96" s="17">
        <f t="shared" ref="BG96:BK96" si="156">BG95+BG86</f>
        <v>90055</v>
      </c>
      <c r="BH96" s="17">
        <f t="shared" si="156"/>
        <v>92023</v>
      </c>
      <c r="BI96" s="17">
        <f t="shared" si="156"/>
        <v>90093</v>
      </c>
      <c r="BJ96" s="17">
        <f t="shared" si="156"/>
        <v>87270</v>
      </c>
      <c r="BK96" s="17">
        <f t="shared" si="156"/>
        <v>87896</v>
      </c>
      <c r="BL96" s="17">
        <f>BL95+BL86</f>
        <v>83216</v>
      </c>
      <c r="BM96" s="17">
        <f t="shared" ref="BM96:BN96" si="157">BM95+BM86</f>
        <v>86381</v>
      </c>
      <c r="BN96" s="34">
        <f t="shared" si="157"/>
        <v>87296</v>
      </c>
      <c r="BO96" s="17">
        <f>BO95+BO86</f>
        <v>94354</v>
      </c>
      <c r="BP96" s="17">
        <f>BP95+BP86</f>
        <v>92763</v>
      </c>
    </row>
    <row r="98" spans="2:68" s="4" customFormat="1">
      <c r="B98" s="16" t="s">
        <v>126</v>
      </c>
      <c r="W98" s="42">
        <f>W64/W81</f>
        <v>1.0213649214472318</v>
      </c>
      <c r="X98" s="4" t="e">
        <f t="shared" ref="X98:AK98" si="158">X64/X81</f>
        <v>#DIV/0!</v>
      </c>
      <c r="Y98" s="4" t="e">
        <f t="shared" si="158"/>
        <v>#DIV/0!</v>
      </c>
      <c r="Z98" s="4">
        <f t="shared" si="158"/>
        <v>0.75671968264560863</v>
      </c>
      <c r="AA98" s="42">
        <f t="shared" si="158"/>
        <v>0.87150044757230605</v>
      </c>
      <c r="AB98" s="4">
        <f t="shared" si="158"/>
        <v>1.0939734803337307</v>
      </c>
      <c r="AC98" s="4">
        <f t="shared" si="158"/>
        <v>1.1308616265665092</v>
      </c>
      <c r="AD98" s="4">
        <f t="shared" si="158"/>
        <v>1.317717964522978</v>
      </c>
      <c r="AE98" s="42">
        <f t="shared" si="158"/>
        <v>1.3303408953051075</v>
      </c>
      <c r="AF98" s="4">
        <f t="shared" si="158"/>
        <v>1.4694424472187724</v>
      </c>
      <c r="AG98" s="4">
        <f t="shared" si="158"/>
        <v>1.5159474671669793</v>
      </c>
      <c r="AH98" s="4">
        <f t="shared" si="158"/>
        <v>1.1300751879699249</v>
      </c>
      <c r="AI98" s="42">
        <f t="shared" si="158"/>
        <v>1.1793261297705862</v>
      </c>
      <c r="AJ98" s="4">
        <f t="shared" si="158"/>
        <v>1.1271248356144368</v>
      </c>
      <c r="AK98" s="4">
        <f t="shared" si="158"/>
        <v>1.1259387098278837</v>
      </c>
      <c r="AM98" s="42"/>
      <c r="BD98" s="42"/>
      <c r="BL98" s="4">
        <f>BL64/BL81</f>
        <v>0.86616635397123198</v>
      </c>
      <c r="BM98" s="4">
        <f t="shared" ref="BM98:BN98" si="159">BM64/BM81</f>
        <v>0.75671968264560863</v>
      </c>
      <c r="BN98" s="42">
        <f t="shared" si="159"/>
        <v>1.276624888706253</v>
      </c>
      <c r="BO98" s="4">
        <f>BO64/BO81</f>
        <v>1.1300751879699249</v>
      </c>
      <c r="BP98" s="4">
        <f>BP64/BP81</f>
        <v>1.1453559115798013</v>
      </c>
    </row>
    <row r="99" spans="2:68" s="23" customFormat="1">
      <c r="B99" s="22" t="s">
        <v>127</v>
      </c>
      <c r="W99" s="30"/>
      <c r="AA99" s="30"/>
      <c r="AE99" s="30"/>
      <c r="AI99" s="30"/>
      <c r="AM99" s="30"/>
      <c r="BD99" s="30"/>
      <c r="BN99" s="30"/>
    </row>
    <row r="100" spans="2:68" s="9" customFormat="1">
      <c r="B100" s="9" t="s">
        <v>128</v>
      </c>
      <c r="W100" s="32">
        <v>699</v>
      </c>
      <c r="AA100" s="32">
        <v>556</v>
      </c>
      <c r="AB100" s="9">
        <f>2786-AA100</f>
        <v>2230</v>
      </c>
      <c r="AC100" s="9">
        <f>6220-SUM(AA100:AB100)</f>
        <v>3434</v>
      </c>
      <c r="AE100" s="32">
        <v>1636</v>
      </c>
      <c r="AF100" s="9">
        <f>5525-AE100</f>
        <v>3889</v>
      </c>
      <c r="AG100" s="9">
        <f>9231-SUM(AE100:AF100)</f>
        <v>3706</v>
      </c>
      <c r="AI100" s="32">
        <v>623</v>
      </c>
      <c r="AJ100" s="9">
        <f>4546-AI100</f>
        <v>3923</v>
      </c>
      <c r="AK100" s="9">
        <f>8068-SUM(AI100:AJ100)</f>
        <v>3522</v>
      </c>
      <c r="AM100" s="32"/>
      <c r="AX100" s="9">
        <v>5968</v>
      </c>
      <c r="AY100" s="9">
        <v>6423</v>
      </c>
      <c r="AZ100" s="9">
        <v>5957</v>
      </c>
      <c r="BA100" s="9">
        <v>7150</v>
      </c>
      <c r="BB100" s="9">
        <v>7571</v>
      </c>
      <c r="BC100" s="9">
        <v>8186</v>
      </c>
      <c r="BD100" s="32">
        <v>9532</v>
      </c>
      <c r="BE100" s="9">
        <v>9474</v>
      </c>
      <c r="BF100" s="9">
        <v>10645</v>
      </c>
      <c r="BG100" s="9">
        <v>10542</v>
      </c>
      <c r="BH100" s="9">
        <v>10615</v>
      </c>
      <c r="BI100" s="9">
        <v>10528</v>
      </c>
      <c r="BJ100" s="9">
        <v>8796</v>
      </c>
      <c r="BK100" s="9">
        <v>7041</v>
      </c>
      <c r="BL100" s="9">
        <v>7627</v>
      </c>
      <c r="BM100" s="9">
        <v>10471</v>
      </c>
      <c r="BN100" s="32">
        <v>9844</v>
      </c>
      <c r="BO100" s="9">
        <v>12625</v>
      </c>
      <c r="BP100" s="9">
        <v>11018</v>
      </c>
    </row>
    <row r="101" spans="2:68" s="10" customFormat="1">
      <c r="B101" s="10" t="s">
        <v>129</v>
      </c>
      <c r="W101" s="33">
        <v>-364</v>
      </c>
      <c r="AA101" s="33">
        <v>-327</v>
      </c>
      <c r="AB101" s="10">
        <f>-536-AA101</f>
        <v>-209</v>
      </c>
      <c r="AC101" s="10">
        <f>-759-SUM(AA101:AB101)</f>
        <v>-223</v>
      </c>
      <c r="AE101" s="33">
        <v>-216</v>
      </c>
      <c r="AF101" s="10">
        <f>-450-AE101</f>
        <v>-234</v>
      </c>
      <c r="AG101" s="10">
        <f>-728-SUM(AE101:AF101)</f>
        <v>-278</v>
      </c>
      <c r="AI101" s="33">
        <v>-217</v>
      </c>
      <c r="AJ101" s="10">
        <f>+-487-$AI$101</f>
        <v>-270</v>
      </c>
      <c r="AK101" s="10">
        <f>+-776-SUM(AI101:AJ101)</f>
        <v>-289</v>
      </c>
      <c r="AM101" s="33"/>
      <c r="AX101" s="10">
        <v>-755</v>
      </c>
      <c r="AY101" s="10">
        <v>-899</v>
      </c>
      <c r="AZ101" s="10">
        <v>-1407</v>
      </c>
      <c r="BA101" s="10">
        <v>-1648</v>
      </c>
      <c r="BB101" s="10">
        <v>-1968</v>
      </c>
      <c r="BC101" s="10">
        <v>-1993</v>
      </c>
      <c r="BD101" s="33">
        <v>-2215</v>
      </c>
      <c r="BE101" s="10">
        <v>-2920</v>
      </c>
      <c r="BF101" s="10">
        <v>-2780</v>
      </c>
      <c r="BG101" s="10">
        <v>-2550</v>
      </c>
      <c r="BH101" s="10">
        <v>-2406</v>
      </c>
      <c r="BI101" s="10">
        <v>-2553</v>
      </c>
      <c r="BJ101" s="10">
        <v>-2262</v>
      </c>
      <c r="BK101" s="10">
        <v>-1750</v>
      </c>
      <c r="BL101" s="10">
        <v>-1548</v>
      </c>
      <c r="BM101" s="10">
        <v>-2054</v>
      </c>
      <c r="BN101" s="33">
        <v>-1177</v>
      </c>
      <c r="BO101" s="10">
        <v>-1367</v>
      </c>
      <c r="BP101" s="10">
        <v>-1484</v>
      </c>
    </row>
    <row r="102" spans="2:68" s="17" customFormat="1">
      <c r="B102" s="17" t="s">
        <v>130</v>
      </c>
      <c r="C102" s="17">
        <f t="shared" ref="C102:AJ102" si="160">SUM(C100:C101)</f>
        <v>0</v>
      </c>
      <c r="D102" s="17">
        <f t="shared" si="160"/>
        <v>0</v>
      </c>
      <c r="E102" s="17">
        <f t="shared" si="160"/>
        <v>0</v>
      </c>
      <c r="F102" s="17">
        <f t="shared" si="160"/>
        <v>0</v>
      </c>
      <c r="G102" s="17">
        <f t="shared" si="160"/>
        <v>0</v>
      </c>
      <c r="H102" s="17">
        <f t="shared" si="160"/>
        <v>0</v>
      </c>
      <c r="I102" s="17">
        <f t="shared" si="160"/>
        <v>0</v>
      </c>
      <c r="J102" s="17">
        <f t="shared" si="160"/>
        <v>0</v>
      </c>
      <c r="K102" s="17">
        <f t="shared" si="160"/>
        <v>0</v>
      </c>
      <c r="L102" s="17">
        <f t="shared" si="160"/>
        <v>0</v>
      </c>
      <c r="M102" s="17">
        <f t="shared" si="160"/>
        <v>0</v>
      </c>
      <c r="N102" s="17">
        <f t="shared" si="160"/>
        <v>0</v>
      </c>
      <c r="O102" s="17">
        <f t="shared" si="160"/>
        <v>0</v>
      </c>
      <c r="P102" s="17">
        <f t="shared" si="160"/>
        <v>0</v>
      </c>
      <c r="Q102" s="17">
        <f t="shared" si="160"/>
        <v>0</v>
      </c>
      <c r="R102" s="17">
        <f t="shared" si="160"/>
        <v>0</v>
      </c>
      <c r="S102" s="17">
        <f t="shared" si="160"/>
        <v>0</v>
      </c>
      <c r="T102" s="17">
        <f t="shared" si="160"/>
        <v>0</v>
      </c>
      <c r="U102" s="17">
        <f t="shared" si="160"/>
        <v>0</v>
      </c>
      <c r="V102" s="17">
        <f t="shared" si="160"/>
        <v>0</v>
      </c>
      <c r="W102" s="34">
        <f t="shared" si="160"/>
        <v>335</v>
      </c>
      <c r="X102" s="17">
        <f t="shared" si="160"/>
        <v>0</v>
      </c>
      <c r="Y102" s="17">
        <f t="shared" si="160"/>
        <v>0</v>
      </c>
      <c r="Z102" s="17">
        <f t="shared" si="160"/>
        <v>0</v>
      </c>
      <c r="AA102" s="34">
        <f t="shared" si="160"/>
        <v>229</v>
      </c>
      <c r="AB102" s="17">
        <f t="shared" si="160"/>
        <v>2021</v>
      </c>
      <c r="AC102" s="17">
        <f t="shared" si="160"/>
        <v>3211</v>
      </c>
      <c r="AD102" s="17">
        <f t="shared" si="160"/>
        <v>0</v>
      </c>
      <c r="AE102" s="34">
        <f t="shared" si="160"/>
        <v>1420</v>
      </c>
      <c r="AF102" s="17">
        <f t="shared" si="160"/>
        <v>3655</v>
      </c>
      <c r="AG102" s="17">
        <f t="shared" si="160"/>
        <v>3428</v>
      </c>
      <c r="AH102" s="17">
        <f t="shared" si="160"/>
        <v>0</v>
      </c>
      <c r="AI102" s="34">
        <f t="shared" si="160"/>
        <v>406</v>
      </c>
      <c r="AJ102" s="17">
        <f t="shared" si="160"/>
        <v>3653</v>
      </c>
      <c r="AK102" s="17">
        <f>SUM(AK100:AK101)</f>
        <v>3233</v>
      </c>
      <c r="AM102" s="34"/>
      <c r="AV102" s="17">
        <f>SUM(AV100:AV101)</f>
        <v>0</v>
      </c>
      <c r="AW102" s="17">
        <f t="shared" ref="AW102:AZ102" si="161">SUM(AW100:AW101)</f>
        <v>0</v>
      </c>
      <c r="AX102" s="17">
        <f t="shared" si="161"/>
        <v>5213</v>
      </c>
      <c r="AY102" s="17">
        <f t="shared" si="161"/>
        <v>5524</v>
      </c>
      <c r="AZ102" s="17">
        <f t="shared" si="161"/>
        <v>4550</v>
      </c>
      <c r="BA102" s="17">
        <f>SUM(BA100:BA101)</f>
        <v>5502</v>
      </c>
      <c r="BB102" s="17">
        <f t="shared" ref="BB102:BF102" si="162">SUM(BB100:BB101)</f>
        <v>5603</v>
      </c>
      <c r="BC102" s="17">
        <f t="shared" si="162"/>
        <v>6193</v>
      </c>
      <c r="BD102" s="34">
        <f t="shared" si="162"/>
        <v>7317</v>
      </c>
      <c r="BE102" s="17">
        <f t="shared" si="162"/>
        <v>6554</v>
      </c>
      <c r="BF102" s="17">
        <f t="shared" si="162"/>
        <v>7865</v>
      </c>
      <c r="BG102" s="17">
        <f>SUM(BG100:BG101)</f>
        <v>7992</v>
      </c>
      <c r="BH102" s="17">
        <f t="shared" ref="BH102:BK102" si="163">SUM(BH100:BH101)</f>
        <v>8209</v>
      </c>
      <c r="BI102" s="17">
        <f t="shared" si="163"/>
        <v>7975</v>
      </c>
      <c r="BJ102" s="17">
        <f t="shared" si="163"/>
        <v>6534</v>
      </c>
      <c r="BK102" s="17">
        <f t="shared" si="163"/>
        <v>5291</v>
      </c>
      <c r="BL102" s="17">
        <f>SUM(BL100:BL101)</f>
        <v>6079</v>
      </c>
      <c r="BM102" s="17">
        <f>SUM(BM100:BM101)</f>
        <v>8417</v>
      </c>
      <c r="BN102" s="34">
        <f>SUM(BN100:BN101)</f>
        <v>8667</v>
      </c>
      <c r="BO102" s="17">
        <f t="shared" ref="BO102:BP102" si="164">SUM(BO100:BO101)</f>
        <v>11258</v>
      </c>
      <c r="BP102" s="17">
        <f t="shared" si="164"/>
        <v>9534</v>
      </c>
    </row>
    <row r="104" spans="2:68">
      <c r="B104" s="9" t="s">
        <v>131</v>
      </c>
      <c r="AK104">
        <f>3910/AK49</f>
        <v>5986.1061946902655</v>
      </c>
      <c r="AX104">
        <v>-2429</v>
      </c>
      <c r="AY104">
        <v>-2678</v>
      </c>
      <c r="AZ104">
        <v>-2911</v>
      </c>
      <c r="BA104">
        <v>-3149</v>
      </c>
      <c r="BB104">
        <v>-3521</v>
      </c>
      <c r="BC104">
        <v>-3800</v>
      </c>
      <c r="BD104" s="29">
        <v>-4068</v>
      </c>
      <c r="BE104">
        <v>-4300</v>
      </c>
      <c r="BF104">
        <v>-4595</v>
      </c>
      <c r="BG104">
        <v>-4969</v>
      </c>
      <c r="BH104">
        <v>-5350</v>
      </c>
      <c r="BI104">
        <v>-5741</v>
      </c>
      <c r="BJ104">
        <v>-6043</v>
      </c>
      <c r="BK104">
        <v>-6320</v>
      </c>
      <c r="BL104">
        <v>-6644</v>
      </c>
      <c r="BM104">
        <v>-6845</v>
      </c>
      <c r="BN104" s="29">
        <v>-7047</v>
      </c>
      <c r="BO104">
        <v>-7252</v>
      </c>
      <c r="BP104">
        <v>-7616</v>
      </c>
    </row>
    <row r="106" spans="2:68">
      <c r="B106" s="9" t="s">
        <v>132</v>
      </c>
      <c r="AX106">
        <v>345</v>
      </c>
      <c r="AY106">
        <v>324</v>
      </c>
      <c r="AZ106">
        <v>324</v>
      </c>
      <c r="BA106">
        <v>313</v>
      </c>
      <c r="BB106">
        <v>266</v>
      </c>
      <c r="BC106">
        <v>353</v>
      </c>
      <c r="BD106" s="29">
        <v>380</v>
      </c>
      <c r="BE106">
        <v>354</v>
      </c>
      <c r="BF106">
        <v>259</v>
      </c>
      <c r="BG106">
        <v>227</v>
      </c>
      <c r="BH106">
        <v>209</v>
      </c>
      <c r="BI106">
        <v>236</v>
      </c>
      <c r="BJ106">
        <v>258</v>
      </c>
      <c r="BK106">
        <v>219</v>
      </c>
      <c r="BL106">
        <v>225</v>
      </c>
      <c r="BM106">
        <v>201</v>
      </c>
      <c r="BN106" s="29">
        <v>126</v>
      </c>
      <c r="BO106">
        <v>337</v>
      </c>
      <c r="BP106">
        <v>356</v>
      </c>
    </row>
    <row r="107" spans="2:68">
      <c r="C107">
        <v>-3169</v>
      </c>
    </row>
    <row r="108" spans="2:68">
      <c r="C108">
        <v>3049</v>
      </c>
    </row>
    <row r="109" spans="2:68">
      <c r="C109">
        <v>-40</v>
      </c>
    </row>
    <row r="110" spans="2:68">
      <c r="C110">
        <v>229</v>
      </c>
    </row>
    <row r="111" spans="2:68">
      <c r="C111">
        <v>-776</v>
      </c>
    </row>
    <row r="112" spans="2:68">
      <c r="C112">
        <v>46</v>
      </c>
    </row>
    <row r="113" spans="3:3">
      <c r="C113">
        <v>-1449</v>
      </c>
    </row>
    <row r="114" spans="3:3">
      <c r="C114">
        <v>-79</v>
      </c>
    </row>
  </sheetData>
  <pageMargins left="0.7" right="0.7" top="0.75" bottom="0.75" header="0.3" footer="0.3"/>
  <pageSetup orientation="portrait" r:id="rId1"/>
  <ignoredErrors>
    <ignoredError sqref="BK47" formula="1"/>
  </ignoredErrors>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8"/>
  <sheetViews>
    <sheetView workbookViewId="0">
      <selection activeCell="A9" sqref="A9:XFD9"/>
    </sheetView>
  </sheetViews>
  <sheetFormatPr defaultRowHeight="14.45"/>
  <cols>
    <col min="1" max="1" width="20.7109375" customWidth="1"/>
  </cols>
  <sheetData>
    <row r="1" spans="1:18">
      <c r="B1" s="1" t="s">
        <v>133</v>
      </c>
      <c r="C1" s="1" t="s">
        <v>134</v>
      </c>
      <c r="D1" s="1" t="s">
        <v>135</v>
      </c>
      <c r="E1" s="1" t="s">
        <v>136</v>
      </c>
      <c r="F1" s="1" t="s">
        <v>137</v>
      </c>
      <c r="G1" s="1" t="s">
        <v>138</v>
      </c>
      <c r="H1" s="1" t="s">
        <v>139</v>
      </c>
      <c r="I1" s="1" t="s">
        <v>140</v>
      </c>
      <c r="J1" s="1" t="s">
        <v>141</v>
      </c>
      <c r="K1" s="1" t="s">
        <v>142</v>
      </c>
      <c r="L1" s="1" t="s">
        <v>143</v>
      </c>
      <c r="M1" s="1" t="s">
        <v>144</v>
      </c>
      <c r="N1" s="1" t="s">
        <v>145</v>
      </c>
      <c r="O1" s="1" t="s">
        <v>146</v>
      </c>
      <c r="P1" s="1" t="s">
        <v>147</v>
      </c>
      <c r="Q1" s="1" t="s">
        <v>148</v>
      </c>
      <c r="R1" s="1" t="s">
        <v>149</v>
      </c>
    </row>
    <row r="2" spans="1:18">
      <c r="A2" s="1" t="s">
        <v>150</v>
      </c>
      <c r="B2" t="s">
        <v>151</v>
      </c>
      <c r="C2" t="s">
        <v>152</v>
      </c>
      <c r="D2" t="s">
        <v>153</v>
      </c>
      <c r="E2" t="s">
        <v>154</v>
      </c>
      <c r="F2" t="s">
        <v>155</v>
      </c>
      <c r="G2" t="s">
        <v>156</v>
      </c>
      <c r="H2" t="s">
        <v>157</v>
      </c>
      <c r="I2" t="s">
        <v>158</v>
      </c>
      <c r="J2" t="s">
        <v>159</v>
      </c>
      <c r="K2" t="s">
        <v>160</v>
      </c>
      <c r="L2" t="s">
        <v>161</v>
      </c>
      <c r="M2" t="s">
        <v>162</v>
      </c>
      <c r="N2" t="s">
        <v>163</v>
      </c>
      <c r="O2" t="s">
        <v>164</v>
      </c>
      <c r="P2" t="s">
        <v>165</v>
      </c>
      <c r="Q2" t="s">
        <v>166</v>
      </c>
      <c r="R2" t="s">
        <v>167</v>
      </c>
    </row>
    <row r="3" spans="1:18">
      <c r="A3" s="1" t="s">
        <v>168</v>
      </c>
      <c r="B3" t="s">
        <v>169</v>
      </c>
      <c r="C3" t="s">
        <v>170</v>
      </c>
      <c r="D3" t="s">
        <v>171</v>
      </c>
      <c r="E3" t="s">
        <v>172</v>
      </c>
      <c r="F3" t="s">
        <v>173</v>
      </c>
      <c r="G3" t="s">
        <v>174</v>
      </c>
      <c r="H3" t="s">
        <v>175</v>
      </c>
      <c r="I3" t="s">
        <v>176</v>
      </c>
      <c r="J3" t="s">
        <v>177</v>
      </c>
      <c r="K3" t="s">
        <v>178</v>
      </c>
      <c r="L3" t="s">
        <v>179</v>
      </c>
      <c r="M3" t="s">
        <v>180</v>
      </c>
      <c r="N3" t="s">
        <v>179</v>
      </c>
      <c r="O3" t="s">
        <v>181</v>
      </c>
      <c r="P3" t="s">
        <v>182</v>
      </c>
      <c r="Q3" t="s">
        <v>183</v>
      </c>
      <c r="R3" t="s">
        <v>184</v>
      </c>
    </row>
    <row r="4" spans="1:18">
      <c r="A4" s="1" t="s">
        <v>185</v>
      </c>
      <c r="B4" t="s">
        <v>186</v>
      </c>
      <c r="C4" t="s">
        <v>187</v>
      </c>
      <c r="D4" t="s">
        <v>188</v>
      </c>
      <c r="E4" t="s">
        <v>189</v>
      </c>
      <c r="F4" t="s">
        <v>190</v>
      </c>
      <c r="G4" t="s">
        <v>191</v>
      </c>
      <c r="H4" t="s">
        <v>192</v>
      </c>
      <c r="I4" t="s">
        <v>182</v>
      </c>
      <c r="J4" t="s">
        <v>193</v>
      </c>
      <c r="K4" t="s">
        <v>194</v>
      </c>
      <c r="L4" t="s">
        <v>179</v>
      </c>
      <c r="M4" t="s">
        <v>195</v>
      </c>
      <c r="N4" t="s">
        <v>172</v>
      </c>
      <c r="O4" t="s">
        <v>196</v>
      </c>
      <c r="P4" t="s">
        <v>197</v>
      </c>
      <c r="Q4" t="s">
        <v>198</v>
      </c>
      <c r="R4" t="s">
        <v>199</v>
      </c>
    </row>
    <row r="5" spans="1:18">
      <c r="A5" s="1" t="s">
        <v>200</v>
      </c>
      <c r="B5" t="s">
        <v>201</v>
      </c>
      <c r="C5" t="s">
        <v>202</v>
      </c>
      <c r="D5" t="s">
        <v>203</v>
      </c>
      <c r="E5" t="s">
        <v>204</v>
      </c>
      <c r="F5" t="s">
        <v>205</v>
      </c>
      <c r="G5" t="s">
        <v>206</v>
      </c>
      <c r="H5" t="s">
        <v>207</v>
      </c>
      <c r="I5" t="s">
        <v>208</v>
      </c>
      <c r="J5" t="s">
        <v>209</v>
      </c>
      <c r="K5" t="s">
        <v>210</v>
      </c>
      <c r="L5" t="s">
        <v>211</v>
      </c>
      <c r="M5" t="s">
        <v>212</v>
      </c>
      <c r="N5" t="s">
        <v>213</v>
      </c>
      <c r="O5" t="s">
        <v>214</v>
      </c>
      <c r="P5" t="s">
        <v>215</v>
      </c>
      <c r="Q5" t="s">
        <v>178</v>
      </c>
      <c r="R5" t="s">
        <v>216</v>
      </c>
    </row>
    <row r="6" spans="1:18">
      <c r="A6" s="1" t="s">
        <v>217</v>
      </c>
      <c r="B6" t="s">
        <v>218</v>
      </c>
      <c r="C6" t="s">
        <v>219</v>
      </c>
      <c r="D6" t="s">
        <v>220</v>
      </c>
      <c r="E6" t="s">
        <v>221</v>
      </c>
      <c r="F6" t="s">
        <v>222</v>
      </c>
      <c r="G6" t="s">
        <v>223</v>
      </c>
      <c r="H6" t="s">
        <v>201</v>
      </c>
      <c r="I6" t="s">
        <v>224</v>
      </c>
      <c r="J6" t="s">
        <v>225</v>
      </c>
      <c r="K6" t="s">
        <v>226</v>
      </c>
      <c r="L6" t="s">
        <v>227</v>
      </c>
      <c r="M6" t="s">
        <v>228</v>
      </c>
      <c r="N6" t="s">
        <v>229</v>
      </c>
      <c r="O6" t="s">
        <v>222</v>
      </c>
      <c r="P6" t="s">
        <v>230</v>
      </c>
      <c r="Q6" t="s">
        <v>229</v>
      </c>
      <c r="R6" t="s">
        <v>229</v>
      </c>
    </row>
    <row r="7" spans="1:18">
      <c r="A7" s="1" t="s">
        <v>231</v>
      </c>
      <c r="B7" t="s">
        <v>232</v>
      </c>
      <c r="C7" t="s">
        <v>233</v>
      </c>
      <c r="D7" t="s">
        <v>234</v>
      </c>
      <c r="E7" t="s">
        <v>235</v>
      </c>
      <c r="F7" t="s">
        <v>236</v>
      </c>
      <c r="G7" t="s">
        <v>237</v>
      </c>
      <c r="H7" t="s">
        <v>238</v>
      </c>
      <c r="I7" t="s">
        <v>163</v>
      </c>
      <c r="J7" t="s">
        <v>239</v>
      </c>
      <c r="K7" t="s">
        <v>240</v>
      </c>
      <c r="L7" t="s">
        <v>241</v>
      </c>
      <c r="M7" t="s">
        <v>242</v>
      </c>
      <c r="N7" t="s">
        <v>243</v>
      </c>
      <c r="O7" t="s">
        <v>244</v>
      </c>
      <c r="P7" t="s">
        <v>245</v>
      </c>
      <c r="Q7" t="s">
        <v>246</v>
      </c>
      <c r="R7" t="s">
        <v>247</v>
      </c>
    </row>
    <row r="8" spans="1:18">
      <c r="A8" s="1" t="s">
        <v>248</v>
      </c>
      <c r="B8" t="s">
        <v>249</v>
      </c>
      <c r="C8" t="s">
        <v>250</v>
      </c>
      <c r="D8" t="s">
        <v>251</v>
      </c>
      <c r="E8" t="s">
        <v>252</v>
      </c>
      <c r="F8" t="s">
        <v>253</v>
      </c>
      <c r="G8" t="s">
        <v>254</v>
      </c>
      <c r="H8" t="s">
        <v>255</v>
      </c>
      <c r="I8" t="s">
        <v>256</v>
      </c>
      <c r="J8" t="s">
        <v>257</v>
      </c>
      <c r="K8" t="s">
        <v>258</v>
      </c>
      <c r="L8" t="s">
        <v>259</v>
      </c>
      <c r="M8" t="s">
        <v>260</v>
      </c>
      <c r="N8" t="s">
        <v>261</v>
      </c>
      <c r="O8" t="s">
        <v>262</v>
      </c>
      <c r="P8" t="s">
        <v>263</v>
      </c>
      <c r="Q8" t="s">
        <v>263</v>
      </c>
      <c r="R8" t="s">
        <v>264</v>
      </c>
    </row>
    <row r="9" spans="1:18" s="5" customFormat="1">
      <c r="A9" s="1" t="s">
        <v>265</v>
      </c>
      <c r="B9" s="5" t="s">
        <v>266</v>
      </c>
      <c r="C9" s="5" t="s">
        <v>267</v>
      </c>
      <c r="D9" s="5" t="s">
        <v>268</v>
      </c>
      <c r="E9" s="5" t="s">
        <v>269</v>
      </c>
      <c r="F9" s="5" t="s">
        <v>270</v>
      </c>
      <c r="G9" s="5" t="s">
        <v>271</v>
      </c>
      <c r="H9" s="5" t="s">
        <v>272</v>
      </c>
      <c r="I9" s="5" t="s">
        <v>273</v>
      </c>
      <c r="J9" s="5" t="s">
        <v>274</v>
      </c>
      <c r="K9" s="5" t="s">
        <v>275</v>
      </c>
      <c r="L9" s="5" t="s">
        <v>276</v>
      </c>
      <c r="M9" s="5" t="s">
        <v>277</v>
      </c>
      <c r="N9" s="5" t="s">
        <v>278</v>
      </c>
      <c r="O9" s="5" t="s">
        <v>275</v>
      </c>
      <c r="P9" s="5" t="s">
        <v>279</v>
      </c>
      <c r="Q9" s="5" t="s">
        <v>280</v>
      </c>
      <c r="R9" s="5" t="s">
        <v>281</v>
      </c>
    </row>
    <row r="10" spans="1:18">
      <c r="A10" s="1" t="s">
        <v>282</v>
      </c>
      <c r="B10" t="s">
        <v>283</v>
      </c>
      <c r="C10" t="s">
        <v>284</v>
      </c>
      <c r="D10" t="s">
        <v>285</v>
      </c>
      <c r="E10" t="s">
        <v>286</v>
      </c>
      <c r="F10" t="s">
        <v>287</v>
      </c>
      <c r="G10" t="s">
        <v>283</v>
      </c>
      <c r="H10" t="s">
        <v>284</v>
      </c>
      <c r="I10" t="s">
        <v>284</v>
      </c>
      <c r="J10" t="s">
        <v>288</v>
      </c>
      <c r="K10" t="s">
        <v>284</v>
      </c>
      <c r="L10" t="s">
        <v>289</v>
      </c>
      <c r="M10" t="s">
        <v>290</v>
      </c>
      <c r="N10" t="s">
        <v>284</v>
      </c>
      <c r="O10" t="s">
        <v>285</v>
      </c>
      <c r="P10" t="s">
        <v>291</v>
      </c>
      <c r="Q10" t="s">
        <v>292</v>
      </c>
      <c r="R10" t="s">
        <v>288</v>
      </c>
    </row>
    <row r="11" spans="1:18">
      <c r="A11" s="1" t="s">
        <v>293</v>
      </c>
      <c r="B11" t="s">
        <v>294</v>
      </c>
      <c r="C11" t="s">
        <v>295</v>
      </c>
      <c r="D11" t="s">
        <v>294</v>
      </c>
      <c r="E11" t="s">
        <v>296</v>
      </c>
      <c r="F11" t="s">
        <v>297</v>
      </c>
      <c r="G11" t="s">
        <v>298</v>
      </c>
      <c r="H11" t="s">
        <v>294</v>
      </c>
      <c r="I11" t="s">
        <v>294</v>
      </c>
      <c r="J11" t="s">
        <v>299</v>
      </c>
      <c r="K11" t="s">
        <v>300</v>
      </c>
      <c r="L11" t="s">
        <v>300</v>
      </c>
      <c r="M11" t="s">
        <v>301</v>
      </c>
      <c r="N11" t="s">
        <v>296</v>
      </c>
      <c r="O11" t="s">
        <v>300</v>
      </c>
      <c r="P11" t="s">
        <v>301</v>
      </c>
      <c r="Q11" t="s">
        <v>297</v>
      </c>
      <c r="R11" t="s">
        <v>298</v>
      </c>
    </row>
    <row r="12" spans="1:18">
      <c r="A12" s="1" t="s">
        <v>302</v>
      </c>
      <c r="B12" t="s">
        <v>303</v>
      </c>
      <c r="C12" t="s">
        <v>304</v>
      </c>
      <c r="D12" t="s">
        <v>305</v>
      </c>
      <c r="E12" t="s">
        <v>306</v>
      </c>
      <c r="F12" t="s">
        <v>307</v>
      </c>
      <c r="G12" t="s">
        <v>308</v>
      </c>
      <c r="H12" t="s">
        <v>309</v>
      </c>
      <c r="I12" t="s">
        <v>310</v>
      </c>
      <c r="J12" t="s">
        <v>311</v>
      </c>
      <c r="K12" t="s">
        <v>312</v>
      </c>
      <c r="L12" t="s">
        <v>313</v>
      </c>
      <c r="M12" t="s">
        <v>314</v>
      </c>
      <c r="N12" t="s">
        <v>315</v>
      </c>
      <c r="O12" t="s">
        <v>316</v>
      </c>
      <c r="P12" t="s">
        <v>317</v>
      </c>
      <c r="Q12" t="s">
        <v>318</v>
      </c>
      <c r="R12" t="s">
        <v>319</v>
      </c>
    </row>
    <row r="13" spans="1:18">
      <c r="A13" s="1" t="s">
        <v>320</v>
      </c>
      <c r="B13" t="s">
        <v>321</v>
      </c>
      <c r="C13" t="s">
        <v>322</v>
      </c>
      <c r="D13" t="s">
        <v>323</v>
      </c>
      <c r="E13" t="s">
        <v>324</v>
      </c>
      <c r="F13" t="s">
        <v>325</v>
      </c>
      <c r="G13" t="s">
        <v>326</v>
      </c>
      <c r="H13" t="s">
        <v>327</v>
      </c>
      <c r="I13" t="s">
        <v>326</v>
      </c>
      <c r="J13" t="s">
        <v>328</v>
      </c>
      <c r="K13" t="s">
        <v>329</v>
      </c>
      <c r="L13" t="s">
        <v>330</v>
      </c>
      <c r="M13" t="s">
        <v>331</v>
      </c>
      <c r="N13" t="s">
        <v>332</v>
      </c>
      <c r="O13" t="s">
        <v>333</v>
      </c>
      <c r="P13" t="s">
        <v>332</v>
      </c>
      <c r="Q13" t="s">
        <v>334</v>
      </c>
      <c r="R13" t="s">
        <v>335</v>
      </c>
    </row>
    <row r="14" spans="1:18">
      <c r="A14" s="1" t="s">
        <v>336</v>
      </c>
      <c r="B14" t="s">
        <v>337</v>
      </c>
      <c r="C14" t="s">
        <v>338</v>
      </c>
      <c r="D14" t="s">
        <v>339</v>
      </c>
      <c r="E14" t="s">
        <v>340</v>
      </c>
      <c r="F14" t="s">
        <v>341</v>
      </c>
      <c r="G14" t="s">
        <v>342</v>
      </c>
      <c r="H14" t="s">
        <v>343</v>
      </c>
      <c r="I14" t="s">
        <v>344</v>
      </c>
      <c r="J14" t="s">
        <v>345</v>
      </c>
      <c r="K14" t="s">
        <v>346</v>
      </c>
      <c r="L14" t="s">
        <v>347</v>
      </c>
      <c r="M14" t="s">
        <v>348</v>
      </c>
      <c r="N14" t="s">
        <v>349</v>
      </c>
      <c r="O14" t="s">
        <v>350</v>
      </c>
      <c r="P14" t="s">
        <v>351</v>
      </c>
      <c r="Q14" t="s">
        <v>352</v>
      </c>
      <c r="R14" t="s">
        <v>353</v>
      </c>
    </row>
    <row r="15" spans="1:18">
      <c r="A15" s="1" t="s">
        <v>354</v>
      </c>
      <c r="B15" t="s">
        <v>355</v>
      </c>
      <c r="C15" t="s">
        <v>356</v>
      </c>
      <c r="D15" t="s">
        <v>357</v>
      </c>
      <c r="E15" t="s">
        <v>358</v>
      </c>
      <c r="F15" t="s">
        <v>359</v>
      </c>
      <c r="G15" t="s">
        <v>360</v>
      </c>
      <c r="H15" t="s">
        <v>361</v>
      </c>
      <c r="I15" t="s">
        <v>362</v>
      </c>
      <c r="J15" t="s">
        <v>363</v>
      </c>
      <c r="K15" t="s">
        <v>364</v>
      </c>
      <c r="L15" t="s">
        <v>365</v>
      </c>
      <c r="M15" t="s">
        <v>366</v>
      </c>
      <c r="N15" t="s">
        <v>367</v>
      </c>
      <c r="O15" t="s">
        <v>368</v>
      </c>
      <c r="P15" t="s">
        <v>369</v>
      </c>
      <c r="Q15" t="s">
        <v>370</v>
      </c>
      <c r="R15" t="s">
        <v>371</v>
      </c>
    </row>
    <row r="16" spans="1:18">
      <c r="A16" s="1" t="s">
        <v>372</v>
      </c>
      <c r="B16" t="s">
        <v>373</v>
      </c>
      <c r="C16" t="s">
        <v>374</v>
      </c>
      <c r="D16" t="s">
        <v>375</v>
      </c>
      <c r="E16" t="s">
        <v>373</v>
      </c>
      <c r="F16" t="s">
        <v>376</v>
      </c>
      <c r="G16" t="s">
        <v>377</v>
      </c>
      <c r="H16" t="s">
        <v>378</v>
      </c>
      <c r="I16" t="s">
        <v>379</v>
      </c>
      <c r="J16" t="s">
        <v>380</v>
      </c>
      <c r="K16" t="s">
        <v>381</v>
      </c>
      <c r="L16" t="s">
        <v>382</v>
      </c>
      <c r="M16" t="s">
        <v>383</v>
      </c>
      <c r="N16" t="s">
        <v>384</v>
      </c>
      <c r="O16" t="s">
        <v>376</v>
      </c>
      <c r="P16" t="s">
        <v>385</v>
      </c>
      <c r="Q16" t="s">
        <v>328</v>
      </c>
      <c r="R16" t="s">
        <v>386</v>
      </c>
    </row>
    <row r="17" spans="1:18">
      <c r="A17" s="1" t="s">
        <v>387</v>
      </c>
      <c r="B17" t="s">
        <v>328</v>
      </c>
      <c r="C17" t="s">
        <v>388</v>
      </c>
      <c r="D17" t="s">
        <v>389</v>
      </c>
      <c r="E17" t="s">
        <v>390</v>
      </c>
      <c r="F17" t="s">
        <v>391</v>
      </c>
      <c r="G17" t="s">
        <v>392</v>
      </c>
      <c r="H17" t="s">
        <v>393</v>
      </c>
      <c r="I17" t="s">
        <v>386</v>
      </c>
      <c r="J17" t="s">
        <v>394</v>
      </c>
      <c r="K17" t="s">
        <v>395</v>
      </c>
      <c r="L17" t="s">
        <v>396</v>
      </c>
      <c r="M17" t="s">
        <v>397</v>
      </c>
      <c r="N17" t="s">
        <v>398</v>
      </c>
      <c r="O17" t="s">
        <v>399</v>
      </c>
      <c r="P17" t="s">
        <v>400</v>
      </c>
      <c r="Q17" t="s">
        <v>401</v>
      </c>
      <c r="R17" t="s">
        <v>402</v>
      </c>
    </row>
    <row r="18" spans="1:18">
      <c r="A18" s="1" t="s">
        <v>403</v>
      </c>
      <c r="B18" t="s">
        <v>404</v>
      </c>
      <c r="C18" t="s">
        <v>405</v>
      </c>
      <c r="D18" t="s">
        <v>406</v>
      </c>
      <c r="E18" t="s">
        <v>407</v>
      </c>
      <c r="F18" t="s">
        <v>408</v>
      </c>
      <c r="G18" t="s">
        <v>409</v>
      </c>
      <c r="H18" t="s">
        <v>410</v>
      </c>
      <c r="I18" t="s">
        <v>411</v>
      </c>
      <c r="J18" t="s">
        <v>412</v>
      </c>
      <c r="K18" t="s">
        <v>413</v>
      </c>
      <c r="L18" t="s">
        <v>414</v>
      </c>
      <c r="M18" t="s">
        <v>415</v>
      </c>
      <c r="N18" t="s">
        <v>416</v>
      </c>
      <c r="O18" t="s">
        <v>417</v>
      </c>
      <c r="P18" t="s">
        <v>418</v>
      </c>
      <c r="Q18" t="s">
        <v>419</v>
      </c>
      <c r="R18" t="s">
        <v>420</v>
      </c>
    </row>
    <row r="19" spans="1:18">
      <c r="A19" s="1" t="s">
        <v>421</v>
      </c>
      <c r="B19" t="s">
        <v>422</v>
      </c>
      <c r="C19" t="s">
        <v>423</v>
      </c>
      <c r="D19" t="s">
        <v>424</v>
      </c>
      <c r="E19" t="s">
        <v>425</v>
      </c>
      <c r="F19" t="s">
        <v>426</v>
      </c>
      <c r="G19" t="s">
        <v>427</v>
      </c>
      <c r="H19" t="s">
        <v>428</v>
      </c>
      <c r="I19" t="s">
        <v>429</v>
      </c>
      <c r="J19" t="s">
        <v>430</v>
      </c>
      <c r="K19" t="s">
        <v>431</v>
      </c>
      <c r="L19" t="s">
        <v>432</v>
      </c>
      <c r="M19" t="s">
        <v>433</v>
      </c>
      <c r="N19" t="s">
        <v>434</v>
      </c>
      <c r="O19" t="s">
        <v>435</v>
      </c>
      <c r="P19" t="s">
        <v>436</v>
      </c>
      <c r="Q19" t="s">
        <v>437</v>
      </c>
      <c r="R19" t="s">
        <v>438</v>
      </c>
    </row>
    <row r="20" spans="1:18">
      <c r="A20" s="1" t="s">
        <v>439</v>
      </c>
      <c r="B20" t="s">
        <v>440</v>
      </c>
      <c r="C20" t="s">
        <v>441</v>
      </c>
      <c r="D20" t="s">
        <v>442</v>
      </c>
      <c r="E20" t="s">
        <v>443</v>
      </c>
      <c r="F20" t="s">
        <v>444</v>
      </c>
      <c r="G20" t="s">
        <v>445</v>
      </c>
      <c r="H20" t="s">
        <v>446</v>
      </c>
      <c r="I20" t="s">
        <v>447</v>
      </c>
      <c r="J20" t="s">
        <v>448</v>
      </c>
      <c r="K20" t="s">
        <v>449</v>
      </c>
      <c r="L20" t="s">
        <v>450</v>
      </c>
      <c r="M20" t="s">
        <v>451</v>
      </c>
      <c r="N20" t="s">
        <v>452</v>
      </c>
      <c r="O20" t="s">
        <v>453</v>
      </c>
      <c r="P20" t="s">
        <v>454</v>
      </c>
      <c r="Q20" t="s">
        <v>455</v>
      </c>
      <c r="R20" t="s">
        <v>456</v>
      </c>
    </row>
    <row r="21" spans="1:18">
      <c r="A21" s="1" t="s">
        <v>457</v>
      </c>
      <c r="B21" t="s">
        <v>325</v>
      </c>
      <c r="C21" t="s">
        <v>458</v>
      </c>
      <c r="D21" t="s">
        <v>459</v>
      </c>
      <c r="E21" t="s">
        <v>388</v>
      </c>
      <c r="F21" t="s">
        <v>460</v>
      </c>
      <c r="G21" t="s">
        <v>461</v>
      </c>
      <c r="H21" t="s">
        <v>461</v>
      </c>
      <c r="I21" t="s">
        <v>462</v>
      </c>
      <c r="J21" t="s">
        <v>463</v>
      </c>
      <c r="K21" t="s">
        <v>464</v>
      </c>
      <c r="L21" t="s">
        <v>465</v>
      </c>
      <c r="M21" t="s">
        <v>466</v>
      </c>
      <c r="N21" t="s">
        <v>467</v>
      </c>
      <c r="O21" t="s">
        <v>468</v>
      </c>
      <c r="P21" t="s">
        <v>463</v>
      </c>
      <c r="Q21" t="s">
        <v>469</v>
      </c>
      <c r="R21" t="s">
        <v>462</v>
      </c>
    </row>
    <row r="22" spans="1:18">
      <c r="A22" s="1" t="s">
        <v>470</v>
      </c>
      <c r="B22" t="s">
        <v>390</v>
      </c>
      <c r="C22" t="s">
        <v>389</v>
      </c>
      <c r="D22" t="s">
        <v>384</v>
      </c>
      <c r="E22" t="s">
        <v>471</v>
      </c>
      <c r="F22" t="s">
        <v>330</v>
      </c>
      <c r="G22" t="s">
        <v>472</v>
      </c>
      <c r="H22" t="s">
        <v>473</v>
      </c>
      <c r="I22" t="s">
        <v>474</v>
      </c>
      <c r="J22" t="s">
        <v>475</v>
      </c>
      <c r="K22" t="s">
        <v>476</v>
      </c>
      <c r="L22" t="s">
        <v>477</v>
      </c>
      <c r="M22" t="s">
        <v>478</v>
      </c>
      <c r="N22" t="s">
        <v>479</v>
      </c>
      <c r="O22" t="s">
        <v>480</v>
      </c>
      <c r="P22" t="s">
        <v>481</v>
      </c>
      <c r="Q22" t="s">
        <v>482</v>
      </c>
      <c r="R22" t="s">
        <v>483</v>
      </c>
    </row>
    <row r="23" spans="1:18">
      <c r="A23" s="1" t="s">
        <v>484</v>
      </c>
      <c r="B23" t="s">
        <v>485</v>
      </c>
      <c r="C23" t="s">
        <v>486</v>
      </c>
      <c r="D23" t="s">
        <v>487</v>
      </c>
      <c r="E23" t="s">
        <v>486</v>
      </c>
      <c r="F23" t="s">
        <v>488</v>
      </c>
      <c r="G23" t="s">
        <v>333</v>
      </c>
      <c r="H23" t="s">
        <v>486</v>
      </c>
      <c r="I23" t="s">
        <v>489</v>
      </c>
      <c r="J23" t="s">
        <v>402</v>
      </c>
      <c r="K23" t="s">
        <v>490</v>
      </c>
      <c r="L23" t="s">
        <v>491</v>
      </c>
      <c r="M23" t="s">
        <v>492</v>
      </c>
      <c r="N23" t="s">
        <v>493</v>
      </c>
      <c r="O23" t="s">
        <v>494</v>
      </c>
      <c r="P23" t="s">
        <v>495</v>
      </c>
      <c r="Q23" t="s">
        <v>496</v>
      </c>
      <c r="R23" t="s">
        <v>497</v>
      </c>
    </row>
    <row r="24" spans="1:18">
      <c r="A24" s="1" t="s">
        <v>498</v>
      </c>
      <c r="B24" t="s">
        <v>499</v>
      </c>
      <c r="C24" t="s">
        <v>500</v>
      </c>
      <c r="D24" t="s">
        <v>501</v>
      </c>
      <c r="E24" t="s">
        <v>502</v>
      </c>
      <c r="F24" t="s">
        <v>503</v>
      </c>
      <c r="G24" t="s">
        <v>504</v>
      </c>
      <c r="H24" t="s">
        <v>505</v>
      </c>
      <c r="I24" t="s">
        <v>506</v>
      </c>
      <c r="J24" t="s">
        <v>507</v>
      </c>
      <c r="K24" t="s">
        <v>375</v>
      </c>
      <c r="L24" t="s">
        <v>508</v>
      </c>
      <c r="M24" t="s">
        <v>509</v>
      </c>
      <c r="N24" t="s">
        <v>510</v>
      </c>
      <c r="O24" t="s">
        <v>381</v>
      </c>
      <c r="P24" t="s">
        <v>511</v>
      </c>
      <c r="Q24" t="s">
        <v>512</v>
      </c>
      <c r="R24" t="s">
        <v>459</v>
      </c>
    </row>
    <row r="25" spans="1:18">
      <c r="A25" s="1" t="s">
        <v>513</v>
      </c>
      <c r="B25" t="s">
        <v>514</v>
      </c>
      <c r="C25" t="s">
        <v>515</v>
      </c>
      <c r="D25" t="s">
        <v>516</v>
      </c>
      <c r="E25" t="s">
        <v>517</v>
      </c>
      <c r="F25" t="s">
        <v>518</v>
      </c>
      <c r="G25" t="s">
        <v>519</v>
      </c>
      <c r="H25" t="s">
        <v>520</v>
      </c>
      <c r="I25" t="s">
        <v>521</v>
      </c>
      <c r="J25" t="s">
        <v>522</v>
      </c>
      <c r="K25" t="s">
        <v>523</v>
      </c>
      <c r="L25" t="s">
        <v>524</v>
      </c>
      <c r="M25" t="s">
        <v>525</v>
      </c>
      <c r="N25" t="s">
        <v>526</v>
      </c>
      <c r="O25" t="s">
        <v>527</v>
      </c>
      <c r="P25" t="s">
        <v>517</v>
      </c>
      <c r="Q25" t="s">
        <v>528</v>
      </c>
      <c r="R25" t="s">
        <v>529</v>
      </c>
    </row>
    <row r="28" spans="1:18">
      <c r="A28" s="2" t="s">
        <v>530</v>
      </c>
      <c r="B28">
        <f>B3*B9</f>
        <v>21.815999999999999</v>
      </c>
      <c r="C28">
        <f t="shared" ref="C28:R28" si="0">C3*C9</f>
        <v>26.832000000000001</v>
      </c>
      <c r="D28">
        <f t="shared" si="0"/>
        <v>26.875</v>
      </c>
      <c r="E28">
        <f t="shared" si="0"/>
        <v>24.254999999999999</v>
      </c>
      <c r="F28">
        <f t="shared" si="0"/>
        <v>28.16</v>
      </c>
      <c r="G28">
        <f t="shared" si="0"/>
        <v>33.264000000000003</v>
      </c>
      <c r="H28">
        <f t="shared" si="0"/>
        <v>37</v>
      </c>
      <c r="I28">
        <f t="shared" si="0"/>
        <v>39.575999999999993</v>
      </c>
      <c r="J28">
        <f t="shared" si="0"/>
        <v>40.823999999999998</v>
      </c>
      <c r="K28">
        <f t="shared" si="0"/>
        <v>41.235999999999997</v>
      </c>
      <c r="L28">
        <f t="shared" si="0"/>
        <v>43.336999999999996</v>
      </c>
      <c r="M28">
        <f t="shared" si="0"/>
        <v>44.021999999999998</v>
      </c>
      <c r="N28">
        <f t="shared" si="0"/>
        <v>45.451000000000001</v>
      </c>
      <c r="O28">
        <f t="shared" si="0"/>
        <v>50.995999999999995</v>
      </c>
      <c r="P28">
        <f t="shared" si="0"/>
        <v>49.680000000000007</v>
      </c>
      <c r="Q28">
        <f t="shared" si="0"/>
        <v>53.798999999999999</v>
      </c>
      <c r="R28">
        <f t="shared" si="0"/>
        <v>63.868999999999993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32"/>
  <sheetViews>
    <sheetView workbookViewId="0">
      <pane xSplit="1" ySplit="1" topLeftCell="W2" activePane="bottomRight" state="frozen"/>
      <selection pane="bottomRight" activeCell="A6" sqref="A6"/>
      <selection pane="bottomLeft" activeCell="A2" sqref="A2"/>
      <selection pane="topRight" activeCell="B1" sqref="B1"/>
    </sheetView>
  </sheetViews>
  <sheetFormatPr defaultRowHeight="14.45"/>
  <cols>
    <col min="1" max="1" width="26.140625" customWidth="1"/>
    <col min="2" max="2" width="11.85546875" bestFit="1" customWidth="1"/>
  </cols>
  <sheetData>
    <row r="1" spans="1:38">
      <c r="B1" s="1" t="s">
        <v>531</v>
      </c>
      <c r="C1" s="1" t="s">
        <v>532</v>
      </c>
      <c r="D1" s="1" t="s">
        <v>533</v>
      </c>
      <c r="E1" s="1" t="s">
        <v>534</v>
      </c>
      <c r="F1" s="1" t="s">
        <v>535</v>
      </c>
      <c r="G1" s="1" t="s">
        <v>536</v>
      </c>
      <c r="H1" s="1" t="s">
        <v>537</v>
      </c>
      <c r="I1" s="1" t="s">
        <v>538</v>
      </c>
      <c r="J1" s="1" t="s">
        <v>539</v>
      </c>
      <c r="K1" s="1" t="s">
        <v>540</v>
      </c>
      <c r="L1" s="1" t="s">
        <v>541</v>
      </c>
      <c r="M1" s="1" t="s">
        <v>542</v>
      </c>
      <c r="N1" s="1" t="s">
        <v>543</v>
      </c>
      <c r="O1" s="1" t="s">
        <v>544</v>
      </c>
      <c r="P1" s="1" t="s">
        <v>545</v>
      </c>
      <c r="Q1" s="1" t="s">
        <v>546</v>
      </c>
      <c r="R1" s="1" t="s">
        <v>547</v>
      </c>
      <c r="S1" s="1" t="s">
        <v>548</v>
      </c>
      <c r="T1" s="1" t="s">
        <v>549</v>
      </c>
      <c r="U1" s="1" t="s">
        <v>550</v>
      </c>
      <c r="V1" s="1" t="s">
        <v>551</v>
      </c>
      <c r="W1" s="1" t="s">
        <v>133</v>
      </c>
      <c r="X1" s="1" t="s">
        <v>134</v>
      </c>
      <c r="Y1" s="1" t="s">
        <v>135</v>
      </c>
      <c r="Z1" s="1" t="s">
        <v>136</v>
      </c>
      <c r="AA1" s="1" t="s">
        <v>137</v>
      </c>
      <c r="AB1" s="1" t="s">
        <v>138</v>
      </c>
      <c r="AC1" s="1" t="s">
        <v>139</v>
      </c>
      <c r="AD1" s="1" t="s">
        <v>140</v>
      </c>
      <c r="AE1" s="1" t="s">
        <v>141</v>
      </c>
      <c r="AF1" s="1" t="s">
        <v>142</v>
      </c>
      <c r="AG1" s="1" t="s">
        <v>143</v>
      </c>
      <c r="AH1" s="1" t="s">
        <v>144</v>
      </c>
      <c r="AI1" s="1" t="s">
        <v>145</v>
      </c>
      <c r="AJ1" s="1" t="s">
        <v>146</v>
      </c>
      <c r="AK1" s="1" t="s">
        <v>147</v>
      </c>
      <c r="AL1" s="1" t="s">
        <v>148</v>
      </c>
    </row>
    <row r="2" spans="1:38">
      <c r="A2" s="1" t="s">
        <v>63</v>
      </c>
      <c r="B2" t="s">
        <v>552</v>
      </c>
      <c r="C2" t="s">
        <v>553</v>
      </c>
      <c r="D2" t="s">
        <v>554</v>
      </c>
      <c r="E2" t="s">
        <v>555</v>
      </c>
      <c r="F2" t="s">
        <v>556</v>
      </c>
      <c r="G2" t="s">
        <v>557</v>
      </c>
      <c r="H2" t="s">
        <v>558</v>
      </c>
      <c r="I2" t="s">
        <v>559</v>
      </c>
      <c r="J2" t="s">
        <v>560</v>
      </c>
      <c r="K2" t="s">
        <v>561</v>
      </c>
      <c r="L2" t="s">
        <v>562</v>
      </c>
      <c r="M2" t="s">
        <v>563</v>
      </c>
      <c r="N2" t="s">
        <v>564</v>
      </c>
      <c r="O2" t="s">
        <v>565</v>
      </c>
      <c r="P2" t="s">
        <v>566</v>
      </c>
      <c r="Q2" t="s">
        <v>567</v>
      </c>
      <c r="R2" t="s">
        <v>568</v>
      </c>
      <c r="S2" t="s">
        <v>569</v>
      </c>
      <c r="T2" t="s">
        <v>570</v>
      </c>
      <c r="U2" t="s">
        <v>571</v>
      </c>
      <c r="V2" t="s">
        <v>572</v>
      </c>
      <c r="W2" t="s">
        <v>303</v>
      </c>
      <c r="X2" t="s">
        <v>304</v>
      </c>
      <c r="Y2" t="s">
        <v>305</v>
      </c>
      <c r="Z2" t="s">
        <v>306</v>
      </c>
      <c r="AA2" t="s">
        <v>307</v>
      </c>
      <c r="AB2" t="s">
        <v>308</v>
      </c>
      <c r="AC2" t="s">
        <v>309</v>
      </c>
      <c r="AD2" t="s">
        <v>310</v>
      </c>
      <c r="AE2" t="s">
        <v>311</v>
      </c>
      <c r="AF2" t="s">
        <v>312</v>
      </c>
      <c r="AG2" t="s">
        <v>313</v>
      </c>
      <c r="AH2" t="s">
        <v>314</v>
      </c>
      <c r="AI2" t="s">
        <v>315</v>
      </c>
      <c r="AJ2" t="s">
        <v>316</v>
      </c>
      <c r="AK2" t="s">
        <v>317</v>
      </c>
      <c r="AL2" t="s">
        <v>318</v>
      </c>
    </row>
    <row r="3" spans="1:38">
      <c r="A3" s="1" t="s">
        <v>573</v>
      </c>
      <c r="B3" t="s">
        <v>574</v>
      </c>
      <c r="C3" t="s">
        <v>575</v>
      </c>
      <c r="D3" t="s">
        <v>576</v>
      </c>
      <c r="E3" t="s">
        <v>577</v>
      </c>
      <c r="F3" t="s">
        <v>578</v>
      </c>
      <c r="G3" t="s">
        <v>579</v>
      </c>
      <c r="H3" t="s">
        <v>257</v>
      </c>
      <c r="I3" t="s">
        <v>580</v>
      </c>
      <c r="J3" t="s">
        <v>581</v>
      </c>
      <c r="K3" t="s">
        <v>582</v>
      </c>
      <c r="L3" t="s">
        <v>583</v>
      </c>
      <c r="M3" t="s">
        <v>584</v>
      </c>
      <c r="N3" t="s">
        <v>585</v>
      </c>
      <c r="O3" t="s">
        <v>586</v>
      </c>
      <c r="P3" t="s">
        <v>587</v>
      </c>
      <c r="Q3" t="s">
        <v>588</v>
      </c>
      <c r="R3" t="s">
        <v>589</v>
      </c>
      <c r="S3" t="s">
        <v>590</v>
      </c>
      <c r="T3" t="s">
        <v>591</v>
      </c>
      <c r="U3" t="s">
        <v>592</v>
      </c>
      <c r="V3" t="s">
        <v>593</v>
      </c>
      <c r="W3" t="s">
        <v>594</v>
      </c>
      <c r="X3" t="s">
        <v>595</v>
      </c>
      <c r="Y3" t="s">
        <v>596</v>
      </c>
      <c r="Z3" t="s">
        <v>597</v>
      </c>
      <c r="AA3" t="s">
        <v>598</v>
      </c>
      <c r="AB3" t="s">
        <v>599</v>
      </c>
      <c r="AC3" t="s">
        <v>600</v>
      </c>
      <c r="AD3" t="s">
        <v>601</v>
      </c>
      <c r="AE3" t="s">
        <v>602</v>
      </c>
      <c r="AF3" t="s">
        <v>603</v>
      </c>
      <c r="AG3" t="s">
        <v>604</v>
      </c>
      <c r="AH3" t="s">
        <v>605</v>
      </c>
      <c r="AI3" t="s">
        <v>606</v>
      </c>
      <c r="AJ3" t="s">
        <v>607</v>
      </c>
      <c r="AK3" t="s">
        <v>608</v>
      </c>
      <c r="AL3" t="s">
        <v>609</v>
      </c>
    </row>
    <row r="4" spans="1:38">
      <c r="A4" s="1" t="s">
        <v>65</v>
      </c>
      <c r="B4" t="s">
        <v>610</v>
      </c>
      <c r="C4" t="s">
        <v>611</v>
      </c>
      <c r="D4" t="s">
        <v>612</v>
      </c>
      <c r="E4" t="s">
        <v>613</v>
      </c>
      <c r="F4" t="s">
        <v>614</v>
      </c>
      <c r="G4" t="s">
        <v>615</v>
      </c>
      <c r="H4" t="s">
        <v>616</v>
      </c>
      <c r="I4" t="s">
        <v>617</v>
      </c>
      <c r="J4" t="s">
        <v>618</v>
      </c>
      <c r="K4" t="s">
        <v>619</v>
      </c>
      <c r="L4" t="s">
        <v>620</v>
      </c>
      <c r="M4" t="s">
        <v>621</v>
      </c>
      <c r="N4" t="s">
        <v>622</v>
      </c>
      <c r="O4" t="s">
        <v>623</v>
      </c>
      <c r="P4" t="s">
        <v>624</v>
      </c>
      <c r="Q4" t="s">
        <v>625</v>
      </c>
      <c r="R4" t="s">
        <v>626</v>
      </c>
      <c r="S4" t="s">
        <v>627</v>
      </c>
      <c r="T4" t="s">
        <v>628</v>
      </c>
      <c r="U4" t="s">
        <v>629</v>
      </c>
      <c r="V4" t="s">
        <v>630</v>
      </c>
      <c r="W4" t="s">
        <v>631</v>
      </c>
      <c r="X4" t="s">
        <v>632</v>
      </c>
      <c r="Y4" t="s">
        <v>633</v>
      </c>
      <c r="Z4" t="s">
        <v>634</v>
      </c>
      <c r="AA4" t="s">
        <v>635</v>
      </c>
      <c r="AB4" t="s">
        <v>636</v>
      </c>
      <c r="AC4" t="s">
        <v>637</v>
      </c>
      <c r="AD4" t="s">
        <v>638</v>
      </c>
      <c r="AE4" t="s">
        <v>639</v>
      </c>
      <c r="AF4" t="s">
        <v>640</v>
      </c>
      <c r="AG4" t="s">
        <v>641</v>
      </c>
      <c r="AH4" t="s">
        <v>642</v>
      </c>
      <c r="AI4" t="s">
        <v>643</v>
      </c>
      <c r="AJ4" t="s">
        <v>644</v>
      </c>
      <c r="AK4" t="s">
        <v>645</v>
      </c>
      <c r="AL4" t="s">
        <v>646</v>
      </c>
    </row>
    <row r="5" spans="1:38">
      <c r="A5" s="1" t="s">
        <v>66</v>
      </c>
      <c r="B5" t="s">
        <v>647</v>
      </c>
      <c r="C5" t="s">
        <v>648</v>
      </c>
      <c r="D5" t="s">
        <v>649</v>
      </c>
      <c r="E5" t="s">
        <v>650</v>
      </c>
      <c r="F5" t="s">
        <v>577</v>
      </c>
      <c r="G5" t="s">
        <v>651</v>
      </c>
      <c r="H5" t="s">
        <v>652</v>
      </c>
      <c r="I5" t="s">
        <v>653</v>
      </c>
      <c r="J5" t="s">
        <v>654</v>
      </c>
      <c r="K5" t="s">
        <v>655</v>
      </c>
      <c r="L5" t="s">
        <v>656</v>
      </c>
      <c r="M5" t="s">
        <v>657</v>
      </c>
      <c r="N5" t="s">
        <v>658</v>
      </c>
      <c r="O5" t="s">
        <v>659</v>
      </c>
      <c r="P5" t="s">
        <v>660</v>
      </c>
      <c r="Q5" t="s">
        <v>661</v>
      </c>
      <c r="R5" t="s">
        <v>662</v>
      </c>
      <c r="S5" t="s">
        <v>663</v>
      </c>
      <c r="T5" t="s">
        <v>664</v>
      </c>
      <c r="U5" t="s">
        <v>665</v>
      </c>
      <c r="V5" t="s">
        <v>666</v>
      </c>
      <c r="W5" t="s">
        <v>667</v>
      </c>
      <c r="X5" t="s">
        <v>668</v>
      </c>
      <c r="Y5" t="s">
        <v>669</v>
      </c>
      <c r="Z5" t="s">
        <v>670</v>
      </c>
      <c r="AA5" t="s">
        <v>671</v>
      </c>
      <c r="AB5" t="s">
        <v>672</v>
      </c>
      <c r="AC5" t="s">
        <v>673</v>
      </c>
      <c r="AD5" t="s">
        <v>674</v>
      </c>
      <c r="AE5" t="s">
        <v>675</v>
      </c>
      <c r="AF5" t="s">
        <v>676</v>
      </c>
      <c r="AG5" t="s">
        <v>677</v>
      </c>
      <c r="AH5" t="s">
        <v>678</v>
      </c>
      <c r="AI5" t="s">
        <v>679</v>
      </c>
      <c r="AJ5" t="s">
        <v>680</v>
      </c>
      <c r="AK5" t="s">
        <v>681</v>
      </c>
      <c r="AL5" t="s">
        <v>682</v>
      </c>
    </row>
    <row r="6" spans="1:38">
      <c r="A6" s="1" t="s">
        <v>683</v>
      </c>
      <c r="B6" t="s">
        <v>684</v>
      </c>
      <c r="C6" t="s">
        <v>684</v>
      </c>
      <c r="D6" t="s">
        <v>684</v>
      </c>
      <c r="E6" t="s">
        <v>684</v>
      </c>
      <c r="F6" t="s">
        <v>684</v>
      </c>
      <c r="G6" t="s">
        <v>684</v>
      </c>
      <c r="H6" t="s">
        <v>684</v>
      </c>
      <c r="I6" t="s">
        <v>684</v>
      </c>
      <c r="J6" t="s">
        <v>684</v>
      </c>
      <c r="K6" t="s">
        <v>684</v>
      </c>
      <c r="L6" t="s">
        <v>684</v>
      </c>
      <c r="M6" t="s">
        <v>684</v>
      </c>
      <c r="N6" t="s">
        <v>684</v>
      </c>
      <c r="O6" t="s">
        <v>684</v>
      </c>
      <c r="P6" t="s">
        <v>684</v>
      </c>
      <c r="Q6" t="s">
        <v>684</v>
      </c>
      <c r="R6" t="s">
        <v>684</v>
      </c>
      <c r="S6" t="s">
        <v>684</v>
      </c>
      <c r="T6" t="s">
        <v>684</v>
      </c>
      <c r="U6" t="s">
        <v>684</v>
      </c>
      <c r="V6" t="s">
        <v>684</v>
      </c>
      <c r="W6" t="s">
        <v>684</v>
      </c>
      <c r="X6" t="s">
        <v>684</v>
      </c>
      <c r="Y6" t="s">
        <v>684</v>
      </c>
      <c r="Z6" t="s">
        <v>684</v>
      </c>
      <c r="AA6" t="s">
        <v>684</v>
      </c>
      <c r="AB6" t="s">
        <v>684</v>
      </c>
      <c r="AC6" t="s">
        <v>684</v>
      </c>
      <c r="AD6" t="s">
        <v>684</v>
      </c>
      <c r="AE6" t="s">
        <v>684</v>
      </c>
      <c r="AF6" t="s">
        <v>684</v>
      </c>
      <c r="AG6" t="s">
        <v>684</v>
      </c>
      <c r="AH6" t="s">
        <v>684</v>
      </c>
      <c r="AI6" t="s">
        <v>684</v>
      </c>
      <c r="AJ6" t="s">
        <v>684</v>
      </c>
      <c r="AK6" t="s">
        <v>684</v>
      </c>
      <c r="AL6" t="s">
        <v>684</v>
      </c>
    </row>
    <row r="7" spans="1:38">
      <c r="A7" s="1" t="s">
        <v>685</v>
      </c>
      <c r="B7" t="s">
        <v>686</v>
      </c>
      <c r="C7" t="s">
        <v>687</v>
      </c>
      <c r="D7" t="s">
        <v>686</v>
      </c>
      <c r="E7" t="s">
        <v>688</v>
      </c>
      <c r="F7" t="s">
        <v>689</v>
      </c>
      <c r="G7" t="s">
        <v>690</v>
      </c>
      <c r="H7" t="s">
        <v>691</v>
      </c>
      <c r="I7" t="s">
        <v>692</v>
      </c>
      <c r="J7" t="s">
        <v>693</v>
      </c>
      <c r="K7" t="s">
        <v>694</v>
      </c>
      <c r="L7" t="s">
        <v>695</v>
      </c>
      <c r="M7" t="s">
        <v>696</v>
      </c>
      <c r="N7" t="s">
        <v>697</v>
      </c>
      <c r="O7" t="s">
        <v>698</v>
      </c>
      <c r="P7" t="s">
        <v>699</v>
      </c>
      <c r="Q7" t="s">
        <v>661</v>
      </c>
      <c r="R7" t="s">
        <v>662</v>
      </c>
      <c r="S7" t="s">
        <v>663</v>
      </c>
      <c r="T7" t="s">
        <v>664</v>
      </c>
      <c r="U7" t="s">
        <v>665</v>
      </c>
      <c r="V7" t="s">
        <v>666</v>
      </c>
      <c r="W7" t="s">
        <v>667</v>
      </c>
      <c r="X7" t="s">
        <v>668</v>
      </c>
      <c r="Y7" t="s">
        <v>700</v>
      </c>
      <c r="Z7" t="s">
        <v>701</v>
      </c>
      <c r="AA7" t="s">
        <v>702</v>
      </c>
      <c r="AB7" t="s">
        <v>703</v>
      </c>
      <c r="AC7" t="s">
        <v>673</v>
      </c>
      <c r="AD7" t="s">
        <v>674</v>
      </c>
      <c r="AE7" t="s">
        <v>675</v>
      </c>
      <c r="AF7" t="s">
        <v>676</v>
      </c>
      <c r="AG7" t="s">
        <v>677</v>
      </c>
      <c r="AH7" t="s">
        <v>704</v>
      </c>
      <c r="AI7" t="s">
        <v>705</v>
      </c>
      <c r="AJ7" t="s">
        <v>706</v>
      </c>
      <c r="AK7" t="s">
        <v>707</v>
      </c>
      <c r="AL7" t="s">
        <v>708</v>
      </c>
    </row>
    <row r="8" spans="1:38">
      <c r="A8" s="1" t="s">
        <v>709</v>
      </c>
      <c r="B8" t="s">
        <v>684</v>
      </c>
      <c r="C8" t="s">
        <v>684</v>
      </c>
      <c r="D8" t="s">
        <v>684</v>
      </c>
      <c r="E8" t="s">
        <v>684</v>
      </c>
      <c r="F8" t="s">
        <v>684</v>
      </c>
      <c r="G8" t="s">
        <v>684</v>
      </c>
      <c r="H8" t="s">
        <v>684</v>
      </c>
      <c r="I8" t="s">
        <v>684</v>
      </c>
      <c r="J8" t="s">
        <v>684</v>
      </c>
      <c r="K8" t="s">
        <v>694</v>
      </c>
      <c r="L8" t="s">
        <v>695</v>
      </c>
      <c r="M8" t="s">
        <v>696</v>
      </c>
      <c r="N8" t="s">
        <v>697</v>
      </c>
      <c r="O8" t="s">
        <v>698</v>
      </c>
      <c r="P8" t="s">
        <v>699</v>
      </c>
      <c r="Q8" t="s">
        <v>661</v>
      </c>
      <c r="R8" t="s">
        <v>662</v>
      </c>
      <c r="S8" t="s">
        <v>663</v>
      </c>
      <c r="T8" t="s">
        <v>664</v>
      </c>
      <c r="U8" t="s">
        <v>665</v>
      </c>
      <c r="V8" t="s">
        <v>666</v>
      </c>
      <c r="W8" t="s">
        <v>667</v>
      </c>
      <c r="X8" t="s">
        <v>668</v>
      </c>
      <c r="Y8" t="s">
        <v>700</v>
      </c>
      <c r="Z8" t="s">
        <v>684</v>
      </c>
      <c r="AA8" t="s">
        <v>702</v>
      </c>
      <c r="AB8" t="s">
        <v>703</v>
      </c>
      <c r="AC8" t="s">
        <v>710</v>
      </c>
      <c r="AD8" t="s">
        <v>711</v>
      </c>
      <c r="AE8" t="s">
        <v>712</v>
      </c>
      <c r="AF8" t="s">
        <v>713</v>
      </c>
      <c r="AG8" t="s">
        <v>714</v>
      </c>
      <c r="AH8" t="s">
        <v>715</v>
      </c>
      <c r="AI8" t="s">
        <v>716</v>
      </c>
      <c r="AJ8" t="s">
        <v>717</v>
      </c>
      <c r="AK8" t="s">
        <v>718</v>
      </c>
      <c r="AL8" t="s">
        <v>719</v>
      </c>
    </row>
    <row r="9" spans="1:38">
      <c r="A9" s="1" t="s">
        <v>720</v>
      </c>
      <c r="B9" t="s">
        <v>684</v>
      </c>
      <c r="C9" t="s">
        <v>684</v>
      </c>
      <c r="D9" t="s">
        <v>684</v>
      </c>
      <c r="E9" t="s">
        <v>684</v>
      </c>
      <c r="F9" t="s">
        <v>684</v>
      </c>
      <c r="G9" t="s">
        <v>684</v>
      </c>
      <c r="H9" t="s">
        <v>684</v>
      </c>
      <c r="I9" t="s">
        <v>684</v>
      </c>
      <c r="J9" t="s">
        <v>684</v>
      </c>
      <c r="K9" t="s">
        <v>684</v>
      </c>
      <c r="L9" t="s">
        <v>684</v>
      </c>
      <c r="M9" t="s">
        <v>684</v>
      </c>
      <c r="N9" t="s">
        <v>684</v>
      </c>
      <c r="O9" t="s">
        <v>684</v>
      </c>
      <c r="P9" t="s">
        <v>684</v>
      </c>
      <c r="Q9" t="s">
        <v>684</v>
      </c>
      <c r="R9" t="s">
        <v>684</v>
      </c>
      <c r="S9" t="s">
        <v>684</v>
      </c>
      <c r="T9" t="s">
        <v>684</v>
      </c>
      <c r="U9" t="s">
        <v>684</v>
      </c>
      <c r="V9" t="s">
        <v>684</v>
      </c>
      <c r="W9" t="s">
        <v>684</v>
      </c>
      <c r="X9" t="s">
        <v>684</v>
      </c>
      <c r="Y9" t="s">
        <v>684</v>
      </c>
      <c r="Z9" t="s">
        <v>684</v>
      </c>
      <c r="AA9" t="s">
        <v>684</v>
      </c>
      <c r="AB9" t="s">
        <v>684</v>
      </c>
      <c r="AC9" t="s">
        <v>721</v>
      </c>
      <c r="AD9" t="s">
        <v>722</v>
      </c>
      <c r="AE9" t="s">
        <v>723</v>
      </c>
      <c r="AF9" t="s">
        <v>724</v>
      </c>
      <c r="AG9" t="s">
        <v>725</v>
      </c>
      <c r="AH9" t="s">
        <v>726</v>
      </c>
      <c r="AI9" t="s">
        <v>727</v>
      </c>
      <c r="AJ9" t="s">
        <v>728</v>
      </c>
      <c r="AK9" t="s">
        <v>729</v>
      </c>
      <c r="AL9" t="s">
        <v>730</v>
      </c>
    </row>
    <row r="10" spans="1:38">
      <c r="A10" s="1" t="s">
        <v>731</v>
      </c>
      <c r="B10" t="s">
        <v>732</v>
      </c>
      <c r="C10" t="s">
        <v>733</v>
      </c>
      <c r="D10" t="s">
        <v>734</v>
      </c>
      <c r="E10" t="s">
        <v>735</v>
      </c>
      <c r="F10" t="s">
        <v>736</v>
      </c>
      <c r="G10" t="s">
        <v>737</v>
      </c>
      <c r="H10" t="s">
        <v>738</v>
      </c>
      <c r="I10" t="s">
        <v>739</v>
      </c>
      <c r="J10" t="s">
        <v>740</v>
      </c>
      <c r="K10" t="s">
        <v>741</v>
      </c>
      <c r="L10" t="s">
        <v>742</v>
      </c>
      <c r="M10" t="s">
        <v>743</v>
      </c>
      <c r="N10" t="s">
        <v>744</v>
      </c>
      <c r="O10" t="s">
        <v>745</v>
      </c>
      <c r="P10" t="s">
        <v>746</v>
      </c>
      <c r="Q10" t="s">
        <v>684</v>
      </c>
      <c r="R10" t="s">
        <v>684</v>
      </c>
      <c r="S10" t="s">
        <v>684</v>
      </c>
      <c r="T10" t="s">
        <v>684</v>
      </c>
      <c r="U10" t="s">
        <v>684</v>
      </c>
      <c r="V10" t="s">
        <v>684</v>
      </c>
      <c r="W10" t="s">
        <v>684</v>
      </c>
      <c r="X10" t="s">
        <v>684</v>
      </c>
      <c r="Y10" t="s">
        <v>747</v>
      </c>
      <c r="Z10" t="s">
        <v>748</v>
      </c>
      <c r="AA10" t="s">
        <v>749</v>
      </c>
      <c r="AB10" t="s">
        <v>750</v>
      </c>
      <c r="AC10" t="s">
        <v>684</v>
      </c>
      <c r="AD10" t="s">
        <v>684</v>
      </c>
      <c r="AE10" t="s">
        <v>684</v>
      </c>
      <c r="AF10" t="s">
        <v>684</v>
      </c>
      <c r="AG10" t="s">
        <v>684</v>
      </c>
      <c r="AH10" t="s">
        <v>751</v>
      </c>
      <c r="AI10" t="s">
        <v>752</v>
      </c>
      <c r="AJ10" t="s">
        <v>753</v>
      </c>
      <c r="AK10" t="s">
        <v>754</v>
      </c>
      <c r="AL10" t="s">
        <v>755</v>
      </c>
    </row>
    <row r="11" spans="1:38">
      <c r="A11" s="1" t="s">
        <v>756</v>
      </c>
      <c r="B11" t="s">
        <v>757</v>
      </c>
      <c r="C11" t="s">
        <v>758</v>
      </c>
      <c r="D11" t="s">
        <v>759</v>
      </c>
      <c r="E11" t="s">
        <v>760</v>
      </c>
      <c r="F11" t="s">
        <v>761</v>
      </c>
      <c r="G11" t="s">
        <v>762</v>
      </c>
      <c r="H11" t="s">
        <v>763</v>
      </c>
      <c r="I11" t="s">
        <v>764</v>
      </c>
      <c r="J11" t="s">
        <v>765</v>
      </c>
      <c r="K11" t="s">
        <v>766</v>
      </c>
      <c r="L11" t="s">
        <v>767</v>
      </c>
      <c r="M11" t="s">
        <v>768</v>
      </c>
      <c r="N11" t="s">
        <v>769</v>
      </c>
      <c r="O11" t="s">
        <v>770</v>
      </c>
      <c r="P11" t="s">
        <v>771</v>
      </c>
      <c r="Q11" t="s">
        <v>772</v>
      </c>
      <c r="R11" t="s">
        <v>773</v>
      </c>
      <c r="S11" t="s">
        <v>774</v>
      </c>
      <c r="T11" t="s">
        <v>771</v>
      </c>
      <c r="U11" t="s">
        <v>775</v>
      </c>
      <c r="V11" t="s">
        <v>776</v>
      </c>
      <c r="W11" t="s">
        <v>777</v>
      </c>
      <c r="X11" t="s">
        <v>778</v>
      </c>
      <c r="Y11" t="s">
        <v>779</v>
      </c>
      <c r="Z11" t="s">
        <v>780</v>
      </c>
      <c r="AA11" t="s">
        <v>781</v>
      </c>
      <c r="AB11" t="s">
        <v>782</v>
      </c>
      <c r="AC11" t="s">
        <v>783</v>
      </c>
      <c r="AD11" t="s">
        <v>784</v>
      </c>
      <c r="AE11" t="s">
        <v>785</v>
      </c>
      <c r="AF11" t="s">
        <v>786</v>
      </c>
      <c r="AG11" t="s">
        <v>787</v>
      </c>
      <c r="AH11" t="s">
        <v>788</v>
      </c>
      <c r="AI11" t="s">
        <v>789</v>
      </c>
      <c r="AJ11" t="s">
        <v>790</v>
      </c>
      <c r="AK11" t="s">
        <v>791</v>
      </c>
      <c r="AL11" t="s">
        <v>792</v>
      </c>
    </row>
    <row r="12" spans="1:38">
      <c r="A12" s="1" t="s">
        <v>793</v>
      </c>
      <c r="B12" t="s">
        <v>684</v>
      </c>
      <c r="C12" t="s">
        <v>684</v>
      </c>
      <c r="D12" t="s">
        <v>684</v>
      </c>
      <c r="E12" t="s">
        <v>684</v>
      </c>
      <c r="F12" t="s">
        <v>684</v>
      </c>
      <c r="G12" t="s">
        <v>684</v>
      </c>
      <c r="H12" t="s">
        <v>684</v>
      </c>
      <c r="I12" t="s">
        <v>684</v>
      </c>
      <c r="J12" t="s">
        <v>684</v>
      </c>
      <c r="K12" t="s">
        <v>684</v>
      </c>
      <c r="L12" t="s">
        <v>684</v>
      </c>
      <c r="M12" t="s">
        <v>684</v>
      </c>
      <c r="N12" t="s">
        <v>684</v>
      </c>
      <c r="O12" t="s">
        <v>684</v>
      </c>
      <c r="P12" t="s">
        <v>684</v>
      </c>
      <c r="Q12" t="s">
        <v>684</v>
      </c>
      <c r="R12" t="s">
        <v>684</v>
      </c>
      <c r="S12" t="s">
        <v>684</v>
      </c>
      <c r="T12" t="s">
        <v>684</v>
      </c>
      <c r="U12" t="s">
        <v>684</v>
      </c>
      <c r="V12" t="s">
        <v>684</v>
      </c>
      <c r="W12" t="s">
        <v>684</v>
      </c>
      <c r="X12" t="s">
        <v>684</v>
      </c>
      <c r="Y12" t="s">
        <v>794</v>
      </c>
      <c r="Z12" t="s">
        <v>795</v>
      </c>
      <c r="AA12" t="s">
        <v>732</v>
      </c>
      <c r="AB12" t="s">
        <v>796</v>
      </c>
      <c r="AC12" t="s">
        <v>797</v>
      </c>
      <c r="AD12" t="s">
        <v>798</v>
      </c>
      <c r="AE12" t="s">
        <v>799</v>
      </c>
      <c r="AF12" t="s">
        <v>800</v>
      </c>
      <c r="AG12" t="s">
        <v>801</v>
      </c>
      <c r="AH12" t="s">
        <v>802</v>
      </c>
      <c r="AI12" t="s">
        <v>803</v>
      </c>
      <c r="AJ12" t="s">
        <v>804</v>
      </c>
      <c r="AK12" t="s">
        <v>805</v>
      </c>
      <c r="AL12" t="s">
        <v>806</v>
      </c>
    </row>
    <row r="13" spans="1:38">
      <c r="A13" s="1" t="s">
        <v>807</v>
      </c>
      <c r="B13" t="s">
        <v>684</v>
      </c>
      <c r="C13" t="s">
        <v>684</v>
      </c>
      <c r="D13" t="s">
        <v>684</v>
      </c>
      <c r="E13" t="s">
        <v>684</v>
      </c>
      <c r="F13" t="s">
        <v>684</v>
      </c>
      <c r="G13" t="s">
        <v>684</v>
      </c>
      <c r="H13" t="s">
        <v>684</v>
      </c>
      <c r="I13" t="s">
        <v>684</v>
      </c>
      <c r="J13" t="s">
        <v>684</v>
      </c>
      <c r="K13" t="s">
        <v>684</v>
      </c>
      <c r="L13" t="s">
        <v>684</v>
      </c>
      <c r="M13" t="s">
        <v>684</v>
      </c>
      <c r="N13" t="s">
        <v>684</v>
      </c>
      <c r="O13" t="s">
        <v>684</v>
      </c>
      <c r="P13" t="s">
        <v>684</v>
      </c>
      <c r="Q13" t="s">
        <v>684</v>
      </c>
      <c r="R13" t="s">
        <v>684</v>
      </c>
      <c r="S13" t="s">
        <v>684</v>
      </c>
      <c r="T13" t="s">
        <v>684</v>
      </c>
      <c r="U13" t="s">
        <v>684</v>
      </c>
      <c r="V13" t="s">
        <v>684</v>
      </c>
      <c r="W13" t="s">
        <v>684</v>
      </c>
      <c r="X13" t="s">
        <v>684</v>
      </c>
      <c r="Y13" t="s">
        <v>808</v>
      </c>
      <c r="Z13" t="s">
        <v>809</v>
      </c>
      <c r="AA13" t="s">
        <v>810</v>
      </c>
      <c r="AB13" t="s">
        <v>811</v>
      </c>
      <c r="AC13" t="s">
        <v>812</v>
      </c>
      <c r="AD13" t="s">
        <v>813</v>
      </c>
      <c r="AE13" t="s">
        <v>796</v>
      </c>
      <c r="AF13" t="s">
        <v>814</v>
      </c>
      <c r="AG13" t="s">
        <v>810</v>
      </c>
      <c r="AH13" t="s">
        <v>815</v>
      </c>
      <c r="AI13" t="s">
        <v>816</v>
      </c>
      <c r="AJ13" t="s">
        <v>817</v>
      </c>
      <c r="AK13" t="s">
        <v>818</v>
      </c>
      <c r="AL13" t="s">
        <v>819</v>
      </c>
    </row>
    <row r="14" spans="1:38">
      <c r="A14" s="1" t="s">
        <v>820</v>
      </c>
      <c r="B14" t="s">
        <v>684</v>
      </c>
      <c r="C14" t="s">
        <v>684</v>
      </c>
      <c r="D14" t="s">
        <v>684</v>
      </c>
      <c r="E14" t="s">
        <v>684</v>
      </c>
      <c r="F14" t="s">
        <v>736</v>
      </c>
      <c r="G14" t="s">
        <v>737</v>
      </c>
      <c r="H14" t="s">
        <v>738</v>
      </c>
      <c r="I14" t="s">
        <v>739</v>
      </c>
      <c r="J14" t="s">
        <v>740</v>
      </c>
      <c r="K14" t="s">
        <v>741</v>
      </c>
      <c r="L14" t="s">
        <v>742</v>
      </c>
      <c r="M14" t="s">
        <v>743</v>
      </c>
      <c r="N14" t="s">
        <v>744</v>
      </c>
      <c r="O14" t="s">
        <v>745</v>
      </c>
      <c r="P14" t="s">
        <v>746</v>
      </c>
      <c r="Q14" t="s">
        <v>821</v>
      </c>
      <c r="R14" t="s">
        <v>822</v>
      </c>
      <c r="S14" t="s">
        <v>823</v>
      </c>
      <c r="T14" t="s">
        <v>824</v>
      </c>
      <c r="U14" t="s">
        <v>825</v>
      </c>
      <c r="V14" t="s">
        <v>826</v>
      </c>
      <c r="W14" t="s">
        <v>337</v>
      </c>
      <c r="X14" t="s">
        <v>338</v>
      </c>
      <c r="Y14" t="s">
        <v>339</v>
      </c>
      <c r="Z14" t="s">
        <v>340</v>
      </c>
      <c r="AA14" t="s">
        <v>341</v>
      </c>
      <c r="AB14" t="s">
        <v>342</v>
      </c>
      <c r="AC14" t="s">
        <v>343</v>
      </c>
      <c r="AD14" t="s">
        <v>344</v>
      </c>
      <c r="AE14" t="s">
        <v>345</v>
      </c>
      <c r="AF14" t="s">
        <v>346</v>
      </c>
      <c r="AG14" t="s">
        <v>347</v>
      </c>
      <c r="AH14" t="s">
        <v>348</v>
      </c>
      <c r="AI14" t="s">
        <v>349</v>
      </c>
      <c r="AJ14" t="s">
        <v>350</v>
      </c>
      <c r="AK14" t="s">
        <v>351</v>
      </c>
      <c r="AL14" t="s">
        <v>352</v>
      </c>
    </row>
    <row r="15" spans="1:38">
      <c r="A15" s="1" t="s">
        <v>827</v>
      </c>
      <c r="B15" t="s">
        <v>828</v>
      </c>
      <c r="C15" t="s">
        <v>829</v>
      </c>
      <c r="D15" t="s">
        <v>830</v>
      </c>
      <c r="E15" t="s">
        <v>831</v>
      </c>
      <c r="F15" t="s">
        <v>346</v>
      </c>
      <c r="G15" t="s">
        <v>832</v>
      </c>
      <c r="H15" t="s">
        <v>833</v>
      </c>
      <c r="I15" t="s">
        <v>834</v>
      </c>
      <c r="J15" t="s">
        <v>835</v>
      </c>
      <c r="K15" t="s">
        <v>836</v>
      </c>
      <c r="L15" t="s">
        <v>837</v>
      </c>
      <c r="M15" t="s">
        <v>838</v>
      </c>
      <c r="N15" t="s">
        <v>839</v>
      </c>
      <c r="O15" t="s">
        <v>840</v>
      </c>
      <c r="P15" t="s">
        <v>841</v>
      </c>
      <c r="Q15" t="s">
        <v>842</v>
      </c>
      <c r="R15" t="s">
        <v>843</v>
      </c>
      <c r="S15" t="s">
        <v>844</v>
      </c>
      <c r="T15" t="s">
        <v>845</v>
      </c>
      <c r="U15" t="s">
        <v>846</v>
      </c>
      <c r="V15" t="s">
        <v>847</v>
      </c>
      <c r="W15" t="s">
        <v>848</v>
      </c>
      <c r="X15" t="s">
        <v>849</v>
      </c>
      <c r="Y15" t="s">
        <v>850</v>
      </c>
      <c r="Z15" t="s">
        <v>851</v>
      </c>
      <c r="AA15" t="s">
        <v>852</v>
      </c>
      <c r="AB15" t="s">
        <v>853</v>
      </c>
      <c r="AC15" t="s">
        <v>854</v>
      </c>
      <c r="AD15" t="s">
        <v>855</v>
      </c>
      <c r="AE15" t="s">
        <v>856</v>
      </c>
      <c r="AF15" t="s">
        <v>857</v>
      </c>
      <c r="AG15" t="s">
        <v>858</v>
      </c>
      <c r="AH15" t="s">
        <v>859</v>
      </c>
      <c r="AI15" t="s">
        <v>860</v>
      </c>
      <c r="AJ15" t="s">
        <v>861</v>
      </c>
      <c r="AK15" t="s">
        <v>862</v>
      </c>
      <c r="AL15" t="s">
        <v>863</v>
      </c>
    </row>
    <row r="16" spans="1:38">
      <c r="A16" s="1" t="s">
        <v>69</v>
      </c>
      <c r="B16" t="s">
        <v>864</v>
      </c>
      <c r="C16" t="s">
        <v>865</v>
      </c>
      <c r="D16" t="s">
        <v>866</v>
      </c>
      <c r="E16" t="s">
        <v>867</v>
      </c>
      <c r="F16" t="s">
        <v>868</v>
      </c>
      <c r="G16" t="s">
        <v>869</v>
      </c>
      <c r="H16" t="s">
        <v>870</v>
      </c>
      <c r="I16" t="s">
        <v>871</v>
      </c>
      <c r="J16" t="s">
        <v>872</v>
      </c>
      <c r="K16" t="s">
        <v>578</v>
      </c>
      <c r="L16" t="s">
        <v>873</v>
      </c>
      <c r="M16" t="s">
        <v>874</v>
      </c>
      <c r="N16" t="s">
        <v>875</v>
      </c>
      <c r="O16" t="s">
        <v>876</v>
      </c>
      <c r="P16" t="s">
        <v>877</v>
      </c>
      <c r="Q16" t="s">
        <v>878</v>
      </c>
      <c r="R16" t="s">
        <v>879</v>
      </c>
      <c r="S16" t="s">
        <v>880</v>
      </c>
      <c r="T16" t="s">
        <v>881</v>
      </c>
      <c r="U16" t="s">
        <v>882</v>
      </c>
      <c r="V16" t="s">
        <v>883</v>
      </c>
      <c r="W16" t="s">
        <v>884</v>
      </c>
      <c r="X16" t="s">
        <v>885</v>
      </c>
      <c r="Y16" t="s">
        <v>886</v>
      </c>
      <c r="Z16" t="s">
        <v>887</v>
      </c>
      <c r="AA16" t="s">
        <v>888</v>
      </c>
      <c r="AB16" t="s">
        <v>889</v>
      </c>
      <c r="AC16" t="s">
        <v>890</v>
      </c>
      <c r="AD16" t="s">
        <v>891</v>
      </c>
      <c r="AE16" t="s">
        <v>892</v>
      </c>
      <c r="AF16" t="s">
        <v>893</v>
      </c>
      <c r="AG16" t="s">
        <v>665</v>
      </c>
      <c r="AH16" t="s">
        <v>894</v>
      </c>
      <c r="AI16" t="s">
        <v>895</v>
      </c>
      <c r="AJ16" t="s">
        <v>896</v>
      </c>
      <c r="AK16" t="s">
        <v>897</v>
      </c>
      <c r="AL16" t="s">
        <v>898</v>
      </c>
    </row>
    <row r="17" spans="1:38">
      <c r="A17" s="1" t="s">
        <v>899</v>
      </c>
      <c r="B17" t="s">
        <v>900</v>
      </c>
      <c r="C17" t="s">
        <v>901</v>
      </c>
      <c r="D17" t="s">
        <v>902</v>
      </c>
      <c r="E17" t="s">
        <v>903</v>
      </c>
      <c r="F17" t="s">
        <v>904</v>
      </c>
      <c r="G17" t="s">
        <v>905</v>
      </c>
      <c r="H17" t="s">
        <v>906</v>
      </c>
      <c r="I17" t="s">
        <v>907</v>
      </c>
      <c r="J17" t="s">
        <v>908</v>
      </c>
      <c r="K17" t="s">
        <v>909</v>
      </c>
      <c r="L17" t="s">
        <v>910</v>
      </c>
      <c r="M17" t="s">
        <v>911</v>
      </c>
      <c r="N17" t="s">
        <v>912</v>
      </c>
      <c r="O17" t="s">
        <v>751</v>
      </c>
      <c r="P17" t="s">
        <v>913</v>
      </c>
      <c r="Q17" t="s">
        <v>914</v>
      </c>
      <c r="R17" t="s">
        <v>915</v>
      </c>
      <c r="S17" t="s">
        <v>916</v>
      </c>
      <c r="T17" t="s">
        <v>917</v>
      </c>
      <c r="U17" t="s">
        <v>918</v>
      </c>
      <c r="V17" t="s">
        <v>919</v>
      </c>
      <c r="W17" t="s">
        <v>920</v>
      </c>
      <c r="X17" t="s">
        <v>921</v>
      </c>
      <c r="Y17" t="s">
        <v>922</v>
      </c>
      <c r="Z17" t="s">
        <v>923</v>
      </c>
      <c r="AA17" t="s">
        <v>924</v>
      </c>
      <c r="AB17" t="s">
        <v>925</v>
      </c>
      <c r="AC17" t="s">
        <v>926</v>
      </c>
      <c r="AD17" t="s">
        <v>927</v>
      </c>
      <c r="AE17" t="s">
        <v>928</v>
      </c>
      <c r="AF17" t="s">
        <v>929</v>
      </c>
      <c r="AG17" t="s">
        <v>930</v>
      </c>
      <c r="AH17" t="s">
        <v>931</v>
      </c>
      <c r="AI17" t="s">
        <v>932</v>
      </c>
      <c r="AJ17" t="s">
        <v>933</v>
      </c>
      <c r="AK17" t="s">
        <v>934</v>
      </c>
      <c r="AL17" t="s">
        <v>935</v>
      </c>
    </row>
    <row r="18" spans="1:38">
      <c r="A18" s="1" t="s">
        <v>936</v>
      </c>
      <c r="B18" t="s">
        <v>937</v>
      </c>
      <c r="C18" t="s">
        <v>829</v>
      </c>
      <c r="D18" t="s">
        <v>830</v>
      </c>
      <c r="E18" t="s">
        <v>831</v>
      </c>
      <c r="F18" t="s">
        <v>938</v>
      </c>
      <c r="G18" t="s">
        <v>939</v>
      </c>
      <c r="H18" t="s">
        <v>940</v>
      </c>
      <c r="I18" t="s">
        <v>941</v>
      </c>
      <c r="J18" t="s">
        <v>942</v>
      </c>
      <c r="K18" t="s">
        <v>943</v>
      </c>
      <c r="L18" t="s">
        <v>944</v>
      </c>
      <c r="M18" t="s">
        <v>945</v>
      </c>
      <c r="N18" t="s">
        <v>654</v>
      </c>
      <c r="O18" t="s">
        <v>946</v>
      </c>
      <c r="P18" t="s">
        <v>947</v>
      </c>
      <c r="Q18" t="s">
        <v>948</v>
      </c>
      <c r="R18" t="s">
        <v>949</v>
      </c>
      <c r="S18" t="s">
        <v>950</v>
      </c>
      <c r="T18" t="s">
        <v>951</v>
      </c>
      <c r="U18" t="s">
        <v>952</v>
      </c>
      <c r="V18" t="s">
        <v>953</v>
      </c>
      <c r="W18" t="s">
        <v>954</v>
      </c>
      <c r="X18" t="s">
        <v>955</v>
      </c>
      <c r="Y18" t="s">
        <v>956</v>
      </c>
      <c r="Z18" t="s">
        <v>957</v>
      </c>
      <c r="AA18" t="s">
        <v>958</v>
      </c>
      <c r="AB18" t="s">
        <v>959</v>
      </c>
      <c r="AC18" t="s">
        <v>359</v>
      </c>
      <c r="AD18" t="s">
        <v>960</v>
      </c>
      <c r="AE18" t="s">
        <v>961</v>
      </c>
      <c r="AF18" t="s">
        <v>962</v>
      </c>
      <c r="AG18" t="s">
        <v>963</v>
      </c>
      <c r="AH18" t="s">
        <v>964</v>
      </c>
      <c r="AI18" t="s">
        <v>965</v>
      </c>
      <c r="AJ18" t="s">
        <v>966</v>
      </c>
      <c r="AK18" t="s">
        <v>967</v>
      </c>
      <c r="AL18" t="s">
        <v>968</v>
      </c>
    </row>
    <row r="19" spans="1:38">
      <c r="A19" s="1" t="s">
        <v>969</v>
      </c>
      <c r="B19" t="s">
        <v>970</v>
      </c>
      <c r="C19" t="s">
        <v>971</v>
      </c>
      <c r="D19" t="s">
        <v>972</v>
      </c>
      <c r="E19" t="s">
        <v>973</v>
      </c>
      <c r="F19" t="s">
        <v>974</v>
      </c>
      <c r="G19" t="s">
        <v>975</v>
      </c>
      <c r="H19" t="s">
        <v>976</v>
      </c>
      <c r="I19" t="s">
        <v>977</v>
      </c>
      <c r="J19" t="s">
        <v>978</v>
      </c>
      <c r="K19" t="s">
        <v>979</v>
      </c>
      <c r="L19" t="s">
        <v>980</v>
      </c>
      <c r="M19" t="s">
        <v>981</v>
      </c>
      <c r="N19" t="s">
        <v>982</v>
      </c>
      <c r="O19" t="s">
        <v>983</v>
      </c>
      <c r="P19" t="s">
        <v>984</v>
      </c>
      <c r="Q19" t="s">
        <v>985</v>
      </c>
      <c r="R19" t="s">
        <v>986</v>
      </c>
      <c r="S19" t="s">
        <v>987</v>
      </c>
      <c r="T19" t="s">
        <v>988</v>
      </c>
      <c r="U19" t="s">
        <v>989</v>
      </c>
      <c r="V19" t="s">
        <v>990</v>
      </c>
      <c r="W19" t="s">
        <v>991</v>
      </c>
      <c r="X19" t="s">
        <v>992</v>
      </c>
      <c r="Y19" t="s">
        <v>993</v>
      </c>
      <c r="Z19" t="s">
        <v>994</v>
      </c>
      <c r="AA19" t="s">
        <v>995</v>
      </c>
      <c r="AB19" t="s">
        <v>996</v>
      </c>
      <c r="AC19" t="s">
        <v>997</v>
      </c>
      <c r="AD19" t="s">
        <v>998</v>
      </c>
      <c r="AE19" t="s">
        <v>999</v>
      </c>
      <c r="AF19" t="s">
        <v>1000</v>
      </c>
      <c r="AG19" t="s">
        <v>1001</v>
      </c>
      <c r="AH19" t="s">
        <v>1002</v>
      </c>
      <c r="AI19" t="s">
        <v>1003</v>
      </c>
      <c r="AJ19" t="s">
        <v>1004</v>
      </c>
      <c r="AK19" t="s">
        <v>1005</v>
      </c>
      <c r="AL19" t="s">
        <v>1006</v>
      </c>
    </row>
    <row r="20" spans="1:38">
      <c r="A20" s="1" t="s">
        <v>1007</v>
      </c>
      <c r="B20" t="s">
        <v>1008</v>
      </c>
      <c r="C20" t="s">
        <v>1009</v>
      </c>
      <c r="D20" t="s">
        <v>1010</v>
      </c>
      <c r="E20" t="s">
        <v>864</v>
      </c>
      <c r="F20" t="s">
        <v>409</v>
      </c>
      <c r="G20" t="s">
        <v>1011</v>
      </c>
      <c r="H20" t="s">
        <v>1012</v>
      </c>
      <c r="I20" t="s">
        <v>1013</v>
      </c>
      <c r="J20" t="s">
        <v>1014</v>
      </c>
      <c r="K20" t="s">
        <v>1015</v>
      </c>
      <c r="L20" t="s">
        <v>1016</v>
      </c>
      <c r="M20" t="s">
        <v>1017</v>
      </c>
      <c r="N20" t="s">
        <v>1018</v>
      </c>
      <c r="O20" t="s">
        <v>835</v>
      </c>
      <c r="P20" t="s">
        <v>1019</v>
      </c>
      <c r="Q20" t="s">
        <v>1020</v>
      </c>
      <c r="R20" t="s">
        <v>1021</v>
      </c>
      <c r="S20" t="s">
        <v>1022</v>
      </c>
      <c r="T20" t="s">
        <v>1023</v>
      </c>
      <c r="U20" t="s">
        <v>1024</v>
      </c>
      <c r="V20" t="s">
        <v>1025</v>
      </c>
      <c r="W20" t="s">
        <v>355</v>
      </c>
      <c r="X20" t="s">
        <v>356</v>
      </c>
      <c r="Y20" t="s">
        <v>357</v>
      </c>
      <c r="Z20" t="s">
        <v>358</v>
      </c>
      <c r="AA20" t="s">
        <v>359</v>
      </c>
      <c r="AB20" t="s">
        <v>360</v>
      </c>
      <c r="AC20" t="s">
        <v>361</v>
      </c>
      <c r="AD20" t="s">
        <v>362</v>
      </c>
      <c r="AE20" t="s">
        <v>363</v>
      </c>
      <c r="AF20" t="s">
        <v>364</v>
      </c>
      <c r="AG20" t="s">
        <v>365</v>
      </c>
      <c r="AH20" t="s">
        <v>366</v>
      </c>
      <c r="AI20" t="s">
        <v>367</v>
      </c>
      <c r="AJ20" t="s">
        <v>368</v>
      </c>
      <c r="AK20" t="s">
        <v>369</v>
      </c>
      <c r="AL20" t="s">
        <v>370</v>
      </c>
    </row>
    <row r="21" spans="1:38">
      <c r="A21" s="1" t="s">
        <v>1026</v>
      </c>
      <c r="B21" t="s">
        <v>1027</v>
      </c>
      <c r="C21" t="s">
        <v>1028</v>
      </c>
      <c r="D21" t="s">
        <v>1029</v>
      </c>
      <c r="E21" t="s">
        <v>1030</v>
      </c>
      <c r="F21" t="s">
        <v>1031</v>
      </c>
      <c r="G21" t="s">
        <v>1032</v>
      </c>
      <c r="H21" t="s">
        <v>1033</v>
      </c>
      <c r="I21" t="s">
        <v>1034</v>
      </c>
      <c r="J21" t="s">
        <v>1035</v>
      </c>
      <c r="K21" t="s">
        <v>1036</v>
      </c>
      <c r="L21" t="s">
        <v>1037</v>
      </c>
      <c r="M21" t="s">
        <v>1038</v>
      </c>
      <c r="N21" t="s">
        <v>1039</v>
      </c>
      <c r="O21" t="s">
        <v>1040</v>
      </c>
      <c r="P21" t="s">
        <v>1041</v>
      </c>
      <c r="Q21" t="s">
        <v>1039</v>
      </c>
      <c r="R21" t="s">
        <v>1042</v>
      </c>
      <c r="S21" t="s">
        <v>1043</v>
      </c>
      <c r="T21" t="s">
        <v>1044</v>
      </c>
      <c r="U21" t="s">
        <v>1045</v>
      </c>
      <c r="V21" t="s">
        <v>1046</v>
      </c>
      <c r="W21" t="s">
        <v>249</v>
      </c>
      <c r="X21" t="s">
        <v>250</v>
      </c>
      <c r="Y21" t="s">
        <v>251</v>
      </c>
      <c r="Z21" t="s">
        <v>252</v>
      </c>
      <c r="AA21" t="s">
        <v>253</v>
      </c>
      <c r="AB21" t="s">
        <v>254</v>
      </c>
      <c r="AC21" t="s">
        <v>255</v>
      </c>
      <c r="AD21" t="s">
        <v>256</v>
      </c>
      <c r="AE21" t="s">
        <v>257</v>
      </c>
      <c r="AF21" t="s">
        <v>258</v>
      </c>
      <c r="AG21" t="s">
        <v>259</v>
      </c>
      <c r="AH21" t="s">
        <v>260</v>
      </c>
      <c r="AI21" t="s">
        <v>261</v>
      </c>
      <c r="AJ21" t="s">
        <v>262</v>
      </c>
      <c r="AK21" t="s">
        <v>263</v>
      </c>
      <c r="AL21" t="s">
        <v>263</v>
      </c>
    </row>
    <row r="22" spans="1:38">
      <c r="A22" s="1" t="s">
        <v>1047</v>
      </c>
      <c r="B22" t="s">
        <v>1027</v>
      </c>
      <c r="C22" t="s">
        <v>1028</v>
      </c>
      <c r="D22" t="s">
        <v>1029</v>
      </c>
      <c r="E22" t="s">
        <v>1048</v>
      </c>
      <c r="F22" t="s">
        <v>1049</v>
      </c>
      <c r="G22" t="s">
        <v>1050</v>
      </c>
      <c r="H22" t="s">
        <v>1051</v>
      </c>
      <c r="I22" t="s">
        <v>1052</v>
      </c>
      <c r="J22" t="s">
        <v>1053</v>
      </c>
      <c r="K22" t="s">
        <v>1054</v>
      </c>
      <c r="L22" t="s">
        <v>1055</v>
      </c>
      <c r="M22" t="s">
        <v>1056</v>
      </c>
      <c r="N22" t="s">
        <v>1057</v>
      </c>
      <c r="O22" t="s">
        <v>1058</v>
      </c>
      <c r="P22" t="s">
        <v>1042</v>
      </c>
      <c r="Q22" t="s">
        <v>1042</v>
      </c>
      <c r="R22" t="s">
        <v>1042</v>
      </c>
      <c r="S22" t="s">
        <v>1059</v>
      </c>
      <c r="T22" t="s">
        <v>1060</v>
      </c>
      <c r="U22" t="s">
        <v>1061</v>
      </c>
      <c r="V22" t="s">
        <v>1062</v>
      </c>
      <c r="W22" t="s">
        <v>1063</v>
      </c>
      <c r="X22" t="s">
        <v>1064</v>
      </c>
      <c r="Y22" t="s">
        <v>1065</v>
      </c>
      <c r="Z22" t="s">
        <v>1066</v>
      </c>
      <c r="AA22" t="s">
        <v>1067</v>
      </c>
      <c r="AB22" t="s">
        <v>1068</v>
      </c>
      <c r="AC22" t="s">
        <v>1069</v>
      </c>
      <c r="AD22" t="s">
        <v>1070</v>
      </c>
      <c r="AE22" t="s">
        <v>1071</v>
      </c>
      <c r="AF22" t="s">
        <v>1072</v>
      </c>
      <c r="AG22" t="s">
        <v>1073</v>
      </c>
      <c r="AH22" t="s">
        <v>1074</v>
      </c>
      <c r="AI22" t="s">
        <v>1075</v>
      </c>
      <c r="AJ22" t="s">
        <v>1076</v>
      </c>
      <c r="AK22" t="s">
        <v>1077</v>
      </c>
      <c r="AL22" t="s">
        <v>1077</v>
      </c>
    </row>
    <row r="25" spans="1:38">
      <c r="A25" s="2" t="s">
        <v>1078</v>
      </c>
      <c r="C25" s="3">
        <f t="shared" ref="C25:AL25" si="0">C2/B2-1</f>
        <v>9.6786437246963564E-2</v>
      </c>
      <c r="D25" s="3">
        <f t="shared" si="0"/>
        <v>-0.11662244780251474</v>
      </c>
      <c r="E25" s="3">
        <f t="shared" si="0"/>
        <v>8.8796030295116291E-2</v>
      </c>
      <c r="F25" s="3">
        <f t="shared" si="0"/>
        <v>7.5317822019669078E-2</v>
      </c>
      <c r="G25" s="3">
        <f t="shared" si="0"/>
        <v>0.14164621904974339</v>
      </c>
      <c r="H25" s="3">
        <f t="shared" si="0"/>
        <v>0.13051973427119967</v>
      </c>
      <c r="I25" s="3">
        <f t="shared" si="0"/>
        <v>0.12979605945385408</v>
      </c>
      <c r="J25" s="3">
        <f t="shared" si="0"/>
        <v>6.7538626281168801E-2</v>
      </c>
      <c r="K25" s="3">
        <f t="shared" si="0"/>
        <v>0.15870172673210581</v>
      </c>
      <c r="L25" s="3">
        <f t="shared" si="0"/>
        <v>0.11414790996784574</v>
      </c>
      <c r="M25" s="3">
        <f t="shared" si="0"/>
        <v>2.93040293040292E-2</v>
      </c>
      <c r="N25" s="3">
        <f t="shared" si="0"/>
        <v>1.7362234444084912E-2</v>
      </c>
      <c r="O25" s="3">
        <f t="shared" si="0"/>
        <v>-2.9149883400466647E-3</v>
      </c>
      <c r="P25" s="3">
        <f t="shared" si="0"/>
        <v>5.2729495561579798E-2</v>
      </c>
      <c r="Q25" s="3">
        <f t="shared" si="0"/>
        <v>3.2971471850542722E-2</v>
      </c>
      <c r="R25" s="3">
        <f t="shared" si="0"/>
        <v>-1.7890311858441699E-2</v>
      </c>
      <c r="S25" s="3">
        <f t="shared" si="0"/>
        <v>-2.6279116066096009E-2</v>
      </c>
      <c r="T25" s="3">
        <f t="shared" si="0"/>
        <v>7.5649151502760192E-2</v>
      </c>
      <c r="U25" s="3">
        <f t="shared" si="0"/>
        <v>4.362288538300696E-2</v>
      </c>
      <c r="V25" s="3">
        <f t="shared" si="0"/>
        <v>5.1998907203351319E-2</v>
      </c>
      <c r="W25" s="3">
        <f t="shared" si="0"/>
        <v>4.259002770083109E-2</v>
      </c>
      <c r="X25" s="3">
        <f t="shared" si="0"/>
        <v>0.19798239787446037</v>
      </c>
      <c r="Y25" s="3">
        <f t="shared" si="0"/>
        <v>0.10697577710780748</v>
      </c>
      <c r="Z25" s="3">
        <f t="shared" si="0"/>
        <v>-2.9864763335837763E-2</v>
      </c>
      <c r="AA25" s="3">
        <f t="shared" si="0"/>
        <v>0.13323652791222984</v>
      </c>
      <c r="AB25" s="3">
        <f t="shared" si="0"/>
        <v>0.32526552578376378</v>
      </c>
      <c r="AC25" s="3">
        <f t="shared" si="0"/>
        <v>3.169180525117099E-2</v>
      </c>
      <c r="AD25" s="3">
        <f t="shared" si="0"/>
        <v>-2.4220588541558175E-2</v>
      </c>
      <c r="AE25" s="3">
        <f t="shared" si="0"/>
        <v>-1.8269518077432045E-2</v>
      </c>
      <c r="AF25" s="3">
        <f t="shared" si="0"/>
        <v>-3.7045088916909386E-2</v>
      </c>
      <c r="AG25" s="3">
        <f t="shared" si="0"/>
        <v>-5.4883279902469884E-2</v>
      </c>
      <c r="AH25" s="3">
        <f t="shared" si="0"/>
        <v>-0.15414566562358167</v>
      </c>
      <c r="AI25" s="3">
        <f t="shared" si="0"/>
        <v>-0.10036712792996327</v>
      </c>
      <c r="AJ25" s="3">
        <f t="shared" si="0"/>
        <v>0.16982672024108481</v>
      </c>
      <c r="AK25" s="3">
        <f t="shared" si="0"/>
        <v>-0.11409864219395693</v>
      </c>
      <c r="AL25" s="3">
        <f t="shared" si="0"/>
        <v>0.17086690494941537</v>
      </c>
    </row>
    <row r="26" spans="1:38">
      <c r="A26" s="2" t="s">
        <v>1079</v>
      </c>
      <c r="C26" s="3">
        <f t="shared" ref="C26:AL26" si="1">C20/B20-1</f>
        <v>0.29362880886426601</v>
      </c>
      <c r="D26" s="3">
        <f t="shared" si="1"/>
        <v>-1.9271948608137079E-2</v>
      </c>
      <c r="E26" s="3">
        <f t="shared" si="1"/>
        <v>0.14082969432314418</v>
      </c>
      <c r="F26" s="3">
        <f t="shared" si="1"/>
        <v>0.16172248803827749</v>
      </c>
      <c r="G26" s="3">
        <f t="shared" si="1"/>
        <v>0.13838550247116976</v>
      </c>
      <c r="H26" s="3">
        <f t="shared" si="1"/>
        <v>0.17076700434153391</v>
      </c>
      <c r="I26" s="3">
        <f t="shared" si="1"/>
        <v>2.8430160692212603E-2</v>
      </c>
      <c r="J26" s="3">
        <f t="shared" si="1"/>
        <v>0.30769230769230771</v>
      </c>
      <c r="K26" s="3">
        <f t="shared" si="1"/>
        <v>0.17371323529411775</v>
      </c>
      <c r="L26" s="3">
        <f t="shared" si="1"/>
        <v>0.1691464369616289</v>
      </c>
      <c r="M26" s="3">
        <f t="shared" si="1"/>
        <v>0.16945746818486263</v>
      </c>
      <c r="N26" s="3">
        <f t="shared" si="1"/>
        <v>0.18241695303550975</v>
      </c>
      <c r="O26" s="3">
        <f t="shared" si="1"/>
        <v>-0.144344877694357</v>
      </c>
      <c r="P26" s="3">
        <f t="shared" si="1"/>
        <v>-0.31191621851118034</v>
      </c>
      <c r="Q26" s="3">
        <f t="shared" si="1"/>
        <v>-0.10448375154257505</v>
      </c>
      <c r="R26" s="3">
        <f t="shared" si="1"/>
        <v>0.82315112540192925</v>
      </c>
      <c r="S26" s="3">
        <f t="shared" si="1"/>
        <v>-0.23154446963970776</v>
      </c>
      <c r="T26" s="3">
        <f t="shared" si="1"/>
        <v>0.42524590163934417</v>
      </c>
      <c r="U26" s="3">
        <f t="shared" si="1"/>
        <v>0.11502185415228894</v>
      </c>
      <c r="V26" s="3">
        <f t="shared" si="1"/>
        <v>5.1578295853105249E-3</v>
      </c>
      <c r="W26" s="3">
        <f t="shared" si="1"/>
        <v>4.269293924466333E-2</v>
      </c>
      <c r="X26" s="3">
        <f t="shared" si="1"/>
        <v>0.17736220472440944</v>
      </c>
      <c r="Y26" s="3">
        <f t="shared" si="1"/>
        <v>-2.9092125062698537E-2</v>
      </c>
      <c r="Z26" s="3">
        <f t="shared" si="1"/>
        <v>0.17513345961770277</v>
      </c>
      <c r="AA26" s="3">
        <f t="shared" si="1"/>
        <v>0.73050996483001174</v>
      </c>
      <c r="AB26" s="3">
        <f t="shared" si="1"/>
        <v>-0.27411296468794988</v>
      </c>
      <c r="AC26" s="3">
        <f t="shared" si="1"/>
        <v>5.2146523565095748E-2</v>
      </c>
      <c r="AD26" s="3">
        <f t="shared" si="1"/>
        <v>-4.8231511254019255E-2</v>
      </c>
      <c r="AE26" s="3">
        <f t="shared" si="1"/>
        <v>-0.17311276794035413</v>
      </c>
      <c r="AF26" s="3">
        <f t="shared" si="1"/>
        <v>3.5643843336151004E-2</v>
      </c>
      <c r="AG26" s="3">
        <f t="shared" si="1"/>
        <v>-0.11209359270847508</v>
      </c>
      <c r="AH26" s="3">
        <f t="shared" si="1"/>
        <v>-0.80879423931362038</v>
      </c>
      <c r="AI26" s="3">
        <f t="shared" si="1"/>
        <v>4.1554487179487181</v>
      </c>
      <c r="AJ26" s="3">
        <f t="shared" si="1"/>
        <v>0.38638483058750395</v>
      </c>
      <c r="AK26" s="3">
        <f t="shared" si="1"/>
        <v>-0.13150224215246642</v>
      </c>
      <c r="AL26" s="3">
        <f t="shared" si="1"/>
        <v>0.26126242416419254</v>
      </c>
    </row>
    <row r="28" spans="1:38">
      <c r="A28" t="s">
        <v>1080</v>
      </c>
      <c r="B28" s="3">
        <f t="shared" ref="B28:AL28" si="2">B4/B2</f>
        <v>0.50948886639676116</v>
      </c>
      <c r="C28" s="3">
        <f t="shared" si="2"/>
        <v>0.51170838620371439</v>
      </c>
      <c r="D28" s="3">
        <f t="shared" si="2"/>
        <v>0.5454426743275006</v>
      </c>
      <c r="E28" s="3">
        <f t="shared" si="2"/>
        <v>0.57639721755816742</v>
      </c>
      <c r="F28" s="3">
        <f t="shared" si="2"/>
        <v>0.58643765335712694</v>
      </c>
      <c r="G28" s="3">
        <f t="shared" si="2"/>
        <v>0.6126416568972255</v>
      </c>
      <c r="H28" s="3">
        <f t="shared" si="2"/>
        <v>0.6208952644313861</v>
      </c>
      <c r="I28" s="3">
        <f t="shared" si="2"/>
        <v>0.63798378461067773</v>
      </c>
      <c r="J28" s="3">
        <f t="shared" si="2"/>
        <v>0.656086551551193</v>
      </c>
      <c r="K28" s="3">
        <f t="shared" si="2"/>
        <v>0.64407618105367304</v>
      </c>
      <c r="L28" s="3">
        <f t="shared" si="2"/>
        <v>0.64002664002664</v>
      </c>
      <c r="M28" s="3">
        <f t="shared" si="2"/>
        <v>0.66251482799525507</v>
      </c>
      <c r="N28" s="3">
        <f t="shared" si="2"/>
        <v>0.71438414246343018</v>
      </c>
      <c r="O28" s="3">
        <f t="shared" si="2"/>
        <v>0.73863817572954871</v>
      </c>
      <c r="P28" s="3">
        <f t="shared" si="2"/>
        <v>0.73658167129512753</v>
      </c>
      <c r="Q28" s="3">
        <f t="shared" si="2"/>
        <v>0.69674454980936551</v>
      </c>
      <c r="R28" s="3">
        <f t="shared" si="2"/>
        <v>0.69918375472825001</v>
      </c>
      <c r="S28" s="3">
        <f t="shared" si="2"/>
        <v>0.63683295849519528</v>
      </c>
      <c r="T28" s="3">
        <f t="shared" si="2"/>
        <v>0.6311537730469492</v>
      </c>
      <c r="U28" s="3">
        <f t="shared" si="2"/>
        <v>0.65221746653310264</v>
      </c>
      <c r="V28" s="3">
        <f t="shared" si="2"/>
        <v>0.64529951523545703</v>
      </c>
      <c r="W28" s="3">
        <f t="shared" si="2"/>
        <v>0.6610760544669545</v>
      </c>
      <c r="X28" s="3">
        <f t="shared" si="2"/>
        <v>0.63939425442700215</v>
      </c>
      <c r="Y28" s="3">
        <f t="shared" si="2"/>
        <v>0.64393939393939392</v>
      </c>
      <c r="Z28" s="3">
        <f t="shared" si="2"/>
        <v>0.6422071636011617</v>
      </c>
      <c r="AA28" s="3">
        <f t="shared" si="2"/>
        <v>0.63857171331757734</v>
      </c>
      <c r="AB28" s="3">
        <f t="shared" si="2"/>
        <v>0.60861157664045373</v>
      </c>
      <c r="AC28" s="3">
        <f t="shared" si="2"/>
        <v>0.60320303225940808</v>
      </c>
      <c r="AD28" s="3">
        <f t="shared" si="2"/>
        <v>0.60684253212105688</v>
      </c>
      <c r="AE28" s="3">
        <f t="shared" si="2"/>
        <v>0.61109178659941732</v>
      </c>
      <c r="AF28" s="3">
        <f t="shared" si="2"/>
        <v>0.60531900483135415</v>
      </c>
      <c r="AG28" s="3">
        <f t="shared" si="2"/>
        <v>0.60669326135250701</v>
      </c>
      <c r="AH28" s="3">
        <f t="shared" si="2"/>
        <v>0.62564247387743577</v>
      </c>
      <c r="AI28" s="3">
        <f t="shared" si="2"/>
        <v>0.63052486187845302</v>
      </c>
      <c r="AJ28" s="3">
        <f t="shared" si="2"/>
        <v>0.60771212365158589</v>
      </c>
      <c r="AK28" s="3">
        <f t="shared" si="2"/>
        <v>0.59311201308535777</v>
      </c>
      <c r="AL28" s="3">
        <f t="shared" si="2"/>
        <v>0.60271633682576642</v>
      </c>
    </row>
    <row r="29" spans="1:38">
      <c r="A29" t="s">
        <v>1081</v>
      </c>
      <c r="B29" s="3">
        <f>B16/B2</f>
        <v>0.13221153846153846</v>
      </c>
      <c r="C29" s="3">
        <f t="shared" ref="C29:AL29" si="3">C16/C2</f>
        <v>0.13207982466259083</v>
      </c>
      <c r="D29" s="3">
        <f t="shared" si="3"/>
        <v>0.17759206059023244</v>
      </c>
      <c r="E29" s="3">
        <f t="shared" si="3"/>
        <v>0.19165267450227871</v>
      </c>
      <c r="F29" s="3">
        <f t="shared" si="3"/>
        <v>0.1925050189605175</v>
      </c>
      <c r="G29" s="3">
        <f t="shared" si="3"/>
        <v>0.19069949198905822</v>
      </c>
      <c r="H29" s="3">
        <f t="shared" si="3"/>
        <v>0.20039751123401314</v>
      </c>
      <c r="I29" s="3">
        <f t="shared" si="3"/>
        <v>0.2118708887869053</v>
      </c>
      <c r="J29" s="3">
        <f t="shared" si="3"/>
        <v>0.22225406606004156</v>
      </c>
      <c r="K29" s="3">
        <f t="shared" si="3"/>
        <v>0.2292851842691071</v>
      </c>
      <c r="L29" s="3">
        <f t="shared" si="3"/>
        <v>0.2271062271062271</v>
      </c>
      <c r="M29" s="3">
        <f t="shared" si="3"/>
        <v>0.21109673244904562</v>
      </c>
      <c r="N29" s="3">
        <f t="shared" si="3"/>
        <v>0.26505193979224084</v>
      </c>
      <c r="O29" s="3">
        <f t="shared" si="3"/>
        <v>0.26401956094190188</v>
      </c>
      <c r="P29" s="3">
        <f t="shared" si="3"/>
        <v>0.2010603382984095</v>
      </c>
      <c r="Q29" s="3">
        <f t="shared" si="3"/>
        <v>0.18041841822270016</v>
      </c>
      <c r="R29" s="3">
        <f t="shared" si="3"/>
        <v>0.26637467648815449</v>
      </c>
      <c r="S29" s="3">
        <f t="shared" si="3"/>
        <v>0.27898180331220607</v>
      </c>
      <c r="T29" s="3">
        <f t="shared" si="3"/>
        <v>0.24809922068047899</v>
      </c>
      <c r="U29" s="3">
        <f t="shared" si="3"/>
        <v>0.25944813769237773</v>
      </c>
      <c r="V29" s="3">
        <f t="shared" si="3"/>
        <v>0.26337430747922436</v>
      </c>
      <c r="W29" s="3">
        <f t="shared" si="3"/>
        <v>0.26187313184988376</v>
      </c>
      <c r="X29" s="3">
        <f t="shared" si="3"/>
        <v>0.25130817479294454</v>
      </c>
      <c r="Y29" s="3">
        <f t="shared" si="3"/>
        <v>0.26440020035061357</v>
      </c>
      <c r="Z29" s="3">
        <f t="shared" si="3"/>
        <v>0.26560180703452729</v>
      </c>
      <c r="AA29" s="3">
        <f t="shared" si="3"/>
        <v>0.24058202112816424</v>
      </c>
      <c r="AB29" s="3">
        <f t="shared" si="3"/>
        <v>0.21816853594602725</v>
      </c>
      <c r="AC29" s="3">
        <f t="shared" si="3"/>
        <v>0.22448299560572296</v>
      </c>
      <c r="AD29" s="3">
        <f t="shared" si="3"/>
        <v>0.21829512955137234</v>
      </c>
      <c r="AE29" s="3">
        <f t="shared" si="3"/>
        <v>0.21105265446323754</v>
      </c>
      <c r="AF29" s="3">
        <f t="shared" si="3"/>
        <v>0.19704700410890866</v>
      </c>
      <c r="AG29" s="3">
        <f t="shared" si="3"/>
        <v>0.20605307789694957</v>
      </c>
      <c r="AH29" s="3">
        <f t="shared" si="3"/>
        <v>0.21183281558881673</v>
      </c>
      <c r="AI29" s="3">
        <f t="shared" si="3"/>
        <v>0.27310396785534907</v>
      </c>
      <c r="AJ29" s="3">
        <f t="shared" si="3"/>
        <v>0.27064884881661566</v>
      </c>
      <c r="AK29" s="3">
        <f t="shared" si="3"/>
        <v>0.27252074877324772</v>
      </c>
      <c r="AL29" s="3">
        <f t="shared" si="3"/>
        <v>0.26666666666666666</v>
      </c>
    </row>
    <row r="30" spans="1:38">
      <c r="A30" t="s">
        <v>1082</v>
      </c>
      <c r="B30" s="3">
        <f t="shared" ref="B30:AL30" si="4">B20/B4</f>
        <v>0.17928979389123417</v>
      </c>
      <c r="C30" s="3">
        <f t="shared" si="4"/>
        <v>0.21055004508566275</v>
      </c>
      <c r="D30" s="3">
        <f t="shared" si="4"/>
        <v>0.21929614555901364</v>
      </c>
      <c r="E30" s="3">
        <f t="shared" si="4"/>
        <v>0.21743653766125676</v>
      </c>
      <c r="F30" s="3">
        <f t="shared" si="4"/>
        <v>0.23088626854317232</v>
      </c>
      <c r="G30" s="3">
        <f t="shared" si="4"/>
        <v>0.22037952479668316</v>
      </c>
      <c r="H30" s="3">
        <f t="shared" si="4"/>
        <v>0.22519137091162145</v>
      </c>
      <c r="I30" s="3">
        <f t="shared" si="4"/>
        <v>0.19949646325380649</v>
      </c>
      <c r="J30" s="3">
        <f t="shared" si="4"/>
        <v>0.23763241236212734</v>
      </c>
      <c r="K30" s="3">
        <f t="shared" si="4"/>
        <v>0.24519969278033793</v>
      </c>
      <c r="L30" s="3">
        <f t="shared" si="4"/>
        <v>0.2589316684009712</v>
      </c>
      <c r="M30" s="3">
        <f t="shared" si="4"/>
        <v>0.28420281598437375</v>
      </c>
      <c r="N30" s="3">
        <f t="shared" si="4"/>
        <v>0.30632836263817792</v>
      </c>
      <c r="O30" s="3">
        <f t="shared" si="4"/>
        <v>0.25424582613701785</v>
      </c>
      <c r="P30" s="3">
        <f t="shared" si="4"/>
        <v>0.16664381683575541</v>
      </c>
      <c r="Q30" s="3">
        <f t="shared" si="4"/>
        <v>0.15272905850989196</v>
      </c>
      <c r="R30" s="3">
        <f t="shared" si="4"/>
        <v>0.28253132118451024</v>
      </c>
      <c r="S30" s="3">
        <f t="shared" si="4"/>
        <v>0.24480295368809696</v>
      </c>
      <c r="T30" s="3">
        <f t="shared" si="4"/>
        <v>0.32728504743261555</v>
      </c>
      <c r="U30" s="3">
        <f t="shared" si="4"/>
        <v>0.33838313320301594</v>
      </c>
      <c r="V30" s="3">
        <f t="shared" si="4"/>
        <v>0.32678248038097796</v>
      </c>
      <c r="W30" s="3">
        <f t="shared" si="4"/>
        <v>0.31901532278322031</v>
      </c>
      <c r="X30" s="3">
        <f t="shared" si="4"/>
        <v>0.3241558723104439</v>
      </c>
      <c r="Y30" s="3">
        <f t="shared" si="4"/>
        <v>0.2823043266893534</v>
      </c>
      <c r="Z30" s="3">
        <f t="shared" si="4"/>
        <v>0.34288011255150236</v>
      </c>
      <c r="AA30" s="3">
        <f t="shared" si="4"/>
        <v>0.5265762953714439</v>
      </c>
      <c r="AB30" s="3">
        <f t="shared" si="4"/>
        <v>0.30261950151803996</v>
      </c>
      <c r="AC30" s="3">
        <f t="shared" si="4"/>
        <v>0.31138654881922384</v>
      </c>
      <c r="AD30" s="3">
        <f t="shared" si="4"/>
        <v>0.30190271867196566</v>
      </c>
      <c r="AE30" s="3">
        <f t="shared" si="4"/>
        <v>0.25251698744174461</v>
      </c>
      <c r="AF30" s="3">
        <f t="shared" si="4"/>
        <v>0.2741682828584216</v>
      </c>
      <c r="AG30" s="3">
        <f t="shared" si="4"/>
        <v>0.25698873927080873</v>
      </c>
      <c r="AH30" s="3">
        <f t="shared" si="4"/>
        <v>5.6332942132346304E-2</v>
      </c>
      <c r="AI30" s="3">
        <f t="shared" si="4"/>
        <v>0.32032261276511004</v>
      </c>
      <c r="AJ30" s="3">
        <f t="shared" si="4"/>
        <v>0.39387115291208546</v>
      </c>
      <c r="AK30" s="3">
        <f t="shared" si="4"/>
        <v>0.39563862928348908</v>
      </c>
      <c r="AL30" s="3">
        <f t="shared" si="4"/>
        <v>0.41939222250836983</v>
      </c>
    </row>
    <row r="32" spans="1:38">
      <c r="A32" t="s">
        <v>1083</v>
      </c>
      <c r="B32" s="4">
        <f t="shared" ref="B32:AL32" si="5">B20/B21</f>
        <v>0.11995348064462535</v>
      </c>
      <c r="C32" s="4">
        <f t="shared" si="5"/>
        <v>0.15494359654943596</v>
      </c>
      <c r="D32" s="4">
        <f t="shared" si="5"/>
        <v>0.15499153976311336</v>
      </c>
      <c r="E32" s="4">
        <f t="shared" si="5"/>
        <v>0.18117198335644938</v>
      </c>
      <c r="F32" s="4">
        <f t="shared" si="5"/>
        <v>0.27985246657445828</v>
      </c>
      <c r="G32" s="4">
        <f t="shared" si="5"/>
        <v>0.25841436050860134</v>
      </c>
      <c r="H32" s="4">
        <f t="shared" si="5"/>
        <v>0.30511031491608526</v>
      </c>
      <c r="I32" s="4">
        <f t="shared" si="5"/>
        <v>0.31491294473883424</v>
      </c>
      <c r="J32" s="4">
        <f t="shared" si="5"/>
        <v>0.41999613974136268</v>
      </c>
      <c r="K32" s="4">
        <f t="shared" si="5"/>
        <v>0.49496124031007754</v>
      </c>
      <c r="L32" s="4">
        <f t="shared" si="5"/>
        <v>0.59152139461172737</v>
      </c>
      <c r="M32" s="4">
        <f t="shared" si="5"/>
        <v>0.70008019246190856</v>
      </c>
      <c r="N32" s="4">
        <f t="shared" si="5"/>
        <v>0.83346790472345578</v>
      </c>
      <c r="O32" s="4">
        <f t="shared" si="5"/>
        <v>0.7160518848804216</v>
      </c>
      <c r="P32" s="4">
        <f t="shared" si="5"/>
        <v>0.49230457675172135</v>
      </c>
      <c r="Q32" s="4">
        <f t="shared" si="5"/>
        <v>0.43944287444489299</v>
      </c>
      <c r="R32" s="4">
        <f t="shared" si="5"/>
        <v>0.79794933655006028</v>
      </c>
      <c r="S32" s="4">
        <f t="shared" si="5"/>
        <v>0.61541565778853913</v>
      </c>
      <c r="T32" s="4">
        <f t="shared" si="5"/>
        <v>0.88389589263928425</v>
      </c>
      <c r="U32" s="4">
        <f t="shared" si="5"/>
        <v>0.99896949711459193</v>
      </c>
      <c r="V32" s="4">
        <f t="shared" si="5"/>
        <v>1.0183946488294315</v>
      </c>
      <c r="W32" s="4">
        <f t="shared" si="5"/>
        <v>1.081771720613288</v>
      </c>
      <c r="X32" s="4">
        <f t="shared" si="5"/>
        <v>1.2929096411586685</v>
      </c>
      <c r="Y32" s="4">
        <f t="shared" si="5"/>
        <v>1.2536701208981003</v>
      </c>
      <c r="Z32" s="4">
        <f t="shared" si="5"/>
        <v>1.4745030250648228</v>
      </c>
      <c r="AA32" s="4">
        <f t="shared" si="5"/>
        <v>2.5582755632582321</v>
      </c>
      <c r="AB32" s="4">
        <f t="shared" si="5"/>
        <v>1.8939460892620414</v>
      </c>
      <c r="AC32" s="4">
        <f t="shared" si="5"/>
        <v>2.0024422735346357</v>
      </c>
      <c r="AD32" s="4">
        <f t="shared" si="5"/>
        <v>1.9359494812810103</v>
      </c>
      <c r="AE32" s="4">
        <f t="shared" si="5"/>
        <v>1.6179621609300205</v>
      </c>
      <c r="AF32" s="4">
        <f t="shared" si="5"/>
        <v>1.689108455882353</v>
      </c>
      <c r="AG32" s="4">
        <f t="shared" si="5"/>
        <v>1.5119295807273569</v>
      </c>
      <c r="AH32" s="4">
        <f t="shared" si="5"/>
        <v>0.29213483146067415</v>
      </c>
      <c r="AI32" s="4">
        <f t="shared" si="5"/>
        <v>1.5106832589809815</v>
      </c>
      <c r="AJ32" s="4">
        <f t="shared" si="5"/>
        <v>2.0860617399438728</v>
      </c>
      <c r="AK32" s="4">
        <f t="shared" si="5"/>
        <v>1.8037252619324797</v>
      </c>
      <c r="AL32" s="4">
        <f t="shared" si="5"/>
        <v>2.2749708963911526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43"/>
  <sheetViews>
    <sheetView workbookViewId="0">
      <pane xSplit="1" ySplit="1" topLeftCell="R5" activePane="bottomRight" state="frozen"/>
      <selection pane="bottomRight" activeCell="A10" sqref="A10"/>
      <selection pane="bottomLeft" activeCell="A2" sqref="A2"/>
      <selection pane="topRight" activeCell="B1" sqref="B1"/>
    </sheetView>
  </sheetViews>
  <sheetFormatPr defaultRowHeight="14.45"/>
  <cols>
    <col min="1" max="1" width="33.5703125" customWidth="1"/>
  </cols>
  <sheetData>
    <row r="1" spans="1:38">
      <c r="B1" s="1" t="s">
        <v>531</v>
      </c>
      <c r="C1" s="1" t="s">
        <v>532</v>
      </c>
      <c r="D1" s="1" t="s">
        <v>533</v>
      </c>
      <c r="E1" s="1" t="s">
        <v>534</v>
      </c>
      <c r="F1" s="1" t="s">
        <v>535</v>
      </c>
      <c r="G1" s="1" t="s">
        <v>536</v>
      </c>
      <c r="H1" s="1" t="s">
        <v>537</v>
      </c>
      <c r="I1" s="1" t="s">
        <v>538</v>
      </c>
      <c r="J1" s="1" t="s">
        <v>539</v>
      </c>
      <c r="K1" s="1" t="s">
        <v>540</v>
      </c>
      <c r="L1" s="1" t="s">
        <v>541</v>
      </c>
      <c r="M1" s="1" t="s">
        <v>542</v>
      </c>
      <c r="N1" s="1" t="s">
        <v>543</v>
      </c>
      <c r="O1" s="1" t="s">
        <v>544</v>
      </c>
      <c r="P1" s="1" t="s">
        <v>545</v>
      </c>
      <c r="Q1" s="1" t="s">
        <v>546</v>
      </c>
      <c r="R1" s="1" t="s">
        <v>547</v>
      </c>
      <c r="S1" s="1" t="s">
        <v>548</v>
      </c>
      <c r="T1" s="1" t="s">
        <v>549</v>
      </c>
      <c r="U1" s="1" t="s">
        <v>550</v>
      </c>
      <c r="V1" s="1" t="s">
        <v>551</v>
      </c>
      <c r="W1" s="1" t="s">
        <v>133</v>
      </c>
      <c r="X1" s="1" t="s">
        <v>134</v>
      </c>
      <c r="Y1" s="1" t="s">
        <v>135</v>
      </c>
      <c r="Z1" s="1" t="s">
        <v>136</v>
      </c>
      <c r="AA1" s="1" t="s">
        <v>137</v>
      </c>
      <c r="AB1" s="1" t="s">
        <v>138</v>
      </c>
      <c r="AC1" s="1" t="s">
        <v>139</v>
      </c>
      <c r="AD1" s="1" t="s">
        <v>140</v>
      </c>
      <c r="AE1" s="1" t="s">
        <v>141</v>
      </c>
      <c r="AF1" s="1" t="s">
        <v>142</v>
      </c>
      <c r="AG1" s="1" t="s">
        <v>143</v>
      </c>
      <c r="AH1" s="1" t="s">
        <v>144</v>
      </c>
      <c r="AI1" s="1" t="s">
        <v>145</v>
      </c>
      <c r="AJ1" s="1" t="s">
        <v>146</v>
      </c>
      <c r="AK1" s="1" t="s">
        <v>147</v>
      </c>
      <c r="AL1" s="1" t="s">
        <v>148</v>
      </c>
    </row>
    <row r="2" spans="1:38">
      <c r="A2" s="1" t="s">
        <v>1084</v>
      </c>
      <c r="B2" t="s">
        <v>684</v>
      </c>
      <c r="C2" t="s">
        <v>684</v>
      </c>
      <c r="D2" t="s">
        <v>684</v>
      </c>
      <c r="E2" t="s">
        <v>684</v>
      </c>
      <c r="F2" t="s">
        <v>684</v>
      </c>
      <c r="G2" t="s">
        <v>684</v>
      </c>
      <c r="H2" t="s">
        <v>684</v>
      </c>
      <c r="I2" t="s">
        <v>684</v>
      </c>
      <c r="J2" t="s">
        <v>684</v>
      </c>
      <c r="K2" t="s">
        <v>1085</v>
      </c>
      <c r="L2" t="s">
        <v>1086</v>
      </c>
      <c r="M2" t="s">
        <v>1087</v>
      </c>
      <c r="N2" t="s">
        <v>1088</v>
      </c>
      <c r="O2" t="s">
        <v>1089</v>
      </c>
      <c r="P2" t="s">
        <v>1090</v>
      </c>
      <c r="Q2" t="s">
        <v>1091</v>
      </c>
      <c r="R2" t="s">
        <v>1092</v>
      </c>
      <c r="S2" t="s">
        <v>1093</v>
      </c>
      <c r="T2" t="s">
        <v>1094</v>
      </c>
      <c r="U2" t="s">
        <v>1095</v>
      </c>
      <c r="V2" t="s">
        <v>1096</v>
      </c>
      <c r="W2" t="s">
        <v>1097</v>
      </c>
      <c r="X2" t="s">
        <v>1098</v>
      </c>
      <c r="Y2" t="s">
        <v>1096</v>
      </c>
      <c r="Z2" t="s">
        <v>1099</v>
      </c>
      <c r="AA2" t="s">
        <v>1100</v>
      </c>
      <c r="AB2" t="s">
        <v>1101</v>
      </c>
      <c r="AC2" t="s">
        <v>1102</v>
      </c>
      <c r="AD2" t="s">
        <v>1103</v>
      </c>
      <c r="AE2" t="s">
        <v>1104</v>
      </c>
      <c r="AF2" t="s">
        <v>1105</v>
      </c>
      <c r="AG2" t="s">
        <v>1106</v>
      </c>
      <c r="AH2" t="s">
        <v>1107</v>
      </c>
      <c r="AI2" t="s">
        <v>1108</v>
      </c>
      <c r="AJ2" t="s">
        <v>1109</v>
      </c>
      <c r="AK2" t="s">
        <v>1110</v>
      </c>
      <c r="AL2" t="s">
        <v>1111</v>
      </c>
    </row>
    <row r="3" spans="1:38">
      <c r="A3" s="1" t="s">
        <v>1112</v>
      </c>
      <c r="B3" t="s">
        <v>684</v>
      </c>
      <c r="C3" t="s">
        <v>684</v>
      </c>
      <c r="D3" t="s">
        <v>684</v>
      </c>
      <c r="E3" t="s">
        <v>684</v>
      </c>
      <c r="F3" t="s">
        <v>684</v>
      </c>
      <c r="G3" t="s">
        <v>684</v>
      </c>
      <c r="H3" t="s">
        <v>684</v>
      </c>
      <c r="I3" t="s">
        <v>684</v>
      </c>
      <c r="J3" t="s">
        <v>684</v>
      </c>
      <c r="K3" t="s">
        <v>684</v>
      </c>
      <c r="L3" t="s">
        <v>684</v>
      </c>
      <c r="M3" t="s">
        <v>684</v>
      </c>
      <c r="N3" t="s">
        <v>684</v>
      </c>
      <c r="O3" t="s">
        <v>1113</v>
      </c>
      <c r="P3" t="s">
        <v>1114</v>
      </c>
      <c r="Q3" t="s">
        <v>1115</v>
      </c>
      <c r="R3" t="s">
        <v>1116</v>
      </c>
      <c r="S3" t="s">
        <v>1117</v>
      </c>
      <c r="T3" t="s">
        <v>1118</v>
      </c>
      <c r="U3" t="s">
        <v>1119</v>
      </c>
      <c r="V3" t="s">
        <v>1120</v>
      </c>
      <c r="W3" t="s">
        <v>1121</v>
      </c>
      <c r="X3" t="s">
        <v>1122</v>
      </c>
      <c r="Y3" t="s">
        <v>1123</v>
      </c>
      <c r="Z3" t="s">
        <v>1124</v>
      </c>
      <c r="AA3" t="s">
        <v>1125</v>
      </c>
      <c r="AB3" t="s">
        <v>1126</v>
      </c>
      <c r="AC3" t="s">
        <v>1127</v>
      </c>
      <c r="AD3" t="s">
        <v>1128</v>
      </c>
      <c r="AE3" t="s">
        <v>1129</v>
      </c>
      <c r="AF3" t="s">
        <v>1130</v>
      </c>
      <c r="AG3" t="s">
        <v>1131</v>
      </c>
      <c r="AH3" t="s">
        <v>1132</v>
      </c>
      <c r="AI3" t="s">
        <v>1133</v>
      </c>
      <c r="AJ3" t="s">
        <v>1134</v>
      </c>
      <c r="AK3" t="s">
        <v>1135</v>
      </c>
      <c r="AL3" t="s">
        <v>1136</v>
      </c>
    </row>
    <row r="4" spans="1:38">
      <c r="A4" s="1" t="s">
        <v>1137</v>
      </c>
      <c r="B4" t="s">
        <v>684</v>
      </c>
      <c r="C4" t="s">
        <v>684</v>
      </c>
      <c r="D4" t="s">
        <v>684</v>
      </c>
      <c r="E4" t="s">
        <v>684</v>
      </c>
      <c r="F4" t="s">
        <v>684</v>
      </c>
      <c r="G4" t="s">
        <v>684</v>
      </c>
      <c r="H4" t="s">
        <v>684</v>
      </c>
      <c r="I4" t="s">
        <v>684</v>
      </c>
      <c r="J4" t="s">
        <v>684</v>
      </c>
      <c r="K4" t="s">
        <v>1085</v>
      </c>
      <c r="L4" t="s">
        <v>1086</v>
      </c>
      <c r="M4" t="s">
        <v>1087</v>
      </c>
      <c r="N4" t="s">
        <v>1088</v>
      </c>
      <c r="O4" t="s">
        <v>1138</v>
      </c>
      <c r="P4" t="s">
        <v>1139</v>
      </c>
      <c r="Q4" t="s">
        <v>992</v>
      </c>
      <c r="R4" t="s">
        <v>1140</v>
      </c>
      <c r="S4" t="s">
        <v>1141</v>
      </c>
      <c r="T4" t="s">
        <v>1142</v>
      </c>
      <c r="U4" t="s">
        <v>1143</v>
      </c>
      <c r="V4" t="s">
        <v>1144</v>
      </c>
      <c r="W4" t="s">
        <v>1145</v>
      </c>
      <c r="X4" t="s">
        <v>1146</v>
      </c>
      <c r="Y4" t="s">
        <v>1147</v>
      </c>
      <c r="Z4" t="s">
        <v>1148</v>
      </c>
      <c r="AA4" t="s">
        <v>1149</v>
      </c>
      <c r="AB4" t="s">
        <v>1150</v>
      </c>
      <c r="AC4" t="s">
        <v>1151</v>
      </c>
      <c r="AD4" t="s">
        <v>1152</v>
      </c>
      <c r="AE4" t="s">
        <v>1153</v>
      </c>
      <c r="AF4" t="s">
        <v>1154</v>
      </c>
      <c r="AG4" t="s">
        <v>1155</v>
      </c>
      <c r="AH4" t="s">
        <v>1156</v>
      </c>
      <c r="AI4" t="s">
        <v>1157</v>
      </c>
      <c r="AJ4" t="s">
        <v>1158</v>
      </c>
      <c r="AK4" t="s">
        <v>1159</v>
      </c>
      <c r="AL4" t="s">
        <v>1160</v>
      </c>
    </row>
    <row r="5" spans="1:38">
      <c r="A5" s="1" t="s">
        <v>1161</v>
      </c>
      <c r="B5" t="s">
        <v>684</v>
      </c>
      <c r="C5" t="s">
        <v>684</v>
      </c>
      <c r="D5" t="s">
        <v>684</v>
      </c>
      <c r="E5" t="s">
        <v>684</v>
      </c>
      <c r="F5" t="s">
        <v>684</v>
      </c>
      <c r="G5" t="s">
        <v>684</v>
      </c>
      <c r="H5" t="s">
        <v>684</v>
      </c>
      <c r="I5" t="s">
        <v>684</v>
      </c>
      <c r="J5" t="s">
        <v>684</v>
      </c>
      <c r="K5" t="s">
        <v>1162</v>
      </c>
      <c r="L5" t="s">
        <v>1163</v>
      </c>
      <c r="M5" t="s">
        <v>1164</v>
      </c>
      <c r="N5" t="s">
        <v>1165</v>
      </c>
      <c r="O5" t="s">
        <v>1166</v>
      </c>
      <c r="P5" t="s">
        <v>1167</v>
      </c>
      <c r="Q5" t="s">
        <v>1168</v>
      </c>
      <c r="R5" t="s">
        <v>1169</v>
      </c>
      <c r="S5" t="s">
        <v>1170</v>
      </c>
      <c r="T5" t="s">
        <v>1171</v>
      </c>
      <c r="U5" t="s">
        <v>1172</v>
      </c>
      <c r="V5" t="s">
        <v>1173</v>
      </c>
      <c r="W5" t="s">
        <v>1174</v>
      </c>
      <c r="X5" t="s">
        <v>1175</v>
      </c>
      <c r="Y5" t="s">
        <v>1176</v>
      </c>
      <c r="Z5" t="s">
        <v>1177</v>
      </c>
      <c r="AA5" t="s">
        <v>1178</v>
      </c>
      <c r="AB5" t="s">
        <v>1179</v>
      </c>
      <c r="AC5" t="s">
        <v>1180</v>
      </c>
      <c r="AD5" t="s">
        <v>1181</v>
      </c>
      <c r="AE5" t="s">
        <v>1182</v>
      </c>
      <c r="AF5" t="s">
        <v>1183</v>
      </c>
      <c r="AG5" t="s">
        <v>1184</v>
      </c>
      <c r="AH5" t="s">
        <v>1185</v>
      </c>
      <c r="AI5" t="s">
        <v>1186</v>
      </c>
      <c r="AJ5" t="s">
        <v>1187</v>
      </c>
      <c r="AK5" t="s">
        <v>1188</v>
      </c>
      <c r="AL5" t="s">
        <v>1189</v>
      </c>
    </row>
    <row r="6" spans="1:38">
      <c r="A6" s="1" t="s">
        <v>1190</v>
      </c>
      <c r="B6" t="s">
        <v>684</v>
      </c>
      <c r="C6" t="s">
        <v>684</v>
      </c>
      <c r="D6" t="s">
        <v>684</v>
      </c>
      <c r="E6" t="s">
        <v>684</v>
      </c>
      <c r="F6" t="s">
        <v>684</v>
      </c>
      <c r="G6" t="s">
        <v>684</v>
      </c>
      <c r="H6" t="s">
        <v>684</v>
      </c>
      <c r="I6" t="s">
        <v>684</v>
      </c>
      <c r="J6" t="s">
        <v>684</v>
      </c>
      <c r="K6" t="s">
        <v>1191</v>
      </c>
      <c r="L6" t="s">
        <v>1192</v>
      </c>
      <c r="M6" t="s">
        <v>1193</v>
      </c>
      <c r="N6" t="s">
        <v>1194</v>
      </c>
      <c r="O6" t="s">
        <v>1195</v>
      </c>
      <c r="P6" t="s">
        <v>1196</v>
      </c>
      <c r="Q6" t="s">
        <v>1197</v>
      </c>
      <c r="R6" t="s">
        <v>1198</v>
      </c>
      <c r="S6" t="s">
        <v>1199</v>
      </c>
      <c r="T6" t="s">
        <v>1200</v>
      </c>
      <c r="U6" t="s">
        <v>1201</v>
      </c>
      <c r="V6" t="s">
        <v>1202</v>
      </c>
      <c r="W6" t="s">
        <v>1164</v>
      </c>
      <c r="X6" t="s">
        <v>1203</v>
      </c>
      <c r="Y6" t="s">
        <v>1204</v>
      </c>
      <c r="Z6" t="s">
        <v>1205</v>
      </c>
      <c r="AA6" t="s">
        <v>1206</v>
      </c>
      <c r="AB6" t="s">
        <v>1207</v>
      </c>
      <c r="AC6" t="s">
        <v>1208</v>
      </c>
      <c r="AD6" t="s">
        <v>423</v>
      </c>
      <c r="AE6" t="s">
        <v>1209</v>
      </c>
      <c r="AF6" t="s">
        <v>1210</v>
      </c>
      <c r="AG6" t="s">
        <v>1211</v>
      </c>
      <c r="AH6" t="s">
        <v>1212</v>
      </c>
      <c r="AI6" t="s">
        <v>1213</v>
      </c>
      <c r="AJ6" t="s">
        <v>1214</v>
      </c>
      <c r="AK6" t="s">
        <v>1215</v>
      </c>
      <c r="AL6" t="s">
        <v>1216</v>
      </c>
    </row>
    <row r="7" spans="1:38">
      <c r="A7" s="1" t="s">
        <v>1217</v>
      </c>
      <c r="B7" t="s">
        <v>684</v>
      </c>
      <c r="C7" t="s">
        <v>684</v>
      </c>
      <c r="D7" t="s">
        <v>684</v>
      </c>
      <c r="E7" t="s">
        <v>684</v>
      </c>
      <c r="F7" t="s">
        <v>684</v>
      </c>
      <c r="G7" t="s">
        <v>684</v>
      </c>
      <c r="H7" t="s">
        <v>684</v>
      </c>
      <c r="I7" t="s">
        <v>684</v>
      </c>
      <c r="J7" t="s">
        <v>684</v>
      </c>
      <c r="K7" t="s">
        <v>1218</v>
      </c>
      <c r="L7" t="s">
        <v>1219</v>
      </c>
      <c r="M7" t="s">
        <v>1220</v>
      </c>
      <c r="N7" t="s">
        <v>1221</v>
      </c>
      <c r="O7" t="s">
        <v>1222</v>
      </c>
      <c r="P7" t="s">
        <v>1223</v>
      </c>
      <c r="Q7" t="s">
        <v>1224</v>
      </c>
      <c r="R7" t="s">
        <v>1225</v>
      </c>
      <c r="S7" t="s">
        <v>1226</v>
      </c>
      <c r="T7" t="s">
        <v>1227</v>
      </c>
      <c r="U7" t="s">
        <v>1228</v>
      </c>
      <c r="V7" t="s">
        <v>1229</v>
      </c>
      <c r="W7" t="s">
        <v>1003</v>
      </c>
      <c r="X7" t="s">
        <v>1230</v>
      </c>
      <c r="Y7" t="s">
        <v>1231</v>
      </c>
      <c r="Z7" t="s">
        <v>1232</v>
      </c>
      <c r="AA7" t="s">
        <v>1233</v>
      </c>
      <c r="AB7" t="s">
        <v>1234</v>
      </c>
      <c r="AC7" t="s">
        <v>1235</v>
      </c>
      <c r="AD7" t="s">
        <v>1236</v>
      </c>
      <c r="AE7" t="s">
        <v>1237</v>
      </c>
      <c r="AF7" t="s">
        <v>1238</v>
      </c>
      <c r="AG7" t="s">
        <v>1239</v>
      </c>
      <c r="AH7" t="s">
        <v>1240</v>
      </c>
      <c r="AI7" t="s">
        <v>1241</v>
      </c>
      <c r="AJ7" t="s">
        <v>1242</v>
      </c>
      <c r="AK7" t="s">
        <v>1243</v>
      </c>
      <c r="AL7" t="s">
        <v>1244</v>
      </c>
    </row>
    <row r="8" spans="1:38">
      <c r="A8" s="1" t="s">
        <v>93</v>
      </c>
      <c r="B8" t="s">
        <v>684</v>
      </c>
      <c r="C8" t="s">
        <v>684</v>
      </c>
      <c r="D8" t="s">
        <v>684</v>
      </c>
      <c r="E8" t="s">
        <v>684</v>
      </c>
      <c r="F8" t="s">
        <v>684</v>
      </c>
      <c r="G8" t="s">
        <v>684</v>
      </c>
      <c r="H8" t="s">
        <v>684</v>
      </c>
      <c r="I8" t="s">
        <v>684</v>
      </c>
      <c r="J8" t="s">
        <v>684</v>
      </c>
      <c r="K8" t="s">
        <v>1245</v>
      </c>
      <c r="L8" t="s">
        <v>1246</v>
      </c>
      <c r="M8" t="s">
        <v>1029</v>
      </c>
      <c r="N8" t="s">
        <v>1247</v>
      </c>
      <c r="O8" t="s">
        <v>1248</v>
      </c>
      <c r="P8" t="s">
        <v>1109</v>
      </c>
      <c r="Q8" t="s">
        <v>1249</v>
      </c>
      <c r="R8" t="s">
        <v>1250</v>
      </c>
      <c r="S8" t="s">
        <v>1251</v>
      </c>
      <c r="T8" t="s">
        <v>1252</v>
      </c>
      <c r="U8" t="s">
        <v>1253</v>
      </c>
      <c r="V8" t="s">
        <v>1254</v>
      </c>
      <c r="W8" t="s">
        <v>1255</v>
      </c>
      <c r="X8" t="s">
        <v>1256</v>
      </c>
      <c r="Y8" t="s">
        <v>1257</v>
      </c>
      <c r="Z8" t="s">
        <v>1258</v>
      </c>
      <c r="AA8" t="s">
        <v>1259</v>
      </c>
      <c r="AB8" t="s">
        <v>1260</v>
      </c>
      <c r="AC8" t="s">
        <v>1261</v>
      </c>
      <c r="AD8" t="s">
        <v>1262</v>
      </c>
      <c r="AE8" t="s">
        <v>1263</v>
      </c>
      <c r="AF8" t="s">
        <v>1264</v>
      </c>
      <c r="AG8" t="s">
        <v>1265</v>
      </c>
      <c r="AH8" t="s">
        <v>1266</v>
      </c>
      <c r="AI8" t="s">
        <v>1267</v>
      </c>
      <c r="AJ8" t="s">
        <v>1268</v>
      </c>
      <c r="AK8" t="s">
        <v>1269</v>
      </c>
      <c r="AL8" t="s">
        <v>1270</v>
      </c>
    </row>
    <row r="9" spans="1:38">
      <c r="A9" s="1" t="s">
        <v>99</v>
      </c>
      <c r="B9" t="s">
        <v>684</v>
      </c>
      <c r="C9" t="s">
        <v>684</v>
      </c>
      <c r="D9" t="s">
        <v>684</v>
      </c>
      <c r="E9" t="s">
        <v>684</v>
      </c>
      <c r="F9" t="s">
        <v>684</v>
      </c>
      <c r="G9" t="s">
        <v>684</v>
      </c>
      <c r="H9" t="s">
        <v>684</v>
      </c>
      <c r="I9" t="s">
        <v>684</v>
      </c>
      <c r="J9" t="s">
        <v>684</v>
      </c>
      <c r="K9" t="s">
        <v>1271</v>
      </c>
      <c r="L9" t="s">
        <v>1272</v>
      </c>
      <c r="M9" t="s">
        <v>1273</v>
      </c>
      <c r="N9" t="s">
        <v>1274</v>
      </c>
      <c r="O9" t="s">
        <v>1275</v>
      </c>
      <c r="P9" t="s">
        <v>1276</v>
      </c>
      <c r="Q9" t="s">
        <v>1277</v>
      </c>
      <c r="R9" t="s">
        <v>1278</v>
      </c>
      <c r="S9" t="s">
        <v>1279</v>
      </c>
      <c r="T9" t="s">
        <v>1280</v>
      </c>
      <c r="U9" t="s">
        <v>1281</v>
      </c>
      <c r="V9" t="s">
        <v>1282</v>
      </c>
      <c r="W9" t="s">
        <v>1283</v>
      </c>
      <c r="X9" t="s">
        <v>1284</v>
      </c>
      <c r="Y9" t="s">
        <v>1285</v>
      </c>
      <c r="Z9" t="s">
        <v>1286</v>
      </c>
      <c r="AA9" t="s">
        <v>1287</v>
      </c>
      <c r="AB9" t="s">
        <v>1288</v>
      </c>
      <c r="AC9" t="s">
        <v>1289</v>
      </c>
      <c r="AD9" t="s">
        <v>1290</v>
      </c>
      <c r="AE9" t="s">
        <v>1291</v>
      </c>
      <c r="AF9" t="s">
        <v>1292</v>
      </c>
      <c r="AG9" t="s">
        <v>1293</v>
      </c>
      <c r="AH9" t="s">
        <v>1294</v>
      </c>
      <c r="AI9" t="s">
        <v>1295</v>
      </c>
      <c r="AJ9" t="s">
        <v>1296</v>
      </c>
      <c r="AK9" t="s">
        <v>1297</v>
      </c>
      <c r="AL9" t="s">
        <v>1298</v>
      </c>
    </row>
    <row r="10" spans="1:38">
      <c r="A10" s="1" t="s">
        <v>101</v>
      </c>
      <c r="B10" t="s">
        <v>684</v>
      </c>
      <c r="C10" t="s">
        <v>684</v>
      </c>
      <c r="D10" t="s">
        <v>684</v>
      </c>
      <c r="E10" t="s">
        <v>684</v>
      </c>
      <c r="F10" t="s">
        <v>684</v>
      </c>
      <c r="G10" t="s">
        <v>684</v>
      </c>
      <c r="H10" t="s">
        <v>684</v>
      </c>
      <c r="I10" t="s">
        <v>684</v>
      </c>
      <c r="J10" t="s">
        <v>684</v>
      </c>
      <c r="K10" t="s">
        <v>684</v>
      </c>
      <c r="L10" t="s">
        <v>684</v>
      </c>
      <c r="M10" t="s">
        <v>684</v>
      </c>
      <c r="N10" t="s">
        <v>684</v>
      </c>
      <c r="O10" t="s">
        <v>684</v>
      </c>
      <c r="P10" t="s">
        <v>684</v>
      </c>
      <c r="Q10" t="s">
        <v>684</v>
      </c>
      <c r="R10" t="s">
        <v>684</v>
      </c>
      <c r="S10" t="s">
        <v>684</v>
      </c>
      <c r="T10" t="s">
        <v>684</v>
      </c>
      <c r="U10" t="s">
        <v>684</v>
      </c>
      <c r="V10" t="s">
        <v>684</v>
      </c>
      <c r="W10" t="s">
        <v>1299</v>
      </c>
      <c r="X10" t="s">
        <v>1300</v>
      </c>
      <c r="Y10" t="s">
        <v>1301</v>
      </c>
      <c r="Z10" t="s">
        <v>1302</v>
      </c>
      <c r="AA10" t="s">
        <v>1303</v>
      </c>
      <c r="AB10" t="s">
        <v>1304</v>
      </c>
      <c r="AC10" t="s">
        <v>1305</v>
      </c>
      <c r="AD10" t="s">
        <v>1306</v>
      </c>
      <c r="AE10" t="s">
        <v>1307</v>
      </c>
      <c r="AF10" t="s">
        <v>1308</v>
      </c>
      <c r="AG10" t="s">
        <v>1309</v>
      </c>
      <c r="AH10" t="s">
        <v>1310</v>
      </c>
      <c r="AI10" t="s">
        <v>1311</v>
      </c>
      <c r="AJ10" t="s">
        <v>1312</v>
      </c>
      <c r="AK10" t="s">
        <v>1313</v>
      </c>
      <c r="AL10" t="s">
        <v>1314</v>
      </c>
    </row>
    <row r="11" spans="1:38">
      <c r="A11" s="1" t="s">
        <v>1315</v>
      </c>
      <c r="B11" t="s">
        <v>684</v>
      </c>
      <c r="C11" t="s">
        <v>684</v>
      </c>
      <c r="D11" t="s">
        <v>684</v>
      </c>
      <c r="E11" t="s">
        <v>684</v>
      </c>
      <c r="F11" t="s">
        <v>684</v>
      </c>
      <c r="G11" t="s">
        <v>684</v>
      </c>
      <c r="H11" t="s">
        <v>684</v>
      </c>
      <c r="I11" t="s">
        <v>684</v>
      </c>
      <c r="J11" t="s">
        <v>684</v>
      </c>
      <c r="K11" t="s">
        <v>1316</v>
      </c>
      <c r="L11" t="s">
        <v>1317</v>
      </c>
      <c r="M11" t="s">
        <v>1318</v>
      </c>
      <c r="N11" t="s">
        <v>1319</v>
      </c>
      <c r="O11" t="s">
        <v>1320</v>
      </c>
      <c r="P11" t="s">
        <v>1321</v>
      </c>
      <c r="Q11" t="s">
        <v>1322</v>
      </c>
      <c r="R11" t="s">
        <v>1323</v>
      </c>
      <c r="S11" t="s">
        <v>1324</v>
      </c>
      <c r="T11" t="s">
        <v>1325</v>
      </c>
      <c r="U11" t="s">
        <v>1326</v>
      </c>
      <c r="V11" t="s">
        <v>1327</v>
      </c>
      <c r="W11" t="s">
        <v>1328</v>
      </c>
      <c r="X11" t="s">
        <v>1329</v>
      </c>
      <c r="Y11" t="s">
        <v>1330</v>
      </c>
      <c r="Z11" t="s">
        <v>1331</v>
      </c>
      <c r="AA11" t="s">
        <v>1332</v>
      </c>
      <c r="AB11" t="s">
        <v>1333</v>
      </c>
      <c r="AC11" t="s">
        <v>1334</v>
      </c>
      <c r="AD11" t="s">
        <v>1335</v>
      </c>
      <c r="AE11" t="s">
        <v>1336</v>
      </c>
      <c r="AF11" t="s">
        <v>1337</v>
      </c>
      <c r="AG11" t="s">
        <v>1338</v>
      </c>
      <c r="AH11" t="s">
        <v>1339</v>
      </c>
      <c r="AI11" t="s">
        <v>1340</v>
      </c>
      <c r="AJ11" t="s">
        <v>1341</v>
      </c>
      <c r="AK11" t="s">
        <v>1342</v>
      </c>
      <c r="AL11" t="s">
        <v>1343</v>
      </c>
    </row>
    <row r="12" spans="1:38">
      <c r="A12" s="1" t="s">
        <v>1344</v>
      </c>
      <c r="B12" t="s">
        <v>684</v>
      </c>
      <c r="C12" t="s">
        <v>684</v>
      </c>
      <c r="D12" t="s">
        <v>684</v>
      </c>
      <c r="E12" t="s">
        <v>684</v>
      </c>
      <c r="F12" t="s">
        <v>684</v>
      </c>
      <c r="G12" t="s">
        <v>684</v>
      </c>
      <c r="H12" t="s">
        <v>684</v>
      </c>
      <c r="I12" t="s">
        <v>684</v>
      </c>
      <c r="J12" t="s">
        <v>684</v>
      </c>
      <c r="K12" t="s">
        <v>1316</v>
      </c>
      <c r="L12" t="s">
        <v>1317</v>
      </c>
      <c r="M12" t="s">
        <v>1318</v>
      </c>
      <c r="N12" t="s">
        <v>1319</v>
      </c>
      <c r="O12" t="s">
        <v>1320</v>
      </c>
      <c r="P12" t="s">
        <v>1321</v>
      </c>
      <c r="Q12" t="s">
        <v>1322</v>
      </c>
      <c r="R12" t="s">
        <v>1323</v>
      </c>
      <c r="S12" t="s">
        <v>1324</v>
      </c>
      <c r="T12" t="s">
        <v>1325</v>
      </c>
      <c r="U12" t="s">
        <v>1326</v>
      </c>
      <c r="V12" t="s">
        <v>1327</v>
      </c>
      <c r="W12" t="s">
        <v>1345</v>
      </c>
      <c r="X12" t="s">
        <v>1304</v>
      </c>
      <c r="Y12" t="s">
        <v>1346</v>
      </c>
      <c r="Z12" t="s">
        <v>1347</v>
      </c>
      <c r="AA12" t="s">
        <v>1348</v>
      </c>
      <c r="AB12" t="s">
        <v>1349</v>
      </c>
      <c r="AC12" t="s">
        <v>1350</v>
      </c>
      <c r="AD12" t="s">
        <v>1351</v>
      </c>
      <c r="AE12" t="s">
        <v>1352</v>
      </c>
      <c r="AF12" t="s">
        <v>1353</v>
      </c>
      <c r="AG12" t="s">
        <v>1354</v>
      </c>
      <c r="AH12" t="s">
        <v>1355</v>
      </c>
      <c r="AI12" t="s">
        <v>1356</v>
      </c>
      <c r="AJ12" t="s">
        <v>1357</v>
      </c>
      <c r="AK12" t="s">
        <v>1358</v>
      </c>
      <c r="AL12" t="s">
        <v>1359</v>
      </c>
    </row>
    <row r="13" spans="1:38">
      <c r="A13" s="1" t="s">
        <v>1360</v>
      </c>
      <c r="B13" t="s">
        <v>684</v>
      </c>
      <c r="C13" t="s">
        <v>684</v>
      </c>
      <c r="D13" t="s">
        <v>684</v>
      </c>
      <c r="E13" t="s">
        <v>684</v>
      </c>
      <c r="F13" t="s">
        <v>684</v>
      </c>
      <c r="G13" t="s">
        <v>684</v>
      </c>
      <c r="H13" t="s">
        <v>684</v>
      </c>
      <c r="I13" t="s">
        <v>684</v>
      </c>
      <c r="J13" t="s">
        <v>684</v>
      </c>
      <c r="K13" t="s">
        <v>684</v>
      </c>
      <c r="L13" t="s">
        <v>684</v>
      </c>
      <c r="M13" t="s">
        <v>684</v>
      </c>
      <c r="N13" t="s">
        <v>684</v>
      </c>
      <c r="O13" t="s">
        <v>684</v>
      </c>
      <c r="P13" t="s">
        <v>684</v>
      </c>
      <c r="Q13" t="s">
        <v>684</v>
      </c>
      <c r="R13" t="s">
        <v>684</v>
      </c>
      <c r="S13" t="s">
        <v>684</v>
      </c>
      <c r="T13" t="s">
        <v>684</v>
      </c>
      <c r="U13" t="s">
        <v>684</v>
      </c>
      <c r="V13" t="s">
        <v>684</v>
      </c>
      <c r="W13" t="s">
        <v>684</v>
      </c>
      <c r="X13" t="s">
        <v>684</v>
      </c>
      <c r="Y13" t="s">
        <v>1361</v>
      </c>
      <c r="Z13" t="s">
        <v>1362</v>
      </c>
      <c r="AA13" t="s">
        <v>1363</v>
      </c>
      <c r="AB13" t="s">
        <v>1364</v>
      </c>
      <c r="AC13" t="s">
        <v>1365</v>
      </c>
      <c r="AD13" t="s">
        <v>1366</v>
      </c>
      <c r="AE13" t="s">
        <v>1367</v>
      </c>
      <c r="AF13" t="s">
        <v>1368</v>
      </c>
      <c r="AG13" t="s">
        <v>1369</v>
      </c>
      <c r="AH13" t="s">
        <v>1370</v>
      </c>
      <c r="AI13" t="s">
        <v>1371</v>
      </c>
      <c r="AJ13" t="s">
        <v>1372</v>
      </c>
      <c r="AK13" t="s">
        <v>1373</v>
      </c>
      <c r="AL13" t="s">
        <v>1374</v>
      </c>
    </row>
    <row r="14" spans="1:38">
      <c r="A14" s="1" t="s">
        <v>1375</v>
      </c>
      <c r="B14" t="s">
        <v>684</v>
      </c>
      <c r="C14" t="s">
        <v>684</v>
      </c>
      <c r="D14" t="s">
        <v>684</v>
      </c>
      <c r="E14" t="s">
        <v>684</v>
      </c>
      <c r="F14" t="s">
        <v>684</v>
      </c>
      <c r="G14" t="s">
        <v>684</v>
      </c>
      <c r="H14" t="s">
        <v>684</v>
      </c>
      <c r="I14" t="s">
        <v>684</v>
      </c>
      <c r="J14" t="s">
        <v>684</v>
      </c>
      <c r="K14" t="s">
        <v>684</v>
      </c>
      <c r="L14" t="s">
        <v>684</v>
      </c>
      <c r="M14" t="s">
        <v>684</v>
      </c>
      <c r="N14" t="s">
        <v>684</v>
      </c>
      <c r="O14" t="s">
        <v>684</v>
      </c>
      <c r="P14" t="s">
        <v>684</v>
      </c>
      <c r="Q14" t="s">
        <v>684</v>
      </c>
      <c r="R14" t="s">
        <v>684</v>
      </c>
      <c r="S14" t="s">
        <v>684</v>
      </c>
      <c r="T14" t="s">
        <v>684</v>
      </c>
      <c r="U14" t="s">
        <v>684</v>
      </c>
      <c r="V14" t="s">
        <v>684</v>
      </c>
      <c r="W14" t="s">
        <v>684</v>
      </c>
      <c r="X14" t="s">
        <v>684</v>
      </c>
      <c r="Y14" t="s">
        <v>684</v>
      </c>
      <c r="Z14" t="s">
        <v>684</v>
      </c>
      <c r="AA14" t="s">
        <v>684</v>
      </c>
      <c r="AB14" t="s">
        <v>684</v>
      </c>
      <c r="AC14" t="s">
        <v>684</v>
      </c>
      <c r="AD14" t="s">
        <v>684</v>
      </c>
      <c r="AE14" t="s">
        <v>684</v>
      </c>
      <c r="AF14" t="s">
        <v>684</v>
      </c>
      <c r="AG14" t="s">
        <v>684</v>
      </c>
      <c r="AH14" t="s">
        <v>684</v>
      </c>
      <c r="AI14" t="s">
        <v>1376</v>
      </c>
      <c r="AJ14" t="s">
        <v>1377</v>
      </c>
      <c r="AK14" t="s">
        <v>1378</v>
      </c>
      <c r="AL14" t="s">
        <v>1379</v>
      </c>
    </row>
    <row r="15" spans="1:38">
      <c r="A15" s="1" t="s">
        <v>1380</v>
      </c>
      <c r="B15" t="s">
        <v>684</v>
      </c>
      <c r="C15" t="s">
        <v>684</v>
      </c>
      <c r="D15" t="s">
        <v>684</v>
      </c>
      <c r="E15" t="s">
        <v>684</v>
      </c>
      <c r="F15" t="s">
        <v>684</v>
      </c>
      <c r="G15" t="s">
        <v>684</v>
      </c>
      <c r="H15" t="s">
        <v>684</v>
      </c>
      <c r="I15" t="s">
        <v>684</v>
      </c>
      <c r="J15" t="s">
        <v>684</v>
      </c>
      <c r="K15" t="s">
        <v>1381</v>
      </c>
      <c r="L15" t="s">
        <v>1382</v>
      </c>
      <c r="M15" t="s">
        <v>1383</v>
      </c>
      <c r="N15" t="s">
        <v>1384</v>
      </c>
      <c r="O15" t="s">
        <v>1385</v>
      </c>
      <c r="P15" t="s">
        <v>1386</v>
      </c>
      <c r="Q15" t="s">
        <v>1387</v>
      </c>
      <c r="R15" t="s">
        <v>1388</v>
      </c>
      <c r="S15" t="s">
        <v>1389</v>
      </c>
      <c r="T15" t="s">
        <v>1390</v>
      </c>
      <c r="U15" t="s">
        <v>1391</v>
      </c>
      <c r="V15" t="s">
        <v>1392</v>
      </c>
      <c r="W15" t="s">
        <v>1393</v>
      </c>
      <c r="X15" t="s">
        <v>1394</v>
      </c>
      <c r="Y15" t="s">
        <v>1395</v>
      </c>
      <c r="Z15" t="s">
        <v>345</v>
      </c>
      <c r="AA15" t="s">
        <v>1396</v>
      </c>
      <c r="AB15" t="s">
        <v>1397</v>
      </c>
      <c r="AC15" t="s">
        <v>1398</v>
      </c>
      <c r="AD15" t="s">
        <v>1399</v>
      </c>
      <c r="AE15" t="s">
        <v>1400</v>
      </c>
      <c r="AF15" t="s">
        <v>1401</v>
      </c>
      <c r="AG15" t="s">
        <v>1402</v>
      </c>
      <c r="AH15" t="s">
        <v>1403</v>
      </c>
      <c r="AI15" t="s">
        <v>836</v>
      </c>
      <c r="AJ15" t="s">
        <v>1404</v>
      </c>
      <c r="AK15" t="s">
        <v>1405</v>
      </c>
      <c r="AL15" t="s">
        <v>1406</v>
      </c>
    </row>
    <row r="16" spans="1:38">
      <c r="A16" s="1" t="s">
        <v>1407</v>
      </c>
      <c r="B16" t="s">
        <v>684</v>
      </c>
      <c r="C16" t="s">
        <v>684</v>
      </c>
      <c r="D16" t="s">
        <v>684</v>
      </c>
      <c r="E16" t="s">
        <v>684</v>
      </c>
      <c r="F16" t="s">
        <v>684</v>
      </c>
      <c r="G16" t="s">
        <v>684</v>
      </c>
      <c r="H16" t="s">
        <v>684</v>
      </c>
      <c r="I16" t="s">
        <v>684</v>
      </c>
      <c r="J16" t="s">
        <v>684</v>
      </c>
      <c r="K16" t="s">
        <v>1408</v>
      </c>
      <c r="L16" t="s">
        <v>1409</v>
      </c>
      <c r="M16" t="s">
        <v>1410</v>
      </c>
      <c r="N16" t="s">
        <v>1411</v>
      </c>
      <c r="O16" t="s">
        <v>1412</v>
      </c>
      <c r="P16" t="s">
        <v>1413</v>
      </c>
      <c r="Q16" t="s">
        <v>1414</v>
      </c>
      <c r="R16" t="s">
        <v>1415</v>
      </c>
      <c r="S16" t="s">
        <v>1416</v>
      </c>
      <c r="T16" t="s">
        <v>1417</v>
      </c>
      <c r="U16" t="s">
        <v>1418</v>
      </c>
      <c r="V16" t="s">
        <v>1419</v>
      </c>
      <c r="W16" t="s">
        <v>1420</v>
      </c>
      <c r="X16" t="s">
        <v>1421</v>
      </c>
      <c r="Y16" t="s">
        <v>1422</v>
      </c>
      <c r="Z16" t="s">
        <v>1423</v>
      </c>
      <c r="AA16" t="s">
        <v>1424</v>
      </c>
      <c r="AB16" t="s">
        <v>1425</v>
      </c>
      <c r="AC16" t="s">
        <v>1426</v>
      </c>
      <c r="AD16" t="s">
        <v>1427</v>
      </c>
      <c r="AE16" t="s">
        <v>1428</v>
      </c>
      <c r="AF16" t="s">
        <v>1429</v>
      </c>
      <c r="AG16" t="s">
        <v>1430</v>
      </c>
      <c r="AH16" t="s">
        <v>1431</v>
      </c>
      <c r="AI16" t="s">
        <v>1432</v>
      </c>
      <c r="AJ16" t="s">
        <v>1433</v>
      </c>
      <c r="AK16" t="s">
        <v>1434</v>
      </c>
      <c r="AL16" t="s">
        <v>1435</v>
      </c>
    </row>
    <row r="17" spans="1:38">
      <c r="A17" s="1" t="s">
        <v>1436</v>
      </c>
      <c r="B17" t="s">
        <v>684</v>
      </c>
      <c r="C17" t="s">
        <v>684</v>
      </c>
      <c r="D17" t="s">
        <v>684</v>
      </c>
      <c r="E17" t="s">
        <v>684</v>
      </c>
      <c r="F17" t="s">
        <v>684</v>
      </c>
      <c r="G17" t="s">
        <v>684</v>
      </c>
      <c r="H17" t="s">
        <v>684</v>
      </c>
      <c r="I17" t="s">
        <v>684</v>
      </c>
      <c r="J17" t="s">
        <v>684</v>
      </c>
      <c r="K17" t="s">
        <v>684</v>
      </c>
      <c r="L17" t="s">
        <v>684</v>
      </c>
      <c r="M17" t="s">
        <v>684</v>
      </c>
      <c r="N17" t="s">
        <v>684</v>
      </c>
      <c r="O17" t="s">
        <v>684</v>
      </c>
      <c r="P17" t="s">
        <v>684</v>
      </c>
      <c r="Q17" t="s">
        <v>684</v>
      </c>
      <c r="R17" t="s">
        <v>684</v>
      </c>
      <c r="S17" t="s">
        <v>684</v>
      </c>
      <c r="T17" t="s">
        <v>684</v>
      </c>
      <c r="U17" t="s">
        <v>684</v>
      </c>
      <c r="V17" t="s">
        <v>684</v>
      </c>
      <c r="W17" t="s">
        <v>684</v>
      </c>
      <c r="X17" t="s">
        <v>684</v>
      </c>
      <c r="Y17" t="s">
        <v>684</v>
      </c>
      <c r="Z17" t="s">
        <v>684</v>
      </c>
      <c r="AA17" t="s">
        <v>684</v>
      </c>
      <c r="AB17" t="s">
        <v>684</v>
      </c>
      <c r="AC17" t="s">
        <v>684</v>
      </c>
      <c r="AD17" t="s">
        <v>684</v>
      </c>
      <c r="AE17" t="s">
        <v>684</v>
      </c>
      <c r="AF17" t="s">
        <v>684</v>
      </c>
      <c r="AG17" t="s">
        <v>684</v>
      </c>
      <c r="AH17" t="s">
        <v>684</v>
      </c>
      <c r="AI17" t="s">
        <v>684</v>
      </c>
      <c r="AJ17" t="s">
        <v>684</v>
      </c>
      <c r="AK17" t="s">
        <v>684</v>
      </c>
      <c r="AL17" t="s">
        <v>684</v>
      </c>
    </row>
    <row r="18" spans="1:38">
      <c r="A18" s="1" t="s">
        <v>103</v>
      </c>
      <c r="B18" t="s">
        <v>684</v>
      </c>
      <c r="C18" t="s">
        <v>684</v>
      </c>
      <c r="D18" t="s">
        <v>684</v>
      </c>
      <c r="E18" t="s">
        <v>684</v>
      </c>
      <c r="F18" t="s">
        <v>684</v>
      </c>
      <c r="G18" t="s">
        <v>684</v>
      </c>
      <c r="H18" t="s">
        <v>684</v>
      </c>
      <c r="I18" t="s">
        <v>684</v>
      </c>
      <c r="J18" t="s">
        <v>684</v>
      </c>
      <c r="K18" t="s">
        <v>1437</v>
      </c>
      <c r="L18" t="s">
        <v>1438</v>
      </c>
      <c r="M18" t="s">
        <v>1439</v>
      </c>
      <c r="N18" t="s">
        <v>1440</v>
      </c>
      <c r="O18" t="s">
        <v>1441</v>
      </c>
      <c r="P18" t="s">
        <v>1442</v>
      </c>
      <c r="Q18" t="s">
        <v>1443</v>
      </c>
      <c r="R18" t="s">
        <v>1444</v>
      </c>
      <c r="S18" t="s">
        <v>1445</v>
      </c>
      <c r="T18" t="s">
        <v>1446</v>
      </c>
      <c r="U18" t="s">
        <v>1447</v>
      </c>
      <c r="V18" t="s">
        <v>1448</v>
      </c>
      <c r="W18" t="s">
        <v>1449</v>
      </c>
      <c r="X18" t="s">
        <v>1450</v>
      </c>
      <c r="Y18" t="s">
        <v>1451</v>
      </c>
      <c r="Z18" t="s">
        <v>1452</v>
      </c>
      <c r="AA18" t="s">
        <v>1453</v>
      </c>
      <c r="AB18" t="s">
        <v>1454</v>
      </c>
      <c r="AC18" t="s">
        <v>1455</v>
      </c>
      <c r="AD18" t="s">
        <v>1456</v>
      </c>
      <c r="AE18" t="s">
        <v>1457</v>
      </c>
      <c r="AF18" t="s">
        <v>1458</v>
      </c>
      <c r="AG18" t="s">
        <v>1459</v>
      </c>
      <c r="AH18" t="s">
        <v>1460</v>
      </c>
      <c r="AI18" t="s">
        <v>1461</v>
      </c>
      <c r="AJ18" t="s">
        <v>1462</v>
      </c>
      <c r="AK18" t="s">
        <v>1463</v>
      </c>
      <c r="AL18" t="s">
        <v>1464</v>
      </c>
    </row>
    <row r="19" spans="1:38">
      <c r="A19" s="1" t="s">
        <v>1465</v>
      </c>
      <c r="B19" t="s">
        <v>684</v>
      </c>
      <c r="C19" t="s">
        <v>684</v>
      </c>
      <c r="D19" t="s">
        <v>684</v>
      </c>
      <c r="E19" t="s">
        <v>684</v>
      </c>
      <c r="F19" t="s">
        <v>684</v>
      </c>
      <c r="G19" t="s">
        <v>684</v>
      </c>
      <c r="H19" t="s">
        <v>684</v>
      </c>
      <c r="I19" t="s">
        <v>684</v>
      </c>
      <c r="J19" t="s">
        <v>684</v>
      </c>
      <c r="K19" t="s">
        <v>1466</v>
      </c>
      <c r="L19" t="s">
        <v>1467</v>
      </c>
      <c r="M19" t="s">
        <v>1468</v>
      </c>
      <c r="N19" t="s">
        <v>1469</v>
      </c>
      <c r="O19" t="s">
        <v>1470</v>
      </c>
      <c r="P19" t="s">
        <v>1471</v>
      </c>
      <c r="Q19" t="s">
        <v>1472</v>
      </c>
      <c r="R19" t="s">
        <v>1473</v>
      </c>
      <c r="S19" t="s">
        <v>1474</v>
      </c>
      <c r="T19" t="s">
        <v>1475</v>
      </c>
      <c r="U19" t="s">
        <v>1476</v>
      </c>
      <c r="V19" t="s">
        <v>716</v>
      </c>
      <c r="W19" t="s">
        <v>1477</v>
      </c>
      <c r="X19" t="s">
        <v>1478</v>
      </c>
      <c r="Y19" t="s">
        <v>1479</v>
      </c>
      <c r="Z19" t="s">
        <v>830</v>
      </c>
      <c r="AA19" t="s">
        <v>1480</v>
      </c>
      <c r="AB19" t="s">
        <v>1481</v>
      </c>
      <c r="AC19" t="s">
        <v>1482</v>
      </c>
      <c r="AD19" t="s">
        <v>1483</v>
      </c>
      <c r="AE19" t="s">
        <v>1484</v>
      </c>
      <c r="AF19" t="s">
        <v>1485</v>
      </c>
      <c r="AG19" t="s">
        <v>1486</v>
      </c>
      <c r="AH19" t="s">
        <v>1487</v>
      </c>
      <c r="AI19" t="s">
        <v>1488</v>
      </c>
      <c r="AJ19" t="s">
        <v>1489</v>
      </c>
      <c r="AK19" t="s">
        <v>1490</v>
      </c>
      <c r="AL19" t="s">
        <v>1491</v>
      </c>
    </row>
    <row r="20" spans="1:38">
      <c r="A20" s="1" t="s">
        <v>1492</v>
      </c>
      <c r="B20" t="s">
        <v>684</v>
      </c>
      <c r="C20" t="s">
        <v>684</v>
      </c>
      <c r="D20" t="s">
        <v>684</v>
      </c>
      <c r="E20" t="s">
        <v>684</v>
      </c>
      <c r="F20" t="s">
        <v>684</v>
      </c>
      <c r="G20" t="s">
        <v>684</v>
      </c>
      <c r="H20" t="s">
        <v>684</v>
      </c>
      <c r="I20" t="s">
        <v>684</v>
      </c>
      <c r="J20" t="s">
        <v>684</v>
      </c>
      <c r="K20" t="s">
        <v>1493</v>
      </c>
      <c r="L20" t="s">
        <v>1494</v>
      </c>
      <c r="M20" t="s">
        <v>1495</v>
      </c>
      <c r="N20" t="s">
        <v>1496</v>
      </c>
      <c r="O20" t="s">
        <v>1497</v>
      </c>
      <c r="P20" t="s">
        <v>1498</v>
      </c>
      <c r="Q20" t="s">
        <v>1499</v>
      </c>
      <c r="R20" t="s">
        <v>1500</v>
      </c>
      <c r="S20" t="s">
        <v>1212</v>
      </c>
      <c r="T20" t="s">
        <v>1501</v>
      </c>
      <c r="U20" t="s">
        <v>1502</v>
      </c>
      <c r="V20" t="s">
        <v>1503</v>
      </c>
      <c r="W20" t="s">
        <v>1504</v>
      </c>
      <c r="X20" t="s">
        <v>1505</v>
      </c>
      <c r="Y20" t="s">
        <v>1506</v>
      </c>
      <c r="Z20" t="s">
        <v>1507</v>
      </c>
      <c r="AA20" t="s">
        <v>1508</v>
      </c>
      <c r="AB20" t="s">
        <v>1509</v>
      </c>
      <c r="AC20" t="s">
        <v>1510</v>
      </c>
      <c r="AD20" t="s">
        <v>1511</v>
      </c>
      <c r="AE20" t="s">
        <v>1512</v>
      </c>
      <c r="AF20" t="s">
        <v>1513</v>
      </c>
      <c r="AG20" t="s">
        <v>1514</v>
      </c>
      <c r="AH20" t="s">
        <v>1515</v>
      </c>
      <c r="AI20" t="s">
        <v>1516</v>
      </c>
      <c r="AJ20" t="s">
        <v>1517</v>
      </c>
      <c r="AK20" t="s">
        <v>1518</v>
      </c>
      <c r="AL20" t="s">
        <v>1519</v>
      </c>
    </row>
    <row r="21" spans="1:38">
      <c r="A21" s="1" t="s">
        <v>1520</v>
      </c>
      <c r="B21" t="s">
        <v>684</v>
      </c>
      <c r="C21" t="s">
        <v>684</v>
      </c>
      <c r="D21" t="s">
        <v>684</v>
      </c>
      <c r="E21" t="s">
        <v>684</v>
      </c>
      <c r="F21" t="s">
        <v>684</v>
      </c>
      <c r="G21" t="s">
        <v>684</v>
      </c>
      <c r="H21" t="s">
        <v>684</v>
      </c>
      <c r="I21" t="s">
        <v>684</v>
      </c>
      <c r="J21" t="s">
        <v>684</v>
      </c>
      <c r="K21" t="s">
        <v>684</v>
      </c>
      <c r="L21" t="s">
        <v>684</v>
      </c>
      <c r="M21" t="s">
        <v>684</v>
      </c>
      <c r="N21" t="s">
        <v>684</v>
      </c>
      <c r="O21" t="s">
        <v>684</v>
      </c>
      <c r="P21" t="s">
        <v>684</v>
      </c>
      <c r="Q21" t="s">
        <v>684</v>
      </c>
      <c r="R21" t="s">
        <v>684</v>
      </c>
      <c r="S21" t="s">
        <v>684</v>
      </c>
      <c r="T21" t="s">
        <v>684</v>
      </c>
      <c r="U21" t="s">
        <v>684</v>
      </c>
      <c r="V21" t="s">
        <v>684</v>
      </c>
      <c r="W21" t="s">
        <v>684</v>
      </c>
      <c r="X21" t="s">
        <v>684</v>
      </c>
      <c r="Y21" t="s">
        <v>1521</v>
      </c>
      <c r="Z21" t="s">
        <v>1522</v>
      </c>
      <c r="AA21" t="s">
        <v>1523</v>
      </c>
      <c r="AB21" t="s">
        <v>1524</v>
      </c>
      <c r="AC21" t="s">
        <v>1525</v>
      </c>
      <c r="AD21" t="s">
        <v>1526</v>
      </c>
      <c r="AE21" t="s">
        <v>1527</v>
      </c>
      <c r="AF21" t="s">
        <v>1528</v>
      </c>
      <c r="AG21" t="s">
        <v>1529</v>
      </c>
      <c r="AH21" t="s">
        <v>1530</v>
      </c>
      <c r="AI21" t="s">
        <v>1531</v>
      </c>
      <c r="AJ21" t="s">
        <v>814</v>
      </c>
      <c r="AK21" t="s">
        <v>1532</v>
      </c>
      <c r="AL21" t="s">
        <v>1533</v>
      </c>
    </row>
    <row r="22" spans="1:38">
      <c r="A22" s="1" t="s">
        <v>1534</v>
      </c>
      <c r="B22" t="s">
        <v>684</v>
      </c>
      <c r="C22" t="s">
        <v>684</v>
      </c>
      <c r="D22" t="s">
        <v>684</v>
      </c>
      <c r="E22" t="s">
        <v>684</v>
      </c>
      <c r="F22" t="s">
        <v>684</v>
      </c>
      <c r="G22" t="s">
        <v>684</v>
      </c>
      <c r="H22" t="s">
        <v>684</v>
      </c>
      <c r="I22" t="s">
        <v>684</v>
      </c>
      <c r="J22" t="s">
        <v>684</v>
      </c>
      <c r="K22" t="s">
        <v>684</v>
      </c>
      <c r="L22" t="s">
        <v>684</v>
      </c>
      <c r="M22" t="s">
        <v>684</v>
      </c>
      <c r="N22" t="s">
        <v>684</v>
      </c>
      <c r="O22" t="s">
        <v>684</v>
      </c>
      <c r="P22" t="s">
        <v>684</v>
      </c>
      <c r="Q22" t="s">
        <v>684</v>
      </c>
      <c r="R22" t="s">
        <v>684</v>
      </c>
      <c r="S22" t="s">
        <v>684</v>
      </c>
      <c r="T22" t="s">
        <v>684</v>
      </c>
      <c r="U22" t="s">
        <v>684</v>
      </c>
      <c r="V22" t="s">
        <v>684</v>
      </c>
      <c r="W22" t="s">
        <v>684</v>
      </c>
      <c r="X22" t="s">
        <v>684</v>
      </c>
      <c r="Y22" t="s">
        <v>684</v>
      </c>
      <c r="Z22" t="s">
        <v>684</v>
      </c>
      <c r="AA22" t="s">
        <v>684</v>
      </c>
      <c r="AB22" t="s">
        <v>684</v>
      </c>
      <c r="AC22" t="s">
        <v>684</v>
      </c>
      <c r="AD22" t="s">
        <v>684</v>
      </c>
      <c r="AE22" t="s">
        <v>684</v>
      </c>
      <c r="AF22" t="s">
        <v>684</v>
      </c>
      <c r="AG22" t="s">
        <v>684</v>
      </c>
      <c r="AH22" t="s">
        <v>684</v>
      </c>
      <c r="AI22" t="s">
        <v>684</v>
      </c>
      <c r="AJ22" t="s">
        <v>684</v>
      </c>
      <c r="AK22" t="s">
        <v>684</v>
      </c>
      <c r="AL22" t="s">
        <v>684</v>
      </c>
    </row>
    <row r="23" spans="1:38">
      <c r="A23" s="1" t="s">
        <v>1535</v>
      </c>
      <c r="B23" t="s">
        <v>684</v>
      </c>
      <c r="C23" t="s">
        <v>684</v>
      </c>
      <c r="D23" t="s">
        <v>684</v>
      </c>
      <c r="E23" t="s">
        <v>684</v>
      </c>
      <c r="F23" t="s">
        <v>684</v>
      </c>
      <c r="G23" t="s">
        <v>684</v>
      </c>
      <c r="H23" t="s">
        <v>684</v>
      </c>
      <c r="I23" t="s">
        <v>684</v>
      </c>
      <c r="J23" t="s">
        <v>684</v>
      </c>
      <c r="K23" t="s">
        <v>1536</v>
      </c>
      <c r="L23" t="s">
        <v>1537</v>
      </c>
      <c r="M23" t="s">
        <v>1538</v>
      </c>
      <c r="N23" t="s">
        <v>1539</v>
      </c>
      <c r="O23" t="s">
        <v>1538</v>
      </c>
      <c r="P23" t="s">
        <v>1540</v>
      </c>
      <c r="Q23" t="s">
        <v>1541</v>
      </c>
      <c r="R23" t="s">
        <v>1542</v>
      </c>
      <c r="S23" t="s">
        <v>1543</v>
      </c>
      <c r="T23" t="s">
        <v>1544</v>
      </c>
      <c r="U23" t="s">
        <v>1545</v>
      </c>
      <c r="V23" t="s">
        <v>1546</v>
      </c>
      <c r="W23" t="s">
        <v>1547</v>
      </c>
      <c r="X23" t="s">
        <v>1548</v>
      </c>
      <c r="Y23" t="s">
        <v>1549</v>
      </c>
      <c r="Z23" t="s">
        <v>1550</v>
      </c>
      <c r="AA23" t="s">
        <v>1551</v>
      </c>
      <c r="AB23" t="s">
        <v>1552</v>
      </c>
      <c r="AC23" t="s">
        <v>1553</v>
      </c>
      <c r="AD23" t="s">
        <v>1554</v>
      </c>
      <c r="AE23" t="s">
        <v>1555</v>
      </c>
      <c r="AF23" t="s">
        <v>1556</v>
      </c>
      <c r="AG23" t="s">
        <v>1557</v>
      </c>
      <c r="AH23" t="s">
        <v>1558</v>
      </c>
      <c r="AI23" t="s">
        <v>1559</v>
      </c>
      <c r="AJ23" t="s">
        <v>1560</v>
      </c>
      <c r="AK23" t="s">
        <v>1561</v>
      </c>
      <c r="AL23" t="s">
        <v>1562</v>
      </c>
    </row>
    <row r="24" spans="1:38">
      <c r="A24" s="1" t="s">
        <v>1563</v>
      </c>
      <c r="B24" t="s">
        <v>684</v>
      </c>
      <c r="C24" t="s">
        <v>684</v>
      </c>
      <c r="D24" t="s">
        <v>684</v>
      </c>
      <c r="E24" t="s">
        <v>684</v>
      </c>
      <c r="F24" t="s">
        <v>684</v>
      </c>
      <c r="G24" t="s">
        <v>684</v>
      </c>
      <c r="H24" t="s">
        <v>684</v>
      </c>
      <c r="I24" t="s">
        <v>684</v>
      </c>
      <c r="J24" t="s">
        <v>684</v>
      </c>
      <c r="K24" t="s">
        <v>1564</v>
      </c>
      <c r="L24" t="s">
        <v>1565</v>
      </c>
      <c r="M24" t="s">
        <v>1566</v>
      </c>
      <c r="N24" t="s">
        <v>1567</v>
      </c>
      <c r="O24" t="s">
        <v>1568</v>
      </c>
      <c r="P24" t="s">
        <v>1569</v>
      </c>
      <c r="Q24" t="s">
        <v>1570</v>
      </c>
      <c r="R24" t="s">
        <v>1571</v>
      </c>
      <c r="S24" t="s">
        <v>1572</v>
      </c>
      <c r="T24" t="s">
        <v>1573</v>
      </c>
      <c r="U24" t="s">
        <v>1411</v>
      </c>
      <c r="V24" t="s">
        <v>1574</v>
      </c>
      <c r="W24" t="s">
        <v>1575</v>
      </c>
      <c r="X24" t="s">
        <v>1576</v>
      </c>
      <c r="Y24" t="s">
        <v>1577</v>
      </c>
      <c r="Z24" t="s">
        <v>1578</v>
      </c>
      <c r="AA24" t="s">
        <v>1579</v>
      </c>
      <c r="AB24" t="s">
        <v>1580</v>
      </c>
      <c r="AC24" t="s">
        <v>1581</v>
      </c>
      <c r="AD24" t="s">
        <v>1582</v>
      </c>
      <c r="AE24" t="s">
        <v>1583</v>
      </c>
      <c r="AF24" t="s">
        <v>1584</v>
      </c>
      <c r="AG24" t="s">
        <v>1585</v>
      </c>
      <c r="AH24" t="s">
        <v>1586</v>
      </c>
      <c r="AI24" t="s">
        <v>1587</v>
      </c>
      <c r="AJ24" t="s">
        <v>1588</v>
      </c>
      <c r="AK24" t="s">
        <v>1589</v>
      </c>
      <c r="AL24" t="s">
        <v>1590</v>
      </c>
    </row>
    <row r="25" spans="1:38">
      <c r="A25" s="1" t="s">
        <v>1591</v>
      </c>
      <c r="B25" t="s">
        <v>684</v>
      </c>
      <c r="C25" t="s">
        <v>684</v>
      </c>
      <c r="D25" t="s">
        <v>684</v>
      </c>
      <c r="E25" t="s">
        <v>684</v>
      </c>
      <c r="F25" t="s">
        <v>684</v>
      </c>
      <c r="G25" t="s">
        <v>684</v>
      </c>
      <c r="H25" t="s">
        <v>684</v>
      </c>
      <c r="I25" t="s">
        <v>684</v>
      </c>
      <c r="J25" t="s">
        <v>684</v>
      </c>
      <c r="K25" t="s">
        <v>1592</v>
      </c>
      <c r="L25" t="s">
        <v>1593</v>
      </c>
      <c r="M25" t="s">
        <v>1594</v>
      </c>
      <c r="N25" t="s">
        <v>1595</v>
      </c>
      <c r="O25" t="s">
        <v>1596</v>
      </c>
      <c r="P25" t="s">
        <v>1597</v>
      </c>
      <c r="Q25" t="s">
        <v>1598</v>
      </c>
      <c r="R25" t="s">
        <v>1599</v>
      </c>
      <c r="S25" t="s">
        <v>1600</v>
      </c>
      <c r="T25" t="s">
        <v>1601</v>
      </c>
      <c r="U25" t="s">
        <v>1602</v>
      </c>
      <c r="V25" t="s">
        <v>1603</v>
      </c>
      <c r="W25" t="s">
        <v>422</v>
      </c>
      <c r="X25" t="s">
        <v>423</v>
      </c>
      <c r="Y25" t="s">
        <v>424</v>
      </c>
      <c r="Z25" t="s">
        <v>425</v>
      </c>
      <c r="AA25" t="s">
        <v>426</v>
      </c>
      <c r="AB25" t="s">
        <v>427</v>
      </c>
      <c r="AC25" t="s">
        <v>428</v>
      </c>
      <c r="AD25" t="s">
        <v>429</v>
      </c>
      <c r="AE25" t="s">
        <v>430</v>
      </c>
      <c r="AF25" t="s">
        <v>431</v>
      </c>
      <c r="AG25" t="s">
        <v>432</v>
      </c>
      <c r="AH25" t="s">
        <v>433</v>
      </c>
      <c r="AI25" t="s">
        <v>434</v>
      </c>
      <c r="AJ25" t="s">
        <v>435</v>
      </c>
      <c r="AK25" t="s">
        <v>436</v>
      </c>
      <c r="AL25" t="s">
        <v>437</v>
      </c>
    </row>
    <row r="26" spans="1:38">
      <c r="A26" s="1" t="s">
        <v>1604</v>
      </c>
      <c r="B26" t="s">
        <v>684</v>
      </c>
      <c r="C26" t="s">
        <v>684</v>
      </c>
      <c r="D26" t="s">
        <v>684</v>
      </c>
      <c r="E26" t="s">
        <v>684</v>
      </c>
      <c r="F26" t="s">
        <v>684</v>
      </c>
      <c r="G26" t="s">
        <v>684</v>
      </c>
      <c r="H26" t="s">
        <v>684</v>
      </c>
      <c r="I26" t="s">
        <v>684</v>
      </c>
      <c r="J26" t="s">
        <v>684</v>
      </c>
      <c r="K26" t="s">
        <v>1605</v>
      </c>
      <c r="L26" t="s">
        <v>1606</v>
      </c>
      <c r="M26" t="s">
        <v>1607</v>
      </c>
      <c r="N26" t="s">
        <v>1608</v>
      </c>
      <c r="O26" t="s">
        <v>1609</v>
      </c>
      <c r="P26" t="s">
        <v>1610</v>
      </c>
      <c r="Q26" t="s">
        <v>1611</v>
      </c>
      <c r="R26" t="s">
        <v>1612</v>
      </c>
      <c r="S26" t="s">
        <v>1613</v>
      </c>
      <c r="T26" t="s">
        <v>1614</v>
      </c>
      <c r="U26" t="s">
        <v>1615</v>
      </c>
      <c r="V26" t="s">
        <v>1616</v>
      </c>
      <c r="W26" t="s">
        <v>1617</v>
      </c>
      <c r="X26" t="s">
        <v>1618</v>
      </c>
      <c r="Y26" t="s">
        <v>929</v>
      </c>
      <c r="Z26" t="s">
        <v>1619</v>
      </c>
      <c r="AA26" t="s">
        <v>1620</v>
      </c>
      <c r="AB26" t="s">
        <v>1621</v>
      </c>
      <c r="AC26" t="s">
        <v>1622</v>
      </c>
      <c r="AD26" t="s">
        <v>1623</v>
      </c>
      <c r="AE26" t="s">
        <v>1624</v>
      </c>
      <c r="AF26" t="s">
        <v>1625</v>
      </c>
      <c r="AG26" t="s">
        <v>1626</v>
      </c>
      <c r="AH26" t="s">
        <v>1627</v>
      </c>
      <c r="AI26" t="s">
        <v>1483</v>
      </c>
      <c r="AJ26" t="s">
        <v>1628</v>
      </c>
      <c r="AK26" t="s">
        <v>1629</v>
      </c>
      <c r="AL26" t="s">
        <v>1630</v>
      </c>
    </row>
    <row r="27" spans="1:38">
      <c r="A27" s="1" t="s">
        <v>1631</v>
      </c>
      <c r="B27" t="s">
        <v>684</v>
      </c>
      <c r="C27" t="s">
        <v>684</v>
      </c>
      <c r="D27" t="s">
        <v>684</v>
      </c>
      <c r="E27" t="s">
        <v>684</v>
      </c>
      <c r="F27" t="s">
        <v>684</v>
      </c>
      <c r="G27" t="s">
        <v>684</v>
      </c>
      <c r="H27" t="s">
        <v>684</v>
      </c>
      <c r="I27" t="s">
        <v>684</v>
      </c>
      <c r="J27" t="s">
        <v>684</v>
      </c>
      <c r="K27" t="s">
        <v>1632</v>
      </c>
      <c r="L27" t="s">
        <v>1633</v>
      </c>
      <c r="M27" t="s">
        <v>1634</v>
      </c>
      <c r="N27" t="s">
        <v>1635</v>
      </c>
      <c r="O27" t="s">
        <v>1636</v>
      </c>
      <c r="P27" t="s">
        <v>1637</v>
      </c>
      <c r="Q27" t="s">
        <v>1638</v>
      </c>
      <c r="R27" t="s">
        <v>1639</v>
      </c>
      <c r="S27" t="s">
        <v>1230</v>
      </c>
      <c r="T27" t="s">
        <v>1640</v>
      </c>
      <c r="U27" t="s">
        <v>1641</v>
      </c>
      <c r="V27" t="s">
        <v>1642</v>
      </c>
      <c r="W27" t="s">
        <v>1643</v>
      </c>
      <c r="X27" t="s">
        <v>1644</v>
      </c>
      <c r="Y27" t="s">
        <v>1645</v>
      </c>
      <c r="Z27" t="s">
        <v>1646</v>
      </c>
      <c r="AA27" t="s">
        <v>1647</v>
      </c>
      <c r="AB27" t="s">
        <v>1648</v>
      </c>
      <c r="AC27" t="s">
        <v>1649</v>
      </c>
      <c r="AD27" t="s">
        <v>1650</v>
      </c>
      <c r="AE27" t="s">
        <v>1651</v>
      </c>
      <c r="AF27" t="s">
        <v>1652</v>
      </c>
      <c r="AG27" t="s">
        <v>1653</v>
      </c>
      <c r="AH27" t="s">
        <v>1654</v>
      </c>
      <c r="AI27" t="s">
        <v>592</v>
      </c>
      <c r="AJ27" t="s">
        <v>1655</v>
      </c>
      <c r="AK27" t="s">
        <v>1656</v>
      </c>
      <c r="AL27" t="s">
        <v>1657</v>
      </c>
    </row>
    <row r="28" spans="1:38">
      <c r="A28" s="1" t="s">
        <v>1658</v>
      </c>
      <c r="B28" t="s">
        <v>684</v>
      </c>
      <c r="C28" t="s">
        <v>684</v>
      </c>
      <c r="D28" t="s">
        <v>684</v>
      </c>
      <c r="E28" t="s">
        <v>684</v>
      </c>
      <c r="F28" t="s">
        <v>684</v>
      </c>
      <c r="G28" t="s">
        <v>684</v>
      </c>
      <c r="H28" t="s">
        <v>684</v>
      </c>
      <c r="I28" t="s">
        <v>684</v>
      </c>
      <c r="J28" t="s">
        <v>684</v>
      </c>
      <c r="K28" t="s">
        <v>1659</v>
      </c>
      <c r="L28" t="s">
        <v>1660</v>
      </c>
      <c r="M28" t="s">
        <v>1661</v>
      </c>
      <c r="N28" t="s">
        <v>1662</v>
      </c>
      <c r="O28" t="s">
        <v>1663</v>
      </c>
      <c r="P28" t="s">
        <v>1664</v>
      </c>
      <c r="Q28" t="s">
        <v>1665</v>
      </c>
      <c r="R28" t="s">
        <v>1666</v>
      </c>
      <c r="S28" t="s">
        <v>1667</v>
      </c>
      <c r="T28" t="s">
        <v>1668</v>
      </c>
      <c r="U28" t="s">
        <v>1669</v>
      </c>
      <c r="V28" t="s">
        <v>1670</v>
      </c>
      <c r="W28" t="s">
        <v>1671</v>
      </c>
      <c r="X28" t="s">
        <v>1672</v>
      </c>
      <c r="Y28" t="s">
        <v>1673</v>
      </c>
      <c r="Z28" t="s">
        <v>1674</v>
      </c>
      <c r="AA28" t="s">
        <v>1675</v>
      </c>
      <c r="AB28" t="s">
        <v>1676</v>
      </c>
      <c r="AC28" t="s">
        <v>1677</v>
      </c>
      <c r="AD28" t="s">
        <v>1678</v>
      </c>
      <c r="AE28" t="s">
        <v>1679</v>
      </c>
      <c r="AF28" t="s">
        <v>1680</v>
      </c>
      <c r="AG28" t="s">
        <v>1681</v>
      </c>
      <c r="AH28" t="s">
        <v>1682</v>
      </c>
      <c r="AI28" t="s">
        <v>1683</v>
      </c>
      <c r="AJ28" t="s">
        <v>1684</v>
      </c>
      <c r="AK28" t="s">
        <v>1685</v>
      </c>
      <c r="AL28" t="s">
        <v>1686</v>
      </c>
    </row>
    <row r="29" spans="1:38">
      <c r="A29" s="1" t="s">
        <v>1687</v>
      </c>
      <c r="B29" t="s">
        <v>684</v>
      </c>
      <c r="C29" t="s">
        <v>684</v>
      </c>
      <c r="D29" t="s">
        <v>684</v>
      </c>
      <c r="E29" t="s">
        <v>684</v>
      </c>
      <c r="F29" t="s">
        <v>684</v>
      </c>
      <c r="G29" t="s">
        <v>684</v>
      </c>
      <c r="H29" t="s">
        <v>684</v>
      </c>
      <c r="I29" t="s">
        <v>684</v>
      </c>
      <c r="J29" t="s">
        <v>684</v>
      </c>
      <c r="K29" t="s">
        <v>684</v>
      </c>
      <c r="L29" t="s">
        <v>684</v>
      </c>
      <c r="M29" t="s">
        <v>684</v>
      </c>
      <c r="N29" t="s">
        <v>684</v>
      </c>
      <c r="O29" t="s">
        <v>684</v>
      </c>
      <c r="P29" t="s">
        <v>684</v>
      </c>
      <c r="Q29" t="s">
        <v>684</v>
      </c>
      <c r="R29" t="s">
        <v>684</v>
      </c>
      <c r="S29" t="s">
        <v>684</v>
      </c>
      <c r="T29" t="s">
        <v>684</v>
      </c>
      <c r="U29" t="s">
        <v>684</v>
      </c>
      <c r="V29" t="s">
        <v>684</v>
      </c>
      <c r="W29" t="s">
        <v>684</v>
      </c>
      <c r="X29" t="s">
        <v>684</v>
      </c>
      <c r="Y29" t="s">
        <v>684</v>
      </c>
      <c r="Z29" t="s">
        <v>684</v>
      </c>
      <c r="AA29" t="s">
        <v>684</v>
      </c>
      <c r="AB29" t="s">
        <v>684</v>
      </c>
      <c r="AC29" t="s">
        <v>684</v>
      </c>
      <c r="AD29" t="s">
        <v>684</v>
      </c>
      <c r="AE29" t="s">
        <v>684</v>
      </c>
      <c r="AF29" t="s">
        <v>684</v>
      </c>
      <c r="AG29" t="s">
        <v>684</v>
      </c>
      <c r="AH29" t="s">
        <v>684</v>
      </c>
      <c r="AI29" t="s">
        <v>684</v>
      </c>
      <c r="AJ29" t="s">
        <v>684</v>
      </c>
      <c r="AK29" t="s">
        <v>684</v>
      </c>
      <c r="AL29" t="s">
        <v>684</v>
      </c>
    </row>
    <row r="30" spans="1:38">
      <c r="A30" s="1" t="s">
        <v>1688</v>
      </c>
      <c r="B30" t="s">
        <v>684</v>
      </c>
      <c r="C30" t="s">
        <v>684</v>
      </c>
      <c r="D30" t="s">
        <v>684</v>
      </c>
      <c r="E30" t="s">
        <v>684</v>
      </c>
      <c r="F30" t="s">
        <v>684</v>
      </c>
      <c r="G30" t="s">
        <v>684</v>
      </c>
      <c r="H30" t="s">
        <v>684</v>
      </c>
      <c r="I30" t="s">
        <v>684</v>
      </c>
      <c r="J30" t="s">
        <v>684</v>
      </c>
      <c r="K30" t="s">
        <v>684</v>
      </c>
      <c r="L30" t="s">
        <v>684</v>
      </c>
      <c r="M30" t="s">
        <v>684</v>
      </c>
      <c r="N30" t="s">
        <v>684</v>
      </c>
      <c r="O30" t="s">
        <v>684</v>
      </c>
      <c r="P30" t="s">
        <v>684</v>
      </c>
      <c r="Q30" t="s">
        <v>684</v>
      </c>
      <c r="R30" t="s">
        <v>684</v>
      </c>
      <c r="S30" t="s">
        <v>684</v>
      </c>
      <c r="T30" t="s">
        <v>684</v>
      </c>
      <c r="U30" t="s">
        <v>684</v>
      </c>
      <c r="V30" t="s">
        <v>684</v>
      </c>
      <c r="W30" t="s">
        <v>684</v>
      </c>
      <c r="X30" t="s">
        <v>684</v>
      </c>
      <c r="Y30" t="s">
        <v>684</v>
      </c>
      <c r="Z30" t="s">
        <v>684</v>
      </c>
      <c r="AA30" t="s">
        <v>684</v>
      </c>
      <c r="AB30" t="s">
        <v>684</v>
      </c>
      <c r="AC30" t="s">
        <v>684</v>
      </c>
      <c r="AD30" t="s">
        <v>684</v>
      </c>
      <c r="AE30" t="s">
        <v>684</v>
      </c>
      <c r="AF30" t="s">
        <v>684</v>
      </c>
      <c r="AG30" t="s">
        <v>684</v>
      </c>
      <c r="AH30" t="s">
        <v>684</v>
      </c>
      <c r="AI30" t="s">
        <v>684</v>
      </c>
      <c r="AJ30" t="s">
        <v>684</v>
      </c>
      <c r="AK30" t="s">
        <v>684</v>
      </c>
      <c r="AL30" t="s">
        <v>684</v>
      </c>
    </row>
    <row r="31" spans="1:38">
      <c r="A31" s="1" t="s">
        <v>1689</v>
      </c>
      <c r="B31" t="s">
        <v>684</v>
      </c>
      <c r="C31" t="s">
        <v>684</v>
      </c>
      <c r="D31" t="s">
        <v>684</v>
      </c>
      <c r="E31" t="s">
        <v>684</v>
      </c>
      <c r="F31" t="s">
        <v>684</v>
      </c>
      <c r="G31" t="s">
        <v>684</v>
      </c>
      <c r="H31" t="s">
        <v>684</v>
      </c>
      <c r="I31" t="s">
        <v>684</v>
      </c>
      <c r="J31" t="s">
        <v>684</v>
      </c>
      <c r="K31" t="s">
        <v>1690</v>
      </c>
      <c r="L31" t="s">
        <v>1691</v>
      </c>
      <c r="M31" t="s">
        <v>1692</v>
      </c>
      <c r="N31" t="s">
        <v>1693</v>
      </c>
      <c r="O31" t="s">
        <v>1694</v>
      </c>
      <c r="P31" t="s">
        <v>1695</v>
      </c>
      <c r="Q31" t="s">
        <v>1696</v>
      </c>
      <c r="R31" t="s">
        <v>1697</v>
      </c>
      <c r="S31" t="s">
        <v>862</v>
      </c>
      <c r="T31" t="s">
        <v>1698</v>
      </c>
      <c r="U31" t="s">
        <v>1699</v>
      </c>
      <c r="V31" t="s">
        <v>1700</v>
      </c>
      <c r="W31" t="s">
        <v>1701</v>
      </c>
      <c r="X31" t="s">
        <v>1702</v>
      </c>
      <c r="Y31" t="s">
        <v>1703</v>
      </c>
      <c r="Z31" t="s">
        <v>1704</v>
      </c>
      <c r="AA31" t="s">
        <v>1705</v>
      </c>
      <c r="AB31" t="s">
        <v>1706</v>
      </c>
      <c r="AC31" t="s">
        <v>1707</v>
      </c>
      <c r="AD31" t="s">
        <v>1708</v>
      </c>
      <c r="AE31" t="s">
        <v>1709</v>
      </c>
      <c r="AF31" t="s">
        <v>1710</v>
      </c>
      <c r="AG31" t="s">
        <v>1711</v>
      </c>
      <c r="AH31" t="s">
        <v>1712</v>
      </c>
      <c r="AI31" t="s">
        <v>1713</v>
      </c>
      <c r="AJ31" t="s">
        <v>1714</v>
      </c>
      <c r="AK31" t="s">
        <v>1715</v>
      </c>
      <c r="AL31" t="s">
        <v>1716</v>
      </c>
    </row>
    <row r="32" spans="1:38">
      <c r="A32" s="1" t="s">
        <v>1717</v>
      </c>
      <c r="B32" t="s">
        <v>684</v>
      </c>
      <c r="C32" t="s">
        <v>684</v>
      </c>
      <c r="D32" t="s">
        <v>684</v>
      </c>
      <c r="E32" t="s">
        <v>684</v>
      </c>
      <c r="F32" t="s">
        <v>684</v>
      </c>
      <c r="G32" t="s">
        <v>684</v>
      </c>
      <c r="H32" t="s">
        <v>684</v>
      </c>
      <c r="I32" t="s">
        <v>684</v>
      </c>
      <c r="J32" t="s">
        <v>684</v>
      </c>
      <c r="K32" t="s">
        <v>684</v>
      </c>
      <c r="L32" t="s">
        <v>684</v>
      </c>
      <c r="M32" t="s">
        <v>684</v>
      </c>
      <c r="N32" t="s">
        <v>684</v>
      </c>
      <c r="O32" t="s">
        <v>684</v>
      </c>
      <c r="P32" t="s">
        <v>684</v>
      </c>
      <c r="Q32" t="s">
        <v>684</v>
      </c>
      <c r="R32" t="s">
        <v>684</v>
      </c>
      <c r="S32" t="s">
        <v>684</v>
      </c>
      <c r="T32" t="s">
        <v>684</v>
      </c>
      <c r="U32" t="s">
        <v>684</v>
      </c>
      <c r="V32" t="s">
        <v>684</v>
      </c>
      <c r="W32" t="s">
        <v>684</v>
      </c>
      <c r="X32" t="s">
        <v>684</v>
      </c>
      <c r="Y32" t="s">
        <v>684</v>
      </c>
      <c r="Z32" t="s">
        <v>684</v>
      </c>
      <c r="AA32" t="s">
        <v>684</v>
      </c>
      <c r="AB32" t="s">
        <v>684</v>
      </c>
      <c r="AC32" t="s">
        <v>684</v>
      </c>
      <c r="AD32" t="s">
        <v>684</v>
      </c>
      <c r="AE32" t="s">
        <v>684</v>
      </c>
      <c r="AF32" t="s">
        <v>684</v>
      </c>
      <c r="AG32" t="s">
        <v>684</v>
      </c>
      <c r="AH32" t="s">
        <v>684</v>
      </c>
      <c r="AI32" t="s">
        <v>684</v>
      </c>
      <c r="AJ32" t="s">
        <v>684</v>
      </c>
      <c r="AK32" t="s">
        <v>684</v>
      </c>
      <c r="AL32" t="s">
        <v>684</v>
      </c>
    </row>
    <row r="33" spans="1:38">
      <c r="A33" s="1" t="s">
        <v>117</v>
      </c>
      <c r="B33" t="s">
        <v>684</v>
      </c>
      <c r="C33" t="s">
        <v>684</v>
      </c>
      <c r="D33" t="s">
        <v>684</v>
      </c>
      <c r="E33" t="s">
        <v>684</v>
      </c>
      <c r="F33" t="s">
        <v>684</v>
      </c>
      <c r="G33" t="s">
        <v>684</v>
      </c>
      <c r="H33" t="s">
        <v>684</v>
      </c>
      <c r="I33" t="s">
        <v>684</v>
      </c>
      <c r="J33" t="s">
        <v>684</v>
      </c>
      <c r="K33" t="s">
        <v>684</v>
      </c>
      <c r="L33" t="s">
        <v>684</v>
      </c>
      <c r="M33" t="s">
        <v>684</v>
      </c>
      <c r="N33" t="s">
        <v>684</v>
      </c>
      <c r="O33" t="s">
        <v>684</v>
      </c>
      <c r="P33" t="s">
        <v>1718</v>
      </c>
      <c r="Q33" t="s">
        <v>1719</v>
      </c>
      <c r="R33" t="s">
        <v>1720</v>
      </c>
      <c r="S33" t="s">
        <v>1720</v>
      </c>
      <c r="T33" t="s">
        <v>1721</v>
      </c>
      <c r="U33" t="s">
        <v>1722</v>
      </c>
      <c r="V33" t="s">
        <v>929</v>
      </c>
      <c r="W33" t="s">
        <v>1723</v>
      </c>
      <c r="X33" t="s">
        <v>1724</v>
      </c>
      <c r="Y33" t="s">
        <v>1724</v>
      </c>
      <c r="Z33" t="s">
        <v>1724</v>
      </c>
      <c r="AA33" t="s">
        <v>1724</v>
      </c>
      <c r="AB33" t="s">
        <v>1724</v>
      </c>
      <c r="AC33" t="s">
        <v>1725</v>
      </c>
      <c r="AD33" t="s">
        <v>1725</v>
      </c>
      <c r="AE33" t="s">
        <v>1725</v>
      </c>
      <c r="AF33" t="s">
        <v>1725</v>
      </c>
      <c r="AG33" t="s">
        <v>1725</v>
      </c>
      <c r="AH33" t="s">
        <v>1725</v>
      </c>
      <c r="AI33" t="s">
        <v>1725</v>
      </c>
      <c r="AJ33" t="s">
        <v>1725</v>
      </c>
      <c r="AK33" t="s">
        <v>1725</v>
      </c>
      <c r="AL33" t="s">
        <v>1725</v>
      </c>
    </row>
    <row r="34" spans="1:38">
      <c r="A34" s="1" t="s">
        <v>1726</v>
      </c>
      <c r="B34" t="s">
        <v>684</v>
      </c>
      <c r="C34" t="s">
        <v>684</v>
      </c>
      <c r="D34" t="s">
        <v>684</v>
      </c>
      <c r="E34" t="s">
        <v>684</v>
      </c>
      <c r="F34" t="s">
        <v>684</v>
      </c>
      <c r="G34" t="s">
        <v>684</v>
      </c>
      <c r="H34" t="s">
        <v>684</v>
      </c>
      <c r="I34" t="s">
        <v>684</v>
      </c>
      <c r="J34" t="s">
        <v>684</v>
      </c>
      <c r="K34" t="s">
        <v>1727</v>
      </c>
      <c r="L34" t="s">
        <v>1728</v>
      </c>
      <c r="M34" t="s">
        <v>1729</v>
      </c>
      <c r="N34" t="s">
        <v>1730</v>
      </c>
      <c r="O34" t="s">
        <v>1731</v>
      </c>
      <c r="P34" t="s">
        <v>1732</v>
      </c>
      <c r="Q34" t="s">
        <v>1733</v>
      </c>
      <c r="R34" t="s">
        <v>1734</v>
      </c>
      <c r="S34" t="s">
        <v>1735</v>
      </c>
      <c r="T34" t="s">
        <v>1736</v>
      </c>
      <c r="U34" t="s">
        <v>1737</v>
      </c>
      <c r="V34" t="s">
        <v>1738</v>
      </c>
      <c r="W34" t="s">
        <v>1739</v>
      </c>
      <c r="X34" t="s">
        <v>1740</v>
      </c>
      <c r="Y34" t="s">
        <v>1741</v>
      </c>
      <c r="Z34" t="s">
        <v>1742</v>
      </c>
      <c r="AA34" t="s">
        <v>1743</v>
      </c>
      <c r="AB34" t="s">
        <v>1744</v>
      </c>
      <c r="AC34" t="s">
        <v>1745</v>
      </c>
      <c r="AD34" t="s">
        <v>1746</v>
      </c>
      <c r="AE34" t="s">
        <v>1747</v>
      </c>
      <c r="AF34" t="s">
        <v>1748</v>
      </c>
      <c r="AG34" t="s">
        <v>1749</v>
      </c>
      <c r="AH34" t="s">
        <v>1750</v>
      </c>
      <c r="AI34" t="s">
        <v>1751</v>
      </c>
      <c r="AJ34" t="s">
        <v>1752</v>
      </c>
      <c r="AK34" t="s">
        <v>1753</v>
      </c>
      <c r="AL34" t="s">
        <v>1754</v>
      </c>
    </row>
    <row r="35" spans="1:38">
      <c r="A35" s="1" t="s">
        <v>1755</v>
      </c>
      <c r="B35" t="s">
        <v>684</v>
      </c>
      <c r="C35" t="s">
        <v>684</v>
      </c>
      <c r="D35" t="s">
        <v>684</v>
      </c>
      <c r="E35" t="s">
        <v>684</v>
      </c>
      <c r="F35" t="s">
        <v>684</v>
      </c>
      <c r="G35" t="s">
        <v>684</v>
      </c>
      <c r="H35" t="s">
        <v>684</v>
      </c>
      <c r="I35" t="s">
        <v>684</v>
      </c>
      <c r="J35" t="s">
        <v>684</v>
      </c>
      <c r="K35" t="s">
        <v>1756</v>
      </c>
      <c r="L35" t="s">
        <v>1757</v>
      </c>
      <c r="M35" t="s">
        <v>1758</v>
      </c>
      <c r="N35" t="s">
        <v>1759</v>
      </c>
      <c r="O35" t="s">
        <v>1760</v>
      </c>
      <c r="P35" t="s">
        <v>1761</v>
      </c>
      <c r="Q35" t="s">
        <v>1762</v>
      </c>
      <c r="R35" t="s">
        <v>1763</v>
      </c>
      <c r="S35" t="s">
        <v>1764</v>
      </c>
      <c r="T35" t="s">
        <v>1765</v>
      </c>
      <c r="U35" t="s">
        <v>1766</v>
      </c>
      <c r="V35" t="s">
        <v>1767</v>
      </c>
      <c r="W35" t="s">
        <v>1768</v>
      </c>
      <c r="X35" t="s">
        <v>744</v>
      </c>
      <c r="Y35" t="s">
        <v>1769</v>
      </c>
      <c r="Z35" t="s">
        <v>1770</v>
      </c>
      <c r="AA35" t="s">
        <v>1771</v>
      </c>
      <c r="AB35" t="s">
        <v>1772</v>
      </c>
      <c r="AC35" t="s">
        <v>1773</v>
      </c>
      <c r="AD35" t="s">
        <v>1774</v>
      </c>
      <c r="AE35" t="s">
        <v>1775</v>
      </c>
      <c r="AF35" t="s">
        <v>1776</v>
      </c>
      <c r="AG35" t="s">
        <v>1777</v>
      </c>
      <c r="AH35" t="s">
        <v>1778</v>
      </c>
      <c r="AI35" t="s">
        <v>1779</v>
      </c>
      <c r="AJ35" t="s">
        <v>1780</v>
      </c>
      <c r="AK35" t="s">
        <v>1781</v>
      </c>
      <c r="AL35" t="s">
        <v>1782</v>
      </c>
    </row>
    <row r="36" spans="1:38">
      <c r="A36" s="1" t="s">
        <v>1783</v>
      </c>
      <c r="B36" t="s">
        <v>684</v>
      </c>
      <c r="C36" t="s">
        <v>684</v>
      </c>
      <c r="D36" t="s">
        <v>684</v>
      </c>
      <c r="E36" t="s">
        <v>684</v>
      </c>
      <c r="F36" t="s">
        <v>684</v>
      </c>
      <c r="G36" t="s">
        <v>684</v>
      </c>
      <c r="H36" t="s">
        <v>684</v>
      </c>
      <c r="I36" t="s">
        <v>684</v>
      </c>
      <c r="J36" t="s">
        <v>684</v>
      </c>
      <c r="K36" t="s">
        <v>684</v>
      </c>
      <c r="L36" t="s">
        <v>684</v>
      </c>
      <c r="M36" t="s">
        <v>684</v>
      </c>
      <c r="N36" t="s">
        <v>684</v>
      </c>
      <c r="O36" t="s">
        <v>684</v>
      </c>
      <c r="P36" t="s">
        <v>684</v>
      </c>
      <c r="Q36" t="s">
        <v>684</v>
      </c>
      <c r="R36" t="s">
        <v>684</v>
      </c>
      <c r="S36" t="s">
        <v>1784</v>
      </c>
      <c r="T36" t="s">
        <v>1785</v>
      </c>
      <c r="U36" t="s">
        <v>1786</v>
      </c>
      <c r="V36" t="s">
        <v>1787</v>
      </c>
      <c r="W36" t="s">
        <v>1788</v>
      </c>
      <c r="X36" t="s">
        <v>1789</v>
      </c>
      <c r="Y36" t="s">
        <v>1790</v>
      </c>
      <c r="Z36" t="s">
        <v>684</v>
      </c>
      <c r="AA36" t="s">
        <v>1791</v>
      </c>
      <c r="AB36" t="s">
        <v>1792</v>
      </c>
      <c r="AC36" t="s">
        <v>1793</v>
      </c>
      <c r="AD36" t="s">
        <v>1794</v>
      </c>
      <c r="AE36" t="s">
        <v>1795</v>
      </c>
      <c r="AF36" t="s">
        <v>1796</v>
      </c>
      <c r="AG36" t="s">
        <v>1797</v>
      </c>
      <c r="AH36" t="s">
        <v>1798</v>
      </c>
      <c r="AI36" t="s">
        <v>1799</v>
      </c>
      <c r="AJ36" t="s">
        <v>1800</v>
      </c>
      <c r="AK36" t="s">
        <v>1801</v>
      </c>
      <c r="AL36" t="s">
        <v>684</v>
      </c>
    </row>
    <row r="37" spans="1:38">
      <c r="A37" s="1" t="s">
        <v>1802</v>
      </c>
      <c r="B37" t="s">
        <v>684</v>
      </c>
      <c r="C37" t="s">
        <v>684</v>
      </c>
      <c r="D37" t="s">
        <v>684</v>
      </c>
      <c r="E37" t="s">
        <v>684</v>
      </c>
      <c r="F37" t="s">
        <v>684</v>
      </c>
      <c r="G37" t="s">
        <v>684</v>
      </c>
      <c r="H37" t="s">
        <v>684</v>
      </c>
      <c r="I37" t="s">
        <v>684</v>
      </c>
      <c r="J37" t="s">
        <v>684</v>
      </c>
      <c r="K37" t="s">
        <v>1803</v>
      </c>
      <c r="L37" t="s">
        <v>1051</v>
      </c>
      <c r="M37" t="s">
        <v>1804</v>
      </c>
      <c r="N37" t="s">
        <v>1805</v>
      </c>
      <c r="O37" t="s">
        <v>1558</v>
      </c>
      <c r="P37" t="s">
        <v>1806</v>
      </c>
      <c r="Q37" t="s">
        <v>1807</v>
      </c>
      <c r="R37" t="s">
        <v>1808</v>
      </c>
      <c r="S37" t="s">
        <v>1809</v>
      </c>
      <c r="T37" t="s">
        <v>1810</v>
      </c>
      <c r="U37" t="s">
        <v>1811</v>
      </c>
      <c r="V37" t="s">
        <v>1812</v>
      </c>
      <c r="W37" t="s">
        <v>440</v>
      </c>
      <c r="X37" t="s">
        <v>441</v>
      </c>
      <c r="Y37" t="s">
        <v>442</v>
      </c>
      <c r="Z37" t="s">
        <v>443</v>
      </c>
      <c r="AA37" t="s">
        <v>444</v>
      </c>
      <c r="AB37" t="s">
        <v>445</v>
      </c>
      <c r="AC37" t="s">
        <v>446</v>
      </c>
      <c r="AD37" t="s">
        <v>447</v>
      </c>
      <c r="AE37" t="s">
        <v>448</v>
      </c>
      <c r="AF37" t="s">
        <v>449</v>
      </c>
      <c r="AG37" t="s">
        <v>450</v>
      </c>
      <c r="AH37" t="s">
        <v>451</v>
      </c>
      <c r="AI37" t="s">
        <v>452</v>
      </c>
      <c r="AJ37" t="s">
        <v>453</v>
      </c>
      <c r="AK37" t="s">
        <v>454</v>
      </c>
      <c r="AL37" t="s">
        <v>455</v>
      </c>
    </row>
    <row r="38" spans="1:38">
      <c r="A38" s="1" t="s">
        <v>1813</v>
      </c>
      <c r="B38" t="s">
        <v>684</v>
      </c>
      <c r="C38" t="s">
        <v>684</v>
      </c>
      <c r="D38" t="s">
        <v>684</v>
      </c>
      <c r="E38" t="s">
        <v>684</v>
      </c>
      <c r="F38" t="s">
        <v>684</v>
      </c>
      <c r="G38" t="s">
        <v>684</v>
      </c>
      <c r="H38" t="s">
        <v>684</v>
      </c>
      <c r="I38" t="s">
        <v>684</v>
      </c>
      <c r="J38" t="s">
        <v>684</v>
      </c>
      <c r="K38" t="s">
        <v>1437</v>
      </c>
      <c r="L38" t="s">
        <v>1438</v>
      </c>
      <c r="M38" t="s">
        <v>1439</v>
      </c>
      <c r="N38" t="s">
        <v>1440</v>
      </c>
      <c r="O38" t="s">
        <v>1441</v>
      </c>
      <c r="P38" t="s">
        <v>1442</v>
      </c>
      <c r="Q38" t="s">
        <v>1443</v>
      </c>
      <c r="R38" t="s">
        <v>1444</v>
      </c>
      <c r="S38" t="s">
        <v>1445</v>
      </c>
      <c r="T38" t="s">
        <v>1446</v>
      </c>
      <c r="U38" t="s">
        <v>1447</v>
      </c>
      <c r="V38" t="s">
        <v>1448</v>
      </c>
      <c r="W38" t="s">
        <v>1449</v>
      </c>
      <c r="X38" t="s">
        <v>1450</v>
      </c>
      <c r="Y38" t="s">
        <v>1451</v>
      </c>
      <c r="Z38" t="s">
        <v>1814</v>
      </c>
      <c r="AA38" t="s">
        <v>1815</v>
      </c>
      <c r="AB38" t="s">
        <v>1816</v>
      </c>
      <c r="AC38" t="s">
        <v>1817</v>
      </c>
      <c r="AD38" t="s">
        <v>1818</v>
      </c>
      <c r="AE38" t="s">
        <v>1819</v>
      </c>
      <c r="AF38" t="s">
        <v>1820</v>
      </c>
      <c r="AG38" t="s">
        <v>1821</v>
      </c>
      <c r="AH38" t="s">
        <v>1822</v>
      </c>
      <c r="AI38" t="s">
        <v>1823</v>
      </c>
      <c r="AJ38" t="s">
        <v>1824</v>
      </c>
      <c r="AK38" t="s">
        <v>1825</v>
      </c>
      <c r="AL38" t="s">
        <v>1826</v>
      </c>
    </row>
    <row r="39" spans="1:38">
      <c r="A39" s="1" t="s">
        <v>1827</v>
      </c>
      <c r="B39" t="s">
        <v>684</v>
      </c>
      <c r="C39" t="s">
        <v>684</v>
      </c>
      <c r="D39" t="s">
        <v>684</v>
      </c>
      <c r="E39" t="s">
        <v>684</v>
      </c>
      <c r="F39" t="s">
        <v>684</v>
      </c>
      <c r="G39" t="s">
        <v>684</v>
      </c>
      <c r="H39" t="s">
        <v>684</v>
      </c>
      <c r="I39" t="s">
        <v>684</v>
      </c>
      <c r="J39" t="s">
        <v>684</v>
      </c>
      <c r="K39" t="s">
        <v>684</v>
      </c>
      <c r="L39" t="s">
        <v>684</v>
      </c>
      <c r="M39" t="s">
        <v>684</v>
      </c>
      <c r="N39" t="s">
        <v>684</v>
      </c>
      <c r="O39" t="s">
        <v>684</v>
      </c>
      <c r="P39" t="s">
        <v>684</v>
      </c>
      <c r="Q39" t="s">
        <v>684</v>
      </c>
      <c r="R39" t="s">
        <v>684</v>
      </c>
      <c r="S39" t="s">
        <v>684</v>
      </c>
      <c r="T39" t="s">
        <v>684</v>
      </c>
      <c r="U39" t="s">
        <v>684</v>
      </c>
      <c r="V39" t="s">
        <v>684</v>
      </c>
      <c r="W39" t="s">
        <v>684</v>
      </c>
      <c r="X39" t="s">
        <v>684</v>
      </c>
      <c r="Y39" t="s">
        <v>684</v>
      </c>
      <c r="Z39" t="s">
        <v>1320</v>
      </c>
      <c r="AA39" t="s">
        <v>1828</v>
      </c>
      <c r="AB39" t="s">
        <v>1829</v>
      </c>
      <c r="AC39" t="s">
        <v>1830</v>
      </c>
      <c r="AD39" t="s">
        <v>1831</v>
      </c>
      <c r="AE39" t="s">
        <v>1832</v>
      </c>
      <c r="AF39" t="s">
        <v>1833</v>
      </c>
      <c r="AG39" t="s">
        <v>1834</v>
      </c>
      <c r="AH39" t="s">
        <v>1224</v>
      </c>
      <c r="AI39" t="s">
        <v>1835</v>
      </c>
      <c r="AJ39" t="s">
        <v>935</v>
      </c>
      <c r="AK39" t="s">
        <v>1836</v>
      </c>
      <c r="AL39" t="s">
        <v>1837</v>
      </c>
    </row>
    <row r="40" spans="1:38">
      <c r="A40" s="1" t="s">
        <v>1838</v>
      </c>
      <c r="B40" t="s">
        <v>684</v>
      </c>
      <c r="C40" t="s">
        <v>684</v>
      </c>
      <c r="D40" t="s">
        <v>684</v>
      </c>
      <c r="E40" t="s">
        <v>684</v>
      </c>
      <c r="F40" t="s">
        <v>684</v>
      </c>
      <c r="G40" t="s">
        <v>684</v>
      </c>
      <c r="H40" t="s">
        <v>684</v>
      </c>
      <c r="I40" t="s">
        <v>684</v>
      </c>
      <c r="J40" t="s">
        <v>684</v>
      </c>
      <c r="K40" t="s">
        <v>1437</v>
      </c>
      <c r="L40" t="s">
        <v>1438</v>
      </c>
      <c r="M40" t="s">
        <v>1439</v>
      </c>
      <c r="N40" t="s">
        <v>1440</v>
      </c>
      <c r="O40" t="s">
        <v>1441</v>
      </c>
      <c r="P40" t="s">
        <v>1442</v>
      </c>
      <c r="Q40" t="s">
        <v>1443</v>
      </c>
      <c r="R40" t="s">
        <v>1444</v>
      </c>
      <c r="S40" t="s">
        <v>1445</v>
      </c>
      <c r="T40" t="s">
        <v>1446</v>
      </c>
      <c r="U40" t="s">
        <v>1447</v>
      </c>
      <c r="V40" t="s">
        <v>1448</v>
      </c>
      <c r="W40" t="s">
        <v>1449</v>
      </c>
      <c r="X40" t="s">
        <v>1450</v>
      </c>
      <c r="Y40" t="s">
        <v>1451</v>
      </c>
      <c r="Z40" t="s">
        <v>1452</v>
      </c>
      <c r="AA40" t="s">
        <v>1453</v>
      </c>
      <c r="AB40" t="s">
        <v>1454</v>
      </c>
      <c r="AC40" t="s">
        <v>1455</v>
      </c>
      <c r="AD40" t="s">
        <v>1456</v>
      </c>
      <c r="AE40" t="s">
        <v>1457</v>
      </c>
      <c r="AF40" t="s">
        <v>1458</v>
      </c>
      <c r="AG40" t="s">
        <v>1459</v>
      </c>
      <c r="AH40" t="s">
        <v>1460</v>
      </c>
      <c r="AI40" t="s">
        <v>1461</v>
      </c>
      <c r="AJ40" t="s">
        <v>1462</v>
      </c>
      <c r="AK40" t="s">
        <v>1463</v>
      </c>
      <c r="AL40" t="s">
        <v>1464</v>
      </c>
    </row>
    <row r="43" spans="1:38">
      <c r="A43" s="2" t="s">
        <v>126</v>
      </c>
      <c r="K43">
        <f>K18/K31</f>
        <v>1.6060430655244269</v>
      </c>
      <c r="L43">
        <f t="shared" ref="L43:AL43" si="0">L18/L31</f>
        <v>1.5588143849103535</v>
      </c>
      <c r="M43">
        <f t="shared" si="0"/>
        <v>1.6152923538230886</v>
      </c>
      <c r="N43">
        <f t="shared" si="0"/>
        <v>1.759268875272614</v>
      </c>
      <c r="O43">
        <f t="shared" si="0"/>
        <v>1.7822565630236455</v>
      </c>
      <c r="P43">
        <f t="shared" si="0"/>
        <v>1.7855491329479769</v>
      </c>
      <c r="Q43">
        <f t="shared" si="0"/>
        <v>1.8088209758638651</v>
      </c>
      <c r="R43">
        <f t="shared" si="0"/>
        <v>2.0285042077640032</v>
      </c>
      <c r="S43">
        <f t="shared" si="0"/>
        <v>1.9290607038815841</v>
      </c>
      <c r="T43">
        <f t="shared" si="0"/>
        <v>2.0632357380018109</v>
      </c>
      <c r="U43">
        <f t="shared" si="0"/>
        <v>2.0352780665280665</v>
      </c>
      <c r="V43">
        <f t="shared" si="0"/>
        <v>2.2511474908200735</v>
      </c>
      <c r="W43">
        <f t="shared" si="0"/>
        <v>2.2972475657440774</v>
      </c>
      <c r="X43">
        <f t="shared" si="0"/>
        <v>2.0101742160278744</v>
      </c>
      <c r="Y43">
        <f t="shared" si="0"/>
        <v>2.0212001795779919</v>
      </c>
      <c r="Z43">
        <f t="shared" si="0"/>
        <v>2.0866452304394425</v>
      </c>
      <c r="AA43">
        <f t="shared" si="0"/>
        <v>1.7527401211421978</v>
      </c>
      <c r="AB43">
        <f t="shared" si="0"/>
        <v>1.6642873493850541</v>
      </c>
      <c r="AC43">
        <f t="shared" si="0"/>
        <v>1.6257404822095611</v>
      </c>
      <c r="AD43">
        <f t="shared" si="0"/>
        <v>1.5906561865230062</v>
      </c>
      <c r="AE43">
        <f t="shared" si="0"/>
        <v>1.4972340633236796</v>
      </c>
      <c r="AF43">
        <f t="shared" si="0"/>
        <v>1.4005036608683485</v>
      </c>
      <c r="AG43">
        <f t="shared" si="0"/>
        <v>1.3625292740046839</v>
      </c>
      <c r="AH43">
        <f t="shared" si="0"/>
        <v>1.2753522250758136</v>
      </c>
      <c r="AI43">
        <f t="shared" si="0"/>
        <v>1.297047912964868</v>
      </c>
      <c r="AJ43">
        <f t="shared" si="0"/>
        <v>1.323177550051315</v>
      </c>
      <c r="AK43">
        <f t="shared" si="0"/>
        <v>1.3224262255347512</v>
      </c>
      <c r="AL43">
        <f t="shared" si="0"/>
        <v>1.3577287247819956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29"/>
  <sheetViews>
    <sheetView workbookViewId="0"/>
  </sheetViews>
  <sheetFormatPr defaultRowHeight="14.45"/>
  <sheetData>
    <row r="1" spans="1:38">
      <c r="B1" s="1" t="s">
        <v>531</v>
      </c>
      <c r="C1" s="1" t="s">
        <v>532</v>
      </c>
      <c r="D1" s="1" t="s">
        <v>533</v>
      </c>
      <c r="E1" s="1" t="s">
        <v>534</v>
      </c>
      <c r="F1" s="1" t="s">
        <v>535</v>
      </c>
      <c r="G1" s="1" t="s">
        <v>536</v>
      </c>
      <c r="H1" s="1" t="s">
        <v>537</v>
      </c>
      <c r="I1" s="1" t="s">
        <v>538</v>
      </c>
      <c r="J1" s="1" t="s">
        <v>539</v>
      </c>
      <c r="K1" s="1" t="s">
        <v>540</v>
      </c>
      <c r="L1" s="1" t="s">
        <v>541</v>
      </c>
      <c r="M1" s="1" t="s">
        <v>542</v>
      </c>
      <c r="N1" s="1" t="s">
        <v>543</v>
      </c>
      <c r="O1" s="1" t="s">
        <v>544</v>
      </c>
      <c r="P1" s="1" t="s">
        <v>545</v>
      </c>
      <c r="Q1" s="1" t="s">
        <v>546</v>
      </c>
      <c r="R1" s="1" t="s">
        <v>547</v>
      </c>
      <c r="S1" s="1" t="s">
        <v>548</v>
      </c>
      <c r="T1" s="1" t="s">
        <v>549</v>
      </c>
      <c r="U1" s="1" t="s">
        <v>550</v>
      </c>
      <c r="V1" s="1" t="s">
        <v>551</v>
      </c>
      <c r="W1" s="1" t="s">
        <v>133</v>
      </c>
      <c r="X1" s="1" t="s">
        <v>134</v>
      </c>
      <c r="Y1" s="1" t="s">
        <v>135</v>
      </c>
      <c r="Z1" s="1" t="s">
        <v>136</v>
      </c>
      <c r="AA1" s="1" t="s">
        <v>137</v>
      </c>
      <c r="AB1" s="1" t="s">
        <v>138</v>
      </c>
      <c r="AC1" s="1" t="s">
        <v>139</v>
      </c>
      <c r="AD1" s="1" t="s">
        <v>140</v>
      </c>
      <c r="AE1" s="1" t="s">
        <v>141</v>
      </c>
      <c r="AF1" s="1" t="s">
        <v>142</v>
      </c>
      <c r="AG1" s="1" t="s">
        <v>143</v>
      </c>
      <c r="AH1" s="1" t="s">
        <v>144</v>
      </c>
      <c r="AI1" s="1" t="s">
        <v>145</v>
      </c>
      <c r="AJ1" s="1" t="s">
        <v>146</v>
      </c>
      <c r="AK1" s="1" t="s">
        <v>147</v>
      </c>
      <c r="AL1" s="1" t="s">
        <v>148</v>
      </c>
    </row>
    <row r="2" spans="1:38">
      <c r="A2" s="1" t="s">
        <v>1007</v>
      </c>
      <c r="B2" t="s">
        <v>684</v>
      </c>
      <c r="C2" t="s">
        <v>684</v>
      </c>
      <c r="D2" t="s">
        <v>684</v>
      </c>
      <c r="E2" t="s">
        <v>684</v>
      </c>
      <c r="F2" t="s">
        <v>409</v>
      </c>
      <c r="G2" t="s">
        <v>1011</v>
      </c>
      <c r="H2" t="s">
        <v>1012</v>
      </c>
      <c r="I2" t="s">
        <v>1013</v>
      </c>
      <c r="J2" t="s">
        <v>1014</v>
      </c>
      <c r="K2" t="s">
        <v>1015</v>
      </c>
      <c r="L2" t="s">
        <v>1016</v>
      </c>
      <c r="M2" t="s">
        <v>1017</v>
      </c>
      <c r="N2" t="s">
        <v>1018</v>
      </c>
      <c r="O2" t="s">
        <v>835</v>
      </c>
      <c r="P2" t="s">
        <v>1019</v>
      </c>
      <c r="Q2" t="s">
        <v>1020</v>
      </c>
      <c r="R2" t="s">
        <v>1021</v>
      </c>
      <c r="S2" t="s">
        <v>1022</v>
      </c>
      <c r="T2" t="s">
        <v>1023</v>
      </c>
      <c r="U2" t="s">
        <v>1024</v>
      </c>
      <c r="V2" t="s">
        <v>1025</v>
      </c>
      <c r="W2" t="s">
        <v>355</v>
      </c>
      <c r="X2" t="s">
        <v>356</v>
      </c>
      <c r="Y2" t="s">
        <v>357</v>
      </c>
      <c r="Z2" t="s">
        <v>358</v>
      </c>
      <c r="AA2" t="s">
        <v>359</v>
      </c>
      <c r="AB2" t="s">
        <v>360</v>
      </c>
      <c r="AC2" t="s">
        <v>361</v>
      </c>
      <c r="AD2" t="s">
        <v>362</v>
      </c>
      <c r="AE2" t="s">
        <v>363</v>
      </c>
      <c r="AF2" t="s">
        <v>364</v>
      </c>
      <c r="AG2" t="s">
        <v>365</v>
      </c>
      <c r="AH2" t="s">
        <v>366</v>
      </c>
      <c r="AI2" t="s">
        <v>367</v>
      </c>
      <c r="AJ2" t="s">
        <v>368</v>
      </c>
      <c r="AK2" t="s">
        <v>369</v>
      </c>
      <c r="AL2" t="s">
        <v>370</v>
      </c>
    </row>
    <row r="3" spans="1:38">
      <c r="A3" s="1" t="s">
        <v>820</v>
      </c>
      <c r="B3" t="s">
        <v>684</v>
      </c>
      <c r="C3" t="s">
        <v>684</v>
      </c>
      <c r="D3" t="s">
        <v>684</v>
      </c>
      <c r="E3" t="s">
        <v>684</v>
      </c>
      <c r="F3" t="s">
        <v>736</v>
      </c>
      <c r="G3" t="s">
        <v>737</v>
      </c>
      <c r="H3" t="s">
        <v>738</v>
      </c>
      <c r="I3" t="s">
        <v>739</v>
      </c>
      <c r="J3" t="s">
        <v>740</v>
      </c>
      <c r="K3" t="s">
        <v>741</v>
      </c>
      <c r="L3" t="s">
        <v>742</v>
      </c>
      <c r="M3" t="s">
        <v>743</v>
      </c>
      <c r="N3" t="s">
        <v>744</v>
      </c>
      <c r="O3" t="s">
        <v>745</v>
      </c>
      <c r="P3" t="s">
        <v>746</v>
      </c>
      <c r="Q3" t="s">
        <v>821</v>
      </c>
      <c r="R3" t="s">
        <v>822</v>
      </c>
      <c r="S3" t="s">
        <v>823</v>
      </c>
      <c r="T3" t="s">
        <v>824</v>
      </c>
      <c r="U3" t="s">
        <v>825</v>
      </c>
      <c r="V3" t="s">
        <v>826</v>
      </c>
      <c r="W3" t="s">
        <v>337</v>
      </c>
      <c r="X3" t="s">
        <v>338</v>
      </c>
      <c r="Y3" t="s">
        <v>339</v>
      </c>
      <c r="Z3" t="s">
        <v>340</v>
      </c>
      <c r="AA3" t="s">
        <v>341</v>
      </c>
      <c r="AB3" t="s">
        <v>342</v>
      </c>
      <c r="AC3" t="s">
        <v>343</v>
      </c>
      <c r="AD3" t="s">
        <v>344</v>
      </c>
      <c r="AE3" t="s">
        <v>345</v>
      </c>
      <c r="AF3" t="s">
        <v>346</v>
      </c>
      <c r="AG3" t="s">
        <v>347</v>
      </c>
      <c r="AH3" t="s">
        <v>348</v>
      </c>
      <c r="AI3" t="s">
        <v>349</v>
      </c>
      <c r="AJ3" t="s">
        <v>350</v>
      </c>
      <c r="AK3" t="s">
        <v>351</v>
      </c>
      <c r="AL3" t="s">
        <v>352</v>
      </c>
    </row>
    <row r="4" spans="1:38">
      <c r="A4" s="1" t="s">
        <v>1839</v>
      </c>
      <c r="B4" t="s">
        <v>684</v>
      </c>
      <c r="C4" t="s">
        <v>684</v>
      </c>
      <c r="D4" t="s">
        <v>684</v>
      </c>
      <c r="E4" t="s">
        <v>684</v>
      </c>
      <c r="F4" t="s">
        <v>1840</v>
      </c>
      <c r="G4" t="s">
        <v>1841</v>
      </c>
      <c r="H4" t="s">
        <v>1842</v>
      </c>
      <c r="I4" t="s">
        <v>1843</v>
      </c>
      <c r="J4" t="s">
        <v>1844</v>
      </c>
      <c r="K4" t="s">
        <v>1845</v>
      </c>
      <c r="L4" t="s">
        <v>1846</v>
      </c>
      <c r="M4" t="s">
        <v>1847</v>
      </c>
      <c r="N4" t="s">
        <v>1848</v>
      </c>
      <c r="O4" t="s">
        <v>1849</v>
      </c>
      <c r="P4" t="s">
        <v>1850</v>
      </c>
      <c r="Q4" t="s">
        <v>1851</v>
      </c>
      <c r="R4" t="s">
        <v>1852</v>
      </c>
      <c r="S4" t="s">
        <v>1853</v>
      </c>
      <c r="T4" t="s">
        <v>1854</v>
      </c>
      <c r="U4" t="s">
        <v>1855</v>
      </c>
      <c r="V4" t="s">
        <v>1856</v>
      </c>
      <c r="W4" t="s">
        <v>1857</v>
      </c>
      <c r="X4" t="s">
        <v>1858</v>
      </c>
      <c r="Y4" t="s">
        <v>1859</v>
      </c>
      <c r="Z4" t="s">
        <v>1860</v>
      </c>
      <c r="AA4" t="s">
        <v>1861</v>
      </c>
      <c r="AB4" t="s">
        <v>1862</v>
      </c>
      <c r="AC4" t="s">
        <v>1863</v>
      </c>
      <c r="AD4" t="s">
        <v>1864</v>
      </c>
      <c r="AE4" t="s">
        <v>1865</v>
      </c>
      <c r="AF4" t="s">
        <v>1115</v>
      </c>
      <c r="AG4" t="s">
        <v>1866</v>
      </c>
      <c r="AH4" t="s">
        <v>1867</v>
      </c>
      <c r="AI4" t="s">
        <v>1868</v>
      </c>
      <c r="AJ4" t="s">
        <v>1869</v>
      </c>
      <c r="AK4" t="s">
        <v>1870</v>
      </c>
      <c r="AL4" t="s">
        <v>1871</v>
      </c>
    </row>
    <row r="5" spans="1:38">
      <c r="A5" s="1" t="s">
        <v>1872</v>
      </c>
      <c r="B5" t="s">
        <v>684</v>
      </c>
      <c r="C5" t="s">
        <v>684</v>
      </c>
      <c r="D5" t="s">
        <v>684</v>
      </c>
      <c r="E5" t="s">
        <v>684</v>
      </c>
      <c r="F5" t="s">
        <v>684</v>
      </c>
      <c r="G5" t="s">
        <v>684</v>
      </c>
      <c r="H5" t="s">
        <v>684</v>
      </c>
      <c r="I5" t="s">
        <v>684</v>
      </c>
      <c r="J5" t="s">
        <v>684</v>
      </c>
      <c r="K5" t="s">
        <v>684</v>
      </c>
      <c r="L5" t="s">
        <v>684</v>
      </c>
      <c r="M5" t="s">
        <v>684</v>
      </c>
      <c r="N5" t="s">
        <v>684</v>
      </c>
      <c r="O5" t="s">
        <v>684</v>
      </c>
      <c r="P5" t="s">
        <v>684</v>
      </c>
      <c r="Q5" t="s">
        <v>684</v>
      </c>
      <c r="R5" t="s">
        <v>684</v>
      </c>
      <c r="S5" t="s">
        <v>684</v>
      </c>
      <c r="T5" t="s">
        <v>684</v>
      </c>
      <c r="U5" t="s">
        <v>684</v>
      </c>
      <c r="V5" t="s">
        <v>684</v>
      </c>
      <c r="W5" t="s">
        <v>684</v>
      </c>
      <c r="X5" t="s">
        <v>684</v>
      </c>
      <c r="Y5" t="s">
        <v>1873</v>
      </c>
      <c r="Z5" t="s">
        <v>1832</v>
      </c>
      <c r="AA5" t="s">
        <v>1848</v>
      </c>
      <c r="AB5" t="s">
        <v>1874</v>
      </c>
      <c r="AC5" t="s">
        <v>1875</v>
      </c>
      <c r="AD5" t="s">
        <v>1876</v>
      </c>
      <c r="AE5" t="s">
        <v>1877</v>
      </c>
      <c r="AF5" t="s">
        <v>910</v>
      </c>
      <c r="AG5" t="s">
        <v>1878</v>
      </c>
      <c r="AH5" t="s">
        <v>1117</v>
      </c>
      <c r="AI5" t="s">
        <v>1879</v>
      </c>
      <c r="AJ5" t="s">
        <v>1114</v>
      </c>
      <c r="AK5" t="s">
        <v>1880</v>
      </c>
      <c r="AL5" t="s">
        <v>1614</v>
      </c>
    </row>
    <row r="6" spans="1:38">
      <c r="A6" s="1" t="s">
        <v>1881</v>
      </c>
      <c r="B6" t="s">
        <v>684</v>
      </c>
      <c r="C6" t="s">
        <v>684</v>
      </c>
      <c r="D6" t="s">
        <v>684</v>
      </c>
      <c r="E6" t="s">
        <v>684</v>
      </c>
      <c r="F6" t="s">
        <v>1882</v>
      </c>
      <c r="G6" t="s">
        <v>1883</v>
      </c>
      <c r="H6" t="s">
        <v>1884</v>
      </c>
      <c r="I6" t="s">
        <v>1885</v>
      </c>
      <c r="J6" t="s">
        <v>1886</v>
      </c>
      <c r="K6" t="s">
        <v>1887</v>
      </c>
      <c r="L6" t="s">
        <v>1888</v>
      </c>
      <c r="M6" t="s">
        <v>1889</v>
      </c>
      <c r="N6" t="s">
        <v>1890</v>
      </c>
      <c r="O6" t="s">
        <v>1891</v>
      </c>
      <c r="P6" t="s">
        <v>1892</v>
      </c>
      <c r="Q6" t="s">
        <v>1893</v>
      </c>
      <c r="R6" t="s">
        <v>1894</v>
      </c>
      <c r="S6" t="s">
        <v>1895</v>
      </c>
      <c r="T6" t="s">
        <v>1896</v>
      </c>
      <c r="U6" t="s">
        <v>1897</v>
      </c>
      <c r="V6" t="s">
        <v>1898</v>
      </c>
      <c r="W6" t="s">
        <v>1899</v>
      </c>
      <c r="X6" t="s">
        <v>1900</v>
      </c>
      <c r="Y6" t="s">
        <v>1901</v>
      </c>
      <c r="Z6" t="s">
        <v>1902</v>
      </c>
      <c r="AA6" t="s">
        <v>805</v>
      </c>
      <c r="AB6" t="s">
        <v>1903</v>
      </c>
      <c r="AC6" t="s">
        <v>1904</v>
      </c>
      <c r="AD6" t="s">
        <v>1905</v>
      </c>
      <c r="AE6" t="s">
        <v>1906</v>
      </c>
      <c r="AF6" t="s">
        <v>1907</v>
      </c>
      <c r="AG6" t="s">
        <v>1908</v>
      </c>
      <c r="AH6" t="s">
        <v>1909</v>
      </c>
      <c r="AI6" t="s">
        <v>1910</v>
      </c>
      <c r="AJ6" t="s">
        <v>901</v>
      </c>
      <c r="AK6" t="s">
        <v>1911</v>
      </c>
      <c r="AL6" t="s">
        <v>1912</v>
      </c>
    </row>
    <row r="7" spans="1:38">
      <c r="A7" s="1" t="s">
        <v>1913</v>
      </c>
      <c r="B7" t="s">
        <v>684</v>
      </c>
      <c r="C7" t="s">
        <v>684</v>
      </c>
      <c r="D7" t="s">
        <v>684</v>
      </c>
      <c r="E7" t="s">
        <v>684</v>
      </c>
      <c r="F7" t="s">
        <v>684</v>
      </c>
      <c r="G7" t="s">
        <v>684</v>
      </c>
      <c r="H7" t="s">
        <v>684</v>
      </c>
      <c r="I7" t="s">
        <v>684</v>
      </c>
      <c r="J7" t="s">
        <v>684</v>
      </c>
      <c r="K7" t="s">
        <v>684</v>
      </c>
      <c r="L7" t="s">
        <v>684</v>
      </c>
      <c r="M7" t="s">
        <v>684</v>
      </c>
      <c r="N7" t="s">
        <v>684</v>
      </c>
      <c r="O7" t="s">
        <v>684</v>
      </c>
      <c r="P7" t="s">
        <v>684</v>
      </c>
      <c r="Q7" t="s">
        <v>684</v>
      </c>
      <c r="R7" t="s">
        <v>684</v>
      </c>
      <c r="S7" t="s">
        <v>684</v>
      </c>
      <c r="T7" t="s">
        <v>684</v>
      </c>
      <c r="U7" t="s">
        <v>684</v>
      </c>
      <c r="V7" t="s">
        <v>684</v>
      </c>
      <c r="W7" t="s">
        <v>684</v>
      </c>
      <c r="X7" t="s">
        <v>684</v>
      </c>
      <c r="Y7" t="s">
        <v>1914</v>
      </c>
      <c r="Z7" t="s">
        <v>1915</v>
      </c>
      <c r="AA7" t="s">
        <v>1916</v>
      </c>
      <c r="AB7" t="s">
        <v>1917</v>
      </c>
      <c r="AC7" t="s">
        <v>1918</v>
      </c>
      <c r="AD7" t="s">
        <v>1919</v>
      </c>
      <c r="AE7" t="s">
        <v>1920</v>
      </c>
      <c r="AF7" t="s">
        <v>1921</v>
      </c>
      <c r="AG7" t="s">
        <v>1922</v>
      </c>
      <c r="AH7" t="s">
        <v>1923</v>
      </c>
      <c r="AI7" t="s">
        <v>1120</v>
      </c>
      <c r="AJ7" t="s">
        <v>1924</v>
      </c>
      <c r="AK7" t="s">
        <v>1925</v>
      </c>
      <c r="AL7" t="s">
        <v>1926</v>
      </c>
    </row>
    <row r="8" spans="1:38">
      <c r="A8" s="1" t="s">
        <v>1190</v>
      </c>
      <c r="B8" t="s">
        <v>684</v>
      </c>
      <c r="C8" t="s">
        <v>684</v>
      </c>
      <c r="D8" t="s">
        <v>684</v>
      </c>
      <c r="E8" t="s">
        <v>684</v>
      </c>
      <c r="F8" t="s">
        <v>1857</v>
      </c>
      <c r="G8" t="s">
        <v>1927</v>
      </c>
      <c r="H8" t="s">
        <v>1928</v>
      </c>
      <c r="I8" t="s">
        <v>1929</v>
      </c>
      <c r="J8" t="s">
        <v>1916</v>
      </c>
      <c r="K8" t="s">
        <v>1930</v>
      </c>
      <c r="L8" t="s">
        <v>1931</v>
      </c>
      <c r="M8" t="s">
        <v>1918</v>
      </c>
      <c r="N8" t="s">
        <v>1885</v>
      </c>
      <c r="O8" t="s">
        <v>1932</v>
      </c>
      <c r="P8" t="s">
        <v>913</v>
      </c>
      <c r="Q8" t="s">
        <v>752</v>
      </c>
      <c r="R8" t="s">
        <v>1933</v>
      </c>
      <c r="S8" t="s">
        <v>1934</v>
      </c>
      <c r="T8" t="s">
        <v>1935</v>
      </c>
      <c r="U8" t="s">
        <v>1936</v>
      </c>
      <c r="V8" t="s">
        <v>1937</v>
      </c>
      <c r="W8" t="s">
        <v>1938</v>
      </c>
      <c r="X8" t="s">
        <v>1939</v>
      </c>
      <c r="Y8" t="s">
        <v>1940</v>
      </c>
      <c r="Z8" t="s">
        <v>1941</v>
      </c>
      <c r="AA8" t="s">
        <v>1942</v>
      </c>
      <c r="AB8" t="s">
        <v>1943</v>
      </c>
      <c r="AC8" t="s">
        <v>1944</v>
      </c>
      <c r="AD8" t="s">
        <v>1945</v>
      </c>
      <c r="AE8" t="s">
        <v>1946</v>
      </c>
      <c r="AF8" t="s">
        <v>1947</v>
      </c>
      <c r="AG8" t="s">
        <v>1948</v>
      </c>
      <c r="AH8" t="s">
        <v>1949</v>
      </c>
      <c r="AI8" t="s">
        <v>1950</v>
      </c>
      <c r="AJ8" t="s">
        <v>1951</v>
      </c>
      <c r="AK8" t="s">
        <v>1952</v>
      </c>
      <c r="AL8" t="s">
        <v>1953</v>
      </c>
    </row>
    <row r="9" spans="1:38">
      <c r="A9" s="1" t="s">
        <v>1465</v>
      </c>
      <c r="B9" t="s">
        <v>684</v>
      </c>
      <c r="C9" t="s">
        <v>684</v>
      </c>
      <c r="D9" t="s">
        <v>684</v>
      </c>
      <c r="E9" t="s">
        <v>684</v>
      </c>
      <c r="F9" t="s">
        <v>684</v>
      </c>
      <c r="G9" t="s">
        <v>684</v>
      </c>
      <c r="H9" t="s">
        <v>684</v>
      </c>
      <c r="I9" t="s">
        <v>684</v>
      </c>
      <c r="J9" t="s">
        <v>684</v>
      </c>
      <c r="K9" t="s">
        <v>684</v>
      </c>
      <c r="L9" t="s">
        <v>684</v>
      </c>
      <c r="M9" t="s">
        <v>684</v>
      </c>
      <c r="N9" t="s">
        <v>684</v>
      </c>
      <c r="O9" t="s">
        <v>684</v>
      </c>
      <c r="P9" t="s">
        <v>684</v>
      </c>
      <c r="Q9" t="s">
        <v>684</v>
      </c>
      <c r="R9" t="s">
        <v>684</v>
      </c>
      <c r="S9" t="s">
        <v>684</v>
      </c>
      <c r="T9" t="s">
        <v>684</v>
      </c>
      <c r="U9" t="s">
        <v>684</v>
      </c>
      <c r="V9" t="s">
        <v>684</v>
      </c>
      <c r="W9" t="s">
        <v>684</v>
      </c>
      <c r="X9" t="s">
        <v>684</v>
      </c>
      <c r="Y9" t="s">
        <v>684</v>
      </c>
      <c r="Z9" t="s">
        <v>684</v>
      </c>
      <c r="AA9" t="s">
        <v>684</v>
      </c>
      <c r="AB9" t="s">
        <v>684</v>
      </c>
      <c r="AC9" t="s">
        <v>1954</v>
      </c>
      <c r="AD9" t="s">
        <v>1924</v>
      </c>
      <c r="AE9" t="s">
        <v>1947</v>
      </c>
      <c r="AF9" t="s">
        <v>1638</v>
      </c>
      <c r="AG9" t="s">
        <v>1955</v>
      </c>
      <c r="AH9" t="s">
        <v>1956</v>
      </c>
      <c r="AI9" t="s">
        <v>1957</v>
      </c>
      <c r="AJ9" t="s">
        <v>1958</v>
      </c>
      <c r="AK9" t="s">
        <v>1959</v>
      </c>
      <c r="AL9" t="s">
        <v>1960</v>
      </c>
    </row>
    <row r="10" spans="1:38">
      <c r="A10" s="1" t="s">
        <v>1961</v>
      </c>
      <c r="B10" t="s">
        <v>684</v>
      </c>
      <c r="C10" t="s">
        <v>684</v>
      </c>
      <c r="D10" t="s">
        <v>684</v>
      </c>
      <c r="E10" t="s">
        <v>684</v>
      </c>
      <c r="F10" t="s">
        <v>684</v>
      </c>
      <c r="G10" t="s">
        <v>684</v>
      </c>
      <c r="H10" t="s">
        <v>684</v>
      </c>
      <c r="I10" t="s">
        <v>684</v>
      </c>
      <c r="J10" t="s">
        <v>1962</v>
      </c>
      <c r="K10" t="s">
        <v>1962</v>
      </c>
      <c r="L10" t="s">
        <v>1963</v>
      </c>
      <c r="M10" t="s">
        <v>1964</v>
      </c>
      <c r="N10" t="s">
        <v>1965</v>
      </c>
      <c r="O10" t="s">
        <v>1966</v>
      </c>
      <c r="P10" t="s">
        <v>1967</v>
      </c>
      <c r="Q10" t="s">
        <v>1968</v>
      </c>
      <c r="R10" t="s">
        <v>1969</v>
      </c>
      <c r="S10" t="s">
        <v>753</v>
      </c>
      <c r="T10" t="s">
        <v>1970</v>
      </c>
      <c r="U10" t="s">
        <v>1971</v>
      </c>
      <c r="V10" t="s">
        <v>1972</v>
      </c>
      <c r="W10" t="s">
        <v>1973</v>
      </c>
      <c r="X10" t="s">
        <v>1918</v>
      </c>
      <c r="Y10" t="s">
        <v>406</v>
      </c>
      <c r="Z10" t="s">
        <v>1883</v>
      </c>
      <c r="AA10" t="s">
        <v>408</v>
      </c>
      <c r="AB10" t="s">
        <v>1974</v>
      </c>
      <c r="AC10" t="s">
        <v>1975</v>
      </c>
      <c r="AD10" t="s">
        <v>1954</v>
      </c>
      <c r="AE10" t="s">
        <v>1976</v>
      </c>
      <c r="AF10" t="s">
        <v>1977</v>
      </c>
      <c r="AG10" t="s">
        <v>1978</v>
      </c>
      <c r="AH10" t="s">
        <v>1979</v>
      </c>
      <c r="AI10" t="s">
        <v>1980</v>
      </c>
      <c r="AJ10" t="s">
        <v>1981</v>
      </c>
      <c r="AK10" t="s">
        <v>1982</v>
      </c>
      <c r="AL10" t="s">
        <v>419</v>
      </c>
    </row>
    <row r="11" spans="1:38">
      <c r="A11" s="1" t="s">
        <v>1983</v>
      </c>
      <c r="B11" t="s">
        <v>684</v>
      </c>
      <c r="C11" t="s">
        <v>684</v>
      </c>
      <c r="D11" t="s">
        <v>684</v>
      </c>
      <c r="E11" t="s">
        <v>684</v>
      </c>
      <c r="F11" t="s">
        <v>1984</v>
      </c>
      <c r="G11" t="s">
        <v>1985</v>
      </c>
      <c r="H11" t="s">
        <v>900</v>
      </c>
      <c r="I11" t="s">
        <v>1986</v>
      </c>
      <c r="J11" t="s">
        <v>1987</v>
      </c>
      <c r="K11" t="s">
        <v>1988</v>
      </c>
      <c r="L11" t="s">
        <v>1989</v>
      </c>
      <c r="M11" t="s">
        <v>1990</v>
      </c>
      <c r="N11" t="s">
        <v>1991</v>
      </c>
      <c r="O11" t="s">
        <v>1907</v>
      </c>
      <c r="P11" t="s">
        <v>1992</v>
      </c>
      <c r="Q11" t="s">
        <v>1993</v>
      </c>
      <c r="R11" t="s">
        <v>1994</v>
      </c>
      <c r="S11" t="s">
        <v>1995</v>
      </c>
      <c r="T11" t="s">
        <v>1996</v>
      </c>
      <c r="U11" t="s">
        <v>1997</v>
      </c>
      <c r="V11" t="s">
        <v>1998</v>
      </c>
      <c r="W11" t="s">
        <v>1999</v>
      </c>
      <c r="X11" t="s">
        <v>2000</v>
      </c>
      <c r="Y11" t="s">
        <v>1958</v>
      </c>
      <c r="Z11" t="s">
        <v>2001</v>
      </c>
      <c r="AA11" t="s">
        <v>2002</v>
      </c>
      <c r="AB11" t="s">
        <v>2003</v>
      </c>
      <c r="AC11" t="s">
        <v>2004</v>
      </c>
      <c r="AD11" t="s">
        <v>2005</v>
      </c>
      <c r="AE11" t="s">
        <v>2006</v>
      </c>
      <c r="AF11" t="s">
        <v>1198</v>
      </c>
      <c r="AG11" t="s">
        <v>2007</v>
      </c>
      <c r="AH11" t="s">
        <v>2008</v>
      </c>
      <c r="AI11" t="s">
        <v>2009</v>
      </c>
      <c r="AJ11" t="s">
        <v>2010</v>
      </c>
      <c r="AK11" t="s">
        <v>2011</v>
      </c>
      <c r="AL11" t="s">
        <v>2012</v>
      </c>
    </row>
    <row r="12" spans="1:38">
      <c r="A12" s="1" t="s">
        <v>2013</v>
      </c>
      <c r="B12" t="s">
        <v>684</v>
      </c>
      <c r="C12" t="s">
        <v>684</v>
      </c>
      <c r="D12" t="s">
        <v>684</v>
      </c>
      <c r="E12" t="s">
        <v>684</v>
      </c>
      <c r="F12" t="s">
        <v>2014</v>
      </c>
      <c r="G12" t="s">
        <v>2015</v>
      </c>
      <c r="H12" t="s">
        <v>2016</v>
      </c>
      <c r="I12" t="s">
        <v>2017</v>
      </c>
      <c r="J12" t="s">
        <v>2018</v>
      </c>
      <c r="K12" t="s">
        <v>2019</v>
      </c>
      <c r="L12" t="s">
        <v>2020</v>
      </c>
      <c r="M12" t="s">
        <v>2021</v>
      </c>
      <c r="N12" t="s">
        <v>2022</v>
      </c>
      <c r="O12" t="s">
        <v>2023</v>
      </c>
      <c r="P12" t="s">
        <v>2024</v>
      </c>
      <c r="Q12" t="s">
        <v>1398</v>
      </c>
      <c r="R12" t="s">
        <v>2025</v>
      </c>
      <c r="S12" t="s">
        <v>2026</v>
      </c>
      <c r="T12" t="s">
        <v>2027</v>
      </c>
      <c r="U12" t="s">
        <v>2028</v>
      </c>
      <c r="V12" t="s">
        <v>2029</v>
      </c>
      <c r="W12" t="s">
        <v>2030</v>
      </c>
      <c r="X12" t="s">
        <v>2031</v>
      </c>
      <c r="Y12" t="s">
        <v>2032</v>
      </c>
      <c r="Z12" t="s">
        <v>2033</v>
      </c>
      <c r="AA12" t="s">
        <v>2034</v>
      </c>
      <c r="AB12" t="s">
        <v>2035</v>
      </c>
      <c r="AC12" t="s">
        <v>2036</v>
      </c>
      <c r="AD12" t="s">
        <v>2037</v>
      </c>
      <c r="AE12" t="s">
        <v>2038</v>
      </c>
      <c r="AF12" t="s">
        <v>2039</v>
      </c>
      <c r="AG12" t="s">
        <v>2040</v>
      </c>
      <c r="AH12" t="s">
        <v>2041</v>
      </c>
      <c r="AI12" t="s">
        <v>2042</v>
      </c>
      <c r="AJ12" t="s">
        <v>2043</v>
      </c>
      <c r="AK12" t="s">
        <v>2044</v>
      </c>
      <c r="AL12" t="s">
        <v>1160</v>
      </c>
    </row>
    <row r="13" spans="1:38">
      <c r="A13" s="1" t="s">
        <v>2045</v>
      </c>
      <c r="B13" t="s">
        <v>684</v>
      </c>
      <c r="C13" t="s">
        <v>684</v>
      </c>
      <c r="D13" t="s">
        <v>684</v>
      </c>
      <c r="E13" t="s">
        <v>684</v>
      </c>
      <c r="F13" t="s">
        <v>2046</v>
      </c>
      <c r="G13" t="s">
        <v>2047</v>
      </c>
      <c r="H13" t="s">
        <v>2048</v>
      </c>
      <c r="I13" t="s">
        <v>2049</v>
      </c>
      <c r="J13" t="s">
        <v>2050</v>
      </c>
      <c r="K13" t="s">
        <v>2051</v>
      </c>
      <c r="L13" t="s">
        <v>2052</v>
      </c>
      <c r="M13" t="s">
        <v>2053</v>
      </c>
      <c r="N13" t="s">
        <v>2054</v>
      </c>
      <c r="O13" t="s">
        <v>2055</v>
      </c>
      <c r="P13" t="s">
        <v>2056</v>
      </c>
      <c r="Q13" t="s">
        <v>2057</v>
      </c>
      <c r="R13" t="s">
        <v>2058</v>
      </c>
      <c r="S13" t="s">
        <v>2059</v>
      </c>
      <c r="T13" t="s">
        <v>406</v>
      </c>
      <c r="U13" t="s">
        <v>2060</v>
      </c>
      <c r="V13" t="s">
        <v>2061</v>
      </c>
      <c r="W13" t="s">
        <v>2062</v>
      </c>
      <c r="X13" t="s">
        <v>2063</v>
      </c>
      <c r="Y13" t="s">
        <v>2064</v>
      </c>
      <c r="Z13" t="s">
        <v>2065</v>
      </c>
      <c r="AA13" t="s">
        <v>2066</v>
      </c>
      <c r="AB13" t="s">
        <v>2067</v>
      </c>
      <c r="AC13" t="s">
        <v>2068</v>
      </c>
      <c r="AD13" t="s">
        <v>2069</v>
      </c>
      <c r="AE13" t="s">
        <v>2070</v>
      </c>
      <c r="AF13" t="s">
        <v>2071</v>
      </c>
      <c r="AG13" t="s">
        <v>2072</v>
      </c>
      <c r="AH13" t="s">
        <v>2073</v>
      </c>
      <c r="AI13" t="s">
        <v>2074</v>
      </c>
      <c r="AJ13" t="s">
        <v>2075</v>
      </c>
      <c r="AK13" t="s">
        <v>2076</v>
      </c>
      <c r="AL13" t="s">
        <v>2077</v>
      </c>
    </row>
    <row r="14" spans="1:38">
      <c r="A14" s="1" t="s">
        <v>2078</v>
      </c>
      <c r="B14" t="s">
        <v>684</v>
      </c>
      <c r="C14" t="s">
        <v>684</v>
      </c>
      <c r="D14" t="s">
        <v>684</v>
      </c>
      <c r="E14" t="s">
        <v>684</v>
      </c>
      <c r="F14" t="s">
        <v>684</v>
      </c>
      <c r="G14" t="s">
        <v>684</v>
      </c>
      <c r="H14" t="s">
        <v>684</v>
      </c>
      <c r="I14" t="s">
        <v>684</v>
      </c>
      <c r="J14" t="s">
        <v>684</v>
      </c>
      <c r="K14" t="s">
        <v>2079</v>
      </c>
      <c r="L14" t="s">
        <v>2080</v>
      </c>
      <c r="M14" t="s">
        <v>2081</v>
      </c>
      <c r="N14" t="s">
        <v>2082</v>
      </c>
      <c r="O14" t="s">
        <v>2083</v>
      </c>
      <c r="P14" t="s">
        <v>2084</v>
      </c>
      <c r="Q14" t="s">
        <v>2085</v>
      </c>
      <c r="R14" t="s">
        <v>2086</v>
      </c>
      <c r="S14" t="s">
        <v>1978</v>
      </c>
      <c r="T14" t="s">
        <v>2087</v>
      </c>
      <c r="U14" t="s">
        <v>2088</v>
      </c>
      <c r="V14" t="s">
        <v>2089</v>
      </c>
      <c r="W14" t="s">
        <v>2090</v>
      </c>
      <c r="X14" t="s">
        <v>2091</v>
      </c>
      <c r="Y14" t="s">
        <v>1869</v>
      </c>
      <c r="Z14" t="s">
        <v>2092</v>
      </c>
      <c r="AA14" t="s">
        <v>2093</v>
      </c>
      <c r="AB14" t="s">
        <v>2094</v>
      </c>
      <c r="AC14" t="s">
        <v>2095</v>
      </c>
      <c r="AD14" t="s">
        <v>2096</v>
      </c>
      <c r="AE14" t="s">
        <v>2097</v>
      </c>
      <c r="AF14" t="s">
        <v>2098</v>
      </c>
      <c r="AG14" t="s">
        <v>2099</v>
      </c>
      <c r="AH14" t="s">
        <v>1937</v>
      </c>
      <c r="AI14" t="s">
        <v>739</v>
      </c>
      <c r="AJ14" t="s">
        <v>2100</v>
      </c>
      <c r="AK14" t="s">
        <v>2055</v>
      </c>
      <c r="AL14" t="s">
        <v>2101</v>
      </c>
    </row>
    <row r="15" spans="1:38">
      <c r="A15" s="1" t="s">
        <v>2102</v>
      </c>
      <c r="B15" t="s">
        <v>684</v>
      </c>
      <c r="C15" t="s">
        <v>684</v>
      </c>
      <c r="D15" t="s">
        <v>684</v>
      </c>
      <c r="E15" t="s">
        <v>684</v>
      </c>
      <c r="F15" t="s">
        <v>1847</v>
      </c>
      <c r="G15" t="s">
        <v>2103</v>
      </c>
      <c r="H15" t="s">
        <v>2104</v>
      </c>
      <c r="I15" t="s">
        <v>2105</v>
      </c>
      <c r="J15" t="s">
        <v>2106</v>
      </c>
      <c r="K15" t="s">
        <v>2107</v>
      </c>
      <c r="L15" t="s">
        <v>2108</v>
      </c>
      <c r="M15" t="s">
        <v>2109</v>
      </c>
      <c r="N15" t="s">
        <v>2110</v>
      </c>
      <c r="O15" t="s">
        <v>2111</v>
      </c>
      <c r="P15" t="s">
        <v>2112</v>
      </c>
      <c r="Q15" t="s">
        <v>2113</v>
      </c>
      <c r="R15" t="s">
        <v>2114</v>
      </c>
      <c r="S15" t="s">
        <v>2115</v>
      </c>
      <c r="T15" t="s">
        <v>2116</v>
      </c>
      <c r="U15" t="s">
        <v>2117</v>
      </c>
      <c r="V15" t="s">
        <v>2118</v>
      </c>
      <c r="W15" t="s">
        <v>2119</v>
      </c>
      <c r="X15" t="s">
        <v>2120</v>
      </c>
      <c r="Y15" t="s">
        <v>2121</v>
      </c>
      <c r="Z15" t="s">
        <v>2122</v>
      </c>
      <c r="AA15" t="s">
        <v>2123</v>
      </c>
      <c r="AB15" t="s">
        <v>2124</v>
      </c>
      <c r="AC15" t="s">
        <v>2125</v>
      </c>
      <c r="AD15" t="s">
        <v>2126</v>
      </c>
      <c r="AE15" t="s">
        <v>2127</v>
      </c>
      <c r="AF15" t="s">
        <v>2128</v>
      </c>
      <c r="AG15" t="s">
        <v>2129</v>
      </c>
      <c r="AH15" t="s">
        <v>2130</v>
      </c>
      <c r="AI15" t="s">
        <v>2131</v>
      </c>
      <c r="AJ15" t="s">
        <v>2132</v>
      </c>
      <c r="AK15" t="s">
        <v>2133</v>
      </c>
      <c r="AL15" t="s">
        <v>2134</v>
      </c>
    </row>
    <row r="16" spans="1:38">
      <c r="A16" s="1" t="s">
        <v>2135</v>
      </c>
      <c r="B16" t="s">
        <v>684</v>
      </c>
      <c r="C16" t="s">
        <v>684</v>
      </c>
      <c r="D16" t="s">
        <v>684</v>
      </c>
      <c r="E16" t="s">
        <v>684</v>
      </c>
      <c r="F16" t="s">
        <v>2136</v>
      </c>
      <c r="G16" t="s">
        <v>1878</v>
      </c>
      <c r="H16" t="s">
        <v>2137</v>
      </c>
      <c r="I16" t="s">
        <v>2138</v>
      </c>
      <c r="J16" t="s">
        <v>2139</v>
      </c>
      <c r="K16" t="s">
        <v>814</v>
      </c>
      <c r="L16" t="s">
        <v>2140</v>
      </c>
      <c r="M16" t="s">
        <v>2141</v>
      </c>
      <c r="N16" t="s">
        <v>2142</v>
      </c>
      <c r="O16" t="s">
        <v>2143</v>
      </c>
      <c r="P16" t="s">
        <v>2144</v>
      </c>
      <c r="Q16" t="s">
        <v>2145</v>
      </c>
      <c r="R16" t="s">
        <v>2146</v>
      </c>
      <c r="S16" t="s">
        <v>2147</v>
      </c>
      <c r="T16" t="s">
        <v>2148</v>
      </c>
      <c r="U16" t="s">
        <v>2149</v>
      </c>
      <c r="V16" t="s">
        <v>2150</v>
      </c>
      <c r="W16" t="s">
        <v>2151</v>
      </c>
      <c r="X16" t="s">
        <v>1608</v>
      </c>
      <c r="Y16" t="s">
        <v>743</v>
      </c>
      <c r="Z16" t="s">
        <v>684</v>
      </c>
      <c r="AA16" t="s">
        <v>2152</v>
      </c>
      <c r="AB16" t="s">
        <v>2153</v>
      </c>
      <c r="AC16" t="s">
        <v>2154</v>
      </c>
      <c r="AD16" t="s">
        <v>2155</v>
      </c>
      <c r="AE16" t="s">
        <v>2156</v>
      </c>
      <c r="AF16" t="s">
        <v>2157</v>
      </c>
      <c r="AG16" t="s">
        <v>2158</v>
      </c>
      <c r="AH16" t="s">
        <v>2159</v>
      </c>
      <c r="AI16" t="s">
        <v>2160</v>
      </c>
      <c r="AJ16" t="s">
        <v>2161</v>
      </c>
      <c r="AK16" t="s">
        <v>2162</v>
      </c>
      <c r="AL16" t="s">
        <v>1673</v>
      </c>
    </row>
    <row r="17" spans="1:38">
      <c r="A17" s="1" t="s">
        <v>2163</v>
      </c>
      <c r="B17" t="s">
        <v>684</v>
      </c>
      <c r="C17" t="s">
        <v>684</v>
      </c>
      <c r="D17" t="s">
        <v>684</v>
      </c>
      <c r="E17" t="s">
        <v>684</v>
      </c>
      <c r="F17" t="s">
        <v>2164</v>
      </c>
      <c r="G17" t="s">
        <v>2165</v>
      </c>
      <c r="H17" t="s">
        <v>2166</v>
      </c>
      <c r="I17" t="s">
        <v>2167</v>
      </c>
      <c r="J17" t="s">
        <v>2168</v>
      </c>
      <c r="K17" t="s">
        <v>1886</v>
      </c>
      <c r="L17" t="s">
        <v>2169</v>
      </c>
      <c r="M17" t="s">
        <v>2170</v>
      </c>
      <c r="N17" t="s">
        <v>2171</v>
      </c>
      <c r="O17" t="s">
        <v>2172</v>
      </c>
      <c r="P17" t="s">
        <v>2173</v>
      </c>
      <c r="Q17" t="s">
        <v>2137</v>
      </c>
      <c r="R17" t="s">
        <v>2174</v>
      </c>
      <c r="S17" t="s">
        <v>2175</v>
      </c>
      <c r="T17" t="s">
        <v>2176</v>
      </c>
      <c r="U17" t="s">
        <v>2177</v>
      </c>
      <c r="V17" t="s">
        <v>2178</v>
      </c>
      <c r="W17" t="s">
        <v>902</v>
      </c>
      <c r="X17" t="s">
        <v>2174</v>
      </c>
      <c r="Y17" t="s">
        <v>932</v>
      </c>
      <c r="Z17" t="s">
        <v>2179</v>
      </c>
      <c r="AA17" t="s">
        <v>2180</v>
      </c>
      <c r="AB17" t="s">
        <v>2181</v>
      </c>
      <c r="AC17" t="s">
        <v>2182</v>
      </c>
      <c r="AD17" t="s">
        <v>2183</v>
      </c>
      <c r="AE17" t="s">
        <v>2184</v>
      </c>
      <c r="AF17" t="s">
        <v>2185</v>
      </c>
      <c r="AG17" t="s">
        <v>2186</v>
      </c>
      <c r="AH17" t="s">
        <v>2187</v>
      </c>
      <c r="AI17" t="s">
        <v>2188</v>
      </c>
      <c r="AJ17" t="s">
        <v>1544</v>
      </c>
      <c r="AK17" t="s">
        <v>2189</v>
      </c>
      <c r="AL17" t="s">
        <v>1113</v>
      </c>
    </row>
    <row r="18" spans="1:38">
      <c r="A18" s="1" t="s">
        <v>2190</v>
      </c>
      <c r="B18" t="s">
        <v>684</v>
      </c>
      <c r="C18" t="s">
        <v>684</v>
      </c>
      <c r="D18" t="s">
        <v>684</v>
      </c>
      <c r="E18" t="s">
        <v>684</v>
      </c>
      <c r="F18" t="s">
        <v>2191</v>
      </c>
      <c r="G18" t="s">
        <v>2192</v>
      </c>
      <c r="H18" t="s">
        <v>2193</v>
      </c>
      <c r="I18" t="s">
        <v>2194</v>
      </c>
      <c r="J18" t="s">
        <v>2195</v>
      </c>
      <c r="K18" t="s">
        <v>2196</v>
      </c>
      <c r="L18" t="s">
        <v>2197</v>
      </c>
      <c r="M18" t="s">
        <v>2198</v>
      </c>
      <c r="N18" t="s">
        <v>2199</v>
      </c>
      <c r="O18" t="s">
        <v>2200</v>
      </c>
      <c r="P18" t="s">
        <v>2201</v>
      </c>
      <c r="Q18" t="s">
        <v>2202</v>
      </c>
      <c r="R18" t="s">
        <v>2203</v>
      </c>
      <c r="S18" t="s">
        <v>2204</v>
      </c>
      <c r="T18" t="s">
        <v>2205</v>
      </c>
      <c r="U18" t="s">
        <v>2206</v>
      </c>
      <c r="V18" t="s">
        <v>1964</v>
      </c>
      <c r="W18" t="s">
        <v>2207</v>
      </c>
      <c r="X18" t="s">
        <v>2208</v>
      </c>
      <c r="Y18" t="s">
        <v>2209</v>
      </c>
      <c r="Z18" t="s">
        <v>2210</v>
      </c>
      <c r="AA18" t="s">
        <v>2211</v>
      </c>
      <c r="AB18" t="s">
        <v>2212</v>
      </c>
      <c r="AC18" t="s">
        <v>2213</v>
      </c>
      <c r="AD18" t="s">
        <v>2214</v>
      </c>
      <c r="AE18" t="s">
        <v>2215</v>
      </c>
      <c r="AF18" t="s">
        <v>2216</v>
      </c>
      <c r="AG18" t="s">
        <v>2217</v>
      </c>
      <c r="AH18" t="s">
        <v>2218</v>
      </c>
      <c r="AI18" t="s">
        <v>2219</v>
      </c>
      <c r="AJ18" t="s">
        <v>2220</v>
      </c>
      <c r="AK18" t="s">
        <v>2221</v>
      </c>
      <c r="AL18" t="s">
        <v>2222</v>
      </c>
    </row>
    <row r="19" spans="1:38">
      <c r="A19" s="1" t="s">
        <v>2223</v>
      </c>
      <c r="B19" t="s">
        <v>684</v>
      </c>
      <c r="C19" t="s">
        <v>684</v>
      </c>
      <c r="D19" t="s">
        <v>684</v>
      </c>
      <c r="E19" t="s">
        <v>684</v>
      </c>
      <c r="F19" t="s">
        <v>684</v>
      </c>
      <c r="G19" t="s">
        <v>684</v>
      </c>
      <c r="H19" t="s">
        <v>684</v>
      </c>
      <c r="I19" t="s">
        <v>684</v>
      </c>
      <c r="J19" t="s">
        <v>684</v>
      </c>
      <c r="K19" t="s">
        <v>684</v>
      </c>
      <c r="L19" t="s">
        <v>684</v>
      </c>
      <c r="M19" t="s">
        <v>684</v>
      </c>
      <c r="N19" t="s">
        <v>684</v>
      </c>
      <c r="O19" t="s">
        <v>684</v>
      </c>
      <c r="P19" t="s">
        <v>684</v>
      </c>
      <c r="Q19" t="s">
        <v>684</v>
      </c>
      <c r="R19" t="s">
        <v>684</v>
      </c>
      <c r="S19" t="s">
        <v>684</v>
      </c>
      <c r="T19" t="s">
        <v>684</v>
      </c>
      <c r="U19" t="s">
        <v>684</v>
      </c>
      <c r="V19" t="s">
        <v>684</v>
      </c>
      <c r="W19" t="s">
        <v>684</v>
      </c>
      <c r="X19" t="s">
        <v>684</v>
      </c>
      <c r="Y19" t="s">
        <v>2224</v>
      </c>
      <c r="Z19" t="s">
        <v>2225</v>
      </c>
      <c r="AA19" t="s">
        <v>2226</v>
      </c>
      <c r="AB19" t="s">
        <v>2227</v>
      </c>
      <c r="AC19" t="s">
        <v>2228</v>
      </c>
      <c r="AD19" t="s">
        <v>2229</v>
      </c>
      <c r="AE19" t="s">
        <v>2230</v>
      </c>
      <c r="AF19" t="s">
        <v>2231</v>
      </c>
      <c r="AG19" t="s">
        <v>2232</v>
      </c>
      <c r="AH19" t="s">
        <v>2233</v>
      </c>
      <c r="AI19" t="s">
        <v>2234</v>
      </c>
      <c r="AJ19" t="s">
        <v>2235</v>
      </c>
      <c r="AK19" t="s">
        <v>2236</v>
      </c>
      <c r="AL19" t="s">
        <v>2237</v>
      </c>
    </row>
    <row r="20" spans="1:38">
      <c r="A20" s="1" t="s">
        <v>2238</v>
      </c>
      <c r="B20" t="s">
        <v>684</v>
      </c>
      <c r="C20" t="s">
        <v>684</v>
      </c>
      <c r="D20" t="s">
        <v>684</v>
      </c>
      <c r="E20" t="s">
        <v>684</v>
      </c>
      <c r="F20" t="s">
        <v>916</v>
      </c>
      <c r="G20" t="s">
        <v>2239</v>
      </c>
      <c r="H20" t="s">
        <v>904</v>
      </c>
      <c r="I20" t="s">
        <v>2240</v>
      </c>
      <c r="J20" t="s">
        <v>2241</v>
      </c>
      <c r="K20" t="s">
        <v>2242</v>
      </c>
      <c r="L20" t="s">
        <v>2243</v>
      </c>
      <c r="M20" t="s">
        <v>2244</v>
      </c>
      <c r="N20" t="s">
        <v>1121</v>
      </c>
      <c r="O20" t="s">
        <v>2245</v>
      </c>
      <c r="P20" t="s">
        <v>2246</v>
      </c>
      <c r="Q20" t="s">
        <v>2247</v>
      </c>
      <c r="R20" t="s">
        <v>2248</v>
      </c>
      <c r="S20" t="s">
        <v>2249</v>
      </c>
      <c r="T20" t="s">
        <v>2250</v>
      </c>
      <c r="U20" t="s">
        <v>2251</v>
      </c>
      <c r="V20" t="s">
        <v>2252</v>
      </c>
      <c r="W20" t="s">
        <v>1914</v>
      </c>
      <c r="X20" t="s">
        <v>2253</v>
      </c>
      <c r="Y20" t="s">
        <v>2254</v>
      </c>
      <c r="Z20" t="s">
        <v>2255</v>
      </c>
      <c r="AA20" t="s">
        <v>1166</v>
      </c>
      <c r="AB20" t="s">
        <v>2256</v>
      </c>
      <c r="AC20" t="s">
        <v>2257</v>
      </c>
      <c r="AD20" t="s">
        <v>2258</v>
      </c>
      <c r="AE20" t="s">
        <v>2259</v>
      </c>
      <c r="AF20" t="s">
        <v>2260</v>
      </c>
      <c r="AG20" t="s">
        <v>2261</v>
      </c>
      <c r="AH20" t="s">
        <v>2262</v>
      </c>
      <c r="AI20" t="s">
        <v>2263</v>
      </c>
      <c r="AJ20" t="s">
        <v>2264</v>
      </c>
      <c r="AK20" t="s">
        <v>2265</v>
      </c>
      <c r="AL20" t="s">
        <v>2168</v>
      </c>
    </row>
    <row r="21" spans="1:38">
      <c r="A21" s="1" t="s">
        <v>2266</v>
      </c>
      <c r="B21" t="s">
        <v>684</v>
      </c>
      <c r="C21" t="s">
        <v>684</v>
      </c>
      <c r="D21" t="s">
        <v>684</v>
      </c>
      <c r="E21" t="s">
        <v>684</v>
      </c>
      <c r="F21" t="s">
        <v>2267</v>
      </c>
      <c r="G21" t="s">
        <v>2268</v>
      </c>
      <c r="H21" t="s">
        <v>2269</v>
      </c>
      <c r="I21" t="s">
        <v>2270</v>
      </c>
      <c r="J21" t="s">
        <v>2271</v>
      </c>
      <c r="K21" t="s">
        <v>2272</v>
      </c>
      <c r="L21" t="s">
        <v>2273</v>
      </c>
      <c r="M21" t="s">
        <v>2274</v>
      </c>
      <c r="N21" t="s">
        <v>2275</v>
      </c>
      <c r="O21" t="s">
        <v>2276</v>
      </c>
      <c r="P21" t="s">
        <v>2277</v>
      </c>
      <c r="Q21" t="s">
        <v>1985</v>
      </c>
      <c r="R21" t="s">
        <v>2278</v>
      </c>
      <c r="S21" t="s">
        <v>2279</v>
      </c>
      <c r="T21" t="s">
        <v>2280</v>
      </c>
      <c r="U21" t="s">
        <v>2281</v>
      </c>
      <c r="V21" t="s">
        <v>2282</v>
      </c>
      <c r="W21" t="s">
        <v>2283</v>
      </c>
      <c r="X21" t="s">
        <v>2284</v>
      </c>
      <c r="Y21" t="s">
        <v>2285</v>
      </c>
      <c r="Z21" t="s">
        <v>2286</v>
      </c>
      <c r="AA21" t="s">
        <v>2287</v>
      </c>
      <c r="AB21" t="s">
        <v>2288</v>
      </c>
      <c r="AC21" t="s">
        <v>2289</v>
      </c>
      <c r="AD21" t="s">
        <v>2290</v>
      </c>
      <c r="AE21" t="s">
        <v>2291</v>
      </c>
      <c r="AF21" t="s">
        <v>2292</v>
      </c>
      <c r="AG21" t="s">
        <v>2293</v>
      </c>
      <c r="AH21" t="s">
        <v>2294</v>
      </c>
      <c r="AI21" t="s">
        <v>2295</v>
      </c>
      <c r="AJ21" t="s">
        <v>2296</v>
      </c>
      <c r="AK21" t="s">
        <v>2297</v>
      </c>
      <c r="AL21" t="s">
        <v>2298</v>
      </c>
    </row>
    <row r="22" spans="1:38">
      <c r="A22" s="1" t="s">
        <v>2299</v>
      </c>
      <c r="B22" t="s">
        <v>684</v>
      </c>
      <c r="C22" t="s">
        <v>684</v>
      </c>
      <c r="D22" t="s">
        <v>684</v>
      </c>
      <c r="E22" t="s">
        <v>684</v>
      </c>
      <c r="F22" t="s">
        <v>2300</v>
      </c>
      <c r="G22" t="s">
        <v>2301</v>
      </c>
      <c r="H22" t="s">
        <v>2302</v>
      </c>
      <c r="I22" t="s">
        <v>2303</v>
      </c>
      <c r="J22" t="s">
        <v>2304</v>
      </c>
      <c r="K22" t="s">
        <v>2305</v>
      </c>
      <c r="L22" t="s">
        <v>2306</v>
      </c>
      <c r="M22" t="s">
        <v>2307</v>
      </c>
      <c r="N22" t="s">
        <v>2308</v>
      </c>
      <c r="O22" t="s">
        <v>2309</v>
      </c>
      <c r="P22" t="s">
        <v>2310</v>
      </c>
      <c r="Q22" t="s">
        <v>2311</v>
      </c>
      <c r="R22" t="s">
        <v>2312</v>
      </c>
      <c r="S22" t="s">
        <v>2313</v>
      </c>
      <c r="T22" t="s">
        <v>2314</v>
      </c>
      <c r="U22" t="s">
        <v>2315</v>
      </c>
      <c r="V22" t="s">
        <v>2316</v>
      </c>
      <c r="W22" t="s">
        <v>2317</v>
      </c>
      <c r="X22" t="s">
        <v>2318</v>
      </c>
      <c r="Y22" t="s">
        <v>2319</v>
      </c>
      <c r="Z22" t="s">
        <v>2320</v>
      </c>
      <c r="AA22" t="s">
        <v>2321</v>
      </c>
      <c r="AB22" t="s">
        <v>2322</v>
      </c>
      <c r="AC22" t="s">
        <v>2323</v>
      </c>
      <c r="AD22" t="s">
        <v>2324</v>
      </c>
      <c r="AE22" t="s">
        <v>2325</v>
      </c>
      <c r="AF22" t="s">
        <v>2326</v>
      </c>
      <c r="AG22" t="s">
        <v>2327</v>
      </c>
      <c r="AH22" t="s">
        <v>2328</v>
      </c>
      <c r="AI22" t="s">
        <v>2329</v>
      </c>
      <c r="AJ22" t="s">
        <v>2330</v>
      </c>
      <c r="AK22" t="s">
        <v>2331</v>
      </c>
      <c r="AL22" t="s">
        <v>2332</v>
      </c>
    </row>
    <row r="23" spans="1:38">
      <c r="A23" s="1" t="s">
        <v>2333</v>
      </c>
      <c r="B23" t="s">
        <v>684</v>
      </c>
      <c r="C23" t="s">
        <v>684</v>
      </c>
      <c r="D23" t="s">
        <v>684</v>
      </c>
      <c r="E23" t="s">
        <v>684</v>
      </c>
      <c r="F23" t="s">
        <v>2334</v>
      </c>
      <c r="G23" t="s">
        <v>2335</v>
      </c>
      <c r="H23" t="s">
        <v>2336</v>
      </c>
      <c r="I23" t="s">
        <v>2337</v>
      </c>
      <c r="J23" t="s">
        <v>2338</v>
      </c>
      <c r="K23" t="s">
        <v>1614</v>
      </c>
      <c r="L23" t="s">
        <v>2339</v>
      </c>
      <c r="M23" t="s">
        <v>2339</v>
      </c>
      <c r="N23" t="s">
        <v>2340</v>
      </c>
      <c r="O23" t="s">
        <v>2341</v>
      </c>
      <c r="P23" t="s">
        <v>2342</v>
      </c>
      <c r="Q23" t="s">
        <v>2343</v>
      </c>
      <c r="R23" t="s">
        <v>2344</v>
      </c>
      <c r="S23" t="s">
        <v>2345</v>
      </c>
      <c r="T23" t="s">
        <v>2346</v>
      </c>
      <c r="U23" t="s">
        <v>2347</v>
      </c>
      <c r="V23" t="s">
        <v>2348</v>
      </c>
      <c r="W23" t="s">
        <v>2349</v>
      </c>
      <c r="X23" t="s">
        <v>2350</v>
      </c>
      <c r="Y23" t="s">
        <v>2351</v>
      </c>
      <c r="Z23" t="s">
        <v>2352</v>
      </c>
      <c r="AA23" t="s">
        <v>2353</v>
      </c>
      <c r="AB23" t="s">
        <v>2354</v>
      </c>
      <c r="AC23" t="s">
        <v>2355</v>
      </c>
      <c r="AD23" t="s">
        <v>2356</v>
      </c>
      <c r="AE23" t="s">
        <v>2357</v>
      </c>
      <c r="AF23" t="s">
        <v>2358</v>
      </c>
      <c r="AG23" t="s">
        <v>2359</v>
      </c>
      <c r="AH23" t="s">
        <v>2360</v>
      </c>
      <c r="AI23" t="s">
        <v>2361</v>
      </c>
      <c r="AJ23" t="s">
        <v>2362</v>
      </c>
      <c r="AK23" t="s">
        <v>2363</v>
      </c>
      <c r="AL23" t="s">
        <v>2364</v>
      </c>
    </row>
    <row r="24" spans="1:38">
      <c r="A24" s="1" t="s">
        <v>2365</v>
      </c>
      <c r="B24" t="s">
        <v>684</v>
      </c>
      <c r="C24" t="s">
        <v>684</v>
      </c>
      <c r="D24" t="s">
        <v>684</v>
      </c>
      <c r="E24" t="s">
        <v>684</v>
      </c>
      <c r="F24" t="s">
        <v>2366</v>
      </c>
      <c r="G24" t="s">
        <v>1978</v>
      </c>
      <c r="H24" t="s">
        <v>2367</v>
      </c>
      <c r="I24" t="s">
        <v>2368</v>
      </c>
      <c r="J24" t="s">
        <v>2369</v>
      </c>
      <c r="K24" t="s">
        <v>2370</v>
      </c>
      <c r="L24" t="s">
        <v>2371</v>
      </c>
      <c r="M24" t="s">
        <v>2372</v>
      </c>
      <c r="N24" t="s">
        <v>2373</v>
      </c>
      <c r="O24" t="s">
        <v>2374</v>
      </c>
      <c r="P24" t="s">
        <v>2375</v>
      </c>
      <c r="Q24" t="s">
        <v>2376</v>
      </c>
      <c r="R24" t="s">
        <v>2377</v>
      </c>
      <c r="S24" t="s">
        <v>2378</v>
      </c>
      <c r="T24" t="s">
        <v>2379</v>
      </c>
      <c r="U24" t="s">
        <v>2380</v>
      </c>
      <c r="V24" t="s">
        <v>2381</v>
      </c>
      <c r="W24" t="s">
        <v>2382</v>
      </c>
      <c r="X24" t="s">
        <v>2383</v>
      </c>
      <c r="Y24" t="s">
        <v>2384</v>
      </c>
      <c r="Z24" t="s">
        <v>2385</v>
      </c>
      <c r="AA24" t="s">
        <v>2386</v>
      </c>
      <c r="AB24" t="s">
        <v>2387</v>
      </c>
      <c r="AC24" t="s">
        <v>2388</v>
      </c>
      <c r="AD24" t="s">
        <v>2389</v>
      </c>
      <c r="AE24" t="s">
        <v>2390</v>
      </c>
      <c r="AF24" t="s">
        <v>2100</v>
      </c>
      <c r="AG24" t="s">
        <v>2391</v>
      </c>
      <c r="AH24" t="s">
        <v>2392</v>
      </c>
      <c r="AI24" t="s">
        <v>2393</v>
      </c>
      <c r="AJ24" t="s">
        <v>2394</v>
      </c>
      <c r="AK24" t="s">
        <v>2395</v>
      </c>
      <c r="AL24" t="s">
        <v>2396</v>
      </c>
    </row>
    <row r="25" spans="1:38">
      <c r="A25" s="1" t="s">
        <v>2397</v>
      </c>
      <c r="B25" t="s">
        <v>684</v>
      </c>
      <c r="C25" t="s">
        <v>684</v>
      </c>
      <c r="D25" t="s">
        <v>684</v>
      </c>
      <c r="E25" t="s">
        <v>684</v>
      </c>
      <c r="F25" t="s">
        <v>2398</v>
      </c>
      <c r="G25" t="s">
        <v>2150</v>
      </c>
      <c r="H25" t="s">
        <v>2399</v>
      </c>
      <c r="I25" t="s">
        <v>2400</v>
      </c>
      <c r="J25" t="s">
        <v>1916</v>
      </c>
      <c r="K25" t="s">
        <v>2401</v>
      </c>
      <c r="L25" t="s">
        <v>1885</v>
      </c>
      <c r="M25" t="s">
        <v>2184</v>
      </c>
      <c r="N25" t="s">
        <v>2173</v>
      </c>
      <c r="O25" t="s">
        <v>1922</v>
      </c>
      <c r="P25" t="s">
        <v>1922</v>
      </c>
      <c r="Q25" t="s">
        <v>2402</v>
      </c>
      <c r="R25" t="s">
        <v>2184</v>
      </c>
      <c r="S25" t="s">
        <v>2403</v>
      </c>
      <c r="T25" t="s">
        <v>2137</v>
      </c>
      <c r="U25" t="s">
        <v>2404</v>
      </c>
      <c r="V25" t="s">
        <v>2405</v>
      </c>
      <c r="W25" t="s">
        <v>2406</v>
      </c>
      <c r="X25" t="s">
        <v>795</v>
      </c>
      <c r="Y25" t="s">
        <v>1899</v>
      </c>
      <c r="Z25" t="s">
        <v>2407</v>
      </c>
      <c r="AA25" t="s">
        <v>2408</v>
      </c>
      <c r="AB25" t="s">
        <v>2409</v>
      </c>
      <c r="AC25" t="s">
        <v>2410</v>
      </c>
      <c r="AD25" t="s">
        <v>2411</v>
      </c>
      <c r="AE25" t="s">
        <v>2412</v>
      </c>
      <c r="AF25" t="s">
        <v>2051</v>
      </c>
      <c r="AG25" t="s">
        <v>2413</v>
      </c>
      <c r="AH25" t="s">
        <v>2414</v>
      </c>
      <c r="AI25" t="s">
        <v>2415</v>
      </c>
      <c r="AJ25" t="s">
        <v>2416</v>
      </c>
      <c r="AK25" t="s">
        <v>2417</v>
      </c>
      <c r="AL25" t="s">
        <v>2418</v>
      </c>
    </row>
    <row r="26" spans="1:38">
      <c r="A26" s="1" t="s">
        <v>2419</v>
      </c>
      <c r="B26" t="s">
        <v>684</v>
      </c>
      <c r="C26" t="s">
        <v>684</v>
      </c>
      <c r="D26" t="s">
        <v>684</v>
      </c>
      <c r="E26" t="s">
        <v>684</v>
      </c>
      <c r="F26" t="s">
        <v>2366</v>
      </c>
      <c r="G26" t="s">
        <v>1978</v>
      </c>
      <c r="H26" t="s">
        <v>2367</v>
      </c>
      <c r="I26" t="s">
        <v>2368</v>
      </c>
      <c r="J26" t="s">
        <v>2369</v>
      </c>
      <c r="K26" t="s">
        <v>2420</v>
      </c>
      <c r="L26" t="s">
        <v>2421</v>
      </c>
      <c r="M26" t="s">
        <v>1873</v>
      </c>
      <c r="N26" t="s">
        <v>2422</v>
      </c>
      <c r="O26" t="s">
        <v>2423</v>
      </c>
      <c r="P26" t="s">
        <v>2424</v>
      </c>
      <c r="Q26" t="s">
        <v>2425</v>
      </c>
      <c r="R26" t="s">
        <v>2426</v>
      </c>
      <c r="S26" t="s">
        <v>2427</v>
      </c>
      <c r="T26" t="s">
        <v>2428</v>
      </c>
      <c r="U26" t="s">
        <v>2429</v>
      </c>
      <c r="V26" t="s">
        <v>2430</v>
      </c>
      <c r="W26" t="s">
        <v>2380</v>
      </c>
      <c r="X26" t="s">
        <v>2431</v>
      </c>
      <c r="Y26" t="s">
        <v>1617</v>
      </c>
      <c r="Z26" t="s">
        <v>2432</v>
      </c>
      <c r="AA26" t="s">
        <v>2433</v>
      </c>
      <c r="AB26" t="s">
        <v>2434</v>
      </c>
      <c r="AC26" t="s">
        <v>2435</v>
      </c>
      <c r="AD26" t="s">
        <v>2436</v>
      </c>
      <c r="AE26" t="s">
        <v>2437</v>
      </c>
      <c r="AF26" t="s">
        <v>2438</v>
      </c>
      <c r="AG26" t="s">
        <v>2439</v>
      </c>
      <c r="AH26" t="s">
        <v>2440</v>
      </c>
      <c r="AI26" t="s">
        <v>2441</v>
      </c>
      <c r="AJ26" t="s">
        <v>2442</v>
      </c>
      <c r="AK26" t="s">
        <v>2443</v>
      </c>
      <c r="AL26" t="s">
        <v>2444</v>
      </c>
    </row>
    <row r="27" spans="1:38">
      <c r="A27" s="1" t="s">
        <v>2445</v>
      </c>
      <c r="B27" t="s">
        <v>684</v>
      </c>
      <c r="C27" t="s">
        <v>684</v>
      </c>
      <c r="D27" t="s">
        <v>684</v>
      </c>
      <c r="E27" t="s">
        <v>684</v>
      </c>
      <c r="F27" t="s">
        <v>684</v>
      </c>
      <c r="G27" t="s">
        <v>684</v>
      </c>
      <c r="H27" t="s">
        <v>684</v>
      </c>
      <c r="I27" t="s">
        <v>684</v>
      </c>
      <c r="J27" t="s">
        <v>684</v>
      </c>
      <c r="K27" t="s">
        <v>1085</v>
      </c>
      <c r="L27" t="s">
        <v>1086</v>
      </c>
      <c r="M27" t="s">
        <v>1087</v>
      </c>
      <c r="N27" t="s">
        <v>1088</v>
      </c>
      <c r="O27" t="s">
        <v>1089</v>
      </c>
      <c r="P27" t="s">
        <v>1090</v>
      </c>
      <c r="Q27" t="s">
        <v>1091</v>
      </c>
      <c r="R27" t="s">
        <v>1092</v>
      </c>
      <c r="S27" t="s">
        <v>1093</v>
      </c>
      <c r="T27" t="s">
        <v>1094</v>
      </c>
      <c r="U27" t="s">
        <v>1095</v>
      </c>
      <c r="V27" t="s">
        <v>1096</v>
      </c>
      <c r="W27" t="s">
        <v>1097</v>
      </c>
      <c r="X27" t="s">
        <v>1098</v>
      </c>
      <c r="Y27" t="s">
        <v>1096</v>
      </c>
      <c r="Z27" t="s">
        <v>1099</v>
      </c>
      <c r="AA27" t="s">
        <v>1100</v>
      </c>
      <c r="AB27" t="s">
        <v>1101</v>
      </c>
      <c r="AC27" t="s">
        <v>1102</v>
      </c>
      <c r="AD27" t="s">
        <v>1103</v>
      </c>
      <c r="AE27" t="s">
        <v>1104</v>
      </c>
      <c r="AF27" t="s">
        <v>1105</v>
      </c>
      <c r="AG27" t="s">
        <v>1106</v>
      </c>
      <c r="AH27" t="s">
        <v>1107</v>
      </c>
      <c r="AI27" t="s">
        <v>2446</v>
      </c>
      <c r="AJ27" t="s">
        <v>2447</v>
      </c>
      <c r="AK27" t="s">
        <v>2448</v>
      </c>
      <c r="AL27" t="s">
        <v>2449</v>
      </c>
    </row>
    <row r="28" spans="1:38">
      <c r="A28" s="1" t="s">
        <v>2450</v>
      </c>
      <c r="B28" t="s">
        <v>684</v>
      </c>
      <c r="C28" t="s">
        <v>684</v>
      </c>
      <c r="D28" t="s">
        <v>684</v>
      </c>
      <c r="E28" t="s">
        <v>684</v>
      </c>
      <c r="F28" t="s">
        <v>865</v>
      </c>
      <c r="G28" t="s">
        <v>2451</v>
      </c>
      <c r="H28" t="s">
        <v>2452</v>
      </c>
      <c r="I28" t="s">
        <v>2453</v>
      </c>
      <c r="J28" t="s">
        <v>2342</v>
      </c>
      <c r="K28" t="s">
        <v>2454</v>
      </c>
      <c r="L28" t="s">
        <v>1085</v>
      </c>
      <c r="M28" t="s">
        <v>1086</v>
      </c>
      <c r="N28" t="s">
        <v>1087</v>
      </c>
      <c r="O28" t="s">
        <v>1088</v>
      </c>
      <c r="P28" t="s">
        <v>1089</v>
      </c>
      <c r="Q28" t="s">
        <v>1090</v>
      </c>
      <c r="R28" t="s">
        <v>1091</v>
      </c>
      <c r="S28" t="s">
        <v>1092</v>
      </c>
      <c r="T28" t="s">
        <v>1230</v>
      </c>
      <c r="U28" t="s">
        <v>1094</v>
      </c>
      <c r="V28" t="s">
        <v>1095</v>
      </c>
      <c r="W28" t="s">
        <v>1096</v>
      </c>
      <c r="X28" t="s">
        <v>1097</v>
      </c>
      <c r="Y28" t="s">
        <v>1098</v>
      </c>
      <c r="Z28" t="s">
        <v>1096</v>
      </c>
      <c r="AA28" t="s">
        <v>1099</v>
      </c>
      <c r="AB28" t="s">
        <v>1100</v>
      </c>
      <c r="AC28" t="s">
        <v>1101</v>
      </c>
      <c r="AD28" t="s">
        <v>1102</v>
      </c>
      <c r="AE28" t="s">
        <v>1103</v>
      </c>
      <c r="AF28" t="s">
        <v>1104</v>
      </c>
      <c r="AG28" t="s">
        <v>1105</v>
      </c>
      <c r="AH28" t="s">
        <v>1106</v>
      </c>
      <c r="AI28" t="s">
        <v>2455</v>
      </c>
      <c r="AJ28" t="s">
        <v>2446</v>
      </c>
      <c r="AK28" t="s">
        <v>2447</v>
      </c>
      <c r="AL28" t="s">
        <v>2448</v>
      </c>
    </row>
    <row r="29" spans="1:38">
      <c r="A29" s="1" t="s">
        <v>2456</v>
      </c>
      <c r="B29" t="s">
        <v>684</v>
      </c>
      <c r="C29" t="s">
        <v>684</v>
      </c>
      <c r="D29" t="s">
        <v>684</v>
      </c>
      <c r="E29" t="s">
        <v>684</v>
      </c>
      <c r="F29" t="s">
        <v>2457</v>
      </c>
      <c r="G29" t="s">
        <v>2458</v>
      </c>
      <c r="H29" t="s">
        <v>2459</v>
      </c>
      <c r="I29" t="s">
        <v>2460</v>
      </c>
      <c r="J29" t="s">
        <v>2461</v>
      </c>
      <c r="K29" t="s">
        <v>2462</v>
      </c>
      <c r="L29" t="s">
        <v>2463</v>
      </c>
      <c r="M29" t="s">
        <v>2464</v>
      </c>
      <c r="N29" t="s">
        <v>2465</v>
      </c>
      <c r="O29" t="s">
        <v>2466</v>
      </c>
      <c r="P29" t="s">
        <v>1641</v>
      </c>
      <c r="Q29" t="s">
        <v>2467</v>
      </c>
      <c r="R29" t="s">
        <v>2468</v>
      </c>
      <c r="S29" t="s">
        <v>2469</v>
      </c>
      <c r="T29" t="s">
        <v>2470</v>
      </c>
      <c r="U29" t="s">
        <v>2471</v>
      </c>
      <c r="V29" t="s">
        <v>2472</v>
      </c>
      <c r="W29" t="s">
        <v>2473</v>
      </c>
      <c r="X29" t="s">
        <v>2474</v>
      </c>
      <c r="Y29" t="s">
        <v>2475</v>
      </c>
      <c r="Z29" t="s">
        <v>2476</v>
      </c>
      <c r="AA29" t="s">
        <v>2477</v>
      </c>
      <c r="AB29" t="s">
        <v>2478</v>
      </c>
      <c r="AC29" t="s">
        <v>2479</v>
      </c>
      <c r="AD29" t="s">
        <v>2480</v>
      </c>
      <c r="AE29" t="s">
        <v>2481</v>
      </c>
      <c r="AF29" t="s">
        <v>2482</v>
      </c>
      <c r="AG29" t="s">
        <v>2483</v>
      </c>
      <c r="AH29" t="s">
        <v>2484</v>
      </c>
      <c r="AI29" t="s">
        <v>2485</v>
      </c>
      <c r="AJ29" t="s">
        <v>2486</v>
      </c>
      <c r="AK29" t="s">
        <v>2487</v>
      </c>
      <c r="AL29" t="s">
        <v>2488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William Kruta</cp:lastModifiedBy>
  <cp:revision/>
  <dcterms:created xsi:type="dcterms:W3CDTF">2022-08-03T01:48:38Z</dcterms:created>
  <dcterms:modified xsi:type="dcterms:W3CDTF">2023-03-04T20:11:41Z</dcterms:modified>
  <cp:category/>
  <cp:contentStatus/>
</cp:coreProperties>
</file>