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https://d.docs.live.net/534a1defcf7f9d1a/Company Models CloudSave/AMZN/"/>
    </mc:Choice>
  </mc:AlternateContent>
  <xr:revisionPtr revIDLastSave="2901" documentId="8_{8A9B4DB3-24AD-4349-B0D9-D2635A67DFF5}" xr6:coauthVersionLast="47" xr6:coauthVersionMax="47" xr10:uidLastSave="{5959CA56-7A3B-4586-9EFB-E48F9A9779B4}"/>
  <bookViews>
    <workbookView xWindow="17820" yWindow="4350" windowWidth="19200" windowHeight="10310" firstSheet="2" xr2:uid="{00000000-000D-0000-FFFF-FFFF00000000}"/>
  </bookViews>
  <sheets>
    <sheet name="Main" sheetId="6" r:id="rId1"/>
    <sheet name="Info" sheetId="7" r:id="rId2"/>
    <sheet name="Model" sheetId="5" r:id="rId3"/>
    <sheet name="Summary" sheetId="1" r:id="rId4"/>
    <sheet name="Income Statement" sheetId="2" r:id="rId5"/>
    <sheet name="Balance Sheet" sheetId="3" r:id="rId6"/>
    <sheet name="Cash Flow" sheetId="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6" l="1"/>
  <c r="B5" i="6"/>
  <c r="AE29" i="5" l="1"/>
  <c r="AG116" i="5"/>
  <c r="AH116" i="5"/>
  <c r="AI116" i="5"/>
  <c r="AF116" i="5"/>
  <c r="AL116" i="5"/>
  <c r="AM116" i="5"/>
  <c r="AF110" i="5"/>
  <c r="AG110" i="5"/>
  <c r="AH110" i="5"/>
  <c r="AI110" i="5"/>
  <c r="AJ110" i="5"/>
  <c r="AL110" i="5"/>
  <c r="AM110" i="5"/>
  <c r="AF101" i="5"/>
  <c r="AG101" i="5"/>
  <c r="AH101" i="5"/>
  <c r="AI101" i="5"/>
  <c r="AJ101" i="5"/>
  <c r="AK101" i="5"/>
  <c r="AK110" i="5" s="1"/>
  <c r="AL101" i="5"/>
  <c r="AM101" i="5"/>
  <c r="AJ109" i="5"/>
  <c r="AJ96" i="5"/>
  <c r="AJ85" i="5"/>
  <c r="AJ91" i="5" s="1"/>
  <c r="AK116" i="5"/>
  <c r="AJ116" i="5"/>
  <c r="AF73" i="5"/>
  <c r="AG73" i="5"/>
  <c r="AH73" i="5"/>
  <c r="AI73" i="5"/>
  <c r="AJ73" i="5"/>
  <c r="AF74" i="5"/>
  <c r="AG74" i="5"/>
  <c r="AH74" i="5"/>
  <c r="AI74" i="5"/>
  <c r="AJ74" i="5"/>
  <c r="AE74" i="5"/>
  <c r="AI76" i="5"/>
  <c r="AI75" i="5"/>
  <c r="AJ76" i="5"/>
  <c r="AJ75" i="5"/>
  <c r="AJ71" i="5"/>
  <c r="AI71" i="5"/>
  <c r="AF68" i="5"/>
  <c r="AG68" i="5"/>
  <c r="AH68" i="5"/>
  <c r="AI68" i="5"/>
  <c r="AJ68" i="5"/>
  <c r="AE68" i="5"/>
  <c r="AJ67" i="5"/>
  <c r="AF62" i="5"/>
  <c r="AG62" i="5"/>
  <c r="AH62" i="5"/>
  <c r="AI62" i="5"/>
  <c r="AJ62" i="5"/>
  <c r="AE62" i="5"/>
  <c r="AI35" i="5"/>
  <c r="AJ35" i="5"/>
  <c r="AI36" i="5"/>
  <c r="AJ36" i="5"/>
  <c r="AI37" i="5"/>
  <c r="AJ37" i="5"/>
  <c r="AJ13" i="5"/>
  <c r="AM40" i="5"/>
  <c r="AM41" i="5"/>
  <c r="AM42" i="5"/>
  <c r="AM43" i="5"/>
  <c r="AM45" i="5"/>
  <c r="AM46" i="5"/>
  <c r="AM47" i="5"/>
  <c r="AM48" i="5"/>
  <c r="AL35" i="5"/>
  <c r="AM35" i="5"/>
  <c r="AL36" i="5"/>
  <c r="AM36" i="5"/>
  <c r="AL37" i="5"/>
  <c r="AM37" i="5"/>
  <c r="AK37" i="5"/>
  <c r="AK36" i="5"/>
  <c r="AK35" i="5"/>
  <c r="AM20" i="5"/>
  <c r="AM19" i="5"/>
  <c r="AM14" i="5"/>
  <c r="AM9" i="5"/>
  <c r="AL74" i="5"/>
  <c r="AL73" i="5"/>
  <c r="AK74" i="5"/>
  <c r="AK73" i="5"/>
  <c r="AM74" i="5"/>
  <c r="AM73" i="5"/>
  <c r="AM31" i="5"/>
  <c r="AM32" i="5"/>
  <c r="AM33" i="5"/>
  <c r="AM34" i="5"/>
  <c r="AF31" i="5"/>
  <c r="AG31" i="5"/>
  <c r="AH31" i="5"/>
  <c r="AI31" i="5"/>
  <c r="AJ31" i="5"/>
  <c r="AK31" i="5"/>
  <c r="AF32" i="5"/>
  <c r="AG32" i="5"/>
  <c r="AH32" i="5"/>
  <c r="AI32" i="5"/>
  <c r="AJ32" i="5"/>
  <c r="AK32" i="5"/>
  <c r="AF33" i="5"/>
  <c r="AG33" i="5"/>
  <c r="AH33" i="5"/>
  <c r="AI33" i="5"/>
  <c r="AJ33" i="5"/>
  <c r="AK33" i="5"/>
  <c r="AH34" i="5"/>
  <c r="AK34" i="5"/>
  <c r="AL34" i="5"/>
  <c r="AL33" i="5"/>
  <c r="AL32" i="5"/>
  <c r="AL31" i="5"/>
  <c r="AM29" i="5"/>
  <c r="AL67" i="5"/>
  <c r="AM67" i="5"/>
  <c r="AK67" i="5"/>
  <c r="C61" i="5"/>
  <c r="D61" i="5"/>
  <c r="E61" i="5"/>
  <c r="G61" i="5"/>
  <c r="H61" i="5"/>
  <c r="I61" i="5"/>
  <c r="K61" i="5"/>
  <c r="L61" i="5"/>
  <c r="M61" i="5"/>
  <c r="O61" i="5"/>
  <c r="P61" i="5"/>
  <c r="Q61" i="5"/>
  <c r="S61" i="5"/>
  <c r="T61" i="5"/>
  <c r="U61" i="5"/>
  <c r="W61" i="5"/>
  <c r="X61" i="5"/>
  <c r="Y61" i="5"/>
  <c r="AA61" i="5"/>
  <c r="AB61" i="5"/>
  <c r="AC61" i="5"/>
  <c r="AL61" i="5"/>
  <c r="AL62" i="5" s="1"/>
  <c r="AM61" i="5"/>
  <c r="AM62" i="5" s="1"/>
  <c r="AK61" i="5"/>
  <c r="AI61" i="5"/>
  <c r="AJ61" i="5"/>
  <c r="AG53" i="5"/>
  <c r="AH53" i="5"/>
  <c r="AH61" i="5" s="1"/>
  <c r="AI53" i="5"/>
  <c r="AJ53" i="5"/>
  <c r="AK53" i="5"/>
  <c r="AL53" i="5"/>
  <c r="AM53" i="5"/>
  <c r="AG46" i="5"/>
  <c r="AH46" i="5"/>
  <c r="AI46" i="5"/>
  <c r="AJ46" i="5"/>
  <c r="AK46" i="5"/>
  <c r="AL46" i="5"/>
  <c r="AF46" i="5"/>
  <c r="AC46" i="5"/>
  <c r="AG29" i="5"/>
  <c r="AG34" i="5" s="1"/>
  <c r="AH29" i="5"/>
  <c r="AI29" i="5"/>
  <c r="AI34" i="5" s="1"/>
  <c r="AJ29" i="5"/>
  <c r="AJ34" i="5" s="1"/>
  <c r="AK29" i="5"/>
  <c r="AL29" i="5"/>
  <c r="AF29" i="5"/>
  <c r="AF34" i="5" s="1"/>
  <c r="AG18" i="5"/>
  <c r="AG19" i="5" s="1"/>
  <c r="AH18" i="5"/>
  <c r="AH19" i="5" s="1"/>
  <c r="AI18" i="5"/>
  <c r="AI19" i="5" s="1"/>
  <c r="AJ18" i="5"/>
  <c r="AJ19" i="5" s="1"/>
  <c r="AK18" i="5"/>
  <c r="AK19" i="5" s="1"/>
  <c r="AL18" i="5"/>
  <c r="AL19" i="5" s="1"/>
  <c r="AG20" i="5"/>
  <c r="AG42" i="5" s="1"/>
  <c r="AH20" i="5"/>
  <c r="AH42" i="5" s="1"/>
  <c r="AI20" i="5"/>
  <c r="AI42" i="5" s="1"/>
  <c r="AJ20" i="5"/>
  <c r="AJ42" i="5" s="1"/>
  <c r="AK20" i="5"/>
  <c r="AK40" i="5" s="1"/>
  <c r="AL20" i="5"/>
  <c r="AL41" i="5" s="1"/>
  <c r="AF20" i="5"/>
  <c r="AF41" i="5" s="1"/>
  <c r="AF18" i="5"/>
  <c r="AF19" i="5" s="1"/>
  <c r="AG13" i="5"/>
  <c r="AG14" i="5" s="1"/>
  <c r="AH13" i="5"/>
  <c r="AH14" i="5" s="1"/>
  <c r="AI13" i="5"/>
  <c r="AI14" i="5" s="1"/>
  <c r="AJ14" i="5"/>
  <c r="AK13" i="5"/>
  <c r="AL13" i="5"/>
  <c r="AK14" i="5"/>
  <c r="AL14" i="5"/>
  <c r="AF13" i="5"/>
  <c r="AF14" i="5" s="1"/>
  <c r="AG8" i="5"/>
  <c r="AG9" i="5" s="1"/>
  <c r="AH8" i="5"/>
  <c r="AH9" i="5" s="1"/>
  <c r="AI8" i="5"/>
  <c r="AI9" i="5" s="1"/>
  <c r="AJ8" i="5"/>
  <c r="AJ9" i="5" s="1"/>
  <c r="AK8" i="5"/>
  <c r="AK9" i="5" s="1"/>
  <c r="AL8" i="5"/>
  <c r="AL9" i="5" s="1"/>
  <c r="AF8" i="5"/>
  <c r="AF9" i="5" s="1"/>
  <c r="AC115" i="5"/>
  <c r="AC116" i="5" s="1"/>
  <c r="G29" i="5"/>
  <c r="H29" i="5"/>
  <c r="I29" i="5"/>
  <c r="J29" i="5"/>
  <c r="K29" i="5"/>
  <c r="L29" i="5"/>
  <c r="M29" i="5"/>
  <c r="N29" i="5"/>
  <c r="O29" i="5"/>
  <c r="P29" i="5"/>
  <c r="Q29" i="5"/>
  <c r="R29" i="5"/>
  <c r="S29" i="5"/>
  <c r="T29" i="5"/>
  <c r="U29" i="5"/>
  <c r="V29" i="5"/>
  <c r="W29" i="5"/>
  <c r="X29" i="5"/>
  <c r="Y29" i="5"/>
  <c r="Z29" i="5"/>
  <c r="AA29" i="5"/>
  <c r="AB29" i="5"/>
  <c r="AC29" i="5"/>
  <c r="AK109" i="5"/>
  <c r="AL109" i="5"/>
  <c r="AM109" i="5"/>
  <c r="AK96" i="5"/>
  <c r="AL96" i="5"/>
  <c r="AM96" i="5"/>
  <c r="AK85" i="5"/>
  <c r="AK91" i="5" s="1"/>
  <c r="AL85" i="5"/>
  <c r="AL91" i="5" s="1"/>
  <c r="AM85" i="5"/>
  <c r="AM91" i="5" s="1"/>
  <c r="B3" i="6" a="1"/>
  <c r="B3" i="6" s="1"/>
  <c r="B2" i="6" a="1"/>
  <c r="B2" i="6" s="1"/>
  <c r="AK62" i="5" l="1"/>
  <c r="AK68" i="5" s="1"/>
  <c r="AK71" i="5" s="1"/>
  <c r="AM68" i="5"/>
  <c r="AM71" i="5" s="1"/>
  <c r="AL45" i="5"/>
  <c r="AL47" i="5" s="1"/>
  <c r="AL48" i="5" s="1"/>
  <c r="AJ45" i="5"/>
  <c r="AJ47" i="5" s="1"/>
  <c r="AJ48" i="5" s="1"/>
  <c r="AJ41" i="5"/>
  <c r="AL68" i="5"/>
  <c r="AL71" i="5" s="1"/>
  <c r="AI41" i="5"/>
  <c r="AH41" i="5"/>
  <c r="AG41" i="5"/>
  <c r="AK45" i="5"/>
  <c r="AK47" i="5" s="1"/>
  <c r="AK48" i="5" s="1"/>
  <c r="AI45" i="5"/>
  <c r="AI47" i="5" s="1"/>
  <c r="AI48" i="5" s="1"/>
  <c r="AH45" i="5"/>
  <c r="AH47" i="5" s="1"/>
  <c r="AH48" i="5" s="1"/>
  <c r="AG45" i="5"/>
  <c r="AG47" i="5" s="1"/>
  <c r="AG48" i="5" s="1"/>
  <c r="AK41" i="5"/>
  <c r="AF40" i="5"/>
  <c r="AF43" i="5" s="1"/>
  <c r="AI40" i="5"/>
  <c r="AI43" i="5" s="1"/>
  <c r="AF42" i="5"/>
  <c r="AK42" i="5"/>
  <c r="AG40" i="5"/>
  <c r="AG43" i="5" s="1"/>
  <c r="AL40" i="5"/>
  <c r="AJ40" i="5"/>
  <c r="AJ43" i="5" s="1"/>
  <c r="AF45" i="5"/>
  <c r="AF47" i="5" s="1"/>
  <c r="AF48" i="5" s="1"/>
  <c r="AH40" i="5"/>
  <c r="AH43" i="5" s="1"/>
  <c r="AL42" i="5"/>
  <c r="AJ112" i="5"/>
  <c r="AK112" i="5"/>
  <c r="AL112" i="5"/>
  <c r="AM112" i="5"/>
  <c r="B4" i="6"/>
  <c r="B7" i="6" s="1"/>
  <c r="B10" i="6" s="1"/>
  <c r="AC20" i="5"/>
  <c r="D46" i="5"/>
  <c r="E46" i="5"/>
  <c r="G46" i="5"/>
  <c r="H46" i="5"/>
  <c r="I46" i="5"/>
  <c r="K46" i="5"/>
  <c r="L46" i="5"/>
  <c r="M46" i="5"/>
  <c r="O46" i="5"/>
  <c r="P46" i="5"/>
  <c r="Q46" i="5"/>
  <c r="S46" i="5"/>
  <c r="T46" i="5"/>
  <c r="U46" i="5"/>
  <c r="W46" i="5"/>
  <c r="X46" i="5"/>
  <c r="Y46" i="5"/>
  <c r="AA46" i="5"/>
  <c r="AB46" i="5"/>
  <c r="C46" i="5"/>
  <c r="C20" i="5"/>
  <c r="C45" i="5" s="1"/>
  <c r="D20" i="5"/>
  <c r="D45" i="5" s="1"/>
  <c r="E20" i="5"/>
  <c r="E42" i="5" s="1"/>
  <c r="G20" i="5"/>
  <c r="G41" i="5" s="1"/>
  <c r="H20" i="5"/>
  <c r="H45" i="5" s="1"/>
  <c r="I20" i="5"/>
  <c r="I45" i="5" s="1"/>
  <c r="K20" i="5"/>
  <c r="K40" i="5" s="1"/>
  <c r="L20" i="5"/>
  <c r="L40" i="5" s="1"/>
  <c r="M20" i="5"/>
  <c r="M45" i="5" s="1"/>
  <c r="O20" i="5"/>
  <c r="O45" i="5" s="1"/>
  <c r="P20" i="5"/>
  <c r="P45" i="5" s="1"/>
  <c r="Q20" i="5"/>
  <c r="Q42" i="5" s="1"/>
  <c r="S20" i="5"/>
  <c r="S45" i="5" s="1"/>
  <c r="T20" i="5"/>
  <c r="T45" i="5" s="1"/>
  <c r="U20" i="5"/>
  <c r="U45" i="5" s="1"/>
  <c r="W20" i="5"/>
  <c r="W45" i="5" s="1"/>
  <c r="X20" i="5"/>
  <c r="X45" i="5" s="1"/>
  <c r="Y20" i="5"/>
  <c r="Y42" i="5" s="1"/>
  <c r="AA20" i="5"/>
  <c r="AA45" i="5" s="1"/>
  <c r="AB20" i="5"/>
  <c r="AB45" i="5" s="1"/>
  <c r="N12" i="5"/>
  <c r="N7" i="5"/>
  <c r="K18" i="5"/>
  <c r="K19" i="5" s="1"/>
  <c r="Z6" i="5"/>
  <c r="AC18" i="5"/>
  <c r="AC19" i="5" s="1"/>
  <c r="AC13" i="5"/>
  <c r="AC14" i="5" s="1"/>
  <c r="AC8" i="5"/>
  <c r="AC9" i="5" s="1"/>
  <c r="C18" i="5"/>
  <c r="C19" i="5" s="1"/>
  <c r="D18" i="5"/>
  <c r="D19" i="5" s="1"/>
  <c r="E18" i="5"/>
  <c r="G18" i="5"/>
  <c r="G19" i="5" s="1"/>
  <c r="H18" i="5"/>
  <c r="H19" i="5" s="1"/>
  <c r="I18" i="5"/>
  <c r="I19" i="5" s="1"/>
  <c r="L18" i="5"/>
  <c r="L19" i="5" s="1"/>
  <c r="M18" i="5"/>
  <c r="M19" i="5" s="1"/>
  <c r="O18" i="5"/>
  <c r="O19" i="5" s="1"/>
  <c r="P18" i="5"/>
  <c r="P19" i="5" s="1"/>
  <c r="Q18" i="5"/>
  <c r="Q19" i="5" s="1"/>
  <c r="S18" i="5"/>
  <c r="S19" i="5" s="1"/>
  <c r="T18" i="5"/>
  <c r="T19" i="5" s="1"/>
  <c r="U18" i="5"/>
  <c r="U19" i="5" s="1"/>
  <c r="W18" i="5"/>
  <c r="W19" i="5" s="1"/>
  <c r="X18" i="5"/>
  <c r="X19" i="5" s="1"/>
  <c r="Y18" i="5"/>
  <c r="Y19" i="5" s="1"/>
  <c r="AA18" i="5"/>
  <c r="AA19" i="5" s="1"/>
  <c r="AB18" i="5"/>
  <c r="AB19" i="5" s="1"/>
  <c r="C13" i="5"/>
  <c r="C14" i="5" s="1"/>
  <c r="D13" i="5"/>
  <c r="D14" i="5" s="1"/>
  <c r="E13" i="5"/>
  <c r="E14" i="5" s="1"/>
  <c r="G13" i="5"/>
  <c r="G14" i="5" s="1"/>
  <c r="H13" i="5"/>
  <c r="H14" i="5" s="1"/>
  <c r="I13" i="5"/>
  <c r="I14" i="5" s="1"/>
  <c r="K13" i="5"/>
  <c r="K14" i="5" s="1"/>
  <c r="L13" i="5"/>
  <c r="L14" i="5" s="1"/>
  <c r="M13" i="5"/>
  <c r="M14" i="5" s="1"/>
  <c r="O13" i="5"/>
  <c r="O14" i="5" s="1"/>
  <c r="P13" i="5"/>
  <c r="P14" i="5" s="1"/>
  <c r="Q13" i="5"/>
  <c r="Q14" i="5" s="1"/>
  <c r="S13" i="5"/>
  <c r="S14" i="5" s="1"/>
  <c r="T13" i="5"/>
  <c r="T14" i="5" s="1"/>
  <c r="U13" i="5"/>
  <c r="U14" i="5" s="1"/>
  <c r="W13" i="5"/>
  <c r="W14" i="5" s="1"/>
  <c r="X13" i="5"/>
  <c r="X14" i="5" s="1"/>
  <c r="Y13" i="5"/>
  <c r="AA13" i="5"/>
  <c r="AA14" i="5" s="1"/>
  <c r="AB13" i="5"/>
  <c r="AB14" i="5" s="1"/>
  <c r="C8" i="5"/>
  <c r="C9" i="5" s="1"/>
  <c r="D8" i="5"/>
  <c r="E8" i="5"/>
  <c r="E9" i="5" s="1"/>
  <c r="G8" i="5"/>
  <c r="G9" i="5" s="1"/>
  <c r="H8" i="5"/>
  <c r="H9" i="5" s="1"/>
  <c r="I8" i="5"/>
  <c r="I9" i="5" s="1"/>
  <c r="K8" i="5"/>
  <c r="K9" i="5" s="1"/>
  <c r="L8" i="5"/>
  <c r="L9" i="5" s="1"/>
  <c r="M8" i="5"/>
  <c r="M9" i="5" s="1"/>
  <c r="O8" i="5"/>
  <c r="O9" i="5" s="1"/>
  <c r="P8" i="5"/>
  <c r="P9" i="5" s="1"/>
  <c r="Q8" i="5"/>
  <c r="Q9" i="5" s="1"/>
  <c r="S8" i="5"/>
  <c r="S9" i="5" s="1"/>
  <c r="T8" i="5"/>
  <c r="T9" i="5" s="1"/>
  <c r="U8" i="5"/>
  <c r="U9" i="5" s="1"/>
  <c r="W8" i="5"/>
  <c r="W9" i="5" s="1"/>
  <c r="X8" i="5"/>
  <c r="X9" i="5" s="1"/>
  <c r="Y8" i="5"/>
  <c r="Y9" i="5" s="1"/>
  <c r="AA8" i="5"/>
  <c r="AA9" i="5" s="1"/>
  <c r="AB8" i="5"/>
  <c r="AB9" i="5" s="1"/>
  <c r="Z16" i="5"/>
  <c r="V16" i="5"/>
  <c r="R16" i="5"/>
  <c r="N16" i="5"/>
  <c r="J16" i="5"/>
  <c r="F16" i="5"/>
  <c r="Z11" i="5"/>
  <c r="V11" i="5"/>
  <c r="R11" i="5"/>
  <c r="N11" i="5"/>
  <c r="J11" i="5"/>
  <c r="F11" i="5"/>
  <c r="V6" i="5"/>
  <c r="R6" i="5"/>
  <c r="N6" i="5"/>
  <c r="J6" i="5"/>
  <c r="F6" i="5"/>
  <c r="Z70" i="5"/>
  <c r="Z69" i="5"/>
  <c r="Z66" i="5"/>
  <c r="Z65" i="5"/>
  <c r="Z64" i="5"/>
  <c r="Z60" i="5"/>
  <c r="Z59" i="5"/>
  <c r="Z58" i="5"/>
  <c r="Z57" i="5"/>
  <c r="Z56" i="5"/>
  <c r="Z55" i="5"/>
  <c r="Z52" i="5"/>
  <c r="Z51" i="5"/>
  <c r="X75" i="5"/>
  <c r="Y109" i="5"/>
  <c r="Z109" i="5"/>
  <c r="AA109" i="5"/>
  <c r="AB109" i="5"/>
  <c r="AC109" i="5"/>
  <c r="AF109" i="5"/>
  <c r="AG109" i="5"/>
  <c r="AH109" i="5"/>
  <c r="AI109" i="5"/>
  <c r="Y96" i="5"/>
  <c r="Y101" i="5" s="1"/>
  <c r="Z96" i="5"/>
  <c r="Z101" i="5" s="1"/>
  <c r="AA96" i="5"/>
  <c r="AA101" i="5" s="1"/>
  <c r="AB96" i="5"/>
  <c r="AB101" i="5" s="1"/>
  <c r="AC96" i="5"/>
  <c r="AC101" i="5" s="1"/>
  <c r="AF96" i="5"/>
  <c r="AG96" i="5"/>
  <c r="AH96" i="5"/>
  <c r="AI96" i="5"/>
  <c r="Y85" i="5"/>
  <c r="Z85" i="5"/>
  <c r="AA85" i="5"/>
  <c r="AB85" i="5"/>
  <c r="AC85" i="5"/>
  <c r="AF85" i="5"/>
  <c r="AG85" i="5"/>
  <c r="AH85" i="5"/>
  <c r="AI85" i="5"/>
  <c r="AE71" i="5"/>
  <c r="AF71" i="5"/>
  <c r="AG71" i="5"/>
  <c r="AH71" i="5"/>
  <c r="Y67" i="5"/>
  <c r="AA67" i="5"/>
  <c r="AB67" i="5"/>
  <c r="AC67" i="5"/>
  <c r="AE67" i="5"/>
  <c r="AF67" i="5"/>
  <c r="AG67" i="5"/>
  <c r="AH67" i="5"/>
  <c r="AI67" i="5"/>
  <c r="AE61" i="5"/>
  <c r="AG61" i="5"/>
  <c r="Y53" i="5"/>
  <c r="Y62" i="5" s="1"/>
  <c r="AA53" i="5"/>
  <c r="AA62" i="5" s="1"/>
  <c r="AB53" i="5"/>
  <c r="AB62" i="5" s="1"/>
  <c r="AC53" i="5"/>
  <c r="AC62" i="5" s="1"/>
  <c r="AF53" i="5"/>
  <c r="AF61" i="5" s="1"/>
  <c r="V70" i="5"/>
  <c r="V69" i="5"/>
  <c r="V66" i="5"/>
  <c r="V65" i="5"/>
  <c r="V64" i="5"/>
  <c r="V60" i="5"/>
  <c r="V59" i="5"/>
  <c r="V58" i="5"/>
  <c r="V57" i="5"/>
  <c r="V56" i="5"/>
  <c r="V55" i="5"/>
  <c r="V52" i="5"/>
  <c r="V51" i="5"/>
  <c r="R70" i="5"/>
  <c r="R69" i="5"/>
  <c r="R66" i="5"/>
  <c r="R65" i="5"/>
  <c r="R64" i="5"/>
  <c r="R57" i="5"/>
  <c r="R60" i="5"/>
  <c r="R59" i="5"/>
  <c r="R58" i="5"/>
  <c r="R56" i="5"/>
  <c r="R55" i="5"/>
  <c r="R52" i="5"/>
  <c r="R51" i="5"/>
  <c r="U53" i="5"/>
  <c r="U62" i="5" s="1"/>
  <c r="N70" i="5"/>
  <c r="N69" i="5"/>
  <c r="N66" i="5"/>
  <c r="N65" i="5"/>
  <c r="N64" i="5"/>
  <c r="N60" i="5"/>
  <c r="N59" i="5"/>
  <c r="N58" i="5"/>
  <c r="N57" i="5"/>
  <c r="N56" i="5"/>
  <c r="N55" i="5"/>
  <c r="N52" i="5"/>
  <c r="N51" i="5"/>
  <c r="J70" i="5"/>
  <c r="J69" i="5"/>
  <c r="J66" i="5"/>
  <c r="J65" i="5"/>
  <c r="J64" i="5"/>
  <c r="J60" i="5"/>
  <c r="J59" i="5"/>
  <c r="J58" i="5"/>
  <c r="J57" i="5"/>
  <c r="J56" i="5"/>
  <c r="J55" i="5"/>
  <c r="J52" i="5"/>
  <c r="J51" i="5"/>
  <c r="I109" i="5"/>
  <c r="K85" i="5"/>
  <c r="F52" i="5"/>
  <c r="F70" i="5"/>
  <c r="F69" i="5"/>
  <c r="F66" i="5"/>
  <c r="F65" i="5"/>
  <c r="F64" i="5"/>
  <c r="F60" i="5"/>
  <c r="F59" i="5"/>
  <c r="F58" i="5"/>
  <c r="F57" i="5"/>
  <c r="F56" i="5"/>
  <c r="F55" i="5"/>
  <c r="F51" i="5"/>
  <c r="D109" i="5"/>
  <c r="E109" i="5"/>
  <c r="F109" i="5"/>
  <c r="G109" i="5"/>
  <c r="H109" i="5"/>
  <c r="J109" i="5"/>
  <c r="K109" i="5"/>
  <c r="L109" i="5"/>
  <c r="M109" i="5"/>
  <c r="N109" i="5"/>
  <c r="O109" i="5"/>
  <c r="P109" i="5"/>
  <c r="Q109" i="5"/>
  <c r="R109" i="5"/>
  <c r="S109" i="5"/>
  <c r="T109" i="5"/>
  <c r="U109" i="5"/>
  <c r="V109" i="5"/>
  <c r="W109" i="5"/>
  <c r="X109" i="5"/>
  <c r="D96" i="5"/>
  <c r="D101" i="5" s="1"/>
  <c r="E96" i="5"/>
  <c r="E101" i="5" s="1"/>
  <c r="F96" i="5"/>
  <c r="F101" i="5" s="1"/>
  <c r="G96" i="5"/>
  <c r="G101" i="5" s="1"/>
  <c r="H96" i="5"/>
  <c r="H101" i="5" s="1"/>
  <c r="I96" i="5"/>
  <c r="I101" i="5" s="1"/>
  <c r="J96" i="5"/>
  <c r="J101" i="5" s="1"/>
  <c r="K96" i="5"/>
  <c r="K101" i="5" s="1"/>
  <c r="L96" i="5"/>
  <c r="L101" i="5" s="1"/>
  <c r="M96" i="5"/>
  <c r="M101" i="5" s="1"/>
  <c r="N96" i="5"/>
  <c r="N101" i="5" s="1"/>
  <c r="O96" i="5"/>
  <c r="O101" i="5" s="1"/>
  <c r="P96" i="5"/>
  <c r="P101" i="5" s="1"/>
  <c r="Q96" i="5"/>
  <c r="Q101" i="5" s="1"/>
  <c r="R96" i="5"/>
  <c r="R101" i="5" s="1"/>
  <c r="S96" i="5"/>
  <c r="S101" i="5" s="1"/>
  <c r="T96" i="5"/>
  <c r="T101" i="5" s="1"/>
  <c r="U96" i="5"/>
  <c r="U101" i="5" s="1"/>
  <c r="V96" i="5"/>
  <c r="V101" i="5" s="1"/>
  <c r="W96" i="5"/>
  <c r="W101" i="5" s="1"/>
  <c r="X96" i="5"/>
  <c r="X101" i="5" s="1"/>
  <c r="D85" i="5"/>
  <c r="E85" i="5"/>
  <c r="F85" i="5"/>
  <c r="G85" i="5"/>
  <c r="H85" i="5"/>
  <c r="I85" i="5"/>
  <c r="J85" i="5"/>
  <c r="L85" i="5"/>
  <c r="M85" i="5"/>
  <c r="N85" i="5"/>
  <c r="O85" i="5"/>
  <c r="P85" i="5"/>
  <c r="Q85" i="5"/>
  <c r="R85" i="5"/>
  <c r="S85" i="5"/>
  <c r="T85" i="5"/>
  <c r="U85" i="5"/>
  <c r="V85" i="5"/>
  <c r="W85" i="5"/>
  <c r="X85" i="5"/>
  <c r="D67" i="5"/>
  <c r="E67" i="5"/>
  <c r="G67" i="5"/>
  <c r="H67" i="5"/>
  <c r="I67" i="5"/>
  <c r="K67" i="5"/>
  <c r="L67" i="5"/>
  <c r="M67" i="5"/>
  <c r="O67" i="5"/>
  <c r="P67" i="5"/>
  <c r="Q67" i="5"/>
  <c r="S67" i="5"/>
  <c r="T67" i="5"/>
  <c r="U67" i="5"/>
  <c r="W67" i="5"/>
  <c r="X67" i="5"/>
  <c r="D53" i="5"/>
  <c r="D62" i="5" s="1"/>
  <c r="D68" i="5" s="1"/>
  <c r="E53" i="5"/>
  <c r="E62" i="5" s="1"/>
  <c r="E68" i="5" s="1"/>
  <c r="G53" i="5"/>
  <c r="G62" i="5" s="1"/>
  <c r="H53" i="5"/>
  <c r="H62" i="5" s="1"/>
  <c r="I53" i="5"/>
  <c r="I62" i="5" s="1"/>
  <c r="I68" i="5" s="1"/>
  <c r="I71" i="5" s="1"/>
  <c r="I73" i="5" s="1"/>
  <c r="K53" i="5"/>
  <c r="K62" i="5" s="1"/>
  <c r="K68" i="5" s="1"/>
  <c r="K71" i="5" s="1"/>
  <c r="K73" i="5" s="1"/>
  <c r="L53" i="5"/>
  <c r="L62" i="5" s="1"/>
  <c r="L68" i="5" s="1"/>
  <c r="L71" i="5" s="1"/>
  <c r="L73" i="5" s="1"/>
  <c r="M53" i="5"/>
  <c r="M62" i="5" s="1"/>
  <c r="M68" i="5" s="1"/>
  <c r="M71" i="5" s="1"/>
  <c r="M73" i="5" s="1"/>
  <c r="O53" i="5"/>
  <c r="O62" i="5" s="1"/>
  <c r="O68" i="5" s="1"/>
  <c r="O71" i="5" s="1"/>
  <c r="O73" i="5" s="1"/>
  <c r="P53" i="5"/>
  <c r="P62" i="5" s="1"/>
  <c r="P68" i="5" s="1"/>
  <c r="P71" i="5" s="1"/>
  <c r="P73" i="5" s="1"/>
  <c r="Q53" i="5"/>
  <c r="Q62" i="5" s="1"/>
  <c r="Q68" i="5" s="1"/>
  <c r="Q71" i="5" s="1"/>
  <c r="Q73" i="5" s="1"/>
  <c r="S53" i="5"/>
  <c r="S62" i="5" s="1"/>
  <c r="S68" i="5" s="1"/>
  <c r="S71" i="5" s="1"/>
  <c r="S73" i="5" s="1"/>
  <c r="T53" i="5"/>
  <c r="T62" i="5" s="1"/>
  <c r="T68" i="5" s="1"/>
  <c r="T71" i="5" s="1"/>
  <c r="T73" i="5" s="1"/>
  <c r="W53" i="5"/>
  <c r="W62" i="5" s="1"/>
  <c r="X53" i="5"/>
  <c r="X62" i="5" s="1"/>
  <c r="C109" i="5"/>
  <c r="C96" i="5"/>
  <c r="C101" i="5" s="1"/>
  <c r="C85" i="5"/>
  <c r="C67" i="5"/>
  <c r="C53" i="5"/>
  <c r="C62" i="5" s="1"/>
  <c r="C33" i="2"/>
  <c r="D33" i="2"/>
  <c r="E33" i="2"/>
  <c r="F33" i="2"/>
  <c r="G33" i="2"/>
  <c r="H33" i="2"/>
  <c r="I33" i="2"/>
  <c r="J33" i="2"/>
  <c r="K33" i="2"/>
  <c r="L33" i="2"/>
  <c r="M33" i="2"/>
  <c r="N33" i="2"/>
  <c r="O33" i="2"/>
  <c r="P33" i="2"/>
  <c r="Q33" i="2"/>
  <c r="R33" i="2"/>
  <c r="S33" i="2"/>
  <c r="T33" i="2"/>
  <c r="U33" i="2"/>
  <c r="V33" i="2"/>
  <c r="W33" i="2"/>
  <c r="X33" i="2"/>
  <c r="Y33" i="2"/>
  <c r="Z33" i="2"/>
  <c r="AA33" i="2"/>
  <c r="C34" i="2"/>
  <c r="D34" i="2"/>
  <c r="E34" i="2"/>
  <c r="F34" i="2"/>
  <c r="G34" i="2"/>
  <c r="H34" i="2"/>
  <c r="I34" i="2"/>
  <c r="J34" i="2"/>
  <c r="K34" i="2"/>
  <c r="L34" i="2"/>
  <c r="M34" i="2"/>
  <c r="N34" i="2"/>
  <c r="O34" i="2"/>
  <c r="P34" i="2"/>
  <c r="Q34" i="2"/>
  <c r="R34" i="2"/>
  <c r="S34" i="2"/>
  <c r="T34" i="2"/>
  <c r="U34" i="2"/>
  <c r="V34" i="2"/>
  <c r="W34" i="2"/>
  <c r="X34" i="2"/>
  <c r="Y34" i="2"/>
  <c r="Z34" i="2"/>
  <c r="AA34" i="2"/>
  <c r="C35" i="2"/>
  <c r="D35" i="2"/>
  <c r="E35" i="2"/>
  <c r="F35" i="2"/>
  <c r="G35" i="2"/>
  <c r="H35" i="2"/>
  <c r="I35" i="2"/>
  <c r="J35" i="2"/>
  <c r="K35" i="2"/>
  <c r="L35" i="2"/>
  <c r="M35" i="2"/>
  <c r="N35" i="2"/>
  <c r="O35" i="2"/>
  <c r="P35" i="2"/>
  <c r="Q35" i="2"/>
  <c r="R35" i="2"/>
  <c r="S35" i="2"/>
  <c r="T35" i="2"/>
  <c r="U35" i="2"/>
  <c r="V35" i="2"/>
  <c r="W35" i="2"/>
  <c r="X35" i="2"/>
  <c r="Y35" i="2"/>
  <c r="Z35" i="2"/>
  <c r="AA35" i="2"/>
  <c r="B35" i="2"/>
  <c r="B34" i="2"/>
  <c r="B33" i="2"/>
  <c r="D29" i="2"/>
  <c r="E29" i="2"/>
  <c r="F29" i="2"/>
  <c r="G29" i="2"/>
  <c r="H29" i="2"/>
  <c r="I29" i="2"/>
  <c r="J29" i="2"/>
  <c r="K29" i="2"/>
  <c r="L29" i="2"/>
  <c r="M29" i="2"/>
  <c r="N29" i="2"/>
  <c r="O29" i="2"/>
  <c r="P29" i="2"/>
  <c r="Q29" i="2"/>
  <c r="R29" i="2"/>
  <c r="S29" i="2"/>
  <c r="T29" i="2"/>
  <c r="U29" i="2"/>
  <c r="V29" i="2"/>
  <c r="W29" i="2"/>
  <c r="X29" i="2"/>
  <c r="Y29" i="2"/>
  <c r="Z29" i="2"/>
  <c r="AA29" i="2"/>
  <c r="C28" i="2"/>
  <c r="C29" i="2"/>
  <c r="C30" i="1"/>
  <c r="D30" i="1"/>
  <c r="E30" i="1"/>
  <c r="F30" i="1"/>
  <c r="G30" i="1"/>
  <c r="H30" i="1"/>
  <c r="I30" i="1"/>
  <c r="J30" i="1"/>
  <c r="K30" i="1"/>
  <c r="L30" i="1"/>
  <c r="M30" i="1"/>
  <c r="N30" i="1"/>
  <c r="O30" i="1"/>
  <c r="P30" i="1"/>
  <c r="Q30" i="1"/>
  <c r="R30" i="1"/>
  <c r="B30" i="1"/>
  <c r="C28" i="1"/>
  <c r="D28" i="1"/>
  <c r="E28" i="1"/>
  <c r="F28" i="1"/>
  <c r="G28" i="1"/>
  <c r="H28" i="1"/>
  <c r="I28" i="1"/>
  <c r="J28" i="1"/>
  <c r="K28" i="1"/>
  <c r="L28" i="1"/>
  <c r="M28" i="1"/>
  <c r="N28" i="1"/>
  <c r="O28" i="1"/>
  <c r="P28" i="1"/>
  <c r="Q28" i="1"/>
  <c r="R28" i="1"/>
  <c r="B28" i="1"/>
  <c r="H68" i="5" l="1"/>
  <c r="H71" i="5" s="1"/>
  <c r="H73" i="5" s="1"/>
  <c r="G68" i="5"/>
  <c r="G71" i="5" s="1"/>
  <c r="G73" i="5" s="1"/>
  <c r="AB68" i="5"/>
  <c r="AB71" i="5" s="1"/>
  <c r="AB73" i="5" s="1"/>
  <c r="C68" i="5"/>
  <c r="X68" i="5"/>
  <c r="X71" i="5" s="1"/>
  <c r="AA68" i="5"/>
  <c r="AA71" i="5" s="1"/>
  <c r="AA73" i="5" s="1"/>
  <c r="Y68" i="5"/>
  <c r="Y71" i="5" s="1"/>
  <c r="Y73" i="5" s="1"/>
  <c r="W68" i="5"/>
  <c r="W71" i="5" s="1"/>
  <c r="W73" i="5" s="1"/>
  <c r="U68" i="5"/>
  <c r="U71" i="5" s="1"/>
  <c r="U73" i="5" s="1"/>
  <c r="AK43" i="5"/>
  <c r="AC68" i="5"/>
  <c r="AC71" i="5" s="1"/>
  <c r="AC73" i="5" s="1"/>
  <c r="J61" i="5"/>
  <c r="AL43" i="5"/>
  <c r="F61" i="5"/>
  <c r="V61" i="5"/>
  <c r="N61" i="5"/>
  <c r="R61" i="5"/>
  <c r="Z61" i="5"/>
  <c r="O40" i="5"/>
  <c r="AC42" i="5"/>
  <c r="AC40" i="5"/>
  <c r="AC41" i="5"/>
  <c r="AC45" i="5"/>
  <c r="AC47" i="5" s="1"/>
  <c r="AC48" i="5" s="1"/>
  <c r="U40" i="5"/>
  <c r="S40" i="5"/>
  <c r="T40" i="5"/>
  <c r="Z53" i="5"/>
  <c r="AC110" i="5"/>
  <c r="X91" i="5"/>
  <c r="X112" i="5"/>
  <c r="U91" i="5"/>
  <c r="U112" i="5"/>
  <c r="D91" i="5"/>
  <c r="D112" i="5"/>
  <c r="V91" i="5"/>
  <c r="V112" i="5"/>
  <c r="C91" i="5"/>
  <c r="C112" i="5"/>
  <c r="S91" i="5"/>
  <c r="S112" i="5"/>
  <c r="Z91" i="5"/>
  <c r="Z112" i="5"/>
  <c r="Q91" i="5"/>
  <c r="Q112" i="5"/>
  <c r="W91" i="5"/>
  <c r="W112" i="5"/>
  <c r="P91" i="5"/>
  <c r="P112" i="5"/>
  <c r="Y91" i="5"/>
  <c r="Y112" i="5"/>
  <c r="R91" i="5"/>
  <c r="R112" i="5"/>
  <c r="N91" i="5"/>
  <c r="N112" i="5"/>
  <c r="K91" i="5"/>
  <c r="K112" i="5"/>
  <c r="AI91" i="5"/>
  <c r="AI112" i="5"/>
  <c r="O91" i="5"/>
  <c r="O112" i="5"/>
  <c r="M91" i="5"/>
  <c r="M112" i="5"/>
  <c r="AH91" i="5"/>
  <c r="AH112" i="5"/>
  <c r="L91" i="5"/>
  <c r="L112" i="5"/>
  <c r="AG91" i="5"/>
  <c r="AG112" i="5"/>
  <c r="AB91" i="5"/>
  <c r="AB112" i="5"/>
  <c r="F91" i="5"/>
  <c r="F112" i="5"/>
  <c r="J91" i="5"/>
  <c r="J112" i="5"/>
  <c r="AF91" i="5"/>
  <c r="AF112" i="5"/>
  <c r="H91" i="5"/>
  <c r="H112" i="5"/>
  <c r="G91" i="5"/>
  <c r="G112" i="5"/>
  <c r="AA91" i="5"/>
  <c r="AA112" i="5"/>
  <c r="E91" i="5"/>
  <c r="E112" i="5"/>
  <c r="T91" i="5"/>
  <c r="T112" i="5"/>
  <c r="I91" i="5"/>
  <c r="I112" i="5"/>
  <c r="AC91" i="5"/>
  <c r="AC112" i="5"/>
  <c r="H42" i="5"/>
  <c r="H41" i="5"/>
  <c r="Q45" i="5"/>
  <c r="Q47" i="5" s="1"/>
  <c r="Q48" i="5" s="1"/>
  <c r="J67" i="5"/>
  <c r="P42" i="5"/>
  <c r="P40" i="5"/>
  <c r="R18" i="5"/>
  <c r="R19" i="5" s="1"/>
  <c r="AA41" i="5"/>
  <c r="J53" i="5"/>
  <c r="AA40" i="5"/>
  <c r="P41" i="5"/>
  <c r="O47" i="5"/>
  <c r="O48" i="5" s="1"/>
  <c r="O41" i="5"/>
  <c r="F110" i="5"/>
  <c r="S42" i="5"/>
  <c r="Q110" i="5"/>
  <c r="I110" i="5"/>
  <c r="Z110" i="5"/>
  <c r="T42" i="5"/>
  <c r="P110" i="5"/>
  <c r="D110" i="5"/>
  <c r="O42" i="5"/>
  <c r="J8" i="5"/>
  <c r="J7" i="5" s="1"/>
  <c r="T41" i="5"/>
  <c r="Y45" i="5"/>
  <c r="Y47" i="5" s="1"/>
  <c r="Y48" i="5" s="1"/>
  <c r="N67" i="5"/>
  <c r="R67" i="5"/>
  <c r="M47" i="5"/>
  <c r="M48" i="5" s="1"/>
  <c r="Z67" i="5"/>
  <c r="I47" i="5"/>
  <c r="I48" i="5" s="1"/>
  <c r="L42" i="5"/>
  <c r="W47" i="5"/>
  <c r="W48" i="5" s="1"/>
  <c r="I41" i="5"/>
  <c r="U47" i="5"/>
  <c r="U48" i="5" s="1"/>
  <c r="M41" i="5"/>
  <c r="L110" i="5"/>
  <c r="H40" i="5"/>
  <c r="T47" i="5"/>
  <c r="T48" i="5" s="1"/>
  <c r="M40" i="5"/>
  <c r="K110" i="5"/>
  <c r="M42" i="5"/>
  <c r="K41" i="5"/>
  <c r="V20" i="5"/>
  <c r="V40" i="5" s="1"/>
  <c r="Z13" i="5"/>
  <c r="Z12" i="5" s="1"/>
  <c r="S110" i="5"/>
  <c r="X110" i="5"/>
  <c r="V53" i="5"/>
  <c r="P47" i="5"/>
  <c r="P48" i="5" s="1"/>
  <c r="AB42" i="5"/>
  <c r="AB41" i="5"/>
  <c r="V67" i="5"/>
  <c r="AB110" i="5"/>
  <c r="F13" i="5"/>
  <c r="F14" i="5" s="1"/>
  <c r="D47" i="5"/>
  <c r="D48" i="5" s="1"/>
  <c r="K42" i="5"/>
  <c r="J20" i="5"/>
  <c r="J41" i="5" s="1"/>
  <c r="C47" i="5"/>
  <c r="C48" i="5" s="1"/>
  <c r="AB40" i="5"/>
  <c r="S47" i="5"/>
  <c r="S48" i="5" s="1"/>
  <c r="G40" i="5"/>
  <c r="Z18" i="5"/>
  <c r="Z19" i="5" s="1"/>
  <c r="H110" i="5"/>
  <c r="F67" i="5"/>
  <c r="I40" i="5"/>
  <c r="W110" i="5"/>
  <c r="G110" i="5"/>
  <c r="Y41" i="5"/>
  <c r="Y40" i="5"/>
  <c r="X42" i="5"/>
  <c r="V110" i="5"/>
  <c r="I42" i="5"/>
  <c r="Z8" i="5"/>
  <c r="Z7" i="5" s="1"/>
  <c r="U110" i="5"/>
  <c r="E110" i="5"/>
  <c r="F18" i="5"/>
  <c r="F19" i="5" s="1"/>
  <c r="L45" i="5"/>
  <c r="L47" i="5" s="1"/>
  <c r="L48" i="5" s="1"/>
  <c r="AA42" i="5"/>
  <c r="J13" i="5"/>
  <c r="J14" i="5" s="1"/>
  <c r="F8" i="5"/>
  <c r="F9" i="5" s="1"/>
  <c r="R53" i="5"/>
  <c r="AB47" i="5"/>
  <c r="AB48" i="5" s="1"/>
  <c r="U41" i="5"/>
  <c r="R8" i="5"/>
  <c r="R9" i="5" s="1"/>
  <c r="D42" i="5"/>
  <c r="D40" i="5"/>
  <c r="E19" i="5"/>
  <c r="G45" i="5"/>
  <c r="G47" i="5" s="1"/>
  <c r="G48" i="5" s="1"/>
  <c r="C110" i="5"/>
  <c r="D9" i="5"/>
  <c r="N53" i="5"/>
  <c r="F20" i="5"/>
  <c r="F45" i="5" s="1"/>
  <c r="Y14" i="5"/>
  <c r="V18" i="5"/>
  <c r="V19" i="5" s="1"/>
  <c r="F53" i="5"/>
  <c r="AA110" i="5"/>
  <c r="C42" i="5"/>
  <c r="X73" i="5"/>
  <c r="M110" i="5"/>
  <c r="R110" i="5"/>
  <c r="C41" i="5"/>
  <c r="N13" i="5"/>
  <c r="N14" i="5" s="1"/>
  <c r="Y110" i="5"/>
  <c r="AA47" i="5"/>
  <c r="AA48" i="5" s="1"/>
  <c r="W41" i="5"/>
  <c r="R13" i="5"/>
  <c r="R12" i="5" s="1"/>
  <c r="T110" i="5"/>
  <c r="G42" i="5"/>
  <c r="N18" i="5"/>
  <c r="N19" i="5" s="1"/>
  <c r="W42" i="5"/>
  <c r="S41" i="5"/>
  <c r="W40" i="5"/>
  <c r="J110" i="5"/>
  <c r="O110" i="5"/>
  <c r="Q40" i="5"/>
  <c r="U42" i="5"/>
  <c r="Q41" i="5"/>
  <c r="N110" i="5"/>
  <c r="X47" i="5"/>
  <c r="X48" i="5" s="1"/>
  <c r="H47" i="5"/>
  <c r="H48" i="5" s="1"/>
  <c r="C71" i="5"/>
  <c r="C73" i="5" s="1"/>
  <c r="E71" i="5"/>
  <c r="E73" i="5" s="1"/>
  <c r="D71" i="5"/>
  <c r="D73" i="5" s="1"/>
  <c r="L41" i="5"/>
  <c r="D41" i="5"/>
  <c r="X41" i="5"/>
  <c r="N20" i="5"/>
  <c r="N40" i="5" s="1"/>
  <c r="J18" i="5"/>
  <c r="J19" i="5" s="1"/>
  <c r="K45" i="5"/>
  <c r="K47" i="5" s="1"/>
  <c r="K48" i="5" s="1"/>
  <c r="R20" i="5"/>
  <c r="E41" i="5"/>
  <c r="V8" i="5"/>
  <c r="N8" i="5"/>
  <c r="N9" i="5" s="1"/>
  <c r="V13" i="5"/>
  <c r="E45" i="5"/>
  <c r="E47" i="5" s="1"/>
  <c r="E48" i="5" s="1"/>
  <c r="X40" i="5"/>
  <c r="AE11" i="5"/>
  <c r="E40" i="5"/>
  <c r="C40" i="5"/>
  <c r="Z20" i="5"/>
  <c r="J62" i="5" l="1"/>
  <c r="J68" i="5" s="1"/>
  <c r="J71" i="5" s="1"/>
  <c r="J73" i="5" s="1"/>
  <c r="F62" i="5"/>
  <c r="F68" i="5" s="1"/>
  <c r="F71" i="5" s="1"/>
  <c r="F73" i="5" s="1"/>
  <c r="V62" i="5"/>
  <c r="V68" i="5" s="1"/>
  <c r="V71" i="5" s="1"/>
  <c r="V73" i="5" s="1"/>
  <c r="Z62" i="5"/>
  <c r="Z68" i="5" s="1"/>
  <c r="Z71" i="5" s="1"/>
  <c r="Z73" i="5" s="1"/>
  <c r="R62" i="5"/>
  <c r="R68" i="5" s="1"/>
  <c r="R71" i="5" s="1"/>
  <c r="R73" i="5" s="1"/>
  <c r="N62" i="5"/>
  <c r="N68" i="5" s="1"/>
  <c r="N71" i="5" s="1"/>
  <c r="N73" i="5" s="1"/>
  <c r="K43" i="5"/>
  <c r="AC43" i="5"/>
  <c r="J9" i="5"/>
  <c r="H43" i="5"/>
  <c r="Z14" i="5"/>
  <c r="S43" i="5"/>
  <c r="V45" i="5"/>
  <c r="R17" i="5"/>
  <c r="V42" i="5"/>
  <c r="P43" i="5"/>
  <c r="F7" i="5"/>
  <c r="P10" i="5"/>
  <c r="Y43" i="5"/>
  <c r="O43" i="5"/>
  <c r="L43" i="5"/>
  <c r="T43" i="5"/>
  <c r="J45" i="5"/>
  <c r="AA43" i="5"/>
  <c r="M43" i="5"/>
  <c r="G43" i="5"/>
  <c r="Z9" i="5"/>
  <c r="I43" i="5"/>
  <c r="F12" i="5"/>
  <c r="AB43" i="5"/>
  <c r="V41" i="5"/>
  <c r="Q43" i="5"/>
  <c r="Z17" i="5"/>
  <c r="Z46" i="5" s="1"/>
  <c r="F17" i="5"/>
  <c r="U43" i="5"/>
  <c r="J17" i="5"/>
  <c r="J40" i="5"/>
  <c r="J12" i="5"/>
  <c r="J42" i="5"/>
  <c r="F40" i="5"/>
  <c r="R7" i="5"/>
  <c r="N17" i="5"/>
  <c r="N46" i="5" s="1"/>
  <c r="R14" i="5"/>
  <c r="C43" i="5"/>
  <c r="W43" i="5"/>
  <c r="F41" i="5"/>
  <c r="D43" i="5"/>
  <c r="V17" i="5"/>
  <c r="F42" i="5"/>
  <c r="V7" i="5"/>
  <c r="V9" i="5"/>
  <c r="R40" i="5"/>
  <c r="R45" i="5"/>
  <c r="R41" i="5"/>
  <c r="Z45" i="5"/>
  <c r="Z41" i="5"/>
  <c r="Z42" i="5"/>
  <c r="Z40" i="5"/>
  <c r="X43" i="5"/>
  <c r="E43" i="5"/>
  <c r="R42" i="5"/>
  <c r="V12" i="5"/>
  <c r="V14" i="5"/>
  <c r="N42" i="5"/>
  <c r="N41" i="5"/>
  <c r="N45" i="5"/>
  <c r="V43" i="5" l="1"/>
  <c r="R46" i="5"/>
  <c r="R47" i="5" s="1"/>
  <c r="R48" i="5" s="1"/>
  <c r="F46" i="5"/>
  <c r="F47" i="5" s="1"/>
  <c r="F48" i="5" s="1"/>
  <c r="Z43" i="5"/>
  <c r="J43" i="5"/>
  <c r="J46" i="5"/>
  <c r="J47" i="5" s="1"/>
  <c r="J48" i="5" s="1"/>
  <c r="N43" i="5"/>
  <c r="Z47" i="5"/>
  <c r="Z48" i="5" s="1"/>
  <c r="F43" i="5"/>
  <c r="N47" i="5"/>
  <c r="N48" i="5" s="1"/>
  <c r="R43" i="5"/>
  <c r="V46" i="5"/>
  <c r="V47" i="5" s="1"/>
  <c r="V48"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B75" authorId="0" shapeId="0" xr:uid="{1B71BBDC-E0FD-470A-9166-B818B67E4073}">
      <text>
        <r>
          <rPr>
            <b/>
            <sz val="9"/>
            <color indexed="81"/>
            <rFont val="Tahoma"/>
            <family val="2"/>
          </rPr>
          <t>William:</t>
        </r>
        <r>
          <rPr>
            <sz val="9"/>
            <color indexed="81"/>
            <rFont val="Tahoma"/>
            <family val="2"/>
          </rPr>
          <t xml:space="preserve">
1-20 Split took place June 6th.
Pre-split adjusted: 509
</t>
        </r>
      </text>
    </comment>
    <comment ref="AB103" authorId="0" shapeId="0" xr:uid="{8EBDD12D-4681-44D7-AD93-0747677D85FC}">
      <text>
        <r>
          <rPr>
            <b/>
            <sz val="9"/>
            <color indexed="81"/>
            <rFont val="Tahoma"/>
            <family val="2"/>
          </rPr>
          <t>William:</t>
        </r>
        <r>
          <rPr>
            <sz val="9"/>
            <color indexed="81"/>
            <rFont val="Tahoma"/>
            <family val="2"/>
          </rPr>
          <t xml:space="preserve">
1-20 stock split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24" authorId="0" shapeId="0" xr:uid="{08B2FA95-CFE1-4C1F-84ED-7B723F099AD3}">
      <text>
        <r>
          <rPr>
            <b/>
            <sz val="9"/>
            <color indexed="81"/>
            <rFont val="Tahoma"/>
            <family val="2"/>
          </rPr>
          <t>William:</t>
        </r>
        <r>
          <rPr>
            <sz val="9"/>
            <color indexed="81"/>
            <rFont val="Tahoma"/>
            <family val="2"/>
          </rPr>
          <t xml:space="preserve">
The number of shares outstanding may conflict with the "Model" tab. This is because past SEC filings do not account for the 1-20 stock split.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<sst xmlns="http://schemas.openxmlformats.org/spreadsheetml/2006/main" count="3231" uniqueCount="1855">
  <si>
    <t>Price</t>
  </si>
  <si>
    <t>Shares</t>
  </si>
  <si>
    <t>MC</t>
  </si>
  <si>
    <t>Cash</t>
  </si>
  <si>
    <t>Debt</t>
  </si>
  <si>
    <t>EV</t>
  </si>
  <si>
    <t>EV/Share</t>
  </si>
  <si>
    <t>Company Name</t>
  </si>
  <si>
    <t>Amazon.com, Inc.</t>
  </si>
  <si>
    <t>Ticker</t>
  </si>
  <si>
    <t>AMZN</t>
  </si>
  <si>
    <t>Country</t>
  </si>
  <si>
    <t>USA</t>
  </si>
  <si>
    <t>Sector</t>
  </si>
  <si>
    <t>Consumer Cyclical</t>
  </si>
  <si>
    <t>Industry</t>
  </si>
  <si>
    <t>Internet Retail</t>
  </si>
  <si>
    <t>Filing Date</t>
  </si>
  <si>
    <t>2/31/2020</t>
  </si>
  <si>
    <t>Period of Report</t>
  </si>
  <si>
    <t>Revenue Breakdown *in millions</t>
  </si>
  <si>
    <t>North America</t>
  </si>
  <si>
    <t>Net Sales</t>
  </si>
  <si>
    <t>Operating Expenses</t>
  </si>
  <si>
    <t>Operating Income</t>
  </si>
  <si>
    <t>Operating Margin</t>
  </si>
  <si>
    <t xml:space="preserve">International </t>
  </si>
  <si>
    <t>AWS</t>
  </si>
  <si>
    <t>Total</t>
  </si>
  <si>
    <t xml:space="preserve">Sales by Groups </t>
  </si>
  <si>
    <t>Online Stores</t>
  </si>
  <si>
    <t>Physical Stores</t>
  </si>
  <si>
    <t>-</t>
  </si>
  <si>
    <t>Third-party sellers</t>
  </si>
  <si>
    <t>Subscription services</t>
  </si>
  <si>
    <t>Advertising services</t>
  </si>
  <si>
    <t>Other</t>
  </si>
  <si>
    <t>Total Sales</t>
  </si>
  <si>
    <t>Net Sales Mix</t>
  </si>
  <si>
    <t>International</t>
  </si>
  <si>
    <t xml:space="preserve">Total Revenue </t>
  </si>
  <si>
    <t>Total Expenses</t>
  </si>
  <si>
    <t>Total Income</t>
  </si>
  <si>
    <t>Margin</t>
  </si>
  <si>
    <t>*in millions</t>
  </si>
  <si>
    <t>Income Statement</t>
  </si>
  <si>
    <t>Net Product Sales</t>
  </si>
  <si>
    <t>Net Service Sales</t>
  </si>
  <si>
    <t>Total Net Sales</t>
  </si>
  <si>
    <t>Cost of sales</t>
  </si>
  <si>
    <t>Fulfillment</t>
  </si>
  <si>
    <t>Marketing</t>
  </si>
  <si>
    <t>Technology and content</t>
  </si>
  <si>
    <t>General and Administrative</t>
  </si>
  <si>
    <t>Other operating expenses</t>
  </si>
  <si>
    <t>Total operating expenses</t>
  </si>
  <si>
    <t xml:space="preserve">Other Income   </t>
  </si>
  <si>
    <t>Interrest Income</t>
  </si>
  <si>
    <t>Interest Expense</t>
  </si>
  <si>
    <t>Other income (expense)</t>
  </si>
  <si>
    <t>Total non-operating income (expense)</t>
  </si>
  <si>
    <t>Income (loss) before income taxes</t>
  </si>
  <si>
    <t>Benefit (provision) for income taxes</t>
  </si>
  <si>
    <t>Equity Investments</t>
  </si>
  <si>
    <t>Net Income</t>
  </si>
  <si>
    <t xml:space="preserve">EPS - Basic </t>
  </si>
  <si>
    <t xml:space="preserve">  </t>
  </si>
  <si>
    <t>EPS - Diluted</t>
  </si>
  <si>
    <t>Shares - Basic</t>
  </si>
  <si>
    <t>Shares - Diluted</t>
  </si>
  <si>
    <t>Balance Sheet *in millions</t>
  </si>
  <si>
    <t>Current Assets</t>
  </si>
  <si>
    <t>Cash and cash equivalents</t>
  </si>
  <si>
    <t>Marketable securities</t>
  </si>
  <si>
    <t>Inventories</t>
  </si>
  <si>
    <t>Accounts recievable</t>
  </si>
  <si>
    <t>Total current assets</t>
  </si>
  <si>
    <t>Non-current Assets</t>
  </si>
  <si>
    <t>PP&amp;E</t>
  </si>
  <si>
    <t>Operating leases</t>
  </si>
  <si>
    <t>Goodwill</t>
  </si>
  <si>
    <t>Other assets</t>
  </si>
  <si>
    <t>Total Assets</t>
  </si>
  <si>
    <t>Current Liabilities</t>
  </si>
  <si>
    <t xml:space="preserve">Accounts payable </t>
  </si>
  <si>
    <t>Accrued expenses</t>
  </si>
  <si>
    <t xml:space="preserve">Unearned revneue </t>
  </si>
  <si>
    <t>Total current liabilities</t>
  </si>
  <si>
    <t>Non-current Liabilities</t>
  </si>
  <si>
    <t>Long-term lease liabilities</t>
  </si>
  <si>
    <t>Long-term debt</t>
  </si>
  <si>
    <t>Other long-term liabilities</t>
  </si>
  <si>
    <t>Total Liabilities</t>
  </si>
  <si>
    <t>Equity</t>
  </si>
  <si>
    <t>Preferred Stock</t>
  </si>
  <si>
    <t>Common Stock</t>
  </si>
  <si>
    <t>Treasury Stock, at cost</t>
  </si>
  <si>
    <t>Additional paid-in capital</t>
  </si>
  <si>
    <t>Accumulated other comprehensive loss</t>
  </si>
  <si>
    <t>Retained earnings</t>
  </si>
  <si>
    <t>Total stockholders' equity</t>
  </si>
  <si>
    <t>Total Liabilities and stockholders' equity</t>
  </si>
  <si>
    <t>Current Ratio</t>
  </si>
  <si>
    <t>Cash Flow</t>
  </si>
  <si>
    <t>CFFO</t>
  </si>
  <si>
    <t>CapEx</t>
  </si>
  <si>
    <t>FCF</t>
  </si>
  <si>
    <t>2006</t>
  </si>
  <si>
    <t>2007</t>
  </si>
  <si>
    <t>2008</t>
  </si>
  <si>
    <t>2009</t>
  </si>
  <si>
    <t>2010</t>
  </si>
  <si>
    <t>2011</t>
  </si>
  <si>
    <t>2012</t>
  </si>
  <si>
    <t>2013</t>
  </si>
  <si>
    <t>2014</t>
  </si>
  <si>
    <t>2015</t>
  </si>
  <si>
    <t>2016</t>
  </si>
  <si>
    <t>2017</t>
  </si>
  <si>
    <t>2018</t>
  </si>
  <si>
    <t>2019</t>
  </si>
  <si>
    <t>2020</t>
  </si>
  <si>
    <t>2021</t>
  </si>
  <si>
    <t>TTM</t>
  </si>
  <si>
    <t>Revenue per share</t>
  </si>
  <si>
    <t>1.29</t>
  </si>
  <si>
    <t>1.80</t>
  </si>
  <si>
    <t>2.27</t>
  </si>
  <si>
    <t>2.83</t>
  </si>
  <si>
    <t>3.83</t>
  </si>
  <si>
    <t>5.31</t>
  </si>
  <si>
    <t>6.74</t>
  </si>
  <si>
    <t>8.15</t>
  </si>
  <si>
    <t>9.63</t>
  </si>
  <si>
    <t>11.46</t>
  </si>
  <si>
    <t>14.34</t>
  </si>
  <si>
    <t>18.53</t>
  </si>
  <si>
    <t>23.91</t>
  </si>
  <si>
    <t>28.39</t>
  </si>
  <si>
    <t>38.61</t>
  </si>
  <si>
    <t>46.43</t>
  </si>
  <si>
    <t>47.81</t>
  </si>
  <si>
    <t>Earnings per share</t>
  </si>
  <si>
    <t>0.02</t>
  </si>
  <si>
    <t>0.06</t>
  </si>
  <si>
    <t>0.08</t>
  </si>
  <si>
    <t>0.10</t>
  </si>
  <si>
    <t>0.13</t>
  </si>
  <si>
    <t>0.07</t>
  </si>
  <si>
    <t>(0.00)</t>
  </si>
  <si>
    <t>0.03</t>
  </si>
  <si>
    <t>(0.03)</t>
  </si>
  <si>
    <t>0.25</t>
  </si>
  <si>
    <t>0.32</t>
  </si>
  <si>
    <t>1.03</t>
  </si>
  <si>
    <t>1.17</t>
  </si>
  <si>
    <t>2.13</t>
  </si>
  <si>
    <t>3.30</t>
  </si>
  <si>
    <t>1.14</t>
  </si>
  <si>
    <t>FCF per share</t>
  </si>
  <si>
    <t>0.14</t>
  </si>
  <si>
    <t>0.16</t>
  </si>
  <si>
    <t>0.34</t>
  </si>
  <si>
    <t>0.28</t>
  </si>
  <si>
    <t>0.23</t>
  </si>
  <si>
    <t>0.04</t>
  </si>
  <si>
    <t>0.22</t>
  </si>
  <si>
    <t>0.21</t>
  </si>
  <si>
    <t>0.78</t>
  </si>
  <si>
    <t>1.02</t>
  </si>
  <si>
    <t>0.67</t>
  </si>
  <si>
    <t>1.78</t>
  </si>
  <si>
    <t>2.19</t>
  </si>
  <si>
    <t>2.59</t>
  </si>
  <si>
    <t>(1.46)</t>
  </si>
  <si>
    <t>(2.93)</t>
  </si>
  <si>
    <t>Dividends per share</t>
  </si>
  <si>
    <t>- -</t>
  </si>
  <si>
    <t>CAPEX per share</t>
  </si>
  <si>
    <t>0.11</t>
  </si>
  <si>
    <t>0.20</t>
  </si>
  <si>
    <t>0.42</t>
  </si>
  <si>
    <t>0.38</t>
  </si>
  <si>
    <t>0.53</t>
  </si>
  <si>
    <t>0.49</t>
  </si>
  <si>
    <t>0.71</t>
  </si>
  <si>
    <t>1.25</t>
  </si>
  <si>
    <t>1.38</t>
  </si>
  <si>
    <t>1.71</t>
  </si>
  <si>
    <t>4.01</t>
  </si>
  <si>
    <t>6.03</t>
  </si>
  <si>
    <t>6.43</t>
  </si>
  <si>
    <t>Book Value per sh.</t>
  </si>
  <si>
    <t>0.05</t>
  </si>
  <si>
    <t>0.61</t>
  </si>
  <si>
    <t>0.77</t>
  </si>
  <si>
    <t>0.86</t>
  </si>
  <si>
    <t>0.90</t>
  </si>
  <si>
    <t>1.07</t>
  </si>
  <si>
    <t>1.16</t>
  </si>
  <si>
    <t>1.43</t>
  </si>
  <si>
    <t>2.03</t>
  </si>
  <si>
    <t>2.89</t>
  </si>
  <si>
    <t>4.47</t>
  </si>
  <si>
    <t>6.28</t>
  </si>
  <si>
    <t>9.34</t>
  </si>
  <si>
    <t>13.66</t>
  </si>
  <si>
    <t>12.89</t>
  </si>
  <si>
    <t>Comm.Shares outs.</t>
  </si>
  <si>
    <t>8,320</t>
  </si>
  <si>
    <t>8,260</t>
  </si>
  <si>
    <t>8,460</t>
  </si>
  <si>
    <t>8,660</t>
  </si>
  <si>
    <t>8,940</t>
  </si>
  <si>
    <t>9,060</t>
  </si>
  <si>
    <t>9,140</t>
  </si>
  <si>
    <t>9,240</t>
  </si>
  <si>
    <t>9,340</t>
  </si>
  <si>
    <t>9,480</t>
  </si>
  <si>
    <t>9,600</t>
  </si>
  <si>
    <t>9,740</t>
  </si>
  <si>
    <t>9,880</t>
  </si>
  <si>
    <t>10,000</t>
  </si>
  <si>
    <t>10,120</t>
  </si>
  <si>
    <t>10,164</t>
  </si>
  <si>
    <t>Avg. annual P/E ratio</t>
  </si>
  <si>
    <t>79.3</t>
  </si>
  <si>
    <t>58.7</t>
  </si>
  <si>
    <t>45.8</t>
  </si>
  <si>
    <t>42.0</t>
  </si>
  <si>
    <t>53.5</t>
  </si>
  <si>
    <t>141.1</t>
  </si>
  <si>
    <t>(2,574.0)</t>
  </si>
  <si>
    <t>497.0</t>
  </si>
  <si>
    <t>(633.8)</t>
  </si>
  <si>
    <t>375.2</t>
  </si>
  <si>
    <t>139.2</t>
  </si>
  <si>
    <t>153.6</t>
  </si>
  <si>
    <t>78.7</t>
  </si>
  <si>
    <t>75.9</t>
  </si>
  <si>
    <t>62.7</t>
  </si>
  <si>
    <t>50.6</t>
  </si>
  <si>
    <t>130.4</t>
  </si>
  <si>
    <t>P/E to S&amp;P500</t>
  </si>
  <si>
    <t>4.4</t>
  </si>
  <si>
    <t>3.4</t>
  </si>
  <si>
    <t>2.1</t>
  </si>
  <si>
    <t>0.6</t>
  </si>
  <si>
    <t>2.6</t>
  </si>
  <si>
    <t>8.7</t>
  </si>
  <si>
    <t>(173.1)</t>
  </si>
  <si>
    <t>29.2</t>
  </si>
  <si>
    <t>(34.9)</t>
  </si>
  <si>
    <t>18.7</t>
  </si>
  <si>
    <t>6.3</t>
  </si>
  <si>
    <t>6.5</t>
  </si>
  <si>
    <t>3.2</t>
  </si>
  <si>
    <t>3.1</t>
  </si>
  <si>
    <t>1.7</t>
  </si>
  <si>
    <t>Avg. annual div. yield</t>
  </si>
  <si>
    <t>Revenue (m)</t>
  </si>
  <si>
    <t>10,711</t>
  </si>
  <si>
    <t>14,835</t>
  </si>
  <si>
    <t>19,166</t>
  </si>
  <si>
    <t>24,509</t>
  </si>
  <si>
    <t>34,204</t>
  </si>
  <si>
    <t>48,077</t>
  </si>
  <si>
    <t>61,093</t>
  </si>
  <si>
    <t>74,452</t>
  </si>
  <si>
    <t>88,988</t>
  </si>
  <si>
    <t>107,006</t>
  </si>
  <si>
    <t>135,987</t>
  </si>
  <si>
    <t>177,866</t>
  </si>
  <si>
    <t>232,887</t>
  </si>
  <si>
    <t>280,522</t>
  </si>
  <si>
    <t>386,064</t>
  </si>
  <si>
    <t>469,822</t>
  </si>
  <si>
    <t>485,902</t>
  </si>
  <si>
    <t>Operating margin</t>
  </si>
  <si>
    <t>3.6%</t>
  </si>
  <si>
    <t>4.4%</t>
  </si>
  <si>
    <t>4.6%</t>
  </si>
  <si>
    <t>4.1%</t>
  </si>
  <si>
    <t>1.8%</t>
  </si>
  <si>
    <t>1.1%</t>
  </si>
  <si>
    <t>1.0%</t>
  </si>
  <si>
    <t>0.2%</t>
  </si>
  <si>
    <t>2.1%</t>
  </si>
  <si>
    <t>3.1%</t>
  </si>
  <si>
    <t>2.3%</t>
  </si>
  <si>
    <t>5.3%</t>
  </si>
  <si>
    <t>5.2%</t>
  </si>
  <si>
    <t>5.9%</t>
  </si>
  <si>
    <t>3.2%</t>
  </si>
  <si>
    <t>Depreciation (m)</t>
  </si>
  <si>
    <t>205</t>
  </si>
  <si>
    <t>246</t>
  </si>
  <si>
    <t>287</t>
  </si>
  <si>
    <t>378</t>
  </si>
  <si>
    <t>568</t>
  </si>
  <si>
    <t>1,083</t>
  </si>
  <si>
    <t>2,159</t>
  </si>
  <si>
    <t>3,253</t>
  </si>
  <si>
    <t>4,746</t>
  </si>
  <si>
    <t>6,281</t>
  </si>
  <si>
    <t>8,116</t>
  </si>
  <si>
    <t>11,478</t>
  </si>
  <si>
    <t>15,341</t>
  </si>
  <si>
    <t>21,789</t>
  </si>
  <si>
    <t>25,251</t>
  </si>
  <si>
    <t>34,296</t>
  </si>
  <si>
    <t>37,322</t>
  </si>
  <si>
    <t>Net profit (m)</t>
  </si>
  <si>
    <t>190</t>
  </si>
  <si>
    <t>476</t>
  </si>
  <si>
    <t>645</t>
  </si>
  <si>
    <t>902</t>
  </si>
  <si>
    <t>1,152</t>
  </si>
  <si>
    <t>631</t>
  </si>
  <si>
    <t>(39)</t>
  </si>
  <si>
    <t>274</t>
  </si>
  <si>
    <t>(241)</t>
  </si>
  <si>
    <t>596</t>
  </si>
  <si>
    <t>2,371</t>
  </si>
  <si>
    <t>3,033</t>
  </si>
  <si>
    <t>10,073</t>
  </si>
  <si>
    <t>11,588</t>
  </si>
  <si>
    <t>21,331</t>
  </si>
  <si>
    <t>33,364</t>
  </si>
  <si>
    <t>11,607</t>
  </si>
  <si>
    <t>Income tax rate</t>
  </si>
  <si>
    <t>49.6%</t>
  </si>
  <si>
    <t>27.9%</t>
  </si>
  <si>
    <t>27.4%</t>
  </si>
  <si>
    <t>21.8%</t>
  </si>
  <si>
    <t>23.5%</t>
  </si>
  <si>
    <t>31.2%</t>
  </si>
  <si>
    <t>78.7%</t>
  </si>
  <si>
    <t>31.8%</t>
  </si>
  <si>
    <t>(150.5)%</t>
  </si>
  <si>
    <t>60.6%</t>
  </si>
  <si>
    <t>36.6%</t>
  </si>
  <si>
    <t>20.2%</t>
  </si>
  <si>
    <t>10.6%</t>
  </si>
  <si>
    <t>17.0%</t>
  </si>
  <si>
    <t>11.8%</t>
  </si>
  <si>
    <t>12.6%</t>
  </si>
  <si>
    <t>8.5%</t>
  </si>
  <si>
    <t>Net profit margin</t>
  </si>
  <si>
    <t>3.4%</t>
  </si>
  <si>
    <t>3.7%</t>
  </si>
  <si>
    <t>1.3%</t>
  </si>
  <si>
    <t>(0.1)%</t>
  </si>
  <si>
    <t>0.4%</t>
  </si>
  <si>
    <t>(0.3)%</t>
  </si>
  <si>
    <t>0.6%</t>
  </si>
  <si>
    <t>1.7%</t>
  </si>
  <si>
    <t>4.3%</t>
  </si>
  <si>
    <t>5.5%</t>
  </si>
  <si>
    <t>7.1%</t>
  </si>
  <si>
    <t>Working capital (m)</t>
  </si>
  <si>
    <t>841</t>
  </si>
  <si>
    <t>1,450</t>
  </si>
  <si>
    <t>1,411</t>
  </si>
  <si>
    <t>2,433</t>
  </si>
  <si>
    <t>3,375</t>
  </si>
  <si>
    <t>2,594</t>
  </si>
  <si>
    <t>2,294</t>
  </si>
  <si>
    <t>1,645</t>
  </si>
  <si>
    <t>3,238</t>
  </si>
  <si>
    <t>2,575</t>
  </si>
  <si>
    <t>1,965</t>
  </si>
  <si>
    <t>2,314</t>
  </si>
  <si>
    <t>6,710</t>
  </si>
  <si>
    <t>8,522</t>
  </si>
  <si>
    <t>6,348</t>
  </si>
  <si>
    <t>19,314</t>
  </si>
  <si>
    <t>(6,624)</t>
  </si>
  <si>
    <t>Long-term debt (m)</t>
  </si>
  <si>
    <t>1,247</t>
  </si>
  <si>
    <t>1,282</t>
  </si>
  <si>
    <t>409</t>
  </si>
  <si>
    <t>109</t>
  </si>
  <si>
    <t>184</t>
  </si>
  <si>
    <t>255</t>
  </si>
  <si>
    <t>3,084</t>
  </si>
  <si>
    <t>3,191</t>
  </si>
  <si>
    <t>8,265</t>
  </si>
  <si>
    <t>8,235</t>
  </si>
  <si>
    <t>7,694</t>
  </si>
  <si>
    <t>24,743</t>
  </si>
  <si>
    <t>23,495</t>
  </si>
  <si>
    <t>23,414</t>
  </si>
  <si>
    <t>84,389</t>
  </si>
  <si>
    <t>116,395</t>
  </si>
  <si>
    <t>124,577</t>
  </si>
  <si>
    <t>Equity (m)</t>
  </si>
  <si>
    <t>431</t>
  </si>
  <si>
    <t>1,197</t>
  </si>
  <si>
    <t>2,672</t>
  </si>
  <si>
    <t>5,257</t>
  </si>
  <si>
    <t>6,864</t>
  </si>
  <si>
    <t>7,757</t>
  </si>
  <si>
    <t>8,192</t>
  </si>
  <si>
    <t>9,746</t>
  </si>
  <si>
    <t>10,741</t>
  </si>
  <si>
    <t>13,384</t>
  </si>
  <si>
    <t>19,285</t>
  </si>
  <si>
    <t>27,709</t>
  </si>
  <si>
    <t>43,549</t>
  </si>
  <si>
    <t>62,060</t>
  </si>
  <si>
    <t>93,404</t>
  </si>
  <si>
    <t>138,245</t>
  </si>
  <si>
    <t>131,402</t>
  </si>
  <si>
    <t>ROIC</t>
  </si>
  <si>
    <t>12.5%</t>
  </si>
  <si>
    <t>19.2%</t>
  </si>
  <si>
    <t>19.6%</t>
  </si>
  <si>
    <t>14.4%</t>
  </si>
  <si>
    <t>14.0%</t>
  </si>
  <si>
    <t>6.5%</t>
  </si>
  <si>
    <t>0.8%</t>
  </si>
  <si>
    <t>2.5%</t>
  </si>
  <si>
    <t>6.9%</t>
  </si>
  <si>
    <t>5.1%</t>
  </si>
  <si>
    <t>12.0%</t>
  </si>
  <si>
    <t>9.4%</t>
  </si>
  <si>
    <t>11.7%</t>
  </si>
  <si>
    <t>4.8%</t>
  </si>
  <si>
    <t>Return on capital</t>
  </si>
  <si>
    <t>10.4%</t>
  </si>
  <si>
    <t>11.4%</t>
  </si>
  <si>
    <t>11.6%</t>
  </si>
  <si>
    <t>8.6%</t>
  </si>
  <si>
    <t>8.2%</t>
  </si>
  <si>
    <t>3.9%</t>
  </si>
  <si>
    <t>1.5%</t>
  </si>
  <si>
    <t>1.4%</t>
  </si>
  <si>
    <t>3.5%</t>
  </si>
  <si>
    <t>7.8%</t>
  </si>
  <si>
    <t>8.0%</t>
  </si>
  <si>
    <t>9.5%</t>
  </si>
  <si>
    <t>Return on equity</t>
  </si>
  <si>
    <t>44.1%</t>
  </si>
  <si>
    <t>39.8%</t>
  </si>
  <si>
    <t>24.1%</t>
  </si>
  <si>
    <t>17.2%</t>
  </si>
  <si>
    <t>16.8%</t>
  </si>
  <si>
    <t>8.1%</t>
  </si>
  <si>
    <t>(0.5)%</t>
  </si>
  <si>
    <t>2.8%</t>
  </si>
  <si>
    <t>(2.2)%</t>
  </si>
  <si>
    <t>4.5%</t>
  </si>
  <si>
    <t>12.3%</t>
  </si>
  <si>
    <t>10.9%</t>
  </si>
  <si>
    <t>23.1%</t>
  </si>
  <si>
    <t>18.7%</t>
  </si>
  <si>
    <t>22.8%</t>
  </si>
  <si>
    <t>8.8%</t>
  </si>
  <si>
    <t>Plowback ratio</t>
  </si>
  <si>
    <t>100.0%</t>
  </si>
  <si>
    <t>Div.&amp;Repurch./FCF</t>
  </si>
  <si>
    <t>51.9%</t>
  </si>
  <si>
    <t>21.0%</t>
  </si>
  <si>
    <t>7.3%</t>
  </si>
  <si>
    <t>13.2%</t>
  </si>
  <si>
    <t>(20.1)%</t>
  </si>
  <si>
    <t>Market Price</t>
  </si>
  <si>
    <t>EPS / Rev Per Share</t>
  </si>
  <si>
    <t>Key Table</t>
  </si>
  <si>
    <t>Notes</t>
  </si>
  <si>
    <t xml:space="preserve">Growing </t>
  </si>
  <si>
    <t>1996</t>
  </si>
  <si>
    <t>1997</t>
  </si>
  <si>
    <t>1998</t>
  </si>
  <si>
    <t>1999</t>
  </si>
  <si>
    <t>2000</t>
  </si>
  <si>
    <t>2001</t>
  </si>
  <si>
    <t>2002</t>
  </si>
  <si>
    <t>2003</t>
  </si>
  <si>
    <t>2004</t>
  </si>
  <si>
    <t>2005</t>
  </si>
  <si>
    <t>Revenue</t>
  </si>
  <si>
    <t>148</t>
  </si>
  <si>
    <t>610</t>
  </si>
  <si>
    <t>1,640</t>
  </si>
  <si>
    <t>2,762</t>
  </si>
  <si>
    <t>3,122</t>
  </si>
  <si>
    <t>3,933</t>
  </si>
  <si>
    <t>5,264</t>
  </si>
  <si>
    <t>6,921</t>
  </si>
  <si>
    <t>8,490</t>
  </si>
  <si>
    <t>COGS</t>
  </si>
  <si>
    <t>12</t>
  </si>
  <si>
    <t>114</t>
  </si>
  <si>
    <t>1,349</t>
  </si>
  <si>
    <t>2,106</t>
  </si>
  <si>
    <t>2,324</t>
  </si>
  <si>
    <t>2,940</t>
  </si>
  <si>
    <t>4,007</t>
  </si>
  <si>
    <t>5,319</t>
  </si>
  <si>
    <t>6,451</t>
  </si>
  <si>
    <t>8,255</t>
  </si>
  <si>
    <t>11,482</t>
  </si>
  <si>
    <t>14,896</t>
  </si>
  <si>
    <t>18,978</t>
  </si>
  <si>
    <t>26,561</t>
  </si>
  <si>
    <t>37,288</t>
  </si>
  <si>
    <t>52,390</t>
  </si>
  <si>
    <t>62,766</t>
  </si>
  <si>
    <t>73,518</t>
  </si>
  <si>
    <t>85,061</t>
  </si>
  <si>
    <t>105,884</t>
  </si>
  <si>
    <t>137,183</t>
  </si>
  <si>
    <t>173,183</t>
  </si>
  <si>
    <t>205,768</t>
  </si>
  <si>
    <t>291,824</t>
  </si>
  <si>
    <t>403,507</t>
  </si>
  <si>
    <t>Gross Profit</t>
  </si>
  <si>
    <t>4</t>
  </si>
  <si>
    <t>34</t>
  </si>
  <si>
    <t>134</t>
  </si>
  <si>
    <t>291</t>
  </si>
  <si>
    <t>656</t>
  </si>
  <si>
    <t>799</t>
  </si>
  <si>
    <t>993</t>
  </si>
  <si>
    <t>1,257</t>
  </si>
  <si>
    <t>1,602</t>
  </si>
  <si>
    <t>2,039</t>
  </si>
  <si>
    <t>2,456</t>
  </si>
  <si>
    <t>3,353</t>
  </si>
  <si>
    <t>4,270</t>
  </si>
  <si>
    <t>5,531</t>
  </si>
  <si>
    <t>7,643</t>
  </si>
  <si>
    <t>10,789</t>
  </si>
  <si>
    <t>8,703</t>
  </si>
  <si>
    <t>11,686</t>
  </si>
  <si>
    <t>15,470</t>
  </si>
  <si>
    <t>21,945</t>
  </si>
  <si>
    <t>30,103</t>
  </si>
  <si>
    <t>40,683</t>
  </si>
  <si>
    <t>59,704</t>
  </si>
  <si>
    <t>74,754</t>
  </si>
  <si>
    <t>94,240</t>
  </si>
  <si>
    <t>66,315</t>
  </si>
  <si>
    <t>10</t>
  </si>
  <si>
    <t>63</t>
  </si>
  <si>
    <t>888</t>
  </si>
  <si>
    <t>1,520</t>
  </si>
  <si>
    <t>1,029</t>
  </si>
  <si>
    <t>887</t>
  </si>
  <si>
    <t>986</t>
  </si>
  <si>
    <t>1,162</t>
  </si>
  <si>
    <t>1,607</t>
  </si>
  <si>
    <t>2,057</t>
  </si>
  <si>
    <t>2,689</t>
  </si>
  <si>
    <t>3,452</t>
  </si>
  <si>
    <t>4,300</t>
  </si>
  <si>
    <t>6,131</t>
  </si>
  <si>
    <t>9,773</t>
  </si>
  <si>
    <t>8,027</t>
  </si>
  <si>
    <t>10,941</t>
  </si>
  <si>
    <t>15,292</t>
  </si>
  <si>
    <t>19,712</t>
  </si>
  <si>
    <t>25,917</t>
  </si>
  <si>
    <t>36,577</t>
  </si>
  <si>
    <t>47,283</t>
  </si>
  <si>
    <t>60,213</t>
  </si>
  <si>
    <t>71,341</t>
  </si>
  <si>
    <t>41,436</t>
  </si>
  <si>
    <t>R&amp;D Expenses</t>
  </si>
  <si>
    <t>13</t>
  </si>
  <si>
    <t>47</t>
  </si>
  <si>
    <t>160</t>
  </si>
  <si>
    <t>269</t>
  </si>
  <si>
    <t>241</t>
  </si>
  <si>
    <t>216</t>
  </si>
  <si>
    <t>208</t>
  </si>
  <si>
    <t>251</t>
  </si>
  <si>
    <t>451</t>
  </si>
  <si>
    <t>662</t>
  </si>
  <si>
    <t>818</t>
  </si>
  <si>
    <t>1,033</t>
  </si>
  <si>
    <t>1,240</t>
  </si>
  <si>
    <t>1,734</t>
  </si>
  <si>
    <t>2,909</t>
  </si>
  <si>
    <t>4,564</t>
  </si>
  <si>
    <t>6,565</t>
  </si>
  <si>
    <t>9,275</t>
  </si>
  <si>
    <t>12,540</t>
  </si>
  <si>
    <t>16,085</t>
  </si>
  <si>
    <t>22,620</t>
  </si>
  <si>
    <t>28,837</t>
  </si>
  <si>
    <t>35,931</t>
  </si>
  <si>
    <t>42,740</t>
  </si>
  <si>
    <t>56,052</t>
  </si>
  <si>
    <t>Selling, G&amp;A Exp.</t>
  </si>
  <si>
    <t>9</t>
  </si>
  <si>
    <t>46</t>
  </si>
  <si>
    <t>149</t>
  </si>
  <si>
    <t>514</t>
  </si>
  <si>
    <t>728</t>
  </si>
  <si>
    <t>607</t>
  </si>
  <si>
    <t>666</t>
  </si>
  <si>
    <t>776</t>
  </si>
  <si>
    <t>918</t>
  </si>
  <si>
    <t>1,156</t>
  </si>
  <si>
    <t>1,395</t>
  </si>
  <si>
    <t>1,871</t>
  </si>
  <si>
    <t>2,419</t>
  </si>
  <si>
    <t>3,060</t>
  </si>
  <si>
    <t>4,397</t>
  </si>
  <si>
    <t>3,304</t>
  </si>
  <si>
    <t>4,262</t>
  </si>
  <si>
    <t>5,884</t>
  </si>
  <si>
    <t>7,001</t>
  </si>
  <si>
    <t>9,665</t>
  </si>
  <si>
    <t>13,743</t>
  </si>
  <si>
    <t>18,150</t>
  </si>
  <si>
    <t>24,081</t>
  </si>
  <si>
    <t>28,676</t>
  </si>
  <si>
    <t>41,374</t>
  </si>
  <si>
    <t>General and Admin. Exp.</t>
  </si>
  <si>
    <t>16</t>
  </si>
  <si>
    <t>101</t>
  </si>
  <si>
    <t>94</t>
  </si>
  <si>
    <t>540</t>
  </si>
  <si>
    <t>653</t>
  </si>
  <si>
    <t>1,132</t>
  </si>
  <si>
    <t>1,527</t>
  </si>
  <si>
    <t>1,937</t>
  </si>
  <si>
    <t>2,380</t>
  </si>
  <si>
    <t>3,368</t>
  </si>
  <si>
    <t>5,234</t>
  </si>
  <si>
    <t>896</t>
  </si>
  <si>
    <t>1,129</t>
  </si>
  <si>
    <t>1,552</t>
  </si>
  <si>
    <t>1,747</t>
  </si>
  <si>
    <t>2,432</t>
  </si>
  <si>
    <t>3,674</t>
  </si>
  <si>
    <t>4,336</t>
  </si>
  <si>
    <t>5,203</t>
  </si>
  <si>
    <t>6,668</t>
  </si>
  <si>
    <t>8,823</t>
  </si>
  <si>
    <t>Selling and Marketing Exp.</t>
  </si>
  <si>
    <t>133</t>
  </si>
  <si>
    <t>413</t>
  </si>
  <si>
    <t>594</t>
  </si>
  <si>
    <t>513</t>
  </si>
  <si>
    <t>125</t>
  </si>
  <si>
    <t>123</t>
  </si>
  <si>
    <t>263</t>
  </si>
  <si>
    <t>344</t>
  </si>
  <si>
    <t>482</t>
  </si>
  <si>
    <t>680</t>
  </si>
  <si>
    <t>1,630</t>
  </si>
  <si>
    <t>2,408</t>
  </si>
  <si>
    <t>3,133</t>
  </si>
  <si>
    <t>4,332</t>
  </si>
  <si>
    <t>5,254</t>
  </si>
  <si>
    <t>7,233</t>
  </si>
  <si>
    <t>10,069</t>
  </si>
  <si>
    <t>13,814</t>
  </si>
  <si>
    <t>18,878</t>
  </si>
  <si>
    <t>22,008</t>
  </si>
  <si>
    <t>32,551</t>
  </si>
  <si>
    <t>Other Expenses</t>
  </si>
  <si>
    <t>0</t>
  </si>
  <si>
    <t>5</t>
  </si>
  <si>
    <t>50</t>
  </si>
  <si>
    <t>215</t>
  </si>
  <si>
    <t>522</t>
  </si>
  <si>
    <t>181</t>
  </si>
  <si>
    <t>3</t>
  </si>
  <si>
    <t>(8)</t>
  </si>
  <si>
    <t>159</t>
  </si>
  <si>
    <t>171</t>
  </si>
  <si>
    <t>167</t>
  </si>
  <si>
    <t>214</t>
  </si>
  <si>
    <t>296</t>
  </si>
  <si>
    <t>201</t>
  </si>
  <si>
    <t>(75)</t>
  </si>
  <si>
    <t>(55,990)</t>
  </si>
  <si>
    <t>COGS and Expenses</t>
  </si>
  <si>
    <t>22</t>
  </si>
  <si>
    <t>177</t>
  </si>
  <si>
    <t>722</t>
  </si>
  <si>
    <t>2,238</t>
  </si>
  <si>
    <t>3,626</t>
  </si>
  <si>
    <t>3,827</t>
  </si>
  <si>
    <t>4,993</t>
  </si>
  <si>
    <t>6,481</t>
  </si>
  <si>
    <t>8,058</t>
  </si>
  <si>
    <t>10,312</t>
  </si>
  <si>
    <t>14,171</t>
  </si>
  <si>
    <t>18,348</t>
  </si>
  <si>
    <t>23,278</t>
  </si>
  <si>
    <t>32,692</t>
  </si>
  <si>
    <t>47,061</t>
  </si>
  <si>
    <t>60,417</t>
  </si>
  <si>
    <t>73,707</t>
  </si>
  <si>
    <t>88,810</t>
  </si>
  <si>
    <t>104,773</t>
  </si>
  <si>
    <t>131,801</t>
  </si>
  <si>
    <t>173,760</t>
  </si>
  <si>
    <t>220,466</t>
  </si>
  <si>
    <t>265,981</t>
  </si>
  <si>
    <t>363,165</t>
  </si>
  <si>
    <t>444,943</t>
  </si>
  <si>
    <t>Interest Income</t>
  </si>
  <si>
    <t>448</t>
  </si>
  <si>
    <t>78</t>
  </si>
  <si>
    <t>77</t>
  </si>
  <si>
    <t>71</t>
  </si>
  <si>
    <t>39</t>
  </si>
  <si>
    <t>65</t>
  </si>
  <si>
    <t>92</t>
  </si>
  <si>
    <t>141</t>
  </si>
  <si>
    <t>210</t>
  </si>
  <si>
    <t>459</t>
  </si>
  <si>
    <t>484</t>
  </si>
  <si>
    <t>848</t>
  </si>
  <si>
    <t>1,417</t>
  </si>
  <si>
    <t>1,600</t>
  </si>
  <si>
    <t>1,647</t>
  </si>
  <si>
    <t>1,809</t>
  </si>
  <si>
    <t>Depreciation and Amortization</t>
  </si>
  <si>
    <t>282</t>
  </si>
  <si>
    <t>323</t>
  </si>
  <si>
    <t>130</t>
  </si>
  <si>
    <t>88</t>
  </si>
  <si>
    <t>76</t>
  </si>
  <si>
    <t>121</t>
  </si>
  <si>
    <t>EBITDA</t>
  </si>
  <si>
    <t>(6)</t>
  </si>
  <si>
    <t>(23)</t>
  </si>
  <si>
    <t>(112)</t>
  </si>
  <si>
    <t>(438)</t>
  </si>
  <si>
    <t>(1,088)</t>
  </si>
  <si>
    <t>(437)</t>
  </si>
  <si>
    <t>(61)</t>
  </si>
  <si>
    <t>432</t>
  </si>
  <si>
    <t>575</t>
  </si>
  <si>
    <t>660</t>
  </si>
  <si>
    <t>983</t>
  </si>
  <si>
    <t>1,250</t>
  </si>
  <si>
    <t>1,567</t>
  </si>
  <si>
    <t>2,111</t>
  </si>
  <si>
    <t>2,070</t>
  </si>
  <si>
    <t>2,640</t>
  </si>
  <si>
    <t>3,829</t>
  </si>
  <si>
    <t>4,882</t>
  </si>
  <si>
    <t>8,286</t>
  </si>
  <si>
    <t>12,396</t>
  </si>
  <si>
    <t>16,128</t>
  </si>
  <si>
    <t>28,028</t>
  </si>
  <si>
    <t>37,351</t>
  </si>
  <si>
    <t>51,092</t>
  </si>
  <si>
    <t>74,260</t>
  </si>
  <si>
    <t>(29)</t>
  </si>
  <si>
    <t>(606)</t>
  </si>
  <si>
    <t>(864)</t>
  </si>
  <si>
    <t>(412)</t>
  </si>
  <si>
    <t>64</t>
  </si>
  <si>
    <t>271</t>
  </si>
  <si>
    <t>440</t>
  </si>
  <si>
    <t>389</t>
  </si>
  <si>
    <t>655</t>
  </si>
  <si>
    <t>842</t>
  </si>
  <si>
    <t>1,406</t>
  </si>
  <si>
    <t>862</t>
  </si>
  <si>
    <t>676</t>
  </si>
  <si>
    <t>745</t>
  </si>
  <si>
    <t>178</t>
  </si>
  <si>
    <t>2,233</t>
  </si>
  <si>
    <t>4,186</t>
  </si>
  <si>
    <t>4,106</t>
  </si>
  <si>
    <t>12,421</t>
  </si>
  <si>
    <t>14,541</t>
  </si>
  <si>
    <t>22,899</t>
  </si>
  <si>
    <t>24,879</t>
  </si>
  <si>
    <t>Total Other Income Exp.(Gains)</t>
  </si>
  <si>
    <t>2</t>
  </si>
  <si>
    <t>(50)</t>
  </si>
  <si>
    <t>(83)</t>
  </si>
  <si>
    <t>(658)</t>
  </si>
  <si>
    <t>(216)</t>
  </si>
  <si>
    <t>(136)</t>
  </si>
  <si>
    <t>(127)</t>
  </si>
  <si>
    <t>(85)</t>
  </si>
  <si>
    <t>(4)</t>
  </si>
  <si>
    <t>(12)</t>
  </si>
  <si>
    <t>59</t>
  </si>
  <si>
    <t>32</t>
  </si>
  <si>
    <t>91</t>
  </si>
  <si>
    <t>72</t>
  </si>
  <si>
    <t>(132)</t>
  </si>
  <si>
    <t>(239)</t>
  </si>
  <si>
    <t>(289)</t>
  </si>
  <si>
    <t>(665)</t>
  </si>
  <si>
    <t>(294)</t>
  </si>
  <si>
    <t>(300)</t>
  </si>
  <si>
    <t>(1,160)</t>
  </si>
  <si>
    <t>(565)</t>
  </si>
  <si>
    <t>1,279</t>
  </si>
  <si>
    <t>13,272</t>
  </si>
  <si>
    <t>Income Before Tax</t>
  </si>
  <si>
    <t>356</t>
  </si>
  <si>
    <t>428</t>
  </si>
  <si>
    <t>377</t>
  </si>
  <si>
    <t>901</t>
  </si>
  <si>
    <t>1,161</t>
  </si>
  <si>
    <t>1,497</t>
  </si>
  <si>
    <t>934</t>
  </si>
  <si>
    <t>544</t>
  </si>
  <si>
    <t>506</t>
  </si>
  <si>
    <t>(111)</t>
  </si>
  <si>
    <t>1,568</t>
  </si>
  <si>
    <t>3,892</t>
  </si>
  <si>
    <t>3,806</t>
  </si>
  <si>
    <t>11,261</t>
  </si>
  <si>
    <t>13,976</t>
  </si>
  <si>
    <t>24,178</t>
  </si>
  <si>
    <t>38,151</t>
  </si>
  <si>
    <t>Income Before Tax ratio</t>
  </si>
  <si>
    <t>5.14%</t>
  </si>
  <si>
    <t>5.04%</t>
  </si>
  <si>
    <t>3.52%</t>
  </si>
  <si>
    <t>4.45%</t>
  </si>
  <si>
    <t>4.70%</t>
  </si>
  <si>
    <t>4.74%</t>
  </si>
  <si>
    <t>4.38%</t>
  </si>
  <si>
    <t>1.94%</t>
  </si>
  <si>
    <t>0.89%</t>
  </si>
  <si>
    <t>0.68%</t>
  </si>
  <si>
    <t>(0.12)%</t>
  </si>
  <si>
    <t>1.47%</t>
  </si>
  <si>
    <t>2.86%</t>
  </si>
  <si>
    <t>2.14%</t>
  </si>
  <si>
    <t>4.84%</t>
  </si>
  <si>
    <t>4.98%</t>
  </si>
  <si>
    <t>6.26%</t>
  </si>
  <si>
    <t>8.12%</t>
  </si>
  <si>
    <t>Income Tax Expense (Gain)</t>
  </si>
  <si>
    <t>(233)</t>
  </si>
  <si>
    <t>95</t>
  </si>
  <si>
    <t>187</t>
  </si>
  <si>
    <t>247</t>
  </si>
  <si>
    <t>253</t>
  </si>
  <si>
    <t>352</t>
  </si>
  <si>
    <t>161</t>
  </si>
  <si>
    <t>950</t>
  </si>
  <si>
    <t>1,425</t>
  </si>
  <si>
    <t>769</t>
  </si>
  <si>
    <t>2,374</t>
  </si>
  <si>
    <t>2,863</t>
  </si>
  <si>
    <t>4,791</t>
  </si>
  <si>
    <t>(28)</t>
  </si>
  <si>
    <t>(125)</t>
  </si>
  <si>
    <t>(720)</t>
  </si>
  <si>
    <t>(1,411)</t>
  </si>
  <si>
    <t>(567)</t>
  </si>
  <si>
    <t>(149)</t>
  </si>
  <si>
    <t>35</t>
  </si>
  <si>
    <t>588</t>
  </si>
  <si>
    <t>359</t>
  </si>
  <si>
    <t>EPS</t>
  </si>
  <si>
    <t>(0.01)</t>
  </si>
  <si>
    <t>(0.02)</t>
  </si>
  <si>
    <t>(0.11)</t>
  </si>
  <si>
    <t>(0.20)</t>
  </si>
  <si>
    <t>(0.08)</t>
  </si>
  <si>
    <t>0.00</t>
  </si>
  <si>
    <t>0.24</t>
  </si>
  <si>
    <t>0.31</t>
  </si>
  <si>
    <t>1.01</t>
  </si>
  <si>
    <t>1.15</t>
  </si>
  <si>
    <t>2.09</t>
  </si>
  <si>
    <t>EPS Diluted</t>
  </si>
  <si>
    <t>3.24</t>
  </si>
  <si>
    <t>Weighted Avg. Shares Outs.</t>
  </si>
  <si>
    <t>3,867</t>
  </si>
  <si>
    <t>5,196</t>
  </si>
  <si>
    <t>5,927</t>
  </si>
  <si>
    <t>6,535</t>
  </si>
  <si>
    <t>7,284</t>
  </si>
  <si>
    <t>7,567</t>
  </si>
  <si>
    <t>7,910</t>
  </si>
  <si>
    <t>8,119</t>
  </si>
  <si>
    <t>8,240</t>
  </si>
  <si>
    <t>Weighted Avg. Shares Outs. Dil.</t>
  </si>
  <si>
    <t>5,229</t>
  </si>
  <si>
    <t>7,017</t>
  </si>
  <si>
    <t>8,387</t>
  </si>
  <si>
    <t>8,495</t>
  </si>
  <si>
    <t>8,520</t>
  </si>
  <si>
    <t>8,480</t>
  </si>
  <si>
    <t>8,640</t>
  </si>
  <si>
    <t>8,840</t>
  </si>
  <si>
    <t>9,120</t>
  </si>
  <si>
    <t>9,220</t>
  </si>
  <si>
    <t>9,300</t>
  </si>
  <si>
    <t>9,540</t>
  </si>
  <si>
    <t>9,680</t>
  </si>
  <si>
    <t>9,860</t>
  </si>
  <si>
    <t>10,080</t>
  </si>
  <si>
    <t>10,200</t>
  </si>
  <si>
    <t>10,300</t>
  </si>
  <si>
    <t>Revenue y/y</t>
  </si>
  <si>
    <t>Operating Income y/y</t>
  </si>
  <si>
    <t>Net Income y/y</t>
  </si>
  <si>
    <t>Gross Margin</t>
  </si>
  <si>
    <t>Net Margin</t>
  </si>
  <si>
    <t>Cash and Cash Equivalents</t>
  </si>
  <si>
    <t>6</t>
  </si>
  <si>
    <t>110</t>
  </si>
  <si>
    <t>26</t>
  </si>
  <si>
    <t>117</t>
  </si>
  <si>
    <t>822</t>
  </si>
  <si>
    <t>738</t>
  </si>
  <si>
    <t>1,102</t>
  </si>
  <si>
    <t>1,303</t>
  </si>
  <si>
    <t>1,013</t>
  </si>
  <si>
    <t>1,022</t>
  </si>
  <si>
    <t>2,539</t>
  </si>
  <si>
    <t>2,769</t>
  </si>
  <si>
    <t>3,444</t>
  </si>
  <si>
    <t>3,777</t>
  </si>
  <si>
    <t>5,269</t>
  </si>
  <si>
    <t>8,084</t>
  </si>
  <si>
    <t>8,658</t>
  </si>
  <si>
    <t>14,557</t>
  </si>
  <si>
    <t>15,890</t>
  </si>
  <si>
    <t>19,334</t>
  </si>
  <si>
    <t>20,522</t>
  </si>
  <si>
    <t>31,750</t>
  </si>
  <si>
    <t>36,092</t>
  </si>
  <si>
    <t>42,122</t>
  </si>
  <si>
    <t>36,220</t>
  </si>
  <si>
    <t>Short-Term Investments</t>
  </si>
  <si>
    <t>348</t>
  </si>
  <si>
    <t>589</t>
  </si>
  <si>
    <t>278</t>
  </si>
  <si>
    <t>456</t>
  </si>
  <si>
    <t>563</t>
  </si>
  <si>
    <t>293</t>
  </si>
  <si>
    <t>477</t>
  </si>
  <si>
    <t>987</t>
  </si>
  <si>
    <t>997</t>
  </si>
  <si>
    <t>573</t>
  </si>
  <si>
    <t>958</t>
  </si>
  <si>
    <t>2,922</t>
  </si>
  <si>
    <t>4,985</t>
  </si>
  <si>
    <t>4,307</t>
  </si>
  <si>
    <t>3,364</t>
  </si>
  <si>
    <t>3,789</t>
  </si>
  <si>
    <t>2,859</t>
  </si>
  <si>
    <t>3,918</t>
  </si>
  <si>
    <t>6,647</t>
  </si>
  <si>
    <t>10,464</t>
  </si>
  <si>
    <t>9,500</t>
  </si>
  <si>
    <t>18,929</t>
  </si>
  <si>
    <t>42,274</t>
  </si>
  <si>
    <t>59,829</t>
  </si>
  <si>
    <t>Cash &amp; Short-Term Investments</t>
  </si>
  <si>
    <t>373</t>
  </si>
  <si>
    <t>706</t>
  </si>
  <si>
    <t>1,101</t>
  </si>
  <si>
    <t>1,301</t>
  </si>
  <si>
    <t>1,779</t>
  </si>
  <si>
    <t>2,000</t>
  </si>
  <si>
    <t>2,019</t>
  </si>
  <si>
    <t>3,112</t>
  </si>
  <si>
    <t>3,727</t>
  </si>
  <si>
    <t>6,366</t>
  </si>
  <si>
    <t>8,762</t>
  </si>
  <si>
    <t>9,576</t>
  </si>
  <si>
    <t>11,448</t>
  </si>
  <si>
    <t>12,447</t>
  </si>
  <si>
    <t>17,416</t>
  </si>
  <si>
    <t>19,808</t>
  </si>
  <si>
    <t>25,981</t>
  </si>
  <si>
    <t>30,986</t>
  </si>
  <si>
    <t>41,250</t>
  </si>
  <si>
    <t>55,021</t>
  </si>
  <si>
    <t>84,396</t>
  </si>
  <si>
    <t>96,049</t>
  </si>
  <si>
    <t>Net Receivables</t>
  </si>
  <si>
    <t>112</t>
  </si>
  <si>
    <t>132</t>
  </si>
  <si>
    <t>199</t>
  </si>
  <si>
    <t>399</t>
  </si>
  <si>
    <t>705</t>
  </si>
  <si>
    <t>827</t>
  </si>
  <si>
    <t>988</t>
  </si>
  <si>
    <t>1,587</t>
  </si>
  <si>
    <t>2,571</t>
  </si>
  <si>
    <t>4,767</t>
  </si>
  <si>
    <t>5,612</t>
  </si>
  <si>
    <t>6,423</t>
  </si>
  <si>
    <t>8,339</t>
  </si>
  <si>
    <t>13,164</t>
  </si>
  <si>
    <t>16,677</t>
  </si>
  <si>
    <t>20,816</t>
  </si>
  <si>
    <t>24,542</t>
  </si>
  <si>
    <t>32,891</t>
  </si>
  <si>
    <t>Inventory</t>
  </si>
  <si>
    <t>1</t>
  </si>
  <si>
    <t>30</t>
  </si>
  <si>
    <t>221</t>
  </si>
  <si>
    <t>175</t>
  </si>
  <si>
    <t>144</t>
  </si>
  <si>
    <t>202</t>
  </si>
  <si>
    <t>294</t>
  </si>
  <si>
    <t>480</t>
  </si>
  <si>
    <t>566</t>
  </si>
  <si>
    <t>877</t>
  </si>
  <si>
    <t>1,200</t>
  </si>
  <si>
    <t>1,399</t>
  </si>
  <si>
    <t>2,171</t>
  </si>
  <si>
    <t>3,202</t>
  </si>
  <si>
    <t>4,992</t>
  </si>
  <si>
    <t>6,031</t>
  </si>
  <si>
    <t>7,411</t>
  </si>
  <si>
    <t>8,299</t>
  </si>
  <si>
    <t>10,243</t>
  </si>
  <si>
    <t>11,461</t>
  </si>
  <si>
    <t>16,047</t>
  </si>
  <si>
    <t>17,174</t>
  </si>
  <si>
    <t>20,497</t>
  </si>
  <si>
    <t>23,795</t>
  </si>
  <si>
    <t>32,640</t>
  </si>
  <si>
    <t>Other Current Assets</t>
  </si>
  <si>
    <t>19</t>
  </si>
  <si>
    <t>21</t>
  </si>
  <si>
    <t>85</t>
  </si>
  <si>
    <t>86</t>
  </si>
  <si>
    <t>68</t>
  </si>
  <si>
    <t>81</t>
  </si>
  <si>
    <t>89</t>
  </si>
  <si>
    <t>147</t>
  </si>
  <si>
    <t>204</t>
  </si>
  <si>
    <t>272</t>
  </si>
  <si>
    <t>196</t>
  </si>
  <si>
    <t>351</t>
  </si>
  <si>
    <t>453</t>
  </si>
  <si>
    <t>Total Current Assets</t>
  </si>
  <si>
    <t>7</t>
  </si>
  <si>
    <t>137</t>
  </si>
  <si>
    <t>424</t>
  </si>
  <si>
    <t>1,012</t>
  </si>
  <si>
    <t>1,361</t>
  </si>
  <si>
    <t>1,208</t>
  </si>
  <si>
    <t>1,616</t>
  </si>
  <si>
    <t>1,821</t>
  </si>
  <si>
    <t>2,929</t>
  </si>
  <si>
    <t>3,373</t>
  </si>
  <si>
    <t>5,164</t>
  </si>
  <si>
    <t>6,157</t>
  </si>
  <si>
    <t>9,797</t>
  </si>
  <si>
    <t>13,747</t>
  </si>
  <si>
    <t>17,490</t>
  </si>
  <si>
    <t>21,296</t>
  </si>
  <si>
    <t>24,625</t>
  </si>
  <si>
    <t>31,327</t>
  </si>
  <si>
    <t>36,474</t>
  </si>
  <si>
    <t>45,781</t>
  </si>
  <si>
    <t>60,197</t>
  </si>
  <si>
    <t>75,101</t>
  </si>
  <si>
    <t>96,334</t>
  </si>
  <si>
    <t>132,733</t>
  </si>
  <si>
    <t>161,580</t>
  </si>
  <si>
    <t>318</t>
  </si>
  <si>
    <t>366</t>
  </si>
  <si>
    <t>239</t>
  </si>
  <si>
    <t>224</t>
  </si>
  <si>
    <t>457</t>
  </si>
  <si>
    <t>543</t>
  </si>
  <si>
    <t>854</t>
  </si>
  <si>
    <t>1,290</t>
  </si>
  <si>
    <t>2,414</t>
  </si>
  <si>
    <t>4,417</t>
  </si>
  <si>
    <t>7,060</t>
  </si>
  <si>
    <t>10,949</t>
  </si>
  <si>
    <t>16,967</t>
  </si>
  <si>
    <t>21,838</t>
  </si>
  <si>
    <t>29,114</t>
  </si>
  <si>
    <t>48,866</t>
  </si>
  <si>
    <t>61,797</t>
  </si>
  <si>
    <t>73</t>
  </si>
  <si>
    <t>150,667</t>
  </si>
  <si>
    <t>216,363</t>
  </si>
  <si>
    <t>195</t>
  </si>
  <si>
    <t>222</t>
  </si>
  <si>
    <t>438</t>
  </si>
  <si>
    <t>1,234</t>
  </si>
  <si>
    <t>1,955</t>
  </si>
  <si>
    <t>2,552</t>
  </si>
  <si>
    <t>2,655</t>
  </si>
  <si>
    <t>3,319</t>
  </si>
  <si>
    <t>3,759</t>
  </si>
  <si>
    <t>3,784</t>
  </si>
  <si>
    <t>13,350</t>
  </si>
  <si>
    <t>14,548</t>
  </si>
  <si>
    <t>14,754</t>
  </si>
  <si>
    <t>15,017</t>
  </si>
  <si>
    <t>15,371</t>
  </si>
  <si>
    <t>Intangible Assets</t>
  </si>
  <si>
    <t>186</t>
  </si>
  <si>
    <t>730</t>
  </si>
  <si>
    <t>80</t>
  </si>
  <si>
    <t>74</t>
  </si>
  <si>
    <t>70</t>
  </si>
  <si>
    <t>139</t>
  </si>
  <si>
    <t>567</t>
  </si>
  <si>
    <t>647</t>
  </si>
  <si>
    <t>725</t>
  </si>
  <si>
    <t>764</t>
  </si>
  <si>
    <t>762</t>
  </si>
  <si>
    <t>3,371</t>
  </si>
  <si>
    <t>4,110</t>
  </si>
  <si>
    <t>4,049</t>
  </si>
  <si>
    <t>4,981</t>
  </si>
  <si>
    <t>5,107</t>
  </si>
  <si>
    <t>Goodwill and Intangible Assets</t>
  </si>
  <si>
    <t>248</t>
  </si>
  <si>
    <t>598</t>
  </si>
  <si>
    <t>1,801</t>
  </si>
  <si>
    <t>1,912</t>
  </si>
  <si>
    <t>2,602</t>
  </si>
  <si>
    <t>3,277</t>
  </si>
  <si>
    <t>3,300</t>
  </si>
  <si>
    <t>4,083</t>
  </si>
  <si>
    <t>4,521</t>
  </si>
  <si>
    <t>4,638</t>
  </si>
  <si>
    <t>16,721</t>
  </si>
  <si>
    <t>18,658</t>
  </si>
  <si>
    <t>18,803</t>
  </si>
  <si>
    <t>19,998</t>
  </si>
  <si>
    <t>20,478</t>
  </si>
  <si>
    <t>Investments</t>
  </si>
  <si>
    <t>Tax Assets</t>
  </si>
  <si>
    <t>223</t>
  </si>
  <si>
    <t>260</t>
  </si>
  <si>
    <t>145</t>
  </si>
  <si>
    <t>18</t>
  </si>
  <si>
    <t>28</t>
  </si>
  <si>
    <t>Other Non-Current Assets</t>
  </si>
  <si>
    <t>8</t>
  </si>
  <si>
    <t>412</t>
  </si>
  <si>
    <t>152</t>
  </si>
  <si>
    <t>61</t>
  </si>
  <si>
    <t>42</t>
  </si>
  <si>
    <t>37</t>
  </si>
  <si>
    <t>118</t>
  </si>
  <si>
    <t>270</t>
  </si>
  <si>
    <t>560</t>
  </si>
  <si>
    <t>907</t>
  </si>
  <si>
    <t>702</t>
  </si>
  <si>
    <t>741</t>
  </si>
  <si>
    <t>1,285</t>
  </si>
  <si>
    <t>2,128</t>
  </si>
  <si>
    <t>2,611</t>
  </si>
  <si>
    <t>3,869</t>
  </si>
  <si>
    <t>5,526</t>
  </si>
  <si>
    <t>7,092</t>
  </si>
  <si>
    <t>110,038</t>
  </si>
  <si>
    <t>17,797</t>
  </si>
  <si>
    <t>22,128</t>
  </si>
  <si>
    <t>Total Non-Current Assets</t>
  </si>
  <si>
    <t>1,459</t>
  </si>
  <si>
    <t>774</t>
  </si>
  <si>
    <t>430</t>
  </si>
  <si>
    <t>375</t>
  </si>
  <si>
    <t>341</t>
  </si>
  <si>
    <t>709</t>
  </si>
  <si>
    <t>767</t>
  </si>
  <si>
    <t>990</t>
  </si>
  <si>
    <t>1,321</t>
  </si>
  <si>
    <t>2,157</t>
  </si>
  <si>
    <t>4,016</t>
  </si>
  <si>
    <t>5,050</t>
  </si>
  <si>
    <t>7,788</t>
  </si>
  <si>
    <t>11,259</t>
  </si>
  <si>
    <t>15,534</t>
  </si>
  <si>
    <t>23,178</t>
  </si>
  <si>
    <t>28,970</t>
  </si>
  <si>
    <t>37,621</t>
  </si>
  <si>
    <t>71,113</t>
  </si>
  <si>
    <t>87,547</t>
  </si>
  <si>
    <t>128,914</t>
  </si>
  <si>
    <t>188,462</t>
  </si>
  <si>
    <t>258,969</t>
  </si>
  <si>
    <t>Other Assets</t>
  </si>
  <si>
    <t>648</t>
  </si>
  <si>
    <t>2,472</t>
  </si>
  <si>
    <t>2,135</t>
  </si>
  <si>
    <t>1,638</t>
  </si>
  <si>
    <t>1,990</t>
  </si>
  <si>
    <t>2,162</t>
  </si>
  <si>
    <t>3,249</t>
  </si>
  <si>
    <t>3,696</t>
  </si>
  <si>
    <t>4,363</t>
  </si>
  <si>
    <t>6,485</t>
  </si>
  <si>
    <t>8,314</t>
  </si>
  <si>
    <t>13,813</t>
  </si>
  <si>
    <t>18,797</t>
  </si>
  <si>
    <t>25,278</t>
  </si>
  <si>
    <t>32,555</t>
  </si>
  <si>
    <t>40,159</t>
  </si>
  <si>
    <t>54,505</t>
  </si>
  <si>
    <t>65,444</t>
  </si>
  <si>
    <t>83,402</t>
  </si>
  <si>
    <t>131,310</t>
  </si>
  <si>
    <t>162,648</t>
  </si>
  <si>
    <t>225,248</t>
  </si>
  <si>
    <t>321,195</t>
  </si>
  <si>
    <t>420,549</t>
  </si>
  <si>
    <t>Accounts Payable</t>
  </si>
  <si>
    <t>33</t>
  </si>
  <si>
    <t>113</t>
  </si>
  <si>
    <t>463</t>
  </si>
  <si>
    <t>485</t>
  </si>
  <si>
    <t>445</t>
  </si>
  <si>
    <t>618</t>
  </si>
  <si>
    <t>820</t>
  </si>
  <si>
    <t>1,142</t>
  </si>
  <si>
    <t>1,366</t>
  </si>
  <si>
    <t>1,816</t>
  </si>
  <si>
    <t>2,795</t>
  </si>
  <si>
    <t>3,594</t>
  </si>
  <si>
    <t>5,605</t>
  </si>
  <si>
    <t>8,051</t>
  </si>
  <si>
    <t>11,145</t>
  </si>
  <si>
    <t>13,318</t>
  </si>
  <si>
    <t>15,133</t>
  </si>
  <si>
    <t>16,459</t>
  </si>
  <si>
    <t>20,397</t>
  </si>
  <si>
    <t>25,309</t>
  </si>
  <si>
    <t>34,616</t>
  </si>
  <si>
    <t>38,192</t>
  </si>
  <si>
    <t>47,183</t>
  </si>
  <si>
    <t>72,539</t>
  </si>
  <si>
    <t>78,664</t>
  </si>
  <si>
    <t>Short-Term Debt</t>
  </si>
  <si>
    <t>14</t>
  </si>
  <si>
    <t>17</t>
  </si>
  <si>
    <t>15</t>
  </si>
  <si>
    <t>Tax Payable</t>
  </si>
  <si>
    <t>Deferred Revenue</t>
  </si>
  <si>
    <t>Other Current Liabilities</t>
  </si>
  <si>
    <t>48</t>
  </si>
  <si>
    <t>207</t>
  </si>
  <si>
    <t>473</t>
  </si>
  <si>
    <t>374</t>
  </si>
  <si>
    <t>387</t>
  </si>
  <si>
    <t>391</t>
  </si>
  <si>
    <t>435</t>
  </si>
  <si>
    <t>716</t>
  </si>
  <si>
    <t>919</t>
  </si>
  <si>
    <t>1,093</t>
  </si>
  <si>
    <t>1,759</t>
  </si>
  <si>
    <t>2,321</t>
  </si>
  <si>
    <t>3,751</t>
  </si>
  <si>
    <t>5,684</t>
  </si>
  <si>
    <t>6,688</t>
  </si>
  <si>
    <t>9,807</t>
  </si>
  <si>
    <t>10,384</t>
  </si>
  <si>
    <t>13,739</t>
  </si>
  <si>
    <t>18,170</t>
  </si>
  <si>
    <t>23,663</t>
  </si>
  <si>
    <t>32,439</t>
  </si>
  <si>
    <t>44,138</t>
  </si>
  <si>
    <t>51,775</t>
  </si>
  <si>
    <t>Total Current Liabilities</t>
  </si>
  <si>
    <t>44</t>
  </si>
  <si>
    <t>162</t>
  </si>
  <si>
    <t>739</t>
  </si>
  <si>
    <t>975</t>
  </si>
  <si>
    <t>921</t>
  </si>
  <si>
    <t>1,066</t>
  </si>
  <si>
    <t>1,253</t>
  </si>
  <si>
    <t>1,620</t>
  </si>
  <si>
    <t>1,929</t>
  </si>
  <si>
    <t>2,532</t>
  </si>
  <si>
    <t>3,714</t>
  </si>
  <si>
    <t>7,364</t>
  </si>
  <si>
    <t>10,372</t>
  </si>
  <si>
    <t>19,002</t>
  </si>
  <si>
    <t>22,980</t>
  </si>
  <si>
    <t>28,089</t>
  </si>
  <si>
    <t>33,899</t>
  </si>
  <si>
    <t>43,816</t>
  </si>
  <si>
    <t>57,883</t>
  </si>
  <si>
    <t>68,391</t>
  </si>
  <si>
    <t>87,812</t>
  </si>
  <si>
    <t>126,385</t>
  </si>
  <si>
    <t>142,266</t>
  </si>
  <si>
    <t>Long-Term Debt</t>
  </si>
  <si>
    <t>1,466</t>
  </si>
  <si>
    <t>2,127</t>
  </si>
  <si>
    <t>2,156</t>
  </si>
  <si>
    <t>2,277</t>
  </si>
  <si>
    <t>1,945</t>
  </si>
  <si>
    <t>1,855</t>
  </si>
  <si>
    <t>1,521</t>
  </si>
  <si>
    <t>Deferred Tax Liabilities</t>
  </si>
  <si>
    <t>336</t>
  </si>
  <si>
    <t>1,028</t>
  </si>
  <si>
    <t>1,531</t>
  </si>
  <si>
    <t>2,016</t>
  </si>
  <si>
    <t>1,787</t>
  </si>
  <si>
    <t>1,994</t>
  </si>
  <si>
    <t>2,386</t>
  </si>
  <si>
    <t>Other Non-Current Liabilities</t>
  </si>
  <si>
    <t>153</t>
  </si>
  <si>
    <t>292</t>
  </si>
  <si>
    <t>487</t>
  </si>
  <si>
    <t>1,377</t>
  </si>
  <si>
    <t>2,370</t>
  </si>
  <si>
    <t>1,941</t>
  </si>
  <si>
    <t>3,214</t>
  </si>
  <si>
    <t>5,879</t>
  </si>
  <si>
    <t>10,820</t>
  </si>
  <si>
    <t>18,981</t>
  </si>
  <si>
    <t>24,827</t>
  </si>
  <si>
    <t>51,962</t>
  </si>
  <si>
    <t>17,017</t>
  </si>
  <si>
    <t>23,643</t>
  </si>
  <si>
    <t>Total Non-Current Liabilities</t>
  </si>
  <si>
    <t>1,400</t>
  </si>
  <si>
    <t>1,574</t>
  </si>
  <si>
    <t>1,192</t>
  </si>
  <si>
    <t>1,561</t>
  </si>
  <si>
    <t>2,625</t>
  </si>
  <si>
    <t>5,361</t>
  </si>
  <si>
    <t>7,433</t>
  </si>
  <si>
    <t>15,675</t>
  </si>
  <si>
    <t>18,161</t>
  </si>
  <si>
    <t>20,301</t>
  </si>
  <si>
    <t>45,718</t>
  </si>
  <si>
    <t>50,708</t>
  </si>
  <si>
    <t>75,376</t>
  </si>
  <si>
    <t>101,406</t>
  </si>
  <si>
    <t>140,038</t>
  </si>
  <si>
    <t>Other Liabilities</t>
  </si>
  <si>
    <t>Capital Lease Obligations</t>
  </si>
  <si>
    <t>67,651</t>
  </si>
  <si>
    <t>510</t>
  </si>
  <si>
    <t>2,205</t>
  </si>
  <si>
    <t>3,102</t>
  </si>
  <si>
    <t>3,078</t>
  </si>
  <si>
    <t>3,343</t>
  </si>
  <si>
    <t>3,198</t>
  </si>
  <si>
    <t>3,476</t>
  </si>
  <si>
    <t>3,450</t>
  </si>
  <si>
    <t>3,932</t>
  </si>
  <si>
    <t>5,288</t>
  </si>
  <si>
    <t>5,642</t>
  </si>
  <si>
    <t>8,556</t>
  </si>
  <si>
    <t>11,933</t>
  </si>
  <si>
    <t>17,521</t>
  </si>
  <si>
    <t>24,363</t>
  </si>
  <si>
    <t>30,413</t>
  </si>
  <si>
    <t>43,764</t>
  </si>
  <si>
    <t>52,060</t>
  </si>
  <si>
    <t>64,117</t>
  </si>
  <si>
    <t>103,601</t>
  </si>
  <si>
    <t>119,099</t>
  </si>
  <si>
    <t>163,188</t>
  </si>
  <si>
    <t>227,791</t>
  </si>
  <si>
    <t>282,304</t>
  </si>
  <si>
    <t>Retained Earnings</t>
  </si>
  <si>
    <t>(34)</t>
  </si>
  <si>
    <t>(162)</t>
  </si>
  <si>
    <t>(882)</t>
  </si>
  <si>
    <t>(2,293)</t>
  </si>
  <si>
    <t>(2,861)</t>
  </si>
  <si>
    <t>(3,010)</t>
  </si>
  <si>
    <t>(2,974)</t>
  </si>
  <si>
    <t>(2,386)</t>
  </si>
  <si>
    <t>(2,027)</t>
  </si>
  <si>
    <t>(1,837)</t>
  </si>
  <si>
    <t>(1,375)</t>
  </si>
  <si>
    <t>(730)</t>
  </si>
  <si>
    <t>172</t>
  </si>
  <si>
    <t>1,324</t>
  </si>
  <si>
    <t>1,916</t>
  </si>
  <si>
    <t>2,190</t>
  </si>
  <si>
    <t>1,949</t>
  </si>
  <si>
    <t>2,545</t>
  </si>
  <si>
    <t>4,916</t>
  </si>
  <si>
    <t>8,636</t>
  </si>
  <si>
    <t>19,625</t>
  </si>
  <si>
    <t>31,220</t>
  </si>
  <si>
    <t>52,551</t>
  </si>
  <si>
    <t>85,915</t>
  </si>
  <si>
    <t>Other Compreh. Income(Loss)</t>
  </si>
  <si>
    <t>(0)</t>
  </si>
  <si>
    <t>(14)</t>
  </si>
  <si>
    <t>(49)</t>
  </si>
  <si>
    <t>(115)</t>
  </si>
  <si>
    <t>(166)</t>
  </si>
  <si>
    <t>(1)</t>
  </si>
  <si>
    <t>(123)</t>
  </si>
  <si>
    <t>(56)</t>
  </si>
  <si>
    <t>(190)</t>
  </si>
  <si>
    <t>(316)</t>
  </si>
  <si>
    <t>(185)</t>
  </si>
  <si>
    <t>(511)</t>
  </si>
  <si>
    <t>(723)</t>
  </si>
  <si>
    <t>(985)</t>
  </si>
  <si>
    <t>(484)</t>
  </si>
  <si>
    <t>(1,035)</t>
  </si>
  <si>
    <t>(986)</t>
  </si>
  <si>
    <t>(180)</t>
  </si>
  <si>
    <t>(1,376)</t>
  </si>
  <si>
    <t>Other Total Stockhold. Equity</t>
  </si>
  <si>
    <t>66</t>
  </si>
  <si>
    <t>313</t>
  </si>
  <si>
    <t>1,194</t>
  </si>
  <si>
    <t>1,437</t>
  </si>
  <si>
    <t>1,583</t>
  </si>
  <si>
    <t>1,896</t>
  </si>
  <si>
    <t>2,082</t>
  </si>
  <si>
    <t>2,331</t>
  </si>
  <si>
    <t>2,263</t>
  </si>
  <si>
    <t>2,265</t>
  </si>
  <si>
    <t>2,563</t>
  </si>
  <si>
    <t>3,521</t>
  </si>
  <si>
    <t>5,136</t>
  </si>
  <si>
    <t>5,725</t>
  </si>
  <si>
    <t>6,113</t>
  </si>
  <si>
    <t>6,510</t>
  </si>
  <si>
    <t>7,736</t>
  </si>
  <si>
    <t>9,298</t>
  </si>
  <si>
    <t>11,557</t>
  </si>
  <si>
    <t>15,349</t>
  </si>
  <si>
    <t>19,552</t>
  </si>
  <si>
    <t>24,954</t>
  </si>
  <si>
    <t>31,821</t>
  </si>
  <si>
    <t>41,033</t>
  </si>
  <si>
    <t>53,706</t>
  </si>
  <si>
    <t>Total Stockholders Equity</t>
  </si>
  <si>
    <t>29</t>
  </si>
  <si>
    <t>266</t>
  </si>
  <si>
    <t>(967)</t>
  </si>
  <si>
    <t>(1,440)</t>
  </si>
  <si>
    <t>(1,353)</t>
  </si>
  <si>
    <t>(1,036)</t>
  </si>
  <si>
    <t>(227)</t>
  </si>
  <si>
    <t>Total Liab.&amp;Stockhold. Equity</t>
  </si>
  <si>
    <t>Minority Interest</t>
  </si>
  <si>
    <t>Total Liabilities &amp; Equity</t>
  </si>
  <si>
    <t>Deferred Income Tax</t>
  </si>
  <si>
    <t>(257)</t>
  </si>
  <si>
    <t>(99)</t>
  </si>
  <si>
    <t>(5)</t>
  </si>
  <si>
    <t>136</t>
  </si>
  <si>
    <t>(265)</t>
  </si>
  <si>
    <t>(156)</t>
  </si>
  <si>
    <t>(246)</t>
  </si>
  <si>
    <t>441</t>
  </si>
  <si>
    <t>796</t>
  </si>
  <si>
    <t>(554)</t>
  </si>
  <si>
    <t>(310)</t>
  </si>
  <si>
    <t>Stock Based Compensation</t>
  </si>
  <si>
    <t>185</t>
  </si>
  <si>
    <t>275</t>
  </si>
  <si>
    <t>557</t>
  </si>
  <si>
    <t>833</t>
  </si>
  <si>
    <t>1,134</t>
  </si>
  <si>
    <t>2,119</t>
  </si>
  <si>
    <t>2,975</t>
  </si>
  <si>
    <t>4,215</t>
  </si>
  <si>
    <t>5,418</t>
  </si>
  <si>
    <t>9,208</t>
  </si>
  <si>
    <t>12,757</t>
  </si>
  <si>
    <t>Change in Working Capital</t>
  </si>
  <si>
    <t>230</t>
  </si>
  <si>
    <t>286</t>
  </si>
  <si>
    <t>43</t>
  </si>
  <si>
    <t>57</t>
  </si>
  <si>
    <t>104</t>
  </si>
  <si>
    <t>284</t>
  </si>
  <si>
    <t>832</t>
  </si>
  <si>
    <t>714</t>
  </si>
  <si>
    <t>1,612</t>
  </si>
  <si>
    <t>1,581</t>
  </si>
  <si>
    <t>1,464</t>
  </si>
  <si>
    <t>1,523</t>
  </si>
  <si>
    <t>974</t>
  </si>
  <si>
    <t>2,557</t>
  </si>
  <si>
    <t>3,916</t>
  </si>
  <si>
    <t>(173)</t>
  </si>
  <si>
    <t>(1,043)</t>
  </si>
  <si>
    <t>(2,438)</t>
  </si>
  <si>
    <t>13,481</t>
  </si>
  <si>
    <t>(19,611)</t>
  </si>
  <si>
    <t>Accounts Receivable</t>
  </si>
  <si>
    <t>(103)</t>
  </si>
  <si>
    <t>(255)</t>
  </si>
  <si>
    <t>(218)</t>
  </si>
  <si>
    <t>(481)</t>
  </si>
  <si>
    <t>(295)</t>
  </si>
  <si>
    <t>(866)</t>
  </si>
  <si>
    <t>(861)</t>
  </si>
  <si>
    <t>(846)</t>
  </si>
  <si>
    <t>(1,039)</t>
  </si>
  <si>
    <t>(1,755)</t>
  </si>
  <si>
    <t>(3,367)</t>
  </si>
  <si>
    <t>(4,786)</t>
  </si>
  <si>
    <t>(4,615)</t>
  </si>
  <si>
    <t>(7,681)</t>
  </si>
  <si>
    <t>(8,169)</t>
  </si>
  <si>
    <t>(18,163)</t>
  </si>
  <si>
    <t>(21)</t>
  </si>
  <si>
    <t>(172)</t>
  </si>
  <si>
    <t>31</t>
  </si>
  <si>
    <t>(51)</t>
  </si>
  <si>
    <t>(77)</t>
  </si>
  <si>
    <t>(169)</t>
  </si>
  <si>
    <t>(104)</t>
  </si>
  <si>
    <t>(282)</t>
  </si>
  <si>
    <t>(303)</t>
  </si>
  <si>
    <t>(232)</t>
  </si>
  <si>
    <t>(531)</t>
  </si>
  <si>
    <t>(1,019)</t>
  </si>
  <si>
    <t>(1,777)</t>
  </si>
  <si>
    <t>(999)</t>
  </si>
  <si>
    <t>(1,410)</t>
  </si>
  <si>
    <t>(1,193)</t>
  </si>
  <si>
    <t>(2,187)</t>
  </si>
  <si>
    <t>(1,426)</t>
  </si>
  <si>
    <t>(3,583)</t>
  </si>
  <si>
    <t>(1,314)</t>
  </si>
  <si>
    <t>(3,278)</t>
  </si>
  <si>
    <t>(2,849)</t>
  </si>
  <si>
    <t>(9,487)</t>
  </si>
  <si>
    <t>402</t>
  </si>
  <si>
    <t>928</t>
  </si>
  <si>
    <t>812</t>
  </si>
  <si>
    <t>1,859</t>
  </si>
  <si>
    <t>2,373</t>
  </si>
  <si>
    <t>2,997</t>
  </si>
  <si>
    <t>1,888</t>
  </si>
  <si>
    <t>4,294</t>
  </si>
  <si>
    <t>5,030</t>
  </si>
  <si>
    <t>7,175</t>
  </si>
  <si>
    <t>3,263</t>
  </si>
  <si>
    <t>8,193</t>
  </si>
  <si>
    <t>17,480</t>
  </si>
  <si>
    <t>3,602</t>
  </si>
  <si>
    <t>Other Working Capital</t>
  </si>
  <si>
    <t>273</t>
  </si>
  <si>
    <t>386</t>
  </si>
  <si>
    <t>550</t>
  </si>
  <si>
    <t>105</t>
  </si>
  <si>
    <t>465</t>
  </si>
  <si>
    <t>1,292</t>
  </si>
  <si>
    <t>1,151</t>
  </si>
  <si>
    <t>1,711</t>
  </si>
  <si>
    <t>1,265</t>
  </si>
  <si>
    <t>Other Non-Cash Items</t>
  </si>
  <si>
    <t>672</t>
  </si>
  <si>
    <t>146</t>
  </si>
  <si>
    <t>193</t>
  </si>
  <si>
    <t>55</t>
  </si>
  <si>
    <t>(100)</t>
  </si>
  <si>
    <t>(235)</t>
  </si>
  <si>
    <t>(219)</t>
  </si>
  <si>
    <t>(234)</t>
  </si>
  <si>
    <t>(31)</t>
  </si>
  <si>
    <t>203</t>
  </si>
  <si>
    <t>182</t>
  </si>
  <si>
    <t>(689)</t>
  </si>
  <si>
    <t>(90)</t>
  </si>
  <si>
    <t>493</t>
  </si>
  <si>
    <t>(2,653)</t>
  </si>
  <si>
    <t>(14,169)</t>
  </si>
  <si>
    <t>Cash Provided by Operating Activities</t>
  </si>
  <si>
    <t>(2)</t>
  </si>
  <si>
    <t>(91)</t>
  </si>
  <si>
    <t>(130)</t>
  </si>
  <si>
    <t>(120)</t>
  </si>
  <si>
    <t>174</t>
  </si>
  <si>
    <t>392</t>
  </si>
  <si>
    <t>733</t>
  </si>
  <si>
    <t>1,405</t>
  </si>
  <si>
    <t>1,697</t>
  </si>
  <si>
    <t>3,293</t>
  </si>
  <si>
    <t>3,495</t>
  </si>
  <si>
    <t>3,903</t>
  </si>
  <si>
    <t>4,180</t>
  </si>
  <si>
    <t>5,475</t>
  </si>
  <si>
    <t>6,842</t>
  </si>
  <si>
    <t>11,920</t>
  </si>
  <si>
    <t>16,443</t>
  </si>
  <si>
    <t>18,434</t>
  </si>
  <si>
    <t>30,723</t>
  </si>
  <si>
    <t>38,514</t>
  </si>
  <si>
    <t>66,064</t>
  </si>
  <si>
    <t>46,327</t>
  </si>
  <si>
    <t>CAPEX</t>
  </si>
  <si>
    <t>(7)</t>
  </si>
  <si>
    <t>(287)</t>
  </si>
  <si>
    <t>(135)</t>
  </si>
  <si>
    <t>(46)</t>
  </si>
  <si>
    <t>(89)</t>
  </si>
  <si>
    <t>(204)</t>
  </si>
  <si>
    <t>(224)</t>
  </si>
  <si>
    <t>(333)</t>
  </si>
  <si>
    <t>(373)</t>
  </si>
  <si>
    <t>(979)</t>
  </si>
  <si>
    <t>(1,811)</t>
  </si>
  <si>
    <t>(3,785)</t>
  </si>
  <si>
    <t>(3,444)</t>
  </si>
  <si>
    <t>(4,893)</t>
  </si>
  <si>
    <t>(4,589)</t>
  </si>
  <si>
    <t>(6,737)</t>
  </si>
  <si>
    <t>(11,955)</t>
  </si>
  <si>
    <t>(13,427)</t>
  </si>
  <si>
    <t>(16,861)</t>
  </si>
  <si>
    <t>(40,140)</t>
  </si>
  <si>
    <t>(61,053)</t>
  </si>
  <si>
    <t>Acquisitions Net</t>
  </si>
  <si>
    <t>(19)</t>
  </si>
  <si>
    <t>(370)</t>
  </si>
  <si>
    <t>(71)</t>
  </si>
  <si>
    <t>(24)</t>
  </si>
  <si>
    <t>(32)</t>
  </si>
  <si>
    <t>(494)</t>
  </si>
  <si>
    <t>(40)</t>
  </si>
  <si>
    <t>(352)</t>
  </si>
  <si>
    <t>(705)</t>
  </si>
  <si>
    <t>(745)</t>
  </si>
  <si>
    <t>(312)</t>
  </si>
  <si>
    <t>(795)</t>
  </si>
  <si>
    <t>(116)</t>
  </si>
  <si>
    <t>(13,972)</t>
  </si>
  <si>
    <t>(2,186)</t>
  </si>
  <si>
    <t>(2,461)</t>
  </si>
  <si>
    <t>(2,325)</t>
  </si>
  <si>
    <t>(1,985)</t>
  </si>
  <si>
    <t>Purchases of Investments</t>
  </si>
  <si>
    <t>(547)</t>
  </si>
  <si>
    <t>(4,290)</t>
  </si>
  <si>
    <t>(184)</t>
  </si>
  <si>
    <t>(636)</t>
  </si>
  <si>
    <t>(536)</t>
  </si>
  <si>
    <t>(1,584)</t>
  </si>
  <si>
    <t>(1,386)</t>
  </si>
  <si>
    <t>(1,930)</t>
  </si>
  <si>
    <t>(930)</t>
  </si>
  <si>
    <t>(1,677)</t>
  </si>
  <si>
    <t>(3,890)</t>
  </si>
  <si>
    <t>(6,279)</t>
  </si>
  <si>
    <t>(6,257)</t>
  </si>
  <si>
    <t>(3,302)</t>
  </si>
  <si>
    <t>(2,826)</t>
  </si>
  <si>
    <t>(2,542)</t>
  </si>
  <si>
    <t>(4,091)</t>
  </si>
  <si>
    <t>(7,756)</t>
  </si>
  <si>
    <t>(13,777)</t>
  </si>
  <si>
    <t>(7,100)</t>
  </si>
  <si>
    <t>(31,812)</t>
  </si>
  <si>
    <t>(72,479)</t>
  </si>
  <si>
    <t>(60,157)</t>
  </si>
  <si>
    <t>Sales/Maturities of Investments</t>
  </si>
  <si>
    <t>332</t>
  </si>
  <si>
    <t>4,025</t>
  </si>
  <si>
    <t>546</t>
  </si>
  <si>
    <t>370</t>
  </si>
  <si>
    <t>553</t>
  </si>
  <si>
    <t>813</t>
  </si>
  <si>
    <t>1,427</t>
  </si>
  <si>
    <t>836</t>
  </si>
  <si>
    <t>1,845</t>
  </si>
  <si>
    <t>1,271</t>
  </si>
  <si>
    <t>1,305</t>
  </si>
  <si>
    <t>1,966</t>
  </si>
  <si>
    <t>4,250</t>
  </si>
  <si>
    <t>6,843</t>
  </si>
  <si>
    <t>4,237</t>
  </si>
  <si>
    <t>2,306</t>
  </si>
  <si>
    <t>3,349</t>
  </si>
  <si>
    <t>3,025</t>
  </si>
  <si>
    <t>4,733</t>
  </si>
  <si>
    <t>9,988</t>
  </si>
  <si>
    <t>22,681</t>
  </si>
  <si>
    <t>50,237</t>
  </si>
  <si>
    <t>59,384</t>
  </si>
  <si>
    <t>Other Investing Activities</t>
  </si>
  <si>
    <t>(63)</t>
  </si>
  <si>
    <t>1,897</t>
  </si>
  <si>
    <t>2,104</t>
  </si>
  <si>
    <t>4,172</t>
  </si>
  <si>
    <t>5,096</t>
  </si>
  <si>
    <t>5,657</t>
  </si>
  <si>
    <t>Cash Used for Investing Activities</t>
  </si>
  <si>
    <t>(262)</t>
  </si>
  <si>
    <t>(922)</t>
  </si>
  <si>
    <t>164</t>
  </si>
  <si>
    <t>(253)</t>
  </si>
  <si>
    <t>(122)</t>
  </si>
  <si>
    <t>237</t>
  </si>
  <si>
    <t>(318)</t>
  </si>
  <si>
    <t>(778)</t>
  </si>
  <si>
    <t>(1,199)</t>
  </si>
  <si>
    <t>(2,337)</t>
  </si>
  <si>
    <t>(3,360)</t>
  </si>
  <si>
    <t>(3,595)</t>
  </si>
  <si>
    <t>(4,276)</t>
  </si>
  <si>
    <t>(5,065)</t>
  </si>
  <si>
    <t>(6,450)</t>
  </si>
  <si>
    <t>(9,876)</t>
  </si>
  <si>
    <t>(27,819)</t>
  </si>
  <si>
    <t>(12,369)</t>
  </si>
  <si>
    <t>(24,281)</t>
  </si>
  <si>
    <t>(59,611)</t>
  </si>
  <si>
    <t>(58,154)</t>
  </si>
  <si>
    <t>Debt Repayment</t>
  </si>
  <si>
    <t>(383)</t>
  </si>
  <si>
    <t>(74)</t>
  </si>
  <si>
    <t>(355)</t>
  </si>
  <si>
    <t>(472)</t>
  </si>
  <si>
    <t>(221)</t>
  </si>
  <si>
    <t>(444)</t>
  </si>
  <si>
    <t>(588)</t>
  </si>
  <si>
    <t>(1,011)</t>
  </si>
  <si>
    <t>(1,933)</t>
  </si>
  <si>
    <t>(4,235)</t>
  </si>
  <si>
    <t>(4,361)</t>
  </si>
  <si>
    <t>(6,371)</t>
  </si>
  <si>
    <t>(8,454)</t>
  </si>
  <si>
    <t>(12,339)</t>
  </si>
  <si>
    <t>(18,425)</t>
  </si>
  <si>
    <t>(20,668)</t>
  </si>
  <si>
    <t>Common Stock Issued</t>
  </si>
  <si>
    <t>45</t>
  </si>
  <si>
    <t>116</t>
  </si>
  <si>
    <t>122</t>
  </si>
  <si>
    <t>163</t>
  </si>
  <si>
    <t>60</t>
  </si>
  <si>
    <t>Common Stock Repurchased</t>
  </si>
  <si>
    <t>(252)</t>
  </si>
  <si>
    <t>(248)</t>
  </si>
  <si>
    <t>(277)</t>
  </si>
  <si>
    <t>(960)</t>
  </si>
  <si>
    <t>Dividends Paid</t>
  </si>
  <si>
    <t>Other Financing Activities</t>
  </si>
  <si>
    <t>240</t>
  </si>
  <si>
    <t>1,040</t>
  </si>
  <si>
    <t>(10)</t>
  </si>
  <si>
    <t>(15)</t>
  </si>
  <si>
    <t>(495)</t>
  </si>
  <si>
    <t>(157)</t>
  </si>
  <si>
    <t>(259)</t>
  </si>
  <si>
    <t>235</t>
  </si>
  <si>
    <t>372</t>
  </si>
  <si>
    <t>257</t>
  </si>
  <si>
    <t>192</t>
  </si>
  <si>
    <t>3,807</t>
  </si>
  <si>
    <t>472</t>
  </si>
  <si>
    <t>6,365</t>
  </si>
  <si>
    <t>16,231</t>
  </si>
  <si>
    <t>768</t>
  </si>
  <si>
    <t>2,273</t>
  </si>
  <si>
    <t>17,321</t>
  </si>
  <si>
    <t>26,959</t>
  </si>
  <si>
    <t>Cash Used/Provided by Financing Activities</t>
  </si>
  <si>
    <t>254</t>
  </si>
  <si>
    <t>1,104</t>
  </si>
  <si>
    <t>693</t>
  </si>
  <si>
    <t>107</t>
  </si>
  <si>
    <t>(332)</t>
  </si>
  <si>
    <t>(97)</t>
  </si>
  <si>
    <t>(193)</t>
  </si>
  <si>
    <t>(400)</t>
  </si>
  <si>
    <t>(198)</t>
  </si>
  <si>
    <t>(280)</t>
  </si>
  <si>
    <t>(482)</t>
  </si>
  <si>
    <t>2,259</t>
  </si>
  <si>
    <t>(539)</t>
  </si>
  <si>
    <t>4,432</t>
  </si>
  <si>
    <t>(3,763)</t>
  </si>
  <si>
    <t>(2,911)</t>
  </si>
  <si>
    <t>(7,686)</t>
  </si>
  <si>
    <t>(10,066)</t>
  </si>
  <si>
    <t>(1,104)</t>
  </si>
  <si>
    <t>6,291</t>
  </si>
  <si>
    <t>Effect of Forex Changes on Cash</t>
  </si>
  <si>
    <t>(38)</t>
  </si>
  <si>
    <t>(16)</t>
  </si>
  <si>
    <t>38</t>
  </si>
  <si>
    <t>67</t>
  </si>
  <si>
    <t>49</t>
  </si>
  <si>
    <t>(52)</t>
  </si>
  <si>
    <t>40</t>
  </si>
  <si>
    <t>20</t>
  </si>
  <si>
    <t>(70)</t>
  </si>
  <si>
    <t>(86)</t>
  </si>
  <si>
    <t>(374)</t>
  </si>
  <si>
    <t>(212)</t>
  </si>
  <si>
    <t>713</t>
  </si>
  <si>
    <t>(351)</t>
  </si>
  <si>
    <t>(364)</t>
  </si>
  <si>
    <t>Net Change In Cash</t>
  </si>
  <si>
    <t>24</t>
  </si>
  <si>
    <t>689</t>
  </si>
  <si>
    <t>198</t>
  </si>
  <si>
    <t>364</t>
  </si>
  <si>
    <t>200</t>
  </si>
  <si>
    <t>(290)</t>
  </si>
  <si>
    <t>1,517</t>
  </si>
  <si>
    <t>675</t>
  </si>
  <si>
    <t>333</t>
  </si>
  <si>
    <t>1,492</t>
  </si>
  <si>
    <t>2,815</t>
  </si>
  <si>
    <t>574</t>
  </si>
  <si>
    <t>5,899</t>
  </si>
  <si>
    <t>1,333</t>
  </si>
  <si>
    <t>1,188</t>
  </si>
  <si>
    <t>10,317</t>
  </si>
  <si>
    <t>5,967</t>
  </si>
  <si>
    <t>(5,900)</t>
  </si>
  <si>
    <t>Cash at the End of Period</t>
  </si>
  <si>
    <t>32,173</t>
  </si>
  <si>
    <t>36,410</t>
  </si>
  <si>
    <t>42,377</t>
  </si>
  <si>
    <t>36,477</t>
  </si>
  <si>
    <t>Cash at the Beginning of Period</t>
  </si>
  <si>
    <t>21,856</t>
  </si>
  <si>
    <t>Free Cash Flow</t>
  </si>
  <si>
    <t>(3)</t>
  </si>
  <si>
    <t>(378)</t>
  </si>
  <si>
    <t>(170)</t>
  </si>
  <si>
    <t>135</t>
  </si>
  <si>
    <t>346</t>
  </si>
  <si>
    <t>529</t>
  </si>
  <si>
    <t>486</t>
  </si>
  <si>
    <t>1,181</t>
  </si>
  <si>
    <t>1,364</t>
  </si>
  <si>
    <t>2,920</t>
  </si>
  <si>
    <t>2,516</t>
  </si>
  <si>
    <t>2,092</t>
  </si>
  <si>
    <t>395</t>
  </si>
  <si>
    <t>2,031</t>
  </si>
  <si>
    <t>7,331</t>
  </si>
  <si>
    <t>9,706</t>
  </si>
  <si>
    <t>6,479</t>
  </si>
  <si>
    <t>17,296</t>
  </si>
  <si>
    <t>21,653</t>
  </si>
  <si>
    <t>25,924</t>
  </si>
  <si>
    <t>(14,726)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</si>
</sst>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9"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name val="Calibri"/>
      <family val="2"/>
      <scheme val="minor"/>
    </font>
    <font>
      <b/>
      <sz val="11"/>
      <color theme="0"/>
      <name val="Calibri"/>
      <family val="2"/>
      <scheme val="minor"/>
    </font>
    <font>
      <i/>
      <u/>
      <sz val="11"/>
      <color theme="1"/>
      <name val="Calibri"/>
      <family val="2"/>
      <scheme val="minor"/>
    </font>
    <font>
      <i/>
      <u/>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3">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xf numFmtId="9" fontId="0" fillId="0" borderId="0" xfId="0" applyNumberFormat="1"/>
    <xf numFmtId="0" fontId="0" fillId="0" borderId="3" xfId="0" applyBorder="1"/>
    <xf numFmtId="0" fontId="0" fillId="2" borderId="0" xfId="0" applyFill="1"/>
    <xf numFmtId="3" fontId="0" fillId="0" borderId="0" xfId="0" applyNumberFormat="1"/>
    <xf numFmtId="0" fontId="0" fillId="0" borderId="2" xfId="0" applyBorder="1"/>
    <xf numFmtId="0" fontId="0" fillId="0" borderId="6" xfId="0" applyBorder="1"/>
    <xf numFmtId="2" fontId="0" fillId="0" borderId="0" xfId="0" applyNumberFormat="1"/>
    <xf numFmtId="0" fontId="1" fillId="0" borderId="3" xfId="0" applyFont="1" applyBorder="1"/>
    <xf numFmtId="3" fontId="1" fillId="0" borderId="0" xfId="0" applyNumberFormat="1" applyFont="1"/>
    <xf numFmtId="3" fontId="0" fillId="0" borderId="2" xfId="0" applyNumberFormat="1" applyBorder="1"/>
    <xf numFmtId="14" fontId="2" fillId="0" borderId="0" xfId="0" applyNumberFormat="1" applyFont="1"/>
    <xf numFmtId="0" fontId="2" fillId="0" borderId="0" xfId="0" applyFont="1"/>
    <xf numFmtId="3" fontId="0" fillId="0" borderId="3" xfId="0" applyNumberFormat="1" applyBorder="1"/>
    <xf numFmtId="3" fontId="0" fillId="0" borderId="6" xfId="0" applyNumberFormat="1" applyBorder="1"/>
    <xf numFmtId="10" fontId="0" fillId="0" borderId="0" xfId="0" applyNumberFormat="1"/>
    <xf numFmtId="10" fontId="0" fillId="0" borderId="3" xfId="0" applyNumberFormat="1" applyBorder="1"/>
    <xf numFmtId="10" fontId="0" fillId="0" borderId="2" xfId="0" applyNumberFormat="1" applyBorder="1"/>
    <xf numFmtId="10" fontId="0" fillId="0" borderId="6" xfId="0" applyNumberFormat="1" applyBorder="1"/>
    <xf numFmtId="2" fontId="1" fillId="0" borderId="0" xfId="0" applyNumberFormat="1" applyFont="1"/>
    <xf numFmtId="4" fontId="1" fillId="0" borderId="0" xfId="0" applyNumberFormat="1" applyFont="1"/>
    <xf numFmtId="3" fontId="5" fillId="0" borderId="0" xfId="0" applyNumberFormat="1" applyFont="1"/>
    <xf numFmtId="0" fontId="0" fillId="3" borderId="0" xfId="0" applyFill="1"/>
    <xf numFmtId="0" fontId="6" fillId="2" borderId="3" xfId="0" applyFont="1" applyFill="1" applyBorder="1"/>
    <xf numFmtId="3" fontId="0" fillId="0" borderId="7" xfId="0" applyNumberFormat="1" applyBorder="1"/>
    <xf numFmtId="3" fontId="0" fillId="0" borderId="9" xfId="0" applyNumberFormat="1" applyBorder="1"/>
    <xf numFmtId="10" fontId="0" fillId="0" borderId="7" xfId="0" applyNumberFormat="1" applyBorder="1"/>
    <xf numFmtId="3" fontId="1" fillId="0" borderId="7" xfId="0" applyNumberFormat="1" applyFont="1" applyBorder="1"/>
    <xf numFmtId="0" fontId="2" fillId="0" borderId="7" xfId="0" applyFont="1" applyBorder="1"/>
    <xf numFmtId="10" fontId="0" fillId="0" borderId="9" xfId="0" applyNumberFormat="1" applyBorder="1"/>
    <xf numFmtId="0" fontId="0" fillId="0" borderId="7" xfId="0" applyBorder="1"/>
    <xf numFmtId="2" fontId="0" fillId="0" borderId="7" xfId="0" applyNumberFormat="1" applyBorder="1"/>
    <xf numFmtId="0" fontId="0" fillId="2" borderId="7" xfId="0" applyFill="1" applyBorder="1"/>
    <xf numFmtId="0" fontId="0" fillId="0" borderId="9" xfId="0" applyBorder="1"/>
    <xf numFmtId="0" fontId="1" fillId="0" borderId="10" xfId="0" applyFont="1" applyBorder="1"/>
    <xf numFmtId="0" fontId="1" fillId="0" borderId="11" xfId="0" applyFont="1" applyBorder="1"/>
    <xf numFmtId="3" fontId="1" fillId="0" borderId="10" xfId="0" applyNumberFormat="1" applyFont="1" applyBorder="1"/>
    <xf numFmtId="164" fontId="0" fillId="0" borderId="0" xfId="0" applyNumberFormat="1"/>
    <xf numFmtId="0" fontId="7" fillId="4" borderId="0" xfId="0" applyFont="1" applyFill="1"/>
    <xf numFmtId="0" fontId="8" fillId="4" borderId="0" xfId="0" applyFont="1" applyFill="1"/>
    <xf numFmtId="0" fontId="8" fillId="4" borderId="3" xfId="0" applyFont="1" applyFill="1" applyBorder="1"/>
    <xf numFmtId="0" fontId="8" fillId="4" borderId="7" xfId="0" applyFont="1" applyFill="1" applyBorder="1"/>
    <xf numFmtId="3" fontId="8" fillId="4" borderId="0" xfId="0" applyNumberFormat="1" applyFont="1" applyFill="1"/>
    <xf numFmtId="3" fontId="8" fillId="4" borderId="7" xfId="0" applyNumberFormat="1" applyFont="1" applyFill="1" applyBorder="1"/>
    <xf numFmtId="0" fontId="7" fillId="4" borderId="3" xfId="0" applyFont="1" applyFill="1" applyBorder="1"/>
    <xf numFmtId="3" fontId="7" fillId="4" borderId="0" xfId="0" applyNumberFormat="1" applyFont="1" applyFill="1"/>
    <xf numFmtId="3" fontId="7" fillId="4" borderId="7" xfId="0" applyNumberFormat="1" applyFont="1" applyFill="1" applyBorder="1"/>
    <xf numFmtId="0" fontId="5" fillId="0" borderId="3" xfId="0" applyFont="1" applyBorder="1"/>
    <xf numFmtId="14" fontId="5" fillId="0" borderId="0" xfId="0" applyNumberFormat="1" applyFont="1" applyAlignment="1">
      <alignment horizontal="center"/>
    </xf>
    <xf numFmtId="14" fontId="5" fillId="0" borderId="7" xfId="0" applyNumberFormat="1" applyFont="1" applyBorder="1" applyAlignment="1">
      <alignment horizontal="center"/>
    </xf>
    <xf numFmtId="0" fontId="5" fillId="0" borderId="0" xfId="0" applyFont="1" applyAlignment="1">
      <alignment horizontal="center"/>
    </xf>
    <xf numFmtId="0" fontId="5" fillId="0" borderId="0" xfId="0" applyFont="1"/>
    <xf numFmtId="0" fontId="5" fillId="0" borderId="5" xfId="0" applyFont="1" applyBorder="1"/>
    <xf numFmtId="14" fontId="5" fillId="0" borderId="4" xfId="0" applyNumberFormat="1" applyFont="1" applyBorder="1" applyAlignment="1">
      <alignment horizontal="center"/>
    </xf>
    <xf numFmtId="14" fontId="5" fillId="0" borderId="8" xfId="0" applyNumberFormat="1" applyFont="1" applyBorder="1" applyAlignment="1">
      <alignment horizontal="center"/>
    </xf>
    <xf numFmtId="0" fontId="5" fillId="0" borderId="4" xfId="0" applyFont="1" applyBorder="1" applyAlignment="1">
      <alignment horizontal="center"/>
    </xf>
    <xf numFmtId="0" fontId="5" fillId="0" borderId="4" xfId="0" applyFont="1" applyBorder="1"/>
    <xf numFmtId="0" fontId="1" fillId="2" borderId="0" xfId="0" applyFont="1" applyFill="1"/>
    <xf numFmtId="0" fontId="1" fillId="2" borderId="7" xfId="0" applyFont="1" applyFill="1" applyBorder="1"/>
    <xf numFmtId="3" fontId="1" fillId="2" borderId="7" xfId="0" applyNumberFormat="1" applyFont="1" applyFill="1" applyBorder="1"/>
    <xf numFmtId="3" fontId="1" fillId="2" borderId="0" xfId="0" applyNumberFormat="1" applyFont="1" applyFill="1"/>
    <xf numFmtId="14" fontId="6" fillId="2" borderId="0" xfId="0" applyNumberFormat="1" applyFont="1" applyFill="1"/>
    <xf numFmtId="0" fontId="6" fillId="2" borderId="0" xfId="0" applyFont="1" applyFill="1"/>
    <xf numFmtId="0" fontId="6" fillId="2" borderId="7" xfId="0" applyFont="1" applyFill="1" applyBorder="1"/>
    <xf numFmtId="2" fontId="0" fillId="0" borderId="3" xfId="0" applyNumberFormat="1" applyBorder="1"/>
    <xf numFmtId="3" fontId="7" fillId="4" borderId="3" xfId="0" applyNumberFormat="1" applyFont="1" applyFill="1" applyBorder="1"/>
    <xf numFmtId="3" fontId="8" fillId="4" borderId="3" xfId="0" applyNumberFormat="1" applyFont="1" applyFill="1" applyBorder="1"/>
    <xf numFmtId="9" fontId="1" fillId="0" borderId="0" xfId="0" applyNumberFormat="1" applyFont="1"/>
    <xf numFmtId="9" fontId="0" fillId="0" borderId="3" xfId="0" applyNumberFormat="1" applyBorder="1"/>
    <xf numFmtId="9" fontId="0" fillId="0" borderId="7"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AMZN Net Income Breakdown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0"/>
          <c:tx>
            <c:v>Revenue</c:v>
          </c:tx>
          <c:spPr>
            <a:ln w="28575" cap="rnd">
              <a:solidFill>
                <a:schemeClr val="accent3"/>
              </a:solidFill>
              <a:round/>
            </a:ln>
            <a:effectLst/>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Statement'!$B$41:$AA$41</c:f>
              <c:numCache>
                <c:formatCode>#,##0.00</c:formatCode>
                <c:ptCount val="26"/>
                <c:pt idx="0">
                  <c:v>16</c:v>
                </c:pt>
                <c:pt idx="1">
                  <c:v>148</c:v>
                </c:pt>
                <c:pt idx="2">
                  <c:v>610</c:v>
                </c:pt>
                <c:pt idx="3">
                  <c:v>1640</c:v>
                </c:pt>
                <c:pt idx="4">
                  <c:v>2762</c:v>
                </c:pt>
                <c:pt idx="5">
                  <c:v>3122</c:v>
                </c:pt>
                <c:pt idx="6">
                  <c:v>3933</c:v>
                </c:pt>
                <c:pt idx="7">
                  <c:v>5264</c:v>
                </c:pt>
                <c:pt idx="8">
                  <c:v>6921</c:v>
                </c:pt>
                <c:pt idx="9">
                  <c:v>8490</c:v>
                </c:pt>
                <c:pt idx="10">
                  <c:v>10711</c:v>
                </c:pt>
                <c:pt idx="11">
                  <c:v>14835</c:v>
                </c:pt>
                <c:pt idx="12">
                  <c:v>19166</c:v>
                </c:pt>
                <c:pt idx="13">
                  <c:v>24509</c:v>
                </c:pt>
                <c:pt idx="14">
                  <c:v>34204</c:v>
                </c:pt>
                <c:pt idx="15">
                  <c:v>48077</c:v>
                </c:pt>
                <c:pt idx="16">
                  <c:v>61093</c:v>
                </c:pt>
                <c:pt idx="17">
                  <c:v>74452</c:v>
                </c:pt>
                <c:pt idx="18">
                  <c:v>88988</c:v>
                </c:pt>
                <c:pt idx="19">
                  <c:v>107006</c:v>
                </c:pt>
                <c:pt idx="20">
                  <c:v>135987</c:v>
                </c:pt>
                <c:pt idx="21">
                  <c:v>177866</c:v>
                </c:pt>
                <c:pt idx="22">
                  <c:v>232887</c:v>
                </c:pt>
                <c:pt idx="23">
                  <c:v>280522</c:v>
                </c:pt>
                <c:pt idx="24">
                  <c:v>386064</c:v>
                </c:pt>
                <c:pt idx="25">
                  <c:v>469822</c:v>
                </c:pt>
              </c:numCache>
            </c:numRef>
          </c:val>
          <c:smooth val="0"/>
          <c:extLst>
            <c:ext xmlns:c16="http://schemas.microsoft.com/office/drawing/2014/chart" uri="{C3380CC4-5D6E-409C-BE32-E72D297353CC}">
              <c16:uniqueId val="{00000003-5351-42AB-B974-2EA716783550}"/>
            </c:ext>
          </c:extLst>
        </c:ser>
        <c:ser>
          <c:idx val="1"/>
          <c:order val="1"/>
          <c:tx>
            <c:v>Gross Profit</c:v>
          </c:tx>
          <c:spPr>
            <a:ln w="28575" cap="rnd">
              <a:solidFill>
                <a:schemeClr val="accent2"/>
              </a:solidFill>
              <a:round/>
            </a:ln>
            <a:effectLst/>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Statement'!$B$42:$AA$42</c:f>
              <c:numCache>
                <c:formatCode>0.00</c:formatCode>
                <c:ptCount val="26"/>
                <c:pt idx="0">
                  <c:v>4</c:v>
                </c:pt>
                <c:pt idx="1">
                  <c:v>34</c:v>
                </c:pt>
                <c:pt idx="2">
                  <c:v>134</c:v>
                </c:pt>
                <c:pt idx="3" formatCode="General">
                  <c:v>291</c:v>
                </c:pt>
                <c:pt idx="4" formatCode="General">
                  <c:v>656</c:v>
                </c:pt>
                <c:pt idx="5">
                  <c:v>799</c:v>
                </c:pt>
                <c:pt idx="6" formatCode="General">
                  <c:v>993</c:v>
                </c:pt>
                <c:pt idx="7" formatCode="#,##0">
                  <c:v>1257</c:v>
                </c:pt>
                <c:pt idx="8" formatCode="#,##0">
                  <c:v>1602</c:v>
                </c:pt>
                <c:pt idx="9" formatCode="#,##0">
                  <c:v>2039</c:v>
                </c:pt>
                <c:pt idx="10" formatCode="#,##0">
                  <c:v>2456</c:v>
                </c:pt>
                <c:pt idx="11" formatCode="#,##0">
                  <c:v>3353</c:v>
                </c:pt>
                <c:pt idx="12" formatCode="#,##0">
                  <c:v>4270</c:v>
                </c:pt>
                <c:pt idx="13" formatCode="#,##0">
                  <c:v>5531</c:v>
                </c:pt>
                <c:pt idx="14" formatCode="#,##0">
                  <c:v>7643</c:v>
                </c:pt>
                <c:pt idx="15" formatCode="#,##0">
                  <c:v>10789</c:v>
                </c:pt>
                <c:pt idx="16" formatCode="#,##0">
                  <c:v>8703</c:v>
                </c:pt>
                <c:pt idx="17" formatCode="#,##0">
                  <c:v>11686</c:v>
                </c:pt>
                <c:pt idx="18" formatCode="#,##0">
                  <c:v>15470</c:v>
                </c:pt>
                <c:pt idx="19" formatCode="#,##0">
                  <c:v>21945</c:v>
                </c:pt>
                <c:pt idx="20" formatCode="#,##0">
                  <c:v>30103</c:v>
                </c:pt>
                <c:pt idx="21" formatCode="#,##0">
                  <c:v>40683</c:v>
                </c:pt>
                <c:pt idx="22" formatCode="#,##0">
                  <c:v>59704</c:v>
                </c:pt>
                <c:pt idx="23" formatCode="#,##0">
                  <c:v>74754</c:v>
                </c:pt>
                <c:pt idx="24" formatCode="#,##0">
                  <c:v>94240</c:v>
                </c:pt>
                <c:pt idx="25" formatCode="#,##0">
                  <c:v>66315</c:v>
                </c:pt>
              </c:numCache>
            </c:numRef>
          </c:val>
          <c:smooth val="0"/>
          <c:extLst>
            <c:ext xmlns:c16="http://schemas.microsoft.com/office/drawing/2014/chart" uri="{C3380CC4-5D6E-409C-BE32-E72D297353CC}">
              <c16:uniqueId val="{00000002-5351-42AB-B974-2EA716783550}"/>
            </c:ext>
          </c:extLst>
        </c:ser>
        <c:ser>
          <c:idx val="0"/>
          <c:order val="2"/>
          <c:tx>
            <c:v>Net Income</c:v>
          </c:tx>
          <c:spPr>
            <a:ln w="28575" cap="rnd">
              <a:solidFill>
                <a:schemeClr val="accent1"/>
              </a:solidFill>
              <a:round/>
            </a:ln>
            <a:effectLst/>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Statement'!$B$44:$AA$44</c:f>
              <c:numCache>
                <c:formatCode>General</c:formatCode>
                <c:ptCount val="26"/>
                <c:pt idx="0" formatCode="0.00">
                  <c:v>-6</c:v>
                </c:pt>
                <c:pt idx="1">
                  <c:v>-28</c:v>
                </c:pt>
                <c:pt idx="2">
                  <c:v>-125</c:v>
                </c:pt>
                <c:pt idx="3">
                  <c:v>-720</c:v>
                </c:pt>
                <c:pt idx="4" formatCode="#,##0">
                  <c:v>-1411</c:v>
                </c:pt>
                <c:pt idx="5">
                  <c:v>-567</c:v>
                </c:pt>
                <c:pt idx="6">
                  <c:v>-149</c:v>
                </c:pt>
                <c:pt idx="7">
                  <c:v>35</c:v>
                </c:pt>
                <c:pt idx="8">
                  <c:v>588</c:v>
                </c:pt>
                <c:pt idx="9">
                  <c:v>359</c:v>
                </c:pt>
                <c:pt idx="10">
                  <c:v>190</c:v>
                </c:pt>
                <c:pt idx="11">
                  <c:v>476</c:v>
                </c:pt>
                <c:pt idx="12">
                  <c:v>645</c:v>
                </c:pt>
                <c:pt idx="13">
                  <c:v>902</c:v>
                </c:pt>
                <c:pt idx="14" formatCode="#,##0">
                  <c:v>1152</c:v>
                </c:pt>
                <c:pt idx="15">
                  <c:v>631</c:v>
                </c:pt>
                <c:pt idx="16">
                  <c:v>-39</c:v>
                </c:pt>
                <c:pt idx="17">
                  <c:v>274</c:v>
                </c:pt>
                <c:pt idx="18">
                  <c:v>-241</c:v>
                </c:pt>
                <c:pt idx="19">
                  <c:v>596</c:v>
                </c:pt>
                <c:pt idx="20" formatCode="#,##0">
                  <c:v>2371</c:v>
                </c:pt>
                <c:pt idx="21" formatCode="#,##0">
                  <c:v>3033</c:v>
                </c:pt>
                <c:pt idx="22" formatCode="#,##0">
                  <c:v>10073</c:v>
                </c:pt>
                <c:pt idx="23" formatCode="#,##0">
                  <c:v>11588</c:v>
                </c:pt>
                <c:pt idx="24" formatCode="#,##0">
                  <c:v>21331</c:v>
                </c:pt>
                <c:pt idx="25" formatCode="#,##0">
                  <c:v>33364</c:v>
                </c:pt>
              </c:numCache>
            </c:numRef>
          </c:val>
          <c:smooth val="0"/>
          <c:extLst>
            <c:ext xmlns:c16="http://schemas.microsoft.com/office/drawing/2014/chart" uri="{C3380CC4-5D6E-409C-BE32-E72D297353CC}">
              <c16:uniqueId val="{00000001-5351-42AB-B974-2EA716783550}"/>
            </c:ext>
          </c:extLst>
        </c:ser>
        <c:dLbls>
          <c:showLegendKey val="0"/>
          <c:showVal val="0"/>
          <c:showCatName val="0"/>
          <c:showSerName val="0"/>
          <c:showPercent val="0"/>
          <c:showBubbleSize val="0"/>
        </c:dLbls>
        <c:smooth val="0"/>
        <c:axId val="1512263647"/>
        <c:axId val="1512270719"/>
      </c:lineChart>
      <c:catAx>
        <c:axId val="1512263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270719"/>
        <c:crosses val="autoZero"/>
        <c:auto val="1"/>
        <c:lblAlgn val="ctr"/>
        <c:lblOffset val="100"/>
        <c:noMultiLvlLbl val="0"/>
      </c:catAx>
      <c:valAx>
        <c:axId val="1512270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a:t>
                </a:r>
                <a:r>
                  <a:rPr lang="en-US" baseline="0"/>
                  <a:t> Dollars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263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18675</xdr:colOff>
      <xdr:row>0</xdr:row>
      <xdr:rowOff>178547</xdr:rowOff>
    </xdr:from>
    <xdr:to>
      <xdr:col>38</xdr:col>
      <xdr:colOff>448234</xdr:colOff>
      <xdr:row>28</xdr:row>
      <xdr:rowOff>22411</xdr:rowOff>
    </xdr:to>
    <xdr:graphicFrame macro="">
      <xdr:nvGraphicFramePr>
        <xdr:cNvPr id="5" name="Chart 4">
          <a:extLst>
            <a:ext uri="{FF2B5EF4-FFF2-40B4-BE49-F238E27FC236}">
              <a16:creationId xmlns:a16="http://schemas.microsoft.com/office/drawing/2014/main" id="{A1CB4147-6CB5-A48A-96A1-7C0BFB7A8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en-US</v>
    <v>a1nhlh</v>
    <v>268435456</v>
    <v>1</v>
    <v>Powered by Refinitiv</v>
    <v>0</v>
    <v>AMAZON.COM, INC. (XNAS:AMZN)</v>
    <v>2</v>
    <v>3</v>
    <v>Finance</v>
    <v>4</v>
    <v>170.83150000000001</v>
    <v>81.430000000000007</v>
    <v>1.2509999999999999</v>
    <v>-1.1499999999999999</v>
    <v>-1.0670000000000001E-4</v>
    <v>-1.2118E-2</v>
    <v>-0.01</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1541000</v>
    <v>Nasdaq Stock Market</v>
    <v>XNAS</v>
    <v>XNAS</v>
    <v>410 Terry Ave N, SEATTLE, WA, 98109 US</v>
    <v>96.545000000000002</v>
    <v>Diversified Retail</v>
    <v>Stock</v>
    <v>44991.949832001563</v>
    <v>0</v>
    <v>93.74</v>
    <v>960680625000</v>
    <v>AMAZON.COM, INC.</v>
    <v>AMAZON.COM, INC.</v>
    <v>95.19</v>
    <v>97.036199999999994</v>
    <v>94.9</v>
    <v>93.75</v>
    <v>93.74</v>
    <v>10247260000</v>
    <v>AMZN</v>
    <v>AMAZON.COM, INC. (XNAS:AMZN)</v>
    <v>51918490</v>
    <v>70113080</v>
    <v>1996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09587-590A-44AE-B431-9CFE3F949AF7}">
  <dimension ref="A1:B10"/>
  <sheetViews>
    <sheetView tabSelected="1" workbookViewId="0">
      <selection activeCell="B5" sqref="B5"/>
    </sheetView>
  </sheetViews>
  <sheetFormatPr defaultRowHeight="14.5" x14ac:dyDescent="0.35"/>
  <cols>
    <col min="2" max="2" width="17.26953125" customWidth="1"/>
  </cols>
  <sheetData>
    <row r="1" spans="1:2" x14ac:dyDescent="0.35">
      <c r="A1" t="e" vm="1">
        <v>#VALUE!</v>
      </c>
    </row>
    <row r="2" spans="1:2" x14ac:dyDescent="0.35">
      <c r="A2" s="1" t="s">
        <v>0</v>
      </c>
      <c r="B2" s="40" cm="1">
        <f t="array" ref="B2">_FV(A1,"Price")</f>
        <v>93.75</v>
      </c>
    </row>
    <row r="3" spans="1:2" x14ac:dyDescent="0.35">
      <c r="A3" s="1" t="s">
        <v>1</v>
      </c>
      <c r="B3" s="7" cm="1">
        <f t="array" ref="B3">_FV(A1,"Shares outstanding",TRUE)/1000000</f>
        <v>10247.26</v>
      </c>
    </row>
    <row r="4" spans="1:2" x14ac:dyDescent="0.35">
      <c r="A4" s="1" t="s">
        <v>2</v>
      </c>
      <c r="B4" s="40">
        <f>B2*B3</f>
        <v>960680.625</v>
      </c>
    </row>
    <row r="5" spans="1:2" x14ac:dyDescent="0.35">
      <c r="A5" s="1" t="s">
        <v>3</v>
      </c>
      <c r="B5" s="7">
        <f>Model!AM81+Model!AM82</f>
        <v>70026</v>
      </c>
    </row>
    <row r="6" spans="1:2" x14ac:dyDescent="0.35">
      <c r="A6" s="1" t="s">
        <v>4</v>
      </c>
      <c r="B6" s="7">
        <f>Model!AM98+Model!AM99</f>
        <v>140118</v>
      </c>
    </row>
    <row r="7" spans="1:2" x14ac:dyDescent="0.35">
      <c r="A7" s="1" t="s">
        <v>5</v>
      </c>
      <c r="B7" s="40">
        <f>B4-B5+B6</f>
        <v>1030772.625</v>
      </c>
    </row>
    <row r="10" spans="1:2" x14ac:dyDescent="0.35">
      <c r="A10" s="2" t="s">
        <v>6</v>
      </c>
      <c r="B10" s="40">
        <f>B7/B3</f>
        <v>100.59007237056539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19A8E-18EC-40EA-958F-F3AC670FB864}">
  <dimension ref="A4:B8"/>
  <sheetViews>
    <sheetView workbookViewId="0">
      <selection activeCell="B8" sqref="B8"/>
    </sheetView>
  </sheetViews>
  <sheetFormatPr defaultRowHeight="14.5" x14ac:dyDescent="0.35"/>
  <cols>
    <col min="1" max="1" width="14.453125" customWidth="1"/>
  </cols>
  <sheetData>
    <row r="4" spans="1:2" x14ac:dyDescent="0.35">
      <c r="A4" t="s">
        <v>7</v>
      </c>
      <c r="B4" t="s">
        <v>8</v>
      </c>
    </row>
    <row r="5" spans="1:2" x14ac:dyDescent="0.35">
      <c r="A5" t="s">
        <v>9</v>
      </c>
      <c r="B5" t="s">
        <v>10</v>
      </c>
    </row>
    <row r="6" spans="1:2" x14ac:dyDescent="0.35">
      <c r="A6" t="s">
        <v>11</v>
      </c>
      <c r="B6" t="s">
        <v>12</v>
      </c>
    </row>
    <row r="7" spans="1:2" x14ac:dyDescent="0.35">
      <c r="A7" t="s">
        <v>13</v>
      </c>
      <c r="B7" t="s">
        <v>14</v>
      </c>
    </row>
    <row r="8" spans="1:2" x14ac:dyDescent="0.35">
      <c r="A8" t="s">
        <v>15</v>
      </c>
      <c r="B8"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D3CBD-49F3-4434-AB4E-55F0E0ED2B0A}">
  <dimension ref="A2:AM116"/>
  <sheetViews>
    <sheetView zoomScale="70" zoomScaleNormal="70" workbookViewId="0">
      <pane xSplit="2" ySplit="3" topLeftCell="AE25" activePane="bottomRight" state="frozen"/>
      <selection pane="topRight" activeCell="C1" sqref="C1"/>
      <selection pane="bottomLeft" activeCell="A4" sqref="A4"/>
      <selection pane="bottomRight" activeCell="AE31" sqref="AE31"/>
    </sheetView>
  </sheetViews>
  <sheetFormatPr defaultRowHeight="14.5" x14ac:dyDescent="0.35"/>
  <cols>
    <col min="2" max="2" width="27.26953125" style="5" customWidth="1"/>
    <col min="3" max="6" width="10.54296875" customWidth="1"/>
    <col min="7" max="7" width="10.54296875" style="33" customWidth="1"/>
    <col min="8" max="10" width="10.54296875" customWidth="1"/>
    <col min="11" max="11" width="10.54296875" style="33" customWidth="1"/>
    <col min="12" max="14" width="10.54296875" customWidth="1"/>
    <col min="15" max="15" width="10.54296875" style="33" customWidth="1"/>
    <col min="16" max="18" width="10.54296875" customWidth="1"/>
    <col min="19" max="19" width="10.54296875" style="33" customWidth="1"/>
    <col min="20" max="22" width="10.54296875" customWidth="1"/>
    <col min="23" max="23" width="10.54296875" style="33" customWidth="1"/>
    <col min="24" max="26" width="10.54296875" customWidth="1"/>
    <col min="27" max="27" width="10.54296875" style="33" customWidth="1"/>
    <col min="28" max="32" width="10.54296875" customWidth="1"/>
    <col min="33" max="36" width="10.1796875" customWidth="1"/>
  </cols>
  <sheetData>
    <row r="2" spans="2:39" s="54" customFormat="1" x14ac:dyDescent="0.35">
      <c r="B2" s="50" t="s">
        <v>17</v>
      </c>
      <c r="C2" s="51">
        <v>42489</v>
      </c>
      <c r="D2" s="51">
        <v>42580</v>
      </c>
      <c r="E2" s="51">
        <v>42671</v>
      </c>
      <c r="F2" s="51">
        <v>42776</v>
      </c>
      <c r="G2" s="52">
        <v>42853</v>
      </c>
      <c r="H2" s="51">
        <v>42944</v>
      </c>
      <c r="I2" s="51">
        <v>43035</v>
      </c>
      <c r="J2" s="51">
        <v>43133</v>
      </c>
      <c r="K2" s="52">
        <v>43217</v>
      </c>
      <c r="L2" s="51">
        <v>43308</v>
      </c>
      <c r="M2" s="51">
        <v>43399</v>
      </c>
      <c r="N2" s="51">
        <v>43497</v>
      </c>
      <c r="O2" s="52">
        <v>43581</v>
      </c>
      <c r="P2" s="51">
        <v>43672</v>
      </c>
      <c r="Q2" s="51">
        <v>43763</v>
      </c>
      <c r="R2" s="53" t="s">
        <v>18</v>
      </c>
      <c r="S2" s="52">
        <v>43952</v>
      </c>
      <c r="T2" s="51">
        <v>44043</v>
      </c>
      <c r="U2" s="51">
        <v>44134</v>
      </c>
      <c r="V2" s="51">
        <v>44230</v>
      </c>
      <c r="W2" s="52">
        <v>44316</v>
      </c>
      <c r="X2" s="51">
        <v>44407</v>
      </c>
      <c r="Y2" s="51">
        <v>44498</v>
      </c>
      <c r="Z2" s="51">
        <v>44596</v>
      </c>
      <c r="AA2" s="52">
        <v>44680</v>
      </c>
      <c r="AB2" s="51">
        <v>44771</v>
      </c>
      <c r="AC2" s="51">
        <v>44862</v>
      </c>
      <c r="AD2" s="53"/>
      <c r="AE2" s="53"/>
      <c r="AF2" s="53"/>
      <c r="AG2" s="53"/>
      <c r="AH2" s="53"/>
      <c r="AI2" s="53"/>
      <c r="AJ2" s="53"/>
      <c r="AK2" s="53"/>
      <c r="AL2" s="53"/>
    </row>
    <row r="3" spans="2:39" s="59" customFormat="1" ht="15" thickBot="1" x14ac:dyDescent="0.4">
      <c r="B3" s="55" t="s">
        <v>19</v>
      </c>
      <c r="C3" s="56">
        <v>42460</v>
      </c>
      <c r="D3" s="56">
        <v>42551</v>
      </c>
      <c r="E3" s="56">
        <v>42643</v>
      </c>
      <c r="F3" s="56">
        <v>42735</v>
      </c>
      <c r="G3" s="57">
        <v>42825</v>
      </c>
      <c r="H3" s="56">
        <v>42916</v>
      </c>
      <c r="I3" s="56">
        <v>43008</v>
      </c>
      <c r="J3" s="56">
        <v>43100</v>
      </c>
      <c r="K3" s="57">
        <v>43190</v>
      </c>
      <c r="L3" s="56">
        <v>43281</v>
      </c>
      <c r="M3" s="56">
        <v>43373</v>
      </c>
      <c r="N3" s="56">
        <v>43465</v>
      </c>
      <c r="O3" s="57">
        <v>43555</v>
      </c>
      <c r="P3" s="56">
        <v>43646</v>
      </c>
      <c r="Q3" s="56">
        <v>43738</v>
      </c>
      <c r="R3" s="56">
        <v>43830</v>
      </c>
      <c r="S3" s="57">
        <v>43921</v>
      </c>
      <c r="T3" s="56">
        <v>44012</v>
      </c>
      <c r="U3" s="56">
        <v>44104</v>
      </c>
      <c r="V3" s="56">
        <v>44196</v>
      </c>
      <c r="W3" s="57">
        <v>44286</v>
      </c>
      <c r="X3" s="56">
        <v>44377</v>
      </c>
      <c r="Y3" s="56">
        <v>44469</v>
      </c>
      <c r="Z3" s="56">
        <v>44561</v>
      </c>
      <c r="AA3" s="57">
        <v>44651</v>
      </c>
      <c r="AB3" s="56">
        <v>44742</v>
      </c>
      <c r="AC3" s="56">
        <v>44834</v>
      </c>
      <c r="AD3" s="56">
        <v>44926</v>
      </c>
      <c r="AE3" s="58"/>
      <c r="AF3" s="58">
        <v>2015</v>
      </c>
      <c r="AG3" s="58">
        <v>2016</v>
      </c>
      <c r="AH3" s="58">
        <v>2017</v>
      </c>
      <c r="AI3" s="58">
        <v>2018</v>
      </c>
      <c r="AJ3" s="58">
        <v>2019</v>
      </c>
      <c r="AK3" s="58">
        <v>2020</v>
      </c>
      <c r="AL3" s="58">
        <v>2021</v>
      </c>
      <c r="AM3" s="59">
        <v>2022</v>
      </c>
    </row>
    <row r="4" spans="2:39" s="60" customFormat="1" x14ac:dyDescent="0.35">
      <c r="B4" s="26" t="s">
        <v>20</v>
      </c>
      <c r="C4" s="64"/>
      <c r="D4" s="64"/>
      <c r="E4" s="65"/>
      <c r="F4" s="65"/>
      <c r="G4" s="62"/>
      <c r="H4" s="65"/>
      <c r="I4" s="65"/>
      <c r="J4" s="65"/>
      <c r="K4" s="66"/>
      <c r="L4" s="65"/>
      <c r="M4" s="65"/>
      <c r="N4" s="65"/>
      <c r="O4" s="66"/>
      <c r="P4" s="65"/>
      <c r="Q4" s="65"/>
      <c r="R4" s="65"/>
      <c r="S4" s="66"/>
      <c r="T4" s="65"/>
      <c r="U4" s="65"/>
      <c r="V4" s="65"/>
      <c r="W4" s="66"/>
      <c r="X4" s="65"/>
      <c r="Y4" s="65"/>
      <c r="Z4" s="65"/>
      <c r="AA4" s="66"/>
      <c r="AB4" s="65"/>
      <c r="AC4" s="65"/>
      <c r="AD4" s="65"/>
      <c r="AE4" s="65"/>
      <c r="AF4" s="65"/>
      <c r="AG4" s="65"/>
      <c r="AH4" s="65"/>
      <c r="AI4" s="65"/>
      <c r="AJ4" s="65"/>
      <c r="AK4" s="65"/>
      <c r="AL4" s="65"/>
    </row>
    <row r="5" spans="2:39" s="48" customFormat="1" x14ac:dyDescent="0.35">
      <c r="B5" s="68" t="s">
        <v>21</v>
      </c>
      <c r="G5" s="49"/>
      <c r="K5" s="49"/>
      <c r="O5" s="49"/>
      <c r="S5" s="49"/>
      <c r="W5" s="49"/>
      <c r="AA5" s="49"/>
    </row>
    <row r="6" spans="2:39" s="7" customFormat="1" x14ac:dyDescent="0.35">
      <c r="B6" s="7" t="s">
        <v>22</v>
      </c>
      <c r="C6" s="7">
        <v>16996</v>
      </c>
      <c r="D6" s="7">
        <v>17674</v>
      </c>
      <c r="E6" s="7">
        <v>18874</v>
      </c>
      <c r="F6" s="7">
        <f>79785-C6-D6-E6</f>
        <v>26241</v>
      </c>
      <c r="G6" s="27">
        <v>20992</v>
      </c>
      <c r="H6" s="7">
        <v>22370</v>
      </c>
      <c r="I6" s="7">
        <v>25446</v>
      </c>
      <c r="J6" s="7">
        <f>106110-G6-H6-I6</f>
        <v>37302</v>
      </c>
      <c r="K6" s="27">
        <v>30725</v>
      </c>
      <c r="L6" s="7">
        <v>32169</v>
      </c>
      <c r="M6" s="7">
        <v>34348</v>
      </c>
      <c r="N6" s="7">
        <f>141366-K6-L6-M6</f>
        <v>44124</v>
      </c>
      <c r="O6" s="27">
        <v>35812</v>
      </c>
      <c r="P6" s="7">
        <v>38653</v>
      </c>
      <c r="Q6" s="7">
        <v>42638</v>
      </c>
      <c r="R6" s="7">
        <f>170773-O6-P6-Q6</f>
        <v>53670</v>
      </c>
      <c r="S6" s="27">
        <v>46127</v>
      </c>
      <c r="T6" s="7">
        <v>55436</v>
      </c>
      <c r="U6" s="7">
        <v>59373</v>
      </c>
      <c r="V6" s="7">
        <f>236282-S6-T6-U6</f>
        <v>75346</v>
      </c>
      <c r="W6" s="27">
        <v>64366</v>
      </c>
      <c r="X6" s="7">
        <v>67550</v>
      </c>
      <c r="Y6" s="7">
        <v>65557</v>
      </c>
      <c r="Z6" s="7">
        <f>279833-W6-X6-Y6</f>
        <v>82360</v>
      </c>
      <c r="AA6" s="27">
        <v>69244</v>
      </c>
      <c r="AB6" s="7">
        <v>74430</v>
      </c>
      <c r="AC6" s="7">
        <v>78843</v>
      </c>
      <c r="AI6" s="7">
        <v>141366</v>
      </c>
      <c r="AJ6" s="7">
        <v>170773</v>
      </c>
      <c r="AK6" s="7">
        <v>236282</v>
      </c>
      <c r="AL6" s="7">
        <v>279833</v>
      </c>
      <c r="AM6" s="7">
        <v>315880</v>
      </c>
    </row>
    <row r="7" spans="2:39" s="13" customFormat="1" x14ac:dyDescent="0.35">
      <c r="B7" s="13" t="s">
        <v>23</v>
      </c>
      <c r="C7" s="13">
        <v>16408</v>
      </c>
      <c r="D7" s="13">
        <v>16972</v>
      </c>
      <c r="E7" s="13">
        <v>18619</v>
      </c>
      <c r="F7" s="13">
        <f>F6-F8</f>
        <v>25425</v>
      </c>
      <c r="G7" s="28">
        <v>20396</v>
      </c>
      <c r="H7" s="13">
        <v>21934</v>
      </c>
      <c r="I7" s="13">
        <v>25334</v>
      </c>
      <c r="J7" s="13">
        <f>J6-J8</f>
        <v>35609</v>
      </c>
      <c r="K7" s="28">
        <v>29576</v>
      </c>
      <c r="L7" s="13">
        <v>30334</v>
      </c>
      <c r="M7" s="13">
        <v>32316</v>
      </c>
      <c r="N7" s="13">
        <f>141366-M7-L7-K7</f>
        <v>49140</v>
      </c>
      <c r="O7" s="28">
        <v>33525</v>
      </c>
      <c r="P7" s="13">
        <v>37089</v>
      </c>
      <c r="Q7" s="13">
        <v>41356</v>
      </c>
      <c r="R7" s="13">
        <f>R6-R8</f>
        <v>51770</v>
      </c>
      <c r="S7" s="28">
        <v>44815</v>
      </c>
      <c r="T7" s="13">
        <v>53295</v>
      </c>
      <c r="U7" s="13">
        <v>57121</v>
      </c>
      <c r="V7" s="13">
        <f>V6-V8</f>
        <v>72400</v>
      </c>
      <c r="W7" s="28">
        <v>60916</v>
      </c>
      <c r="X7" s="13">
        <v>64403</v>
      </c>
      <c r="Y7" s="13">
        <v>64677</v>
      </c>
      <c r="Z7" s="13">
        <f>Z6-Z8</f>
        <v>81186</v>
      </c>
      <c r="AA7" s="28">
        <v>70812</v>
      </c>
      <c r="AB7" s="13">
        <v>75057</v>
      </c>
      <c r="AC7" s="13">
        <v>79255</v>
      </c>
      <c r="AI7" s="13">
        <v>134099</v>
      </c>
      <c r="AJ7" s="13">
        <v>163740</v>
      </c>
      <c r="AK7" s="13">
        <v>227631</v>
      </c>
      <c r="AL7" s="13">
        <v>272562</v>
      </c>
      <c r="AM7" s="13">
        <v>318727</v>
      </c>
    </row>
    <row r="8" spans="2:39" s="12" customFormat="1" x14ac:dyDescent="0.35">
      <c r="B8" s="12" t="s">
        <v>24</v>
      </c>
      <c r="C8" s="12">
        <f t="shared" ref="C8:AA8" si="0">C6-C7</f>
        <v>588</v>
      </c>
      <c r="D8" s="12">
        <f t="shared" si="0"/>
        <v>702</v>
      </c>
      <c r="E8" s="12">
        <f t="shared" si="0"/>
        <v>255</v>
      </c>
      <c r="F8" s="12">
        <f>2361-E8-D8-C8</f>
        <v>816</v>
      </c>
      <c r="G8" s="30">
        <f t="shared" si="0"/>
        <v>596</v>
      </c>
      <c r="H8" s="12">
        <f t="shared" si="0"/>
        <v>436</v>
      </c>
      <c r="I8" s="12">
        <f t="shared" si="0"/>
        <v>112</v>
      </c>
      <c r="J8" s="12">
        <f>2837-I8-H8-G8</f>
        <v>1693</v>
      </c>
      <c r="K8" s="30">
        <f t="shared" si="0"/>
        <v>1149</v>
      </c>
      <c r="L8" s="12">
        <f t="shared" si="0"/>
        <v>1835</v>
      </c>
      <c r="M8" s="12">
        <f t="shared" si="0"/>
        <v>2032</v>
      </c>
      <c r="N8" s="12">
        <f>7267-M8-L8-K8</f>
        <v>2251</v>
      </c>
      <c r="O8" s="30">
        <f t="shared" si="0"/>
        <v>2287</v>
      </c>
      <c r="P8" s="12">
        <f t="shared" si="0"/>
        <v>1564</v>
      </c>
      <c r="Q8" s="12">
        <f t="shared" si="0"/>
        <v>1282</v>
      </c>
      <c r="R8" s="12">
        <f>7033-Q8-P8-O8</f>
        <v>1900</v>
      </c>
      <c r="S8" s="30">
        <f t="shared" si="0"/>
        <v>1312</v>
      </c>
      <c r="T8" s="12">
        <f t="shared" si="0"/>
        <v>2141</v>
      </c>
      <c r="U8" s="12">
        <f t="shared" si="0"/>
        <v>2252</v>
      </c>
      <c r="V8" s="12">
        <f>8651-U8-T8-S8</f>
        <v>2946</v>
      </c>
      <c r="W8" s="30">
        <f t="shared" si="0"/>
        <v>3450</v>
      </c>
      <c r="X8" s="12">
        <f t="shared" si="0"/>
        <v>3147</v>
      </c>
      <c r="Y8" s="12">
        <f t="shared" si="0"/>
        <v>880</v>
      </c>
      <c r="Z8" s="12">
        <f>8651-Y8-X8-W8</f>
        <v>1174</v>
      </c>
      <c r="AA8" s="30">
        <f t="shared" si="0"/>
        <v>-1568</v>
      </c>
      <c r="AB8" s="12">
        <f>AB6-AB7</f>
        <v>-627</v>
      </c>
      <c r="AC8" s="12">
        <f>AC6-AC7</f>
        <v>-412</v>
      </c>
      <c r="AF8" s="12">
        <f>AF6-AF7</f>
        <v>0</v>
      </c>
      <c r="AG8" s="12">
        <f t="shared" ref="AG8:AL8" si="1">AG6-AG7</f>
        <v>0</v>
      </c>
      <c r="AH8" s="12">
        <f t="shared" si="1"/>
        <v>0</v>
      </c>
      <c r="AI8" s="12">
        <f t="shared" si="1"/>
        <v>7267</v>
      </c>
      <c r="AJ8" s="12">
        <f t="shared" si="1"/>
        <v>7033</v>
      </c>
      <c r="AK8" s="12">
        <f t="shared" si="1"/>
        <v>8651</v>
      </c>
      <c r="AL8" s="12">
        <f t="shared" si="1"/>
        <v>7271</v>
      </c>
      <c r="AM8" s="12">
        <v>-2847</v>
      </c>
    </row>
    <row r="9" spans="2:39" s="7" customFormat="1" x14ac:dyDescent="0.35">
      <c r="B9" s="7" t="s">
        <v>25</v>
      </c>
      <c r="C9" s="18">
        <f t="shared" ref="C9:Z9" si="2">C8/C6</f>
        <v>3.459637561779242E-2</v>
      </c>
      <c r="D9" s="18">
        <f t="shared" si="2"/>
        <v>3.9719361774357816E-2</v>
      </c>
      <c r="E9" s="18">
        <f t="shared" si="2"/>
        <v>1.3510649570838191E-2</v>
      </c>
      <c r="F9" s="18">
        <f t="shared" si="2"/>
        <v>3.1096375900308677E-2</v>
      </c>
      <c r="G9" s="29">
        <f t="shared" si="2"/>
        <v>2.8391768292682928E-2</v>
      </c>
      <c r="H9" s="18">
        <f t="shared" si="2"/>
        <v>1.9490388913723736E-2</v>
      </c>
      <c r="I9" s="18">
        <f t="shared" si="2"/>
        <v>4.4014776389216378E-3</v>
      </c>
      <c r="J9" s="18">
        <f t="shared" si="2"/>
        <v>4.5386306364270011E-2</v>
      </c>
      <c r="K9" s="29">
        <f t="shared" si="2"/>
        <v>3.7396257119609436E-2</v>
      </c>
      <c r="L9" s="18">
        <f t="shared" si="2"/>
        <v>5.7042494326836397E-2</v>
      </c>
      <c r="M9" s="18">
        <f t="shared" si="2"/>
        <v>5.9159194130662632E-2</v>
      </c>
      <c r="N9" s="18">
        <f t="shared" si="2"/>
        <v>5.1015320460520354E-2</v>
      </c>
      <c r="O9" s="29">
        <f t="shared" si="2"/>
        <v>6.3861275550094937E-2</v>
      </c>
      <c r="P9" s="18">
        <f t="shared" si="2"/>
        <v>4.0462577290249137E-2</v>
      </c>
      <c r="Q9" s="18">
        <f t="shared" si="2"/>
        <v>3.0067076316900417E-2</v>
      </c>
      <c r="R9" s="18">
        <f t="shared" si="2"/>
        <v>3.5401527855412708E-2</v>
      </c>
      <c r="S9" s="29">
        <f t="shared" si="2"/>
        <v>2.8443211134476554E-2</v>
      </c>
      <c r="T9" s="18">
        <f t="shared" si="2"/>
        <v>3.8621112634389207E-2</v>
      </c>
      <c r="U9" s="18">
        <f t="shared" si="2"/>
        <v>3.7929698684587274E-2</v>
      </c>
      <c r="V9" s="18">
        <f t="shared" si="2"/>
        <v>3.9099620417805854E-2</v>
      </c>
      <c r="W9" s="29">
        <f t="shared" si="2"/>
        <v>5.3599726563713763E-2</v>
      </c>
      <c r="X9" s="18">
        <f t="shared" si="2"/>
        <v>4.6587712805329383E-2</v>
      </c>
      <c r="Y9" s="18">
        <f t="shared" si="2"/>
        <v>1.3423433043000747E-2</v>
      </c>
      <c r="Z9" s="18">
        <f t="shared" si="2"/>
        <v>1.4254492472073822E-2</v>
      </c>
      <c r="AA9" s="29">
        <f>AA8/AA6</f>
        <v>-2.2644561261625555E-2</v>
      </c>
      <c r="AB9" s="18">
        <f>AB8/AB6</f>
        <v>-8.4240225715437322E-3</v>
      </c>
      <c r="AC9" s="18">
        <f>AC8/AC6</f>
        <v>-5.2255748766536023E-3</v>
      </c>
      <c r="AF9" s="18" t="e">
        <f>AF8/AF6</f>
        <v>#DIV/0!</v>
      </c>
      <c r="AG9" s="18" t="e">
        <f t="shared" ref="AG9:AM9" si="3">AG8/AG6</f>
        <v>#DIV/0!</v>
      </c>
      <c r="AH9" s="18" t="e">
        <f t="shared" si="3"/>
        <v>#DIV/0!</v>
      </c>
      <c r="AI9" s="18">
        <f t="shared" si="3"/>
        <v>5.1405571353790869E-2</v>
      </c>
      <c r="AJ9" s="18">
        <f t="shared" si="3"/>
        <v>4.1183325232911523E-2</v>
      </c>
      <c r="AK9" s="18">
        <f t="shared" si="3"/>
        <v>3.6613030192735797E-2</v>
      </c>
      <c r="AL9" s="18">
        <f t="shared" si="3"/>
        <v>2.5983354357777676E-2</v>
      </c>
      <c r="AM9" s="18">
        <f t="shared" si="3"/>
        <v>-9.0129162973280989E-3</v>
      </c>
    </row>
    <row r="10" spans="2:39" s="45" customFormat="1" x14ac:dyDescent="0.35">
      <c r="B10" s="69" t="s">
        <v>26</v>
      </c>
      <c r="G10" s="46"/>
      <c r="K10" s="46"/>
      <c r="O10" s="46"/>
      <c r="P10" s="45">
        <f>SUM(O13:R13)</f>
        <v>-1693</v>
      </c>
      <c r="S10" s="46"/>
      <c r="W10" s="46"/>
      <c r="AA10" s="46"/>
    </row>
    <row r="11" spans="2:39" s="7" customFormat="1" x14ac:dyDescent="0.35">
      <c r="B11" s="7" t="s">
        <v>22</v>
      </c>
      <c r="C11" s="7">
        <v>9566</v>
      </c>
      <c r="D11" s="7">
        <v>9844</v>
      </c>
      <c r="E11" s="7">
        <v>10609</v>
      </c>
      <c r="F11" s="7">
        <f>43983-C11-D11-E11</f>
        <v>13964</v>
      </c>
      <c r="G11" s="27">
        <v>11061</v>
      </c>
      <c r="H11" s="7">
        <v>11485</v>
      </c>
      <c r="I11" s="7">
        <v>13714</v>
      </c>
      <c r="J11" s="7">
        <f>54297-G11-H11-I11</f>
        <v>18037</v>
      </c>
      <c r="K11" s="27">
        <v>14875</v>
      </c>
      <c r="L11" s="7">
        <v>14612</v>
      </c>
      <c r="M11" s="7">
        <v>15549</v>
      </c>
      <c r="N11" s="7">
        <f>65866-K11-L11-M11</f>
        <v>20830</v>
      </c>
      <c r="O11" s="27">
        <v>16192</v>
      </c>
      <c r="P11" s="7">
        <v>16370</v>
      </c>
      <c r="Q11" s="7">
        <v>18348</v>
      </c>
      <c r="R11" s="7">
        <f>74723-O11-P11-Q11</f>
        <v>23813</v>
      </c>
      <c r="S11" s="27">
        <v>19106</v>
      </c>
      <c r="T11" s="7">
        <v>22668</v>
      </c>
      <c r="U11" s="7">
        <v>25171</v>
      </c>
      <c r="V11" s="7">
        <f>104412-S11-T11-U11</f>
        <v>37467</v>
      </c>
      <c r="W11" s="27">
        <v>30649</v>
      </c>
      <c r="X11" s="7">
        <v>30721</v>
      </c>
      <c r="Y11" s="7">
        <v>29145</v>
      </c>
      <c r="Z11" s="7">
        <f>127787-W11-X11-Y11</f>
        <v>37272</v>
      </c>
      <c r="AA11" s="27">
        <v>28759</v>
      </c>
      <c r="AB11" s="7">
        <v>27065</v>
      </c>
      <c r="AC11" s="7">
        <v>27720</v>
      </c>
      <c r="AE11" s="7">
        <f>AC13+AC8</f>
        <v>-2878</v>
      </c>
      <c r="AI11" s="7">
        <v>65866</v>
      </c>
      <c r="AJ11" s="7">
        <v>74723</v>
      </c>
      <c r="AK11" s="7">
        <v>104412</v>
      </c>
      <c r="AL11" s="7">
        <v>127787</v>
      </c>
      <c r="AM11" s="7">
        <v>118007</v>
      </c>
    </row>
    <row r="12" spans="2:39" s="13" customFormat="1" x14ac:dyDescent="0.35">
      <c r="B12" s="13" t="s">
        <v>23</v>
      </c>
      <c r="C12" s="13">
        <v>9687</v>
      </c>
      <c r="D12" s="13">
        <v>9979</v>
      </c>
      <c r="E12" s="13">
        <v>11150</v>
      </c>
      <c r="F12" s="13">
        <f>F11-F13</f>
        <v>14450</v>
      </c>
      <c r="G12" s="28">
        <v>11542</v>
      </c>
      <c r="H12" s="13">
        <v>12209</v>
      </c>
      <c r="I12" s="13">
        <v>14650</v>
      </c>
      <c r="J12" s="13">
        <f>J11-J13</f>
        <v>18958</v>
      </c>
      <c r="K12" s="28">
        <v>15497</v>
      </c>
      <c r="L12" s="13">
        <v>15106</v>
      </c>
      <c r="M12" s="13">
        <v>15934</v>
      </c>
      <c r="N12" s="13">
        <f>65866-M12-L12-K12</f>
        <v>19329</v>
      </c>
      <c r="O12" s="28">
        <v>16282</v>
      </c>
      <c r="P12" s="13">
        <v>16971</v>
      </c>
      <c r="Q12" s="13">
        <v>18734</v>
      </c>
      <c r="R12" s="13">
        <f>R11-R13</f>
        <v>24429</v>
      </c>
      <c r="S12" s="28">
        <v>19504</v>
      </c>
      <c r="T12" s="13">
        <v>22323</v>
      </c>
      <c r="U12" s="13">
        <v>24764</v>
      </c>
      <c r="V12" s="13">
        <f>V11-V13</f>
        <v>37104</v>
      </c>
      <c r="W12" s="28">
        <v>29397</v>
      </c>
      <c r="X12" s="13">
        <v>30359</v>
      </c>
      <c r="Y12" s="13">
        <v>30056</v>
      </c>
      <c r="Z12" s="13">
        <f>Z11-Z13</f>
        <v>38899</v>
      </c>
      <c r="AA12" s="28">
        <v>30040</v>
      </c>
      <c r="AB12" s="13">
        <v>28836</v>
      </c>
      <c r="AC12" s="13">
        <v>30186</v>
      </c>
      <c r="AI12" s="13">
        <v>68008</v>
      </c>
      <c r="AJ12" s="13">
        <v>76416</v>
      </c>
      <c r="AK12" s="13">
        <v>103695</v>
      </c>
      <c r="AL12" s="13">
        <v>128711</v>
      </c>
      <c r="AM12" s="13">
        <v>125753</v>
      </c>
    </row>
    <row r="13" spans="2:39" s="12" customFormat="1" x14ac:dyDescent="0.35">
      <c r="B13" s="12" t="s">
        <v>24</v>
      </c>
      <c r="C13" s="12">
        <f t="shared" ref="C13:AA13" si="4">C11-C12</f>
        <v>-121</v>
      </c>
      <c r="D13" s="12">
        <f t="shared" si="4"/>
        <v>-135</v>
      </c>
      <c r="E13" s="12">
        <f t="shared" si="4"/>
        <v>-541</v>
      </c>
      <c r="F13" s="12">
        <f>-1283-E13-D13-C13</f>
        <v>-486</v>
      </c>
      <c r="G13" s="30">
        <f t="shared" si="4"/>
        <v>-481</v>
      </c>
      <c r="H13" s="12">
        <f t="shared" si="4"/>
        <v>-724</v>
      </c>
      <c r="I13" s="12">
        <f t="shared" si="4"/>
        <v>-936</v>
      </c>
      <c r="J13" s="12">
        <f>-3062-I13-H13-G13</f>
        <v>-921</v>
      </c>
      <c r="K13" s="30">
        <f t="shared" si="4"/>
        <v>-622</v>
      </c>
      <c r="L13" s="12">
        <f t="shared" si="4"/>
        <v>-494</v>
      </c>
      <c r="M13" s="12">
        <f t="shared" si="4"/>
        <v>-385</v>
      </c>
      <c r="N13" s="12">
        <f>-2142-M13-L13-K13</f>
        <v>-641</v>
      </c>
      <c r="O13" s="30">
        <f t="shared" si="4"/>
        <v>-90</v>
      </c>
      <c r="P13" s="12">
        <f t="shared" si="4"/>
        <v>-601</v>
      </c>
      <c r="Q13" s="12">
        <f t="shared" si="4"/>
        <v>-386</v>
      </c>
      <c r="R13" s="12">
        <f>-1693-Q13-P13-O13</f>
        <v>-616</v>
      </c>
      <c r="S13" s="30">
        <f t="shared" si="4"/>
        <v>-398</v>
      </c>
      <c r="T13" s="12">
        <f t="shared" si="4"/>
        <v>345</v>
      </c>
      <c r="U13" s="12">
        <f t="shared" si="4"/>
        <v>407</v>
      </c>
      <c r="V13" s="12">
        <f>717-U13-T13-S13</f>
        <v>363</v>
      </c>
      <c r="W13" s="30">
        <f t="shared" si="4"/>
        <v>1252</v>
      </c>
      <c r="X13" s="12">
        <f t="shared" si="4"/>
        <v>362</v>
      </c>
      <c r="Y13" s="12">
        <f t="shared" si="4"/>
        <v>-911</v>
      </c>
      <c r="Z13" s="12">
        <f>-924-Y13-X13-W13</f>
        <v>-1627</v>
      </c>
      <c r="AA13" s="30">
        <f t="shared" si="4"/>
        <v>-1281</v>
      </c>
      <c r="AB13" s="12">
        <f>AB11-AB12</f>
        <v>-1771</v>
      </c>
      <c r="AC13" s="12">
        <f>AC11-AC12</f>
        <v>-2466</v>
      </c>
      <c r="AF13" s="12">
        <f>AF11-AF12</f>
        <v>0</v>
      </c>
      <c r="AG13" s="12">
        <f t="shared" ref="AG13:AL13" si="5">AG11-AG12</f>
        <v>0</v>
      </c>
      <c r="AH13" s="12">
        <f t="shared" si="5"/>
        <v>0</v>
      </c>
      <c r="AI13" s="12">
        <f t="shared" si="5"/>
        <v>-2142</v>
      </c>
      <c r="AJ13" s="12">
        <f>AJ11-AJ12</f>
        <v>-1693</v>
      </c>
      <c r="AK13" s="12">
        <f t="shared" si="5"/>
        <v>717</v>
      </c>
      <c r="AL13" s="12">
        <f t="shared" si="5"/>
        <v>-924</v>
      </c>
      <c r="AM13" s="12">
        <v>-7746</v>
      </c>
    </row>
    <row r="14" spans="2:39" s="7" customFormat="1" x14ac:dyDescent="0.35">
      <c r="B14" s="7" t="s">
        <v>25</v>
      </c>
      <c r="C14" s="18">
        <f>C13/C11</f>
        <v>-1.264896508467489E-2</v>
      </c>
      <c r="D14" s="18">
        <f t="shared" ref="D14:AC14" si="6">D13/D11</f>
        <v>-1.3713937423811459E-2</v>
      </c>
      <c r="E14" s="18">
        <f t="shared" si="6"/>
        <v>-5.0994438684136112E-2</v>
      </c>
      <c r="F14" s="18">
        <f t="shared" si="6"/>
        <v>-3.4803781151532515E-2</v>
      </c>
      <c r="G14" s="29">
        <f t="shared" si="6"/>
        <v>-4.3486122412078471E-2</v>
      </c>
      <c r="H14" s="18">
        <f t="shared" si="6"/>
        <v>-6.3038746190683503E-2</v>
      </c>
      <c r="I14" s="18">
        <f t="shared" si="6"/>
        <v>-6.8251421904623008E-2</v>
      </c>
      <c r="J14" s="18">
        <f t="shared" si="6"/>
        <v>-5.1061706492210458E-2</v>
      </c>
      <c r="K14" s="29">
        <f t="shared" si="6"/>
        <v>-4.1815126050420169E-2</v>
      </c>
      <c r="L14" s="18">
        <f t="shared" si="6"/>
        <v>-3.3807829181494664E-2</v>
      </c>
      <c r="M14" s="18">
        <f t="shared" si="6"/>
        <v>-2.47604347546466E-2</v>
      </c>
      <c r="N14" s="18">
        <f t="shared" si="6"/>
        <v>-3.0772923667786847E-2</v>
      </c>
      <c r="O14" s="29">
        <f t="shared" si="6"/>
        <v>-5.558300395256917E-3</v>
      </c>
      <c r="P14" s="18">
        <f t="shared" si="6"/>
        <v>-3.6713500305436776E-2</v>
      </c>
      <c r="Q14" s="18">
        <f t="shared" si="6"/>
        <v>-2.10377152823196E-2</v>
      </c>
      <c r="R14" s="18">
        <f t="shared" si="6"/>
        <v>-2.5868223239407045E-2</v>
      </c>
      <c r="S14" s="29">
        <f t="shared" si="6"/>
        <v>-2.0831152517533758E-2</v>
      </c>
      <c r="T14" s="18">
        <f t="shared" si="6"/>
        <v>1.5219692959237693E-2</v>
      </c>
      <c r="U14" s="18">
        <f t="shared" si="6"/>
        <v>1.6169401295141234E-2</v>
      </c>
      <c r="V14" s="18">
        <f t="shared" si="6"/>
        <v>9.6885259027944589E-3</v>
      </c>
      <c r="W14" s="29">
        <f t="shared" si="6"/>
        <v>4.084961988971908E-2</v>
      </c>
      <c r="X14" s="18">
        <f t="shared" si="6"/>
        <v>1.178347059015006E-2</v>
      </c>
      <c r="Y14" s="18">
        <f t="shared" si="6"/>
        <v>-3.1257505575570423E-2</v>
      </c>
      <c r="Z14" s="18">
        <f t="shared" si="6"/>
        <v>-4.3652071259927025E-2</v>
      </c>
      <c r="AA14" s="29">
        <f t="shared" si="6"/>
        <v>-4.4542577975590247E-2</v>
      </c>
      <c r="AB14" s="18">
        <f t="shared" si="6"/>
        <v>-6.5435063735451687E-2</v>
      </c>
      <c r="AC14" s="18">
        <f t="shared" si="6"/>
        <v>-8.8961038961038963E-2</v>
      </c>
      <c r="AF14" s="18" t="e">
        <f t="shared" ref="AF14:AM14" si="7">AF13/AF11</f>
        <v>#DIV/0!</v>
      </c>
      <c r="AG14" s="18" t="e">
        <f t="shared" si="7"/>
        <v>#DIV/0!</v>
      </c>
      <c r="AH14" s="18" t="e">
        <f t="shared" si="7"/>
        <v>#DIV/0!</v>
      </c>
      <c r="AI14" s="18">
        <f t="shared" si="7"/>
        <v>-3.2520572070567515E-2</v>
      </c>
      <c r="AJ14" s="18">
        <f t="shared" si="7"/>
        <v>-2.2657013235549965E-2</v>
      </c>
      <c r="AK14" s="18">
        <f t="shared" si="7"/>
        <v>6.8670267785312031E-3</v>
      </c>
      <c r="AL14" s="18">
        <f t="shared" si="7"/>
        <v>-7.2307824739605746E-3</v>
      </c>
      <c r="AM14" s="18">
        <f t="shared" si="7"/>
        <v>-6.5640173887989692E-2</v>
      </c>
    </row>
    <row r="15" spans="2:39" s="45" customFormat="1" x14ac:dyDescent="0.35">
      <c r="B15" s="45" t="s">
        <v>27</v>
      </c>
      <c r="G15" s="46"/>
      <c r="K15" s="46"/>
      <c r="O15" s="46"/>
      <c r="S15" s="46"/>
      <c r="W15" s="46"/>
      <c r="AA15" s="46"/>
    </row>
    <row r="16" spans="2:39" s="7" customFormat="1" x14ac:dyDescent="0.35">
      <c r="B16" s="7" t="s">
        <v>22</v>
      </c>
      <c r="C16" s="7">
        <v>2566</v>
      </c>
      <c r="D16" s="7">
        <v>2886</v>
      </c>
      <c r="E16" s="7">
        <v>3231</v>
      </c>
      <c r="F16" s="7">
        <f>12219-C16-D16-E16</f>
        <v>3536</v>
      </c>
      <c r="G16" s="27">
        <v>3661</v>
      </c>
      <c r="H16" s="7">
        <v>4100</v>
      </c>
      <c r="I16" s="7">
        <v>4584</v>
      </c>
      <c r="J16" s="7">
        <f>17459-G16-H16-I16</f>
        <v>5114</v>
      </c>
      <c r="K16" s="27">
        <v>5442</v>
      </c>
      <c r="L16" s="7">
        <v>6105</v>
      </c>
      <c r="M16" s="7">
        <v>6679</v>
      </c>
      <c r="N16" s="7">
        <f>25655-K16-L16-M16</f>
        <v>7429</v>
      </c>
      <c r="O16" s="27">
        <v>7696</v>
      </c>
      <c r="P16" s="7">
        <v>8381</v>
      </c>
      <c r="Q16" s="7">
        <v>8995</v>
      </c>
      <c r="R16" s="7">
        <f>35026-O16-P16-Q16</f>
        <v>9954</v>
      </c>
      <c r="S16" s="27">
        <v>10219</v>
      </c>
      <c r="T16" s="7">
        <v>10808</v>
      </c>
      <c r="U16" s="7">
        <v>11601</v>
      </c>
      <c r="V16" s="7">
        <f>45370-S16-T16-U16</f>
        <v>12742</v>
      </c>
      <c r="W16" s="27">
        <v>13503</v>
      </c>
      <c r="X16" s="7">
        <v>14809</v>
      </c>
      <c r="Y16" s="7">
        <v>16110</v>
      </c>
      <c r="Z16" s="7">
        <f>62202-W16-X16-Y16</f>
        <v>17780</v>
      </c>
      <c r="AA16" s="27">
        <v>18441</v>
      </c>
      <c r="AB16" s="7">
        <v>19739</v>
      </c>
      <c r="AC16" s="7">
        <v>20538</v>
      </c>
      <c r="AI16" s="7">
        <v>25655</v>
      </c>
      <c r="AJ16" s="7">
        <v>35026</v>
      </c>
      <c r="AK16" s="7">
        <v>45370</v>
      </c>
      <c r="AL16" s="7">
        <v>62202</v>
      </c>
      <c r="AM16" s="7">
        <v>80096</v>
      </c>
    </row>
    <row r="17" spans="2:39" s="13" customFormat="1" x14ac:dyDescent="0.35">
      <c r="B17" s="13" t="s">
        <v>23</v>
      </c>
      <c r="C17" s="13">
        <v>1962</v>
      </c>
      <c r="D17" s="13">
        <v>2168</v>
      </c>
      <c r="E17" s="13">
        <v>2370</v>
      </c>
      <c r="F17" s="13">
        <f>F16-F18</f>
        <v>2611</v>
      </c>
      <c r="G17" s="28">
        <v>2771</v>
      </c>
      <c r="H17" s="13">
        <v>3184</v>
      </c>
      <c r="I17" s="13">
        <v>3413</v>
      </c>
      <c r="J17" s="13">
        <f>J16-J18</f>
        <v>3760</v>
      </c>
      <c r="K17" s="28">
        <v>4042</v>
      </c>
      <c r="L17" s="13">
        <v>4463</v>
      </c>
      <c r="M17" s="13">
        <v>4602</v>
      </c>
      <c r="N17" s="7">
        <f>N16-N18</f>
        <v>5252</v>
      </c>
      <c r="O17" s="28">
        <v>5473</v>
      </c>
      <c r="P17" s="13">
        <v>6260</v>
      </c>
      <c r="Q17" s="13">
        <v>6734</v>
      </c>
      <c r="R17" s="13">
        <f>R16-R18</f>
        <v>7358</v>
      </c>
      <c r="S17" s="28">
        <v>7144</v>
      </c>
      <c r="T17" s="13">
        <v>7451</v>
      </c>
      <c r="U17" s="13">
        <v>8066</v>
      </c>
      <c r="V17" s="13">
        <f>V16-V18</f>
        <v>9178</v>
      </c>
      <c r="W17" s="28">
        <v>9340</v>
      </c>
      <c r="X17" s="13">
        <v>10616</v>
      </c>
      <c r="Y17" s="13">
        <v>11227</v>
      </c>
      <c r="Z17" s="13">
        <f>Z16-Z18</f>
        <v>12487</v>
      </c>
      <c r="AA17" s="28">
        <v>11923</v>
      </c>
      <c r="AB17" s="13">
        <v>14024</v>
      </c>
      <c r="AC17" s="13">
        <v>15135</v>
      </c>
      <c r="AI17" s="13">
        <v>18359</v>
      </c>
      <c r="AJ17" s="13">
        <v>25825</v>
      </c>
      <c r="AK17" s="13">
        <v>31839</v>
      </c>
      <c r="AL17" s="13">
        <v>43670</v>
      </c>
      <c r="AM17" s="13">
        <v>57255</v>
      </c>
    </row>
    <row r="18" spans="2:39" s="12" customFormat="1" x14ac:dyDescent="0.35">
      <c r="B18" s="12" t="s">
        <v>24</v>
      </c>
      <c r="C18" s="12">
        <f t="shared" ref="C18:AA18" si="8">C16-C17</f>
        <v>604</v>
      </c>
      <c r="D18" s="12">
        <f t="shared" si="8"/>
        <v>718</v>
      </c>
      <c r="E18" s="12">
        <f t="shared" si="8"/>
        <v>861</v>
      </c>
      <c r="F18" s="12">
        <f>3108-E18-D18-C18</f>
        <v>925</v>
      </c>
      <c r="G18" s="30">
        <f t="shared" si="8"/>
        <v>890</v>
      </c>
      <c r="H18" s="12">
        <f t="shared" si="8"/>
        <v>916</v>
      </c>
      <c r="I18" s="12">
        <f t="shared" si="8"/>
        <v>1171</v>
      </c>
      <c r="J18" s="12">
        <f>4331-I18-H18-G18</f>
        <v>1354</v>
      </c>
      <c r="K18" s="30">
        <f>K16-K17</f>
        <v>1400</v>
      </c>
      <c r="L18" s="12">
        <f t="shared" si="8"/>
        <v>1642</v>
      </c>
      <c r="M18" s="12">
        <f t="shared" si="8"/>
        <v>2077</v>
      </c>
      <c r="N18" s="12">
        <f>7296-M18-L18-K18</f>
        <v>2177</v>
      </c>
      <c r="O18" s="30">
        <f t="shared" si="8"/>
        <v>2223</v>
      </c>
      <c r="P18" s="12">
        <f t="shared" si="8"/>
        <v>2121</v>
      </c>
      <c r="Q18" s="12">
        <f t="shared" si="8"/>
        <v>2261</v>
      </c>
      <c r="R18" s="12">
        <f>9201-Q18-P18-O18</f>
        <v>2596</v>
      </c>
      <c r="S18" s="30">
        <f t="shared" si="8"/>
        <v>3075</v>
      </c>
      <c r="T18" s="12">
        <f t="shared" si="8"/>
        <v>3357</v>
      </c>
      <c r="U18" s="12">
        <f t="shared" si="8"/>
        <v>3535</v>
      </c>
      <c r="V18" s="12">
        <f>13531-U18-T18-S18</f>
        <v>3564</v>
      </c>
      <c r="W18" s="30">
        <f t="shared" si="8"/>
        <v>4163</v>
      </c>
      <c r="X18" s="12">
        <f t="shared" si="8"/>
        <v>4193</v>
      </c>
      <c r="Y18" s="12">
        <f t="shared" si="8"/>
        <v>4883</v>
      </c>
      <c r="Z18" s="12">
        <f>18532-Y18-X18-W18</f>
        <v>5293</v>
      </c>
      <c r="AA18" s="30">
        <f t="shared" si="8"/>
        <v>6518</v>
      </c>
      <c r="AB18" s="12">
        <f>AB16-AB17</f>
        <v>5715</v>
      </c>
      <c r="AC18" s="12">
        <f>AC16-AC17</f>
        <v>5403</v>
      </c>
      <c r="AE18" s="70"/>
      <c r="AF18" s="12">
        <f>AF16-AF17</f>
        <v>0</v>
      </c>
      <c r="AG18" s="12">
        <f t="shared" ref="AG18:AL18" si="9">AG16-AG17</f>
        <v>0</v>
      </c>
      <c r="AH18" s="12">
        <f t="shared" si="9"/>
        <v>0</v>
      </c>
      <c r="AI18" s="12">
        <f t="shared" si="9"/>
        <v>7296</v>
      </c>
      <c r="AJ18" s="12">
        <f t="shared" si="9"/>
        <v>9201</v>
      </c>
      <c r="AK18" s="12">
        <f t="shared" si="9"/>
        <v>13531</v>
      </c>
      <c r="AL18" s="12">
        <f t="shared" si="9"/>
        <v>18532</v>
      </c>
      <c r="AM18" s="12">
        <v>12248</v>
      </c>
    </row>
    <row r="19" spans="2:39" s="7" customFormat="1" x14ac:dyDescent="0.35">
      <c r="B19" s="7" t="s">
        <v>25</v>
      </c>
      <c r="C19" s="18">
        <f t="shared" ref="C19:AA19" si="10">C18/C16</f>
        <v>0.23538581449727203</v>
      </c>
      <c r="D19" s="18">
        <f t="shared" si="10"/>
        <v>0.24878724878724878</v>
      </c>
      <c r="E19" s="18">
        <f t="shared" si="10"/>
        <v>0.26648096564531104</v>
      </c>
      <c r="F19" s="18">
        <f t="shared" si="10"/>
        <v>0.2615950226244344</v>
      </c>
      <c r="G19" s="29">
        <f t="shared" si="10"/>
        <v>0.24310297732859876</v>
      </c>
      <c r="H19" s="18">
        <f t="shared" si="10"/>
        <v>0.22341463414634147</v>
      </c>
      <c r="I19" s="18">
        <f t="shared" si="10"/>
        <v>0.25545375218150085</v>
      </c>
      <c r="J19" s="18">
        <f t="shared" si="10"/>
        <v>0.26476339460305043</v>
      </c>
      <c r="K19" s="29">
        <f t="shared" si="10"/>
        <v>0.25725836089672915</v>
      </c>
      <c r="L19" s="18">
        <f t="shared" si="10"/>
        <v>0.26895986895986895</v>
      </c>
      <c r="M19" s="18">
        <f t="shared" si="10"/>
        <v>0.31097469681089984</v>
      </c>
      <c r="N19" s="18">
        <f t="shared" si="10"/>
        <v>0.29304078610849377</v>
      </c>
      <c r="O19" s="29">
        <f t="shared" si="10"/>
        <v>0.28885135135135137</v>
      </c>
      <c r="P19" s="18">
        <f t="shared" si="10"/>
        <v>0.25307242572485383</v>
      </c>
      <c r="Q19" s="18">
        <f t="shared" si="10"/>
        <v>0.25136186770428015</v>
      </c>
      <c r="R19" s="18">
        <f t="shared" si="10"/>
        <v>0.26079967852119751</v>
      </c>
      <c r="S19" s="29">
        <f t="shared" si="10"/>
        <v>0.30091006947842253</v>
      </c>
      <c r="T19" s="18">
        <f t="shared" si="10"/>
        <v>0.31060325684678014</v>
      </c>
      <c r="U19" s="18">
        <f t="shared" si="10"/>
        <v>0.30471511076631325</v>
      </c>
      <c r="V19" s="18">
        <f t="shared" si="10"/>
        <v>0.27970491288651705</v>
      </c>
      <c r="W19" s="29">
        <f t="shared" si="10"/>
        <v>0.30830185884618233</v>
      </c>
      <c r="X19" s="18">
        <f t="shared" si="10"/>
        <v>0.28313863191302585</v>
      </c>
      <c r="Y19" s="18">
        <f t="shared" si="10"/>
        <v>0.3031036623215394</v>
      </c>
      <c r="Z19" s="18">
        <f t="shared" si="10"/>
        <v>0.29769403824521934</v>
      </c>
      <c r="AA19" s="29">
        <f t="shared" si="10"/>
        <v>0.35345154818068436</v>
      </c>
      <c r="AB19" s="18">
        <f>AB18/AB16</f>
        <v>0.28952834490095747</v>
      </c>
      <c r="AC19" s="18">
        <f>AC18/AC16</f>
        <v>0.26307332749050538</v>
      </c>
      <c r="AF19" s="18" t="e">
        <f>AF18/AF16</f>
        <v>#DIV/0!</v>
      </c>
      <c r="AG19" s="18" t="e">
        <f t="shared" ref="AG19:AM19" si="11">AG18/AG16</f>
        <v>#DIV/0!</v>
      </c>
      <c r="AH19" s="18" t="e">
        <f t="shared" si="11"/>
        <v>#DIV/0!</v>
      </c>
      <c r="AI19" s="18">
        <f t="shared" si="11"/>
        <v>0.28438900799064509</v>
      </c>
      <c r="AJ19" s="18">
        <f t="shared" si="11"/>
        <v>0.26269057271740992</v>
      </c>
      <c r="AK19" s="18">
        <f t="shared" si="11"/>
        <v>0.29823672029975756</v>
      </c>
      <c r="AL19" s="18">
        <f t="shared" si="11"/>
        <v>0.29793254236198191</v>
      </c>
      <c r="AM19" s="18">
        <f t="shared" si="11"/>
        <v>0.15291650019976027</v>
      </c>
    </row>
    <row r="20" spans="2:39" s="3" customFormat="1" x14ac:dyDescent="0.35">
      <c r="B20" s="11" t="s">
        <v>28</v>
      </c>
      <c r="C20" s="12">
        <f t="shared" ref="C20:AC20" si="12">C6+C11+C16</f>
        <v>29128</v>
      </c>
      <c r="D20" s="12">
        <f t="shared" si="12"/>
        <v>30404</v>
      </c>
      <c r="E20" s="12">
        <f t="shared" si="12"/>
        <v>32714</v>
      </c>
      <c r="F20" s="12">
        <f t="shared" si="12"/>
        <v>43741</v>
      </c>
      <c r="G20" s="30">
        <f t="shared" si="12"/>
        <v>35714</v>
      </c>
      <c r="H20" s="12">
        <f t="shared" si="12"/>
        <v>37955</v>
      </c>
      <c r="I20" s="12">
        <f t="shared" si="12"/>
        <v>43744</v>
      </c>
      <c r="J20" s="12">
        <f t="shared" si="12"/>
        <v>60453</v>
      </c>
      <c r="K20" s="30">
        <f t="shared" si="12"/>
        <v>51042</v>
      </c>
      <c r="L20" s="12">
        <f t="shared" si="12"/>
        <v>52886</v>
      </c>
      <c r="M20" s="12">
        <f t="shared" si="12"/>
        <v>56576</v>
      </c>
      <c r="N20" s="12">
        <f t="shared" si="12"/>
        <v>72383</v>
      </c>
      <c r="O20" s="30">
        <f t="shared" si="12"/>
        <v>59700</v>
      </c>
      <c r="P20" s="12">
        <f t="shared" si="12"/>
        <v>63404</v>
      </c>
      <c r="Q20" s="12">
        <f t="shared" si="12"/>
        <v>69981</v>
      </c>
      <c r="R20" s="12">
        <f t="shared" si="12"/>
        <v>87437</v>
      </c>
      <c r="S20" s="30">
        <f t="shared" si="12"/>
        <v>75452</v>
      </c>
      <c r="T20" s="12">
        <f t="shared" si="12"/>
        <v>88912</v>
      </c>
      <c r="U20" s="12">
        <f t="shared" si="12"/>
        <v>96145</v>
      </c>
      <c r="V20" s="12">
        <f t="shared" si="12"/>
        <v>125555</v>
      </c>
      <c r="W20" s="30">
        <f t="shared" si="12"/>
        <v>108518</v>
      </c>
      <c r="X20" s="12">
        <f t="shared" si="12"/>
        <v>113080</v>
      </c>
      <c r="Y20" s="12">
        <f t="shared" si="12"/>
        <v>110812</v>
      </c>
      <c r="Z20" s="12">
        <f t="shared" si="12"/>
        <v>137412</v>
      </c>
      <c r="AA20" s="30">
        <f t="shared" si="12"/>
        <v>116444</v>
      </c>
      <c r="AB20" s="12">
        <f t="shared" si="12"/>
        <v>121234</v>
      </c>
      <c r="AC20" s="12">
        <f t="shared" si="12"/>
        <v>127101</v>
      </c>
      <c r="AD20" s="12"/>
      <c r="AE20" s="12"/>
      <c r="AF20" s="12">
        <f t="shared" ref="AF20:AM20" si="13">AF6+AF11+AF16</f>
        <v>0</v>
      </c>
      <c r="AG20" s="12">
        <f t="shared" si="13"/>
        <v>0</v>
      </c>
      <c r="AH20" s="12">
        <f t="shared" si="13"/>
        <v>0</v>
      </c>
      <c r="AI20" s="12">
        <f t="shared" si="13"/>
        <v>232887</v>
      </c>
      <c r="AJ20" s="12">
        <f t="shared" si="13"/>
        <v>280522</v>
      </c>
      <c r="AK20" s="12">
        <f t="shared" si="13"/>
        <v>386064</v>
      </c>
      <c r="AL20" s="12">
        <f t="shared" si="13"/>
        <v>469822</v>
      </c>
      <c r="AM20" s="12">
        <f t="shared" si="13"/>
        <v>513983</v>
      </c>
    </row>
    <row r="21" spans="2:39" s="41" customFormat="1" x14ac:dyDescent="0.35">
      <c r="B21" s="47" t="s">
        <v>29</v>
      </c>
      <c r="C21" s="48"/>
      <c r="D21" s="48"/>
      <c r="E21" s="48"/>
      <c r="F21" s="48"/>
      <c r="G21" s="49"/>
      <c r="H21" s="48"/>
      <c r="I21" s="48"/>
      <c r="J21" s="48"/>
      <c r="K21" s="49"/>
      <c r="L21" s="48"/>
      <c r="M21" s="48"/>
      <c r="N21" s="48"/>
      <c r="O21" s="49"/>
      <c r="P21" s="48"/>
      <c r="Q21" s="48"/>
      <c r="R21" s="48"/>
      <c r="S21" s="49"/>
      <c r="T21" s="48"/>
      <c r="U21" s="48"/>
      <c r="V21" s="48"/>
      <c r="W21" s="49"/>
      <c r="X21" s="48"/>
      <c r="Y21" s="48"/>
      <c r="Z21" s="48"/>
      <c r="AA21" s="49"/>
      <c r="AB21" s="48"/>
      <c r="AC21" s="48"/>
      <c r="AD21" s="48"/>
      <c r="AE21" s="48"/>
      <c r="AF21" s="48"/>
      <c r="AG21" s="48"/>
      <c r="AH21" s="48"/>
      <c r="AI21" s="48"/>
      <c r="AJ21" s="48"/>
      <c r="AK21" s="48"/>
      <c r="AL21" s="48"/>
    </row>
    <row r="22" spans="2:39" x14ac:dyDescent="0.35">
      <c r="B22" s="5" t="s">
        <v>30</v>
      </c>
      <c r="C22" s="7"/>
      <c r="D22" s="7"/>
      <c r="E22" s="7"/>
      <c r="F22" s="7"/>
      <c r="G22" s="27"/>
      <c r="H22" s="7"/>
      <c r="I22" s="7"/>
      <c r="J22" s="7"/>
      <c r="K22" s="27"/>
      <c r="L22" s="7"/>
      <c r="M22" s="7"/>
      <c r="N22" s="7"/>
      <c r="O22" s="27"/>
      <c r="P22" s="7"/>
      <c r="Q22" s="7"/>
      <c r="R22" s="7"/>
      <c r="S22" s="27"/>
      <c r="T22" s="7"/>
      <c r="U22" s="7"/>
      <c r="V22" s="7"/>
      <c r="W22" s="27"/>
      <c r="X22" s="7">
        <v>49942</v>
      </c>
      <c r="Y22" s="7"/>
      <c r="Z22" s="7"/>
      <c r="AA22" s="27"/>
      <c r="AB22" s="7"/>
      <c r="AC22" s="7">
        <v>53489</v>
      </c>
      <c r="AD22" s="7"/>
      <c r="AE22" s="7">
        <v>76863</v>
      </c>
      <c r="AF22" s="7">
        <v>91431</v>
      </c>
      <c r="AG22" s="7">
        <v>108354</v>
      </c>
      <c r="AH22" s="7"/>
      <c r="AI22" s="7">
        <v>122987</v>
      </c>
      <c r="AJ22" s="7">
        <v>141247</v>
      </c>
      <c r="AK22" s="7">
        <v>197346</v>
      </c>
      <c r="AL22" s="7">
        <v>222075</v>
      </c>
      <c r="AM22">
        <v>220004</v>
      </c>
    </row>
    <row r="23" spans="2:39" x14ac:dyDescent="0.35">
      <c r="B23" s="5" t="s">
        <v>31</v>
      </c>
      <c r="C23" s="7"/>
      <c r="D23" s="7"/>
      <c r="E23" s="7"/>
      <c r="F23" s="7"/>
      <c r="G23" s="27"/>
      <c r="H23" s="7"/>
      <c r="I23" s="7"/>
      <c r="J23" s="7"/>
      <c r="K23" s="27"/>
      <c r="L23" s="7"/>
      <c r="M23" s="7"/>
      <c r="N23" s="7"/>
      <c r="O23" s="27"/>
      <c r="P23" s="7"/>
      <c r="Q23" s="7"/>
      <c r="R23" s="7"/>
      <c r="S23" s="27"/>
      <c r="T23" s="7"/>
      <c r="U23" s="7"/>
      <c r="V23" s="7"/>
      <c r="W23" s="27"/>
      <c r="X23" s="7">
        <v>4269</v>
      </c>
      <c r="Y23" s="7"/>
      <c r="Z23" s="7"/>
      <c r="AA23" s="27"/>
      <c r="AB23" s="7"/>
      <c r="AC23" s="7">
        <v>4694</v>
      </c>
      <c r="AD23" s="7"/>
      <c r="AE23" s="7" t="s">
        <v>32</v>
      </c>
      <c r="AF23" s="7" t="s">
        <v>32</v>
      </c>
      <c r="AG23" s="7">
        <v>5798</v>
      </c>
      <c r="AH23" s="7"/>
      <c r="AI23" s="7">
        <v>17224</v>
      </c>
      <c r="AJ23" s="7">
        <v>17192</v>
      </c>
      <c r="AK23" s="7">
        <v>16227</v>
      </c>
      <c r="AL23" s="7">
        <v>17075</v>
      </c>
      <c r="AM23">
        <v>18963</v>
      </c>
    </row>
    <row r="24" spans="2:39" x14ac:dyDescent="0.35">
      <c r="B24" s="5" t="s">
        <v>33</v>
      </c>
      <c r="C24" s="7"/>
      <c r="D24" s="7"/>
      <c r="E24" s="7"/>
      <c r="F24" s="7"/>
      <c r="G24" s="27"/>
      <c r="H24" s="7"/>
      <c r="I24" s="7"/>
      <c r="J24" s="7"/>
      <c r="K24" s="27"/>
      <c r="L24" s="7"/>
      <c r="M24" s="7"/>
      <c r="N24" s="7"/>
      <c r="O24" s="27"/>
      <c r="P24" s="7"/>
      <c r="Q24" s="7"/>
      <c r="R24" s="7"/>
      <c r="S24" s="27"/>
      <c r="T24" s="7"/>
      <c r="U24" s="7"/>
      <c r="V24" s="7"/>
      <c r="W24" s="27"/>
      <c r="X24" s="7">
        <v>24252</v>
      </c>
      <c r="Y24" s="7"/>
      <c r="Z24" s="7"/>
      <c r="AA24" s="27"/>
      <c r="AB24" s="7"/>
      <c r="AC24" s="7">
        <v>28666</v>
      </c>
      <c r="AD24" s="7"/>
      <c r="AE24" s="7">
        <v>16086</v>
      </c>
      <c r="AF24" s="7">
        <v>22993</v>
      </c>
      <c r="AG24" s="7">
        <v>31881</v>
      </c>
      <c r="AH24" s="7"/>
      <c r="AI24" s="7">
        <v>42745</v>
      </c>
      <c r="AJ24" s="7">
        <v>53762</v>
      </c>
      <c r="AK24" s="7">
        <v>80461</v>
      </c>
      <c r="AL24" s="7">
        <v>103366</v>
      </c>
      <c r="AM24">
        <v>117716</v>
      </c>
    </row>
    <row r="25" spans="2:39" x14ac:dyDescent="0.35">
      <c r="B25" s="5" t="s">
        <v>34</v>
      </c>
      <c r="C25" s="7"/>
      <c r="D25" s="7"/>
      <c r="E25" s="7"/>
      <c r="F25" s="7"/>
      <c r="G25" s="27"/>
      <c r="H25" s="7"/>
      <c r="I25" s="7"/>
      <c r="J25" s="7"/>
      <c r="K25" s="27"/>
      <c r="L25" s="7"/>
      <c r="M25" s="7"/>
      <c r="N25" s="7"/>
      <c r="O25" s="27"/>
      <c r="P25" s="7"/>
      <c r="Q25" s="7"/>
      <c r="R25" s="7"/>
      <c r="S25" s="27"/>
      <c r="T25" s="7"/>
      <c r="U25" s="7"/>
      <c r="V25" s="7"/>
      <c r="W25" s="27"/>
      <c r="X25" s="7">
        <v>8148</v>
      </c>
      <c r="Y25" s="7"/>
      <c r="Z25" s="7"/>
      <c r="AA25" s="27"/>
      <c r="AB25" s="7"/>
      <c r="AC25" s="7">
        <v>8903</v>
      </c>
      <c r="AD25" s="7"/>
      <c r="AE25" s="7">
        <v>4467</v>
      </c>
      <c r="AF25" s="7">
        <v>6394</v>
      </c>
      <c r="AG25" s="7">
        <v>9721</v>
      </c>
      <c r="AH25" s="7"/>
      <c r="AI25" s="7">
        <v>14168</v>
      </c>
      <c r="AJ25" s="7">
        <v>19210</v>
      </c>
      <c r="AK25" s="7">
        <v>25207</v>
      </c>
      <c r="AL25" s="7">
        <v>31768</v>
      </c>
      <c r="AM25">
        <v>35218</v>
      </c>
    </row>
    <row r="26" spans="2:39" x14ac:dyDescent="0.35">
      <c r="B26" s="5" t="s">
        <v>35</v>
      </c>
      <c r="C26" s="7"/>
      <c r="D26" s="7"/>
      <c r="E26" s="7"/>
      <c r="F26" s="7"/>
      <c r="G26" s="27"/>
      <c r="H26" s="7"/>
      <c r="I26" s="7"/>
      <c r="J26" s="7"/>
      <c r="K26" s="27"/>
      <c r="L26" s="7"/>
      <c r="M26" s="7"/>
      <c r="N26" s="7"/>
      <c r="O26" s="27"/>
      <c r="P26" s="7"/>
      <c r="Q26" s="7"/>
      <c r="R26" s="7"/>
      <c r="S26" s="27"/>
      <c r="T26" s="7"/>
      <c r="U26" s="7"/>
      <c r="V26" s="7"/>
      <c r="W26" s="27"/>
      <c r="X26" s="7">
        <v>7612</v>
      </c>
      <c r="Y26" s="7"/>
      <c r="Z26" s="7"/>
      <c r="AA26" s="27"/>
      <c r="AB26" s="7"/>
      <c r="AC26" s="7">
        <v>9548</v>
      </c>
      <c r="AD26" s="7"/>
      <c r="AE26" s="7" t="s">
        <v>32</v>
      </c>
      <c r="AF26" s="7" t="s">
        <v>32</v>
      </c>
      <c r="AG26" s="7" t="s">
        <v>32</v>
      </c>
      <c r="AH26" s="7"/>
      <c r="AI26" s="7" t="s">
        <v>32</v>
      </c>
      <c r="AJ26" s="7" t="s">
        <v>32</v>
      </c>
      <c r="AK26" s="7">
        <v>19773</v>
      </c>
      <c r="AL26" s="7">
        <v>31160</v>
      </c>
      <c r="AM26">
        <v>37739</v>
      </c>
    </row>
    <row r="27" spans="2:39" x14ac:dyDescent="0.35">
      <c r="B27" s="5" t="s">
        <v>27</v>
      </c>
      <c r="C27" s="7"/>
      <c r="D27" s="7"/>
      <c r="E27" s="7"/>
      <c r="F27" s="7"/>
      <c r="G27" s="27"/>
      <c r="H27" s="7"/>
      <c r="I27" s="7"/>
      <c r="J27" s="7"/>
      <c r="K27" s="27"/>
      <c r="L27" s="7"/>
      <c r="M27" s="7"/>
      <c r="N27" s="7"/>
      <c r="O27" s="27"/>
      <c r="P27" s="7"/>
      <c r="Q27" s="7"/>
      <c r="R27" s="7"/>
      <c r="S27" s="27"/>
      <c r="T27" s="7"/>
      <c r="U27" s="7"/>
      <c r="V27" s="7"/>
      <c r="W27" s="27"/>
      <c r="X27" s="7">
        <v>16110</v>
      </c>
      <c r="Y27" s="7"/>
      <c r="Z27" s="7"/>
      <c r="AA27" s="27"/>
      <c r="AB27" s="7"/>
      <c r="AC27" s="7">
        <v>20538</v>
      </c>
      <c r="AD27" s="7"/>
      <c r="AE27" s="7">
        <v>7880</v>
      </c>
      <c r="AF27" s="7">
        <v>12219</v>
      </c>
      <c r="AG27" s="7">
        <v>17459</v>
      </c>
      <c r="AH27" s="7"/>
      <c r="AI27" s="7">
        <v>25655</v>
      </c>
      <c r="AJ27" s="7">
        <v>14085</v>
      </c>
      <c r="AK27" s="7">
        <v>45370</v>
      </c>
      <c r="AL27" s="7">
        <v>62202</v>
      </c>
      <c r="AM27">
        <v>80096</v>
      </c>
    </row>
    <row r="28" spans="2:39" s="8" customFormat="1" x14ac:dyDescent="0.35">
      <c r="B28" s="9" t="s">
        <v>36</v>
      </c>
      <c r="C28" s="13"/>
      <c r="D28" s="13"/>
      <c r="E28" s="13"/>
      <c r="F28" s="13"/>
      <c r="G28" s="28"/>
      <c r="H28" s="13"/>
      <c r="I28" s="13"/>
      <c r="J28" s="13"/>
      <c r="K28" s="28"/>
      <c r="L28" s="13"/>
      <c r="M28" s="13"/>
      <c r="N28" s="13"/>
      <c r="O28" s="28"/>
      <c r="P28" s="13"/>
      <c r="Q28" s="13"/>
      <c r="R28" s="13"/>
      <c r="S28" s="28"/>
      <c r="T28" s="13"/>
      <c r="U28" s="13"/>
      <c r="V28" s="13"/>
      <c r="W28" s="28"/>
      <c r="X28" s="13">
        <v>479</v>
      </c>
      <c r="Y28" s="13"/>
      <c r="Z28" s="13"/>
      <c r="AA28" s="28"/>
      <c r="AB28" s="13"/>
      <c r="AC28" s="13">
        <v>1263</v>
      </c>
      <c r="AD28" s="13"/>
      <c r="AE28" s="13">
        <v>1710</v>
      </c>
      <c r="AF28" s="13">
        <v>2950</v>
      </c>
      <c r="AG28" s="13">
        <v>4653</v>
      </c>
      <c r="AH28" s="13"/>
      <c r="AI28" s="13">
        <v>10108</v>
      </c>
      <c r="AJ28" s="13">
        <v>10108</v>
      </c>
      <c r="AK28" s="13">
        <v>1680</v>
      </c>
      <c r="AL28" s="13">
        <v>2176</v>
      </c>
      <c r="AM28" s="8">
        <v>4247</v>
      </c>
    </row>
    <row r="29" spans="2:39" s="3" customFormat="1" x14ac:dyDescent="0.35">
      <c r="B29" s="11" t="s">
        <v>37</v>
      </c>
      <c r="C29" s="12"/>
      <c r="D29" s="12"/>
      <c r="E29" s="12"/>
      <c r="F29" s="12"/>
      <c r="G29" s="12">
        <f t="shared" ref="G29:AB29" si="14">SUM(G22:G28)</f>
        <v>0</v>
      </c>
      <c r="H29" s="12">
        <f t="shared" si="14"/>
        <v>0</v>
      </c>
      <c r="I29" s="12">
        <f t="shared" si="14"/>
        <v>0</v>
      </c>
      <c r="J29" s="12">
        <f t="shared" si="14"/>
        <v>0</v>
      </c>
      <c r="K29" s="12">
        <f t="shared" si="14"/>
        <v>0</v>
      </c>
      <c r="L29" s="12">
        <f t="shared" si="14"/>
        <v>0</v>
      </c>
      <c r="M29" s="12">
        <f t="shared" si="14"/>
        <v>0</v>
      </c>
      <c r="N29" s="12">
        <f t="shared" si="14"/>
        <v>0</v>
      </c>
      <c r="O29" s="12">
        <f t="shared" si="14"/>
        <v>0</v>
      </c>
      <c r="P29" s="12">
        <f t="shared" si="14"/>
        <v>0</v>
      </c>
      <c r="Q29" s="12">
        <f t="shared" si="14"/>
        <v>0</v>
      </c>
      <c r="R29" s="12">
        <f t="shared" si="14"/>
        <v>0</v>
      </c>
      <c r="S29" s="12">
        <f t="shared" si="14"/>
        <v>0</v>
      </c>
      <c r="T29" s="12">
        <f t="shared" si="14"/>
        <v>0</v>
      </c>
      <c r="U29" s="12">
        <f t="shared" si="14"/>
        <v>0</v>
      </c>
      <c r="V29" s="12">
        <f t="shared" si="14"/>
        <v>0</v>
      </c>
      <c r="W29" s="12">
        <f t="shared" si="14"/>
        <v>0</v>
      </c>
      <c r="X29" s="12">
        <f t="shared" si="14"/>
        <v>110812</v>
      </c>
      <c r="Y29" s="12">
        <f t="shared" si="14"/>
        <v>0</v>
      </c>
      <c r="Z29" s="12">
        <f t="shared" si="14"/>
        <v>0</v>
      </c>
      <c r="AA29" s="12">
        <f t="shared" si="14"/>
        <v>0</v>
      </c>
      <c r="AB29" s="12">
        <f t="shared" si="14"/>
        <v>0</v>
      </c>
      <c r="AC29" s="12">
        <f>SUM(AC22:AC28)</f>
        <v>127101</v>
      </c>
      <c r="AD29" s="12"/>
      <c r="AE29" s="12">
        <f>SUM(AE22:AE28)</f>
        <v>107006</v>
      </c>
      <c r="AF29" s="12">
        <f>SUM(AF22:AF28)</f>
        <v>135987</v>
      </c>
      <c r="AG29" s="12">
        <f t="shared" ref="AG29:AM29" si="15">SUM(AG22:AG28)</f>
        <v>177866</v>
      </c>
      <c r="AH29" s="12">
        <f t="shared" si="15"/>
        <v>0</v>
      </c>
      <c r="AI29" s="12">
        <f t="shared" si="15"/>
        <v>232887</v>
      </c>
      <c r="AJ29" s="12">
        <f t="shared" si="15"/>
        <v>255604</v>
      </c>
      <c r="AK29" s="12">
        <f t="shared" si="15"/>
        <v>386064</v>
      </c>
      <c r="AL29" s="12">
        <f t="shared" si="15"/>
        <v>469822</v>
      </c>
      <c r="AM29" s="12">
        <f t="shared" si="15"/>
        <v>513983</v>
      </c>
    </row>
    <row r="30" spans="2:39" s="41" customFormat="1" x14ac:dyDescent="0.35">
      <c r="B30" s="47" t="s">
        <v>22</v>
      </c>
      <c r="C30" s="48"/>
      <c r="D30" s="48"/>
      <c r="E30" s="48"/>
      <c r="F30" s="48"/>
      <c r="G30" s="49"/>
      <c r="H30" s="48"/>
      <c r="I30" s="48"/>
      <c r="J30" s="48"/>
      <c r="K30" s="49"/>
      <c r="L30" s="48"/>
      <c r="M30" s="48"/>
      <c r="N30" s="48"/>
      <c r="O30" s="49"/>
      <c r="P30" s="48"/>
      <c r="Q30" s="48"/>
      <c r="R30" s="48"/>
      <c r="S30" s="49"/>
      <c r="T30" s="48"/>
      <c r="U30" s="48"/>
      <c r="V30" s="48"/>
      <c r="W30" s="49"/>
      <c r="X30" s="48"/>
      <c r="Y30" s="48"/>
      <c r="Z30" s="48"/>
      <c r="AA30" s="49"/>
      <c r="AB30" s="48"/>
      <c r="AC30" s="48"/>
      <c r="AD30" s="48"/>
      <c r="AE30" s="48"/>
      <c r="AF30" s="48"/>
      <c r="AG30" s="48"/>
      <c r="AH30" s="48"/>
      <c r="AI30" s="48"/>
      <c r="AJ30" s="48"/>
      <c r="AK30" s="48"/>
      <c r="AL30" s="48"/>
    </row>
    <row r="31" spans="2:39" x14ac:dyDescent="0.35">
      <c r="B31" s="5" t="s">
        <v>21</v>
      </c>
      <c r="C31" s="7"/>
      <c r="D31" s="7"/>
      <c r="E31" s="7"/>
      <c r="F31" s="7"/>
      <c r="G31" s="27"/>
      <c r="H31" s="7"/>
      <c r="I31" s="7"/>
      <c r="J31" s="7"/>
      <c r="K31" s="27"/>
      <c r="L31" s="7"/>
      <c r="M31" s="7"/>
      <c r="N31" s="7"/>
      <c r="O31" s="27"/>
      <c r="P31" s="7"/>
      <c r="Q31" s="7"/>
      <c r="R31" s="7"/>
      <c r="S31" s="27"/>
      <c r="T31" s="7"/>
      <c r="U31" s="7"/>
      <c r="V31" s="7"/>
      <c r="W31" s="27"/>
      <c r="X31" s="7"/>
      <c r="Y31" s="7"/>
      <c r="Z31" s="7"/>
      <c r="AA31" s="27"/>
      <c r="AB31" s="7"/>
      <c r="AC31" s="7"/>
      <c r="AD31" s="7"/>
      <c r="AE31" s="7"/>
      <c r="AF31" s="7">
        <f t="shared" ref="AF31:AK31" si="16">AF6</f>
        <v>0</v>
      </c>
      <c r="AG31" s="7">
        <f t="shared" si="16"/>
        <v>0</v>
      </c>
      <c r="AH31" s="7">
        <f t="shared" si="16"/>
        <v>0</v>
      </c>
      <c r="AI31" s="7">
        <f t="shared" si="16"/>
        <v>141366</v>
      </c>
      <c r="AJ31" s="7">
        <f t="shared" si="16"/>
        <v>170773</v>
      </c>
      <c r="AK31" s="7">
        <f t="shared" si="16"/>
        <v>236282</v>
      </c>
      <c r="AL31" s="7">
        <f>AL6</f>
        <v>279833</v>
      </c>
      <c r="AM31" s="7">
        <f t="shared" ref="AM31" si="17">AM6</f>
        <v>315880</v>
      </c>
    </row>
    <row r="32" spans="2:39" x14ac:dyDescent="0.35">
      <c r="B32" s="5" t="s">
        <v>26</v>
      </c>
      <c r="C32" s="7"/>
      <c r="D32" s="7"/>
      <c r="E32" s="7"/>
      <c r="F32" s="7"/>
      <c r="G32" s="27"/>
      <c r="H32" s="7"/>
      <c r="I32" s="7"/>
      <c r="J32" s="7"/>
      <c r="K32" s="27"/>
      <c r="L32" s="7"/>
      <c r="M32" s="7"/>
      <c r="N32" s="7"/>
      <c r="O32" s="27"/>
      <c r="P32" s="7"/>
      <c r="Q32" s="7"/>
      <c r="R32" s="7"/>
      <c r="S32" s="27"/>
      <c r="T32" s="7"/>
      <c r="U32" s="7"/>
      <c r="V32" s="7"/>
      <c r="W32" s="27"/>
      <c r="X32" s="7"/>
      <c r="Y32" s="7"/>
      <c r="Z32" s="7"/>
      <c r="AA32" s="27"/>
      <c r="AB32" s="7"/>
      <c r="AC32" s="7"/>
      <c r="AD32" s="7"/>
      <c r="AE32" s="7"/>
      <c r="AF32" s="7">
        <f t="shared" ref="AF32:AK32" si="18">AF11</f>
        <v>0</v>
      </c>
      <c r="AG32" s="7">
        <f t="shared" si="18"/>
        <v>0</v>
      </c>
      <c r="AH32" s="7">
        <f t="shared" si="18"/>
        <v>0</v>
      </c>
      <c r="AI32" s="7">
        <f t="shared" si="18"/>
        <v>65866</v>
      </c>
      <c r="AJ32" s="7">
        <f t="shared" si="18"/>
        <v>74723</v>
      </c>
      <c r="AK32" s="7">
        <f t="shared" si="18"/>
        <v>104412</v>
      </c>
      <c r="AL32" s="7">
        <f>AL11</f>
        <v>127787</v>
      </c>
      <c r="AM32" s="7">
        <f t="shared" ref="AM32" si="19">AM11</f>
        <v>118007</v>
      </c>
    </row>
    <row r="33" spans="2:39" s="8" customFormat="1" x14ac:dyDescent="0.35">
      <c r="B33" s="9" t="s">
        <v>27</v>
      </c>
      <c r="C33" s="13"/>
      <c r="D33" s="13"/>
      <c r="E33" s="13"/>
      <c r="F33" s="13"/>
      <c r="G33" s="28"/>
      <c r="H33" s="13"/>
      <c r="I33" s="13"/>
      <c r="J33" s="13"/>
      <c r="K33" s="28"/>
      <c r="L33" s="13"/>
      <c r="M33" s="13"/>
      <c r="N33" s="13"/>
      <c r="O33" s="28"/>
      <c r="P33" s="13"/>
      <c r="Q33" s="13"/>
      <c r="R33" s="13"/>
      <c r="S33" s="28"/>
      <c r="T33" s="13"/>
      <c r="U33" s="13"/>
      <c r="V33" s="13"/>
      <c r="W33" s="28"/>
      <c r="X33" s="13"/>
      <c r="Y33" s="13"/>
      <c r="Z33" s="13"/>
      <c r="AA33" s="28"/>
      <c r="AB33" s="13"/>
      <c r="AC33" s="13"/>
      <c r="AD33" s="13"/>
      <c r="AE33" s="13"/>
      <c r="AF33" s="13">
        <f t="shared" ref="AF33:AK33" si="20">AF16</f>
        <v>0</v>
      </c>
      <c r="AG33" s="13">
        <f t="shared" si="20"/>
        <v>0</v>
      </c>
      <c r="AH33" s="13">
        <f t="shared" si="20"/>
        <v>0</v>
      </c>
      <c r="AI33" s="13">
        <f t="shared" si="20"/>
        <v>25655</v>
      </c>
      <c r="AJ33" s="13">
        <f t="shared" si="20"/>
        <v>35026</v>
      </c>
      <c r="AK33" s="13">
        <f t="shared" si="20"/>
        <v>45370</v>
      </c>
      <c r="AL33" s="13">
        <f>AL16</f>
        <v>62202</v>
      </c>
      <c r="AM33" s="13">
        <f t="shared" ref="AM33" si="21">AM16</f>
        <v>80096</v>
      </c>
    </row>
    <row r="34" spans="2:39" s="3" customFormat="1" x14ac:dyDescent="0.35">
      <c r="B34" s="11" t="s">
        <v>37</v>
      </c>
      <c r="C34" s="12"/>
      <c r="D34" s="12"/>
      <c r="E34" s="12"/>
      <c r="F34" s="12"/>
      <c r="G34" s="30"/>
      <c r="H34" s="12"/>
      <c r="I34" s="12"/>
      <c r="J34" s="12"/>
      <c r="K34" s="30"/>
      <c r="L34" s="12"/>
      <c r="M34" s="12"/>
      <c r="N34" s="12"/>
      <c r="O34" s="30"/>
      <c r="P34" s="12"/>
      <c r="Q34" s="12"/>
      <c r="R34" s="12"/>
      <c r="S34" s="30"/>
      <c r="T34" s="12"/>
      <c r="U34" s="12"/>
      <c r="V34" s="12"/>
      <c r="W34" s="30"/>
      <c r="X34" s="12"/>
      <c r="Y34" s="12"/>
      <c r="Z34" s="12"/>
      <c r="AA34" s="30"/>
      <c r="AB34" s="12"/>
      <c r="AC34" s="12"/>
      <c r="AD34" s="12"/>
      <c r="AE34" s="12"/>
      <c r="AF34" s="12">
        <f t="shared" ref="AF34:AK34" si="22">AF29</f>
        <v>135987</v>
      </c>
      <c r="AG34" s="12">
        <f t="shared" si="22"/>
        <v>177866</v>
      </c>
      <c r="AH34" s="12">
        <f t="shared" si="22"/>
        <v>0</v>
      </c>
      <c r="AI34" s="12">
        <f t="shared" si="22"/>
        <v>232887</v>
      </c>
      <c r="AJ34" s="12">
        <f t="shared" si="22"/>
        <v>255604</v>
      </c>
      <c r="AK34" s="12">
        <f t="shared" si="22"/>
        <v>386064</v>
      </c>
      <c r="AL34" s="12">
        <f>AL29</f>
        <v>469822</v>
      </c>
      <c r="AM34" s="12">
        <f t="shared" ref="AM34" si="23">AM29</f>
        <v>513983</v>
      </c>
    </row>
    <row r="35" spans="2:39" s="4" customFormat="1" x14ac:dyDescent="0.35">
      <c r="B35" s="71"/>
      <c r="G35" s="72"/>
      <c r="K35" s="72"/>
      <c r="O35" s="72"/>
      <c r="S35" s="72"/>
      <c r="W35" s="72"/>
      <c r="AA35" s="72"/>
      <c r="AI35" s="4">
        <f t="shared" ref="AI35:AJ35" si="24">AI31/AI34</f>
        <v>0.6070154194952917</v>
      </c>
      <c r="AJ35" s="4">
        <f t="shared" si="24"/>
        <v>0.66811552244878802</v>
      </c>
      <c r="AK35" s="4">
        <f>AK31/AK34</f>
        <v>0.61202805752414102</v>
      </c>
      <c r="AL35" s="4">
        <f t="shared" ref="AL35:AM35" si="25">AL31/AL34</f>
        <v>0.59561493501794294</v>
      </c>
      <c r="AM35" s="4">
        <f t="shared" si="25"/>
        <v>0.61457285552245888</v>
      </c>
    </row>
    <row r="36" spans="2:39" s="4" customFormat="1" x14ac:dyDescent="0.35">
      <c r="B36" s="71"/>
      <c r="G36" s="72"/>
      <c r="K36" s="72"/>
      <c r="O36" s="72"/>
      <c r="S36" s="72"/>
      <c r="W36" s="72"/>
      <c r="AA36" s="72"/>
      <c r="AI36" s="4">
        <f t="shared" ref="AI36:AJ36" si="26">AI32/AI34</f>
        <v>0.28282385878129734</v>
      </c>
      <c r="AJ36" s="4">
        <f t="shared" si="26"/>
        <v>0.29233893053316851</v>
      </c>
      <c r="AK36" s="4">
        <f>AK32/AK34</f>
        <v>0.27045256744995649</v>
      </c>
      <c r="AL36" s="4">
        <f t="shared" ref="AL36:AM36" si="27">AL32/AL34</f>
        <v>0.27199024311334929</v>
      </c>
      <c r="AM36" s="4">
        <f t="shared" si="27"/>
        <v>0.22959319666214642</v>
      </c>
    </row>
    <row r="37" spans="2:39" s="4" customFormat="1" x14ac:dyDescent="0.35">
      <c r="B37" s="71"/>
      <c r="G37" s="72"/>
      <c r="K37" s="72"/>
      <c r="O37" s="72"/>
      <c r="S37" s="72"/>
      <c r="W37" s="72"/>
      <c r="AA37" s="72"/>
      <c r="AI37" s="4">
        <f t="shared" ref="AI37:AJ37" si="28">AI33/AI34</f>
        <v>0.11016072172341093</v>
      </c>
      <c r="AJ37" s="4">
        <f t="shared" si="28"/>
        <v>0.13703228431479947</v>
      </c>
      <c r="AK37" s="4">
        <f>AK33/AK34</f>
        <v>0.11751937502590244</v>
      </c>
      <c r="AL37" s="4">
        <f t="shared" ref="AL37:AM37" si="29">AL33/AL34</f>
        <v>0.13239482186870771</v>
      </c>
      <c r="AM37" s="4">
        <f t="shared" si="29"/>
        <v>0.15583394781539467</v>
      </c>
    </row>
    <row r="38" spans="2:39" x14ac:dyDescent="0.35">
      <c r="C38" s="7"/>
      <c r="D38" s="14"/>
      <c r="E38" s="15"/>
      <c r="F38" s="15"/>
      <c r="G38" s="31"/>
      <c r="H38" s="15"/>
      <c r="I38" s="15"/>
      <c r="J38" s="15"/>
      <c r="K38" s="31"/>
      <c r="L38" s="15"/>
      <c r="M38" s="24"/>
      <c r="N38" s="15"/>
      <c r="O38" s="31"/>
      <c r="P38" s="15"/>
      <c r="Q38" s="15"/>
      <c r="R38" s="15"/>
      <c r="S38" s="31"/>
      <c r="T38" s="15"/>
      <c r="U38" s="15"/>
      <c r="V38" s="15"/>
      <c r="W38" s="31"/>
      <c r="X38" s="15"/>
      <c r="Y38" s="15"/>
      <c r="Z38" s="15"/>
      <c r="AA38" s="31"/>
      <c r="AB38" s="15"/>
      <c r="AC38" s="15"/>
      <c r="AD38" s="15"/>
      <c r="AE38" s="15"/>
      <c r="AF38" s="15"/>
      <c r="AG38" s="15"/>
      <c r="AH38" s="15"/>
      <c r="AI38" s="15"/>
      <c r="AJ38" s="15"/>
      <c r="AK38" s="15"/>
      <c r="AL38" s="15"/>
    </row>
    <row r="39" spans="2:39" s="60" customFormat="1" x14ac:dyDescent="0.35">
      <c r="B39" s="26" t="s">
        <v>38</v>
      </c>
      <c r="C39" s="63"/>
      <c r="D39" s="64"/>
      <c r="E39" s="65"/>
      <c r="F39" s="65"/>
      <c r="G39" s="66"/>
      <c r="H39" s="65"/>
      <c r="I39" s="65"/>
      <c r="J39" s="65"/>
      <c r="K39" s="66"/>
      <c r="L39" s="65"/>
      <c r="M39" s="65"/>
      <c r="N39" s="65"/>
      <c r="O39" s="66"/>
      <c r="P39" s="65"/>
      <c r="Q39" s="65"/>
      <c r="R39" s="65"/>
      <c r="S39" s="66"/>
      <c r="T39" s="65"/>
      <c r="U39" s="65"/>
      <c r="V39" s="65"/>
      <c r="W39" s="66"/>
      <c r="X39" s="65"/>
      <c r="Y39" s="65"/>
      <c r="Z39" s="65"/>
      <c r="AA39" s="66"/>
      <c r="AB39" s="65"/>
      <c r="AC39" s="65"/>
      <c r="AD39" s="65"/>
      <c r="AE39" s="65"/>
      <c r="AF39" s="65"/>
      <c r="AG39" s="65"/>
      <c r="AH39" s="65"/>
      <c r="AI39" s="65"/>
      <c r="AJ39" s="65"/>
      <c r="AK39" s="65"/>
      <c r="AL39" s="65"/>
    </row>
    <row r="40" spans="2:39" s="18" customFormat="1" x14ac:dyDescent="0.35">
      <c r="B40" s="19" t="s">
        <v>21</v>
      </c>
      <c r="C40" s="18">
        <f t="shared" ref="C40:AB40" si="30">C6/C20</f>
        <v>0.58349354572919532</v>
      </c>
      <c r="D40" s="18">
        <f t="shared" si="30"/>
        <v>0.58130509143533748</v>
      </c>
      <c r="E40" s="18">
        <f t="shared" si="30"/>
        <v>0.57693953658983921</v>
      </c>
      <c r="F40" s="18">
        <f t="shared" si="30"/>
        <v>0.59991769735488443</v>
      </c>
      <c r="G40" s="29">
        <f t="shared" si="30"/>
        <v>0.58778070224561796</v>
      </c>
      <c r="H40" s="18">
        <f t="shared" si="30"/>
        <v>0.58938216308786717</v>
      </c>
      <c r="I40" s="18">
        <f t="shared" si="30"/>
        <v>0.5817026335040234</v>
      </c>
      <c r="J40" s="18">
        <f t="shared" si="30"/>
        <v>0.61704133789886362</v>
      </c>
      <c r="K40" s="29">
        <f t="shared" si="30"/>
        <v>0.60195525253712634</v>
      </c>
      <c r="L40" s="18">
        <f t="shared" si="30"/>
        <v>0.60827061982377184</v>
      </c>
      <c r="M40" s="18">
        <f t="shared" si="30"/>
        <v>0.60711255656108598</v>
      </c>
      <c r="N40" s="18">
        <f t="shared" si="30"/>
        <v>0.60959064973819821</v>
      </c>
      <c r="O40" s="29">
        <f t="shared" si="30"/>
        <v>0.59986599664991624</v>
      </c>
      <c r="P40" s="18">
        <f t="shared" si="30"/>
        <v>0.60963030723613654</v>
      </c>
      <c r="Q40" s="18">
        <f t="shared" si="30"/>
        <v>0.6092796616224404</v>
      </c>
      <c r="R40" s="18">
        <f t="shared" si="30"/>
        <v>0.61381337420085313</v>
      </c>
      <c r="S40" s="29">
        <f t="shared" si="30"/>
        <v>0.61134231034299957</v>
      </c>
      <c r="T40" s="18">
        <f t="shared" si="30"/>
        <v>0.62349289184811951</v>
      </c>
      <c r="U40" s="18">
        <f t="shared" si="30"/>
        <v>0.61753601331322483</v>
      </c>
      <c r="V40" s="18">
        <f t="shared" si="30"/>
        <v>0.60010354028115165</v>
      </c>
      <c r="W40" s="29">
        <f t="shared" si="30"/>
        <v>0.59313662249580712</v>
      </c>
      <c r="X40" s="18">
        <f t="shared" si="30"/>
        <v>0.59736469755925004</v>
      </c>
      <c r="Y40" s="18">
        <f t="shared" si="30"/>
        <v>0.5916056022813414</v>
      </c>
      <c r="Z40" s="18">
        <f t="shared" si="30"/>
        <v>0.59936541204552729</v>
      </c>
      <c r="AA40" s="29">
        <f t="shared" si="30"/>
        <v>0.59465494143107411</v>
      </c>
      <c r="AB40" s="18">
        <f t="shared" si="30"/>
        <v>0.61393668442846061</v>
      </c>
      <c r="AC40" s="18">
        <f t="shared" ref="AC40" si="31">AC6/AC20</f>
        <v>0.62031770009677345</v>
      </c>
      <c r="AF40" s="18" t="e">
        <f t="shared" ref="AF40:AL40" si="32">AF6/AF20</f>
        <v>#DIV/0!</v>
      </c>
      <c r="AG40" s="18" t="e">
        <f t="shared" si="32"/>
        <v>#DIV/0!</v>
      </c>
      <c r="AH40" s="18" t="e">
        <f t="shared" si="32"/>
        <v>#DIV/0!</v>
      </c>
      <c r="AI40" s="18">
        <f t="shared" si="32"/>
        <v>0.6070154194952917</v>
      </c>
      <c r="AJ40" s="18">
        <f t="shared" si="32"/>
        <v>0.60876865272598946</v>
      </c>
      <c r="AK40" s="18">
        <f t="shared" si="32"/>
        <v>0.61202805752414102</v>
      </c>
      <c r="AL40" s="18">
        <f t="shared" si="32"/>
        <v>0.59561493501794294</v>
      </c>
      <c r="AM40" s="18">
        <f t="shared" ref="AM40" si="33">AM6/AM20</f>
        <v>0.61457285552245888</v>
      </c>
    </row>
    <row r="41" spans="2:39" s="18" customFormat="1" x14ac:dyDescent="0.35">
      <c r="B41" s="19" t="s">
        <v>39</v>
      </c>
      <c r="C41" s="18">
        <f t="shared" ref="C41:AB41" si="34">C11/C20</f>
        <v>0.32841252403185939</v>
      </c>
      <c r="D41" s="18">
        <f t="shared" si="34"/>
        <v>0.32377318773845548</v>
      </c>
      <c r="E41" s="18">
        <f t="shared" si="34"/>
        <v>0.32429540869352569</v>
      </c>
      <c r="F41" s="18">
        <f t="shared" si="34"/>
        <v>0.31924281566493679</v>
      </c>
      <c r="G41" s="29">
        <f t="shared" si="34"/>
        <v>0.30971047768382148</v>
      </c>
      <c r="H41" s="18">
        <f t="shared" si="34"/>
        <v>0.30259517850085627</v>
      </c>
      <c r="I41" s="18">
        <f t="shared" si="34"/>
        <v>0.31350585223116312</v>
      </c>
      <c r="J41" s="18">
        <f t="shared" si="34"/>
        <v>0.29836401832828807</v>
      </c>
      <c r="K41" s="29">
        <f t="shared" si="34"/>
        <v>0.29142666823400337</v>
      </c>
      <c r="L41" s="18">
        <f t="shared" si="34"/>
        <v>0.27629240252618842</v>
      </c>
      <c r="M41" s="18">
        <f t="shared" si="34"/>
        <v>0.27483385180995473</v>
      </c>
      <c r="N41" s="18">
        <f t="shared" si="34"/>
        <v>0.2877747537405192</v>
      </c>
      <c r="O41" s="29">
        <f t="shared" si="34"/>
        <v>0.27122278056951421</v>
      </c>
      <c r="P41" s="18">
        <f t="shared" si="34"/>
        <v>0.25818560343196012</v>
      </c>
      <c r="Q41" s="18">
        <f t="shared" si="34"/>
        <v>0.26218545033651991</v>
      </c>
      <c r="R41" s="18">
        <f t="shared" si="34"/>
        <v>0.27234465958347154</v>
      </c>
      <c r="S41" s="29">
        <f t="shared" si="34"/>
        <v>0.25322059057413987</v>
      </c>
      <c r="T41" s="18">
        <f t="shared" si="34"/>
        <v>0.25494871333453301</v>
      </c>
      <c r="U41" s="18">
        <f t="shared" si="34"/>
        <v>0.26180248582869625</v>
      </c>
      <c r="V41" s="18">
        <f t="shared" si="34"/>
        <v>0.2984110549161722</v>
      </c>
      <c r="W41" s="29">
        <f t="shared" si="34"/>
        <v>0.28243240752686188</v>
      </c>
      <c r="X41" s="18">
        <f t="shared" si="34"/>
        <v>0.27167492041032898</v>
      </c>
      <c r="Y41" s="18">
        <f t="shared" si="34"/>
        <v>0.26301303107966645</v>
      </c>
      <c r="Z41" s="18">
        <f t="shared" si="34"/>
        <v>0.27124268622827702</v>
      </c>
      <c r="AA41" s="29">
        <f t="shared" si="34"/>
        <v>0.24697708769880802</v>
      </c>
      <c r="AB41" s="18">
        <f t="shared" si="34"/>
        <v>0.223245954105284</v>
      </c>
      <c r="AC41" s="18">
        <f t="shared" ref="AC41" si="35">AC11/AC20</f>
        <v>0.21809427148488211</v>
      </c>
      <c r="AF41" s="18" t="e">
        <f t="shared" ref="AF41:AL41" si="36">AF11/AF20</f>
        <v>#DIV/0!</v>
      </c>
      <c r="AG41" s="18" t="e">
        <f t="shared" si="36"/>
        <v>#DIV/0!</v>
      </c>
      <c r="AH41" s="18" t="e">
        <f t="shared" si="36"/>
        <v>#DIV/0!</v>
      </c>
      <c r="AI41" s="18">
        <f t="shared" si="36"/>
        <v>0.28282385878129734</v>
      </c>
      <c r="AJ41" s="18">
        <f t="shared" si="36"/>
        <v>0.26637126499882363</v>
      </c>
      <c r="AK41" s="18">
        <f t="shared" si="36"/>
        <v>0.27045256744995649</v>
      </c>
      <c r="AL41" s="18">
        <f t="shared" si="36"/>
        <v>0.27199024311334929</v>
      </c>
      <c r="AM41" s="18">
        <f t="shared" ref="AM41" si="37">AM11/AM20</f>
        <v>0.22959319666214642</v>
      </c>
    </row>
    <row r="42" spans="2:39" s="20" customFormat="1" x14ac:dyDescent="0.35">
      <c r="B42" s="21" t="s">
        <v>27</v>
      </c>
      <c r="C42" s="20">
        <f t="shared" ref="C42:AB42" si="38">C16/C20</f>
        <v>8.809393023894535E-2</v>
      </c>
      <c r="D42" s="20">
        <f t="shared" si="38"/>
        <v>9.4921720826207076E-2</v>
      </c>
      <c r="E42" s="20">
        <f t="shared" si="38"/>
        <v>9.8765054716635076E-2</v>
      </c>
      <c r="F42" s="20">
        <f t="shared" si="38"/>
        <v>8.0839486980178774E-2</v>
      </c>
      <c r="G42" s="32">
        <f t="shared" si="38"/>
        <v>0.10250882007056056</v>
      </c>
      <c r="H42" s="20">
        <f t="shared" si="38"/>
        <v>0.10802265841127651</v>
      </c>
      <c r="I42" s="20">
        <f t="shared" si="38"/>
        <v>0.10479151426481347</v>
      </c>
      <c r="J42" s="20">
        <f t="shared" si="38"/>
        <v>8.4594643772848324E-2</v>
      </c>
      <c r="K42" s="32">
        <f t="shared" si="38"/>
        <v>0.10661807922887034</v>
      </c>
      <c r="L42" s="20">
        <f t="shared" si="38"/>
        <v>0.11543697765003971</v>
      </c>
      <c r="M42" s="20">
        <f t="shared" si="38"/>
        <v>0.11805359162895927</v>
      </c>
      <c r="N42" s="20">
        <f t="shared" si="38"/>
        <v>0.10263459652128262</v>
      </c>
      <c r="O42" s="32">
        <f t="shared" si="38"/>
        <v>0.12891122278056952</v>
      </c>
      <c r="P42" s="20">
        <f t="shared" si="38"/>
        <v>0.13218408933190334</v>
      </c>
      <c r="Q42" s="20">
        <f t="shared" si="38"/>
        <v>0.12853488804103971</v>
      </c>
      <c r="R42" s="20">
        <f t="shared" si="38"/>
        <v>0.11384196621567529</v>
      </c>
      <c r="S42" s="32">
        <f t="shared" si="38"/>
        <v>0.13543709908286064</v>
      </c>
      <c r="T42" s="20">
        <f t="shared" si="38"/>
        <v>0.1215583948173475</v>
      </c>
      <c r="U42" s="20">
        <f t="shared" si="38"/>
        <v>0.12066150085807895</v>
      </c>
      <c r="V42" s="20">
        <f t="shared" si="38"/>
        <v>0.10148540480267612</v>
      </c>
      <c r="W42" s="32">
        <f t="shared" si="38"/>
        <v>0.12443096997733095</v>
      </c>
      <c r="X42" s="20">
        <f t="shared" si="38"/>
        <v>0.13096038203042093</v>
      </c>
      <c r="Y42" s="20">
        <f t="shared" si="38"/>
        <v>0.14538136663899218</v>
      </c>
      <c r="Z42" s="20">
        <f t="shared" si="38"/>
        <v>0.12939190172619566</v>
      </c>
      <c r="AA42" s="32">
        <f t="shared" si="38"/>
        <v>0.15836797087011784</v>
      </c>
      <c r="AB42" s="20">
        <f t="shared" si="38"/>
        <v>0.16281736146625533</v>
      </c>
      <c r="AC42" s="20">
        <f t="shared" ref="AC42" si="39">AC16/AC20</f>
        <v>0.16158802841834446</v>
      </c>
      <c r="AF42" s="20" t="e">
        <f t="shared" ref="AF42:AL42" si="40">AF16/AF20</f>
        <v>#DIV/0!</v>
      </c>
      <c r="AG42" s="20" t="e">
        <f t="shared" si="40"/>
        <v>#DIV/0!</v>
      </c>
      <c r="AH42" s="20" t="e">
        <f t="shared" si="40"/>
        <v>#DIV/0!</v>
      </c>
      <c r="AI42" s="20">
        <f t="shared" si="40"/>
        <v>0.11016072172341093</v>
      </c>
      <c r="AJ42" s="20">
        <f t="shared" si="40"/>
        <v>0.12486008227518697</v>
      </c>
      <c r="AK42" s="20">
        <f t="shared" si="40"/>
        <v>0.11751937502590244</v>
      </c>
      <c r="AL42" s="20">
        <f t="shared" si="40"/>
        <v>0.13239482186870771</v>
      </c>
      <c r="AM42" s="20">
        <f t="shared" ref="AM42" si="41">AM16/AM20</f>
        <v>0.15583394781539467</v>
      </c>
    </row>
    <row r="43" spans="2:39" s="18" customFormat="1" x14ac:dyDescent="0.35">
      <c r="B43" s="19" t="s">
        <v>28</v>
      </c>
      <c r="C43" s="18">
        <f>SUM(C40:C42)</f>
        <v>1</v>
      </c>
      <c r="D43" s="18">
        <f t="shared" ref="D43:V43" si="42">SUM(D40:D42)</f>
        <v>1</v>
      </c>
      <c r="E43" s="18">
        <f t="shared" si="42"/>
        <v>1</v>
      </c>
      <c r="F43" s="18">
        <f t="shared" si="42"/>
        <v>1</v>
      </c>
      <c r="G43" s="29">
        <f t="shared" si="42"/>
        <v>1</v>
      </c>
      <c r="H43" s="18">
        <f t="shared" si="42"/>
        <v>1</v>
      </c>
      <c r="I43" s="18">
        <f t="shared" si="42"/>
        <v>1</v>
      </c>
      <c r="J43" s="18">
        <f t="shared" si="42"/>
        <v>1</v>
      </c>
      <c r="K43" s="29">
        <f t="shared" si="42"/>
        <v>1</v>
      </c>
      <c r="L43" s="18">
        <f t="shared" si="42"/>
        <v>1</v>
      </c>
      <c r="M43" s="18">
        <f t="shared" si="42"/>
        <v>0.99999999999999989</v>
      </c>
      <c r="N43" s="18">
        <f t="shared" si="42"/>
        <v>1</v>
      </c>
      <c r="O43" s="29">
        <f t="shared" si="42"/>
        <v>1</v>
      </c>
      <c r="P43" s="18">
        <f t="shared" si="42"/>
        <v>1</v>
      </c>
      <c r="Q43" s="18">
        <f t="shared" si="42"/>
        <v>1</v>
      </c>
      <c r="R43" s="18">
        <f t="shared" si="42"/>
        <v>1</v>
      </c>
      <c r="S43" s="29">
        <f t="shared" si="42"/>
        <v>1</v>
      </c>
      <c r="T43" s="18">
        <f t="shared" si="42"/>
        <v>1</v>
      </c>
      <c r="U43" s="18">
        <f t="shared" si="42"/>
        <v>1</v>
      </c>
      <c r="V43" s="18">
        <f t="shared" si="42"/>
        <v>1</v>
      </c>
      <c r="W43" s="29">
        <f t="shared" ref="W43" si="43">SUM(W40:W42)</f>
        <v>1</v>
      </c>
      <c r="X43" s="18">
        <f t="shared" ref="X43" si="44">SUM(X40:X42)</f>
        <v>0.99999999999999989</v>
      </c>
      <c r="Y43" s="18">
        <f t="shared" ref="Y43:Z43" si="45">SUM(Y40:Y42)</f>
        <v>1</v>
      </c>
      <c r="Z43" s="18">
        <f t="shared" si="45"/>
        <v>0.99999999999999989</v>
      </c>
      <c r="AA43" s="29">
        <f t="shared" ref="AA43" si="46">SUM(AA40:AA42)</f>
        <v>1</v>
      </c>
      <c r="AB43" s="18">
        <f t="shared" ref="AB43:AC43" si="47">SUM(AB40:AB42)</f>
        <v>1</v>
      </c>
      <c r="AC43" s="18">
        <f t="shared" si="47"/>
        <v>1</v>
      </c>
      <c r="AF43" s="18" t="e">
        <f t="shared" ref="AF43:AL43" si="48">SUM(AF40:AF42)</f>
        <v>#DIV/0!</v>
      </c>
      <c r="AG43" s="18" t="e">
        <f t="shared" si="48"/>
        <v>#DIV/0!</v>
      </c>
      <c r="AH43" s="18" t="e">
        <f t="shared" si="48"/>
        <v>#DIV/0!</v>
      </c>
      <c r="AI43" s="18">
        <f t="shared" si="48"/>
        <v>1</v>
      </c>
      <c r="AJ43" s="18">
        <f t="shared" si="48"/>
        <v>1</v>
      </c>
      <c r="AK43" s="18">
        <f t="shared" si="48"/>
        <v>1</v>
      </c>
      <c r="AL43" s="18">
        <f t="shared" si="48"/>
        <v>1</v>
      </c>
      <c r="AM43" s="18">
        <f t="shared" ref="AM43" si="49">SUM(AM40:AM42)</f>
        <v>1</v>
      </c>
    </row>
    <row r="44" spans="2:39" s="18" customFormat="1" x14ac:dyDescent="0.35">
      <c r="B44" s="19"/>
      <c r="G44" s="29"/>
      <c r="K44" s="29"/>
      <c r="O44" s="29"/>
      <c r="S44" s="29"/>
      <c r="W44" s="29"/>
      <c r="AA44" s="29"/>
    </row>
    <row r="45" spans="2:39" s="7" customFormat="1" x14ac:dyDescent="0.35">
      <c r="B45" s="16" t="s">
        <v>40</v>
      </c>
      <c r="C45" s="7">
        <f>C20</f>
        <v>29128</v>
      </c>
      <c r="D45" s="7">
        <f t="shared" ref="D45:AA45" si="50">D20</f>
        <v>30404</v>
      </c>
      <c r="E45" s="7">
        <f t="shared" si="50"/>
        <v>32714</v>
      </c>
      <c r="F45" s="7">
        <f t="shared" si="50"/>
        <v>43741</v>
      </c>
      <c r="G45" s="27">
        <f t="shared" si="50"/>
        <v>35714</v>
      </c>
      <c r="H45" s="7">
        <f t="shared" si="50"/>
        <v>37955</v>
      </c>
      <c r="I45" s="7">
        <f t="shared" si="50"/>
        <v>43744</v>
      </c>
      <c r="J45" s="7">
        <f t="shared" si="50"/>
        <v>60453</v>
      </c>
      <c r="K45" s="27">
        <f t="shared" si="50"/>
        <v>51042</v>
      </c>
      <c r="L45" s="7">
        <f t="shared" si="50"/>
        <v>52886</v>
      </c>
      <c r="M45" s="7">
        <f t="shared" si="50"/>
        <v>56576</v>
      </c>
      <c r="N45" s="7">
        <f t="shared" si="50"/>
        <v>72383</v>
      </c>
      <c r="O45" s="27">
        <f t="shared" si="50"/>
        <v>59700</v>
      </c>
      <c r="P45" s="7">
        <f t="shared" si="50"/>
        <v>63404</v>
      </c>
      <c r="Q45" s="7">
        <f t="shared" si="50"/>
        <v>69981</v>
      </c>
      <c r="R45" s="7">
        <f t="shared" si="50"/>
        <v>87437</v>
      </c>
      <c r="S45" s="27">
        <f t="shared" si="50"/>
        <v>75452</v>
      </c>
      <c r="T45" s="7">
        <f t="shared" si="50"/>
        <v>88912</v>
      </c>
      <c r="U45" s="7">
        <f t="shared" si="50"/>
        <v>96145</v>
      </c>
      <c r="V45" s="7">
        <f t="shared" si="50"/>
        <v>125555</v>
      </c>
      <c r="W45" s="27">
        <f t="shared" si="50"/>
        <v>108518</v>
      </c>
      <c r="X45" s="7">
        <f t="shared" si="50"/>
        <v>113080</v>
      </c>
      <c r="Y45" s="7">
        <f t="shared" si="50"/>
        <v>110812</v>
      </c>
      <c r="Z45" s="7">
        <f t="shared" si="50"/>
        <v>137412</v>
      </c>
      <c r="AA45" s="27">
        <f t="shared" si="50"/>
        <v>116444</v>
      </c>
      <c r="AB45" s="7">
        <f>AB20</f>
        <v>121234</v>
      </c>
      <c r="AC45" s="7">
        <f>AC20</f>
        <v>127101</v>
      </c>
      <c r="AF45" s="7">
        <f>AF20</f>
        <v>0</v>
      </c>
      <c r="AG45" s="7">
        <f t="shared" ref="AG45:AL45" si="51">AG20</f>
        <v>0</v>
      </c>
      <c r="AH45" s="7">
        <f t="shared" si="51"/>
        <v>0</v>
      </c>
      <c r="AI45" s="7">
        <f t="shared" si="51"/>
        <v>232887</v>
      </c>
      <c r="AJ45" s="7">
        <f t="shared" si="51"/>
        <v>280522</v>
      </c>
      <c r="AK45" s="7">
        <f t="shared" si="51"/>
        <v>386064</v>
      </c>
      <c r="AL45" s="7">
        <f t="shared" si="51"/>
        <v>469822</v>
      </c>
      <c r="AM45" s="7">
        <f t="shared" ref="AM45" si="52">AM20</f>
        <v>513983</v>
      </c>
    </row>
    <row r="46" spans="2:39" s="13" customFormat="1" x14ac:dyDescent="0.35">
      <c r="B46" s="17" t="s">
        <v>41</v>
      </c>
      <c r="C46" s="13">
        <f t="shared" ref="C46:AB46" si="53">C7+C12+C17</f>
        <v>28057</v>
      </c>
      <c r="D46" s="13">
        <f t="shared" si="53"/>
        <v>29119</v>
      </c>
      <c r="E46" s="13">
        <f t="shared" si="53"/>
        <v>32139</v>
      </c>
      <c r="F46" s="13">
        <f t="shared" si="53"/>
        <v>42486</v>
      </c>
      <c r="G46" s="28">
        <f t="shared" si="53"/>
        <v>34709</v>
      </c>
      <c r="H46" s="13">
        <f t="shared" si="53"/>
        <v>37327</v>
      </c>
      <c r="I46" s="13">
        <f t="shared" si="53"/>
        <v>43397</v>
      </c>
      <c r="J46" s="13">
        <f t="shared" si="53"/>
        <v>58327</v>
      </c>
      <c r="K46" s="28">
        <f t="shared" si="53"/>
        <v>49115</v>
      </c>
      <c r="L46" s="13">
        <f t="shared" si="53"/>
        <v>49903</v>
      </c>
      <c r="M46" s="13">
        <f t="shared" si="53"/>
        <v>52852</v>
      </c>
      <c r="N46" s="13">
        <f t="shared" si="53"/>
        <v>73721</v>
      </c>
      <c r="O46" s="28">
        <f t="shared" si="53"/>
        <v>55280</v>
      </c>
      <c r="P46" s="13">
        <f t="shared" si="53"/>
        <v>60320</v>
      </c>
      <c r="Q46" s="13">
        <f t="shared" si="53"/>
        <v>66824</v>
      </c>
      <c r="R46" s="13">
        <f t="shared" si="53"/>
        <v>83557</v>
      </c>
      <c r="S46" s="28">
        <f t="shared" si="53"/>
        <v>71463</v>
      </c>
      <c r="T46" s="13">
        <f t="shared" si="53"/>
        <v>83069</v>
      </c>
      <c r="U46" s="13">
        <f t="shared" si="53"/>
        <v>89951</v>
      </c>
      <c r="V46" s="13">
        <f t="shared" si="53"/>
        <v>118682</v>
      </c>
      <c r="W46" s="28">
        <f t="shared" si="53"/>
        <v>99653</v>
      </c>
      <c r="X46" s="13">
        <f t="shared" si="53"/>
        <v>105378</v>
      </c>
      <c r="Y46" s="13">
        <f t="shared" si="53"/>
        <v>105960</v>
      </c>
      <c r="Z46" s="13">
        <f t="shared" si="53"/>
        <v>132572</v>
      </c>
      <c r="AA46" s="28">
        <f t="shared" si="53"/>
        <v>112775</v>
      </c>
      <c r="AB46" s="13">
        <f t="shared" si="53"/>
        <v>117917</v>
      </c>
      <c r="AC46" s="13">
        <f t="shared" ref="AC46" si="54">AC7+AC12+AC17</f>
        <v>124576</v>
      </c>
      <c r="AF46" s="13">
        <f t="shared" ref="AF46:AL46" si="55">AF7+AF12+AF17</f>
        <v>0</v>
      </c>
      <c r="AG46" s="13">
        <f t="shared" si="55"/>
        <v>0</v>
      </c>
      <c r="AH46" s="13">
        <f t="shared" si="55"/>
        <v>0</v>
      </c>
      <c r="AI46" s="13">
        <f t="shared" si="55"/>
        <v>220466</v>
      </c>
      <c r="AJ46" s="13">
        <f t="shared" si="55"/>
        <v>265981</v>
      </c>
      <c r="AK46" s="13">
        <f t="shared" si="55"/>
        <v>363165</v>
      </c>
      <c r="AL46" s="13">
        <f t="shared" si="55"/>
        <v>444943</v>
      </c>
      <c r="AM46" s="13">
        <f t="shared" ref="AM46" si="56">AM7+AM12+AM17</f>
        <v>501735</v>
      </c>
    </row>
    <row r="47" spans="2:39" x14ac:dyDescent="0.35">
      <c r="B47" s="5" t="s">
        <v>42</v>
      </c>
      <c r="C47" s="7">
        <f>C45-C46</f>
        <v>1071</v>
      </c>
      <c r="D47" s="7">
        <f t="shared" ref="D47:AB47" si="57">D45-D46</f>
        <v>1285</v>
      </c>
      <c r="E47" s="7">
        <f t="shared" si="57"/>
        <v>575</v>
      </c>
      <c r="F47" s="7">
        <f t="shared" si="57"/>
        <v>1255</v>
      </c>
      <c r="G47" s="27">
        <f t="shared" si="57"/>
        <v>1005</v>
      </c>
      <c r="H47" s="7">
        <f t="shared" si="57"/>
        <v>628</v>
      </c>
      <c r="I47" s="7">
        <f t="shared" si="57"/>
        <v>347</v>
      </c>
      <c r="J47" s="7">
        <f t="shared" si="57"/>
        <v>2126</v>
      </c>
      <c r="K47" s="27">
        <f t="shared" si="57"/>
        <v>1927</v>
      </c>
      <c r="L47" s="7">
        <f t="shared" si="57"/>
        <v>2983</v>
      </c>
      <c r="M47" s="7">
        <f t="shared" si="57"/>
        <v>3724</v>
      </c>
      <c r="N47" s="7">
        <f t="shared" si="57"/>
        <v>-1338</v>
      </c>
      <c r="O47" s="27">
        <f t="shared" si="57"/>
        <v>4420</v>
      </c>
      <c r="P47" s="7">
        <f t="shared" si="57"/>
        <v>3084</v>
      </c>
      <c r="Q47" s="7">
        <f t="shared" si="57"/>
        <v>3157</v>
      </c>
      <c r="R47" s="7">
        <f t="shared" si="57"/>
        <v>3880</v>
      </c>
      <c r="S47" s="27">
        <f t="shared" si="57"/>
        <v>3989</v>
      </c>
      <c r="T47" s="7">
        <f t="shared" si="57"/>
        <v>5843</v>
      </c>
      <c r="U47" s="7">
        <f t="shared" si="57"/>
        <v>6194</v>
      </c>
      <c r="V47" s="7">
        <f t="shared" si="57"/>
        <v>6873</v>
      </c>
      <c r="W47" s="27">
        <f t="shared" si="57"/>
        <v>8865</v>
      </c>
      <c r="X47" s="7">
        <f t="shared" si="57"/>
        <v>7702</v>
      </c>
      <c r="Y47" s="7">
        <f t="shared" si="57"/>
        <v>4852</v>
      </c>
      <c r="Z47" s="7">
        <f t="shared" si="57"/>
        <v>4840</v>
      </c>
      <c r="AA47" s="27">
        <f t="shared" si="57"/>
        <v>3669</v>
      </c>
      <c r="AB47" s="7">
        <f t="shared" si="57"/>
        <v>3317</v>
      </c>
      <c r="AC47" s="7">
        <f t="shared" ref="AC47" si="58">AC45-AC46</f>
        <v>2525</v>
      </c>
      <c r="AD47" s="7"/>
      <c r="AE47" s="7"/>
      <c r="AF47" s="7">
        <f t="shared" ref="AF47:AL47" si="59">AF45-AF46</f>
        <v>0</v>
      </c>
      <c r="AG47" s="7">
        <f t="shared" si="59"/>
        <v>0</v>
      </c>
      <c r="AH47" s="7">
        <f t="shared" si="59"/>
        <v>0</v>
      </c>
      <c r="AI47" s="7">
        <f t="shared" si="59"/>
        <v>12421</v>
      </c>
      <c r="AJ47" s="7">
        <f t="shared" si="59"/>
        <v>14541</v>
      </c>
      <c r="AK47" s="7">
        <f t="shared" si="59"/>
        <v>22899</v>
      </c>
      <c r="AL47" s="7">
        <f t="shared" si="59"/>
        <v>24879</v>
      </c>
      <c r="AM47" s="7">
        <f t="shared" ref="AM47" si="60">AM45-AM46</f>
        <v>12248</v>
      </c>
    </row>
    <row r="48" spans="2:39" s="18" customFormat="1" x14ac:dyDescent="0.35">
      <c r="B48" s="19" t="s">
        <v>43</v>
      </c>
      <c r="C48" s="18">
        <f>C47/C45</f>
        <v>3.6768744850315845E-2</v>
      </c>
      <c r="D48" s="18">
        <f t="shared" ref="D48:AB48" si="61">D47/D45</f>
        <v>4.2264175766346536E-2</v>
      </c>
      <c r="E48" s="18">
        <f t="shared" si="61"/>
        <v>1.7576572721159138E-2</v>
      </c>
      <c r="F48" s="18">
        <f t="shared" si="61"/>
        <v>2.8691616561121146E-2</v>
      </c>
      <c r="G48" s="29">
        <f t="shared" si="61"/>
        <v>2.8140225121800973E-2</v>
      </c>
      <c r="H48" s="18">
        <f t="shared" si="61"/>
        <v>1.6545909629824794E-2</v>
      </c>
      <c r="I48" s="18">
        <f t="shared" si="61"/>
        <v>7.932516459400147E-3</v>
      </c>
      <c r="J48" s="18">
        <f t="shared" si="61"/>
        <v>3.5167816320116452E-2</v>
      </c>
      <c r="K48" s="29">
        <f t="shared" si="61"/>
        <v>3.7753222836095765E-2</v>
      </c>
      <c r="L48" s="18">
        <f t="shared" si="61"/>
        <v>5.6404341413606625E-2</v>
      </c>
      <c r="M48" s="18">
        <f t="shared" si="61"/>
        <v>6.5822963800904979E-2</v>
      </c>
      <c r="N48" s="18">
        <f t="shared" si="61"/>
        <v>-1.8485003384772668E-2</v>
      </c>
      <c r="O48" s="29">
        <f t="shared" si="61"/>
        <v>7.4036850921273031E-2</v>
      </c>
      <c r="P48" s="18">
        <f t="shared" si="61"/>
        <v>4.8640464324017411E-2</v>
      </c>
      <c r="Q48" s="18">
        <f t="shared" si="61"/>
        <v>4.5112244752147014E-2</v>
      </c>
      <c r="R48" s="18">
        <f t="shared" si="61"/>
        <v>4.4374807003899952E-2</v>
      </c>
      <c r="S48" s="29">
        <f t="shared" si="61"/>
        <v>5.2868048560674334E-2</v>
      </c>
      <c r="T48" s="18">
        <f t="shared" si="61"/>
        <v>6.5716663667446468E-2</v>
      </c>
      <c r="U48" s="18">
        <f t="shared" si="61"/>
        <v>6.4423526964480726E-2</v>
      </c>
      <c r="V48" s="18">
        <f t="shared" si="61"/>
        <v>5.4740950181195493E-2</v>
      </c>
      <c r="W48" s="29">
        <f t="shared" si="61"/>
        <v>8.1691516614755155E-2</v>
      </c>
      <c r="X48" s="18">
        <f t="shared" si="61"/>
        <v>6.8111071807569867E-2</v>
      </c>
      <c r="Y48" s="18">
        <f t="shared" si="61"/>
        <v>4.3785871566256365E-2</v>
      </c>
      <c r="Z48" s="18">
        <f t="shared" si="61"/>
        <v>3.5222542427153378E-2</v>
      </c>
      <c r="AA48" s="29">
        <f t="shared" si="61"/>
        <v>3.1508708048504003E-2</v>
      </c>
      <c r="AB48" s="18">
        <f t="shared" si="61"/>
        <v>2.7360311463780786E-2</v>
      </c>
      <c r="AC48" s="18">
        <f t="shared" ref="AC48" si="62">AC47/AC45</f>
        <v>1.986609074672898E-2</v>
      </c>
      <c r="AF48" s="18" t="e">
        <f t="shared" ref="AF48:AL48" si="63">AF47/AF45</f>
        <v>#DIV/0!</v>
      </c>
      <c r="AG48" s="18" t="e">
        <f t="shared" si="63"/>
        <v>#DIV/0!</v>
      </c>
      <c r="AH48" s="18" t="e">
        <f t="shared" si="63"/>
        <v>#DIV/0!</v>
      </c>
      <c r="AI48" s="18">
        <f t="shared" si="63"/>
        <v>5.3334879147397665E-2</v>
      </c>
      <c r="AJ48" s="18">
        <f t="shared" si="63"/>
        <v>5.1835506662579051E-2</v>
      </c>
      <c r="AK48" s="18">
        <f t="shared" si="63"/>
        <v>5.9313999751336569E-2</v>
      </c>
      <c r="AL48" s="18">
        <f t="shared" si="63"/>
        <v>5.2954097509269465E-2</v>
      </c>
      <c r="AM48" s="18">
        <f t="shared" ref="AM48" si="64">AM47/AM45</f>
        <v>2.3829581912242232E-2</v>
      </c>
    </row>
    <row r="49" spans="1:39" x14ac:dyDescent="0.35">
      <c r="C49" s="14"/>
      <c r="D49" s="14"/>
      <c r="E49" s="15"/>
      <c r="F49" s="15"/>
      <c r="G49" s="31"/>
      <c r="H49" s="15"/>
      <c r="I49" s="15"/>
      <c r="J49" s="15"/>
      <c r="K49" s="31"/>
      <c r="L49" s="15"/>
      <c r="M49" s="15"/>
      <c r="N49" s="15"/>
      <c r="O49" s="27"/>
      <c r="P49" s="7"/>
      <c r="Q49" s="7"/>
      <c r="R49" s="15"/>
      <c r="S49" s="31"/>
      <c r="T49" s="15"/>
      <c r="U49" s="15"/>
      <c r="V49" s="15"/>
      <c r="W49" s="31"/>
      <c r="X49" s="15"/>
      <c r="Y49" s="15"/>
      <c r="Z49" s="15"/>
      <c r="AA49" s="31"/>
      <c r="AB49" s="15"/>
      <c r="AC49" s="15"/>
      <c r="AD49" s="15"/>
      <c r="AE49" s="15"/>
      <c r="AF49" s="15"/>
      <c r="AG49" s="15"/>
      <c r="AH49" s="15"/>
      <c r="AI49" s="15"/>
      <c r="AJ49" s="15"/>
      <c r="AK49" s="15"/>
      <c r="AL49" s="15"/>
    </row>
    <row r="50" spans="1:39" s="60" customFormat="1" x14ac:dyDescent="0.35">
      <c r="A50" s="60" t="s">
        <v>44</v>
      </c>
      <c r="B50" s="26" t="s">
        <v>45</v>
      </c>
      <c r="G50" s="62"/>
      <c r="K50" s="61"/>
      <c r="O50" s="61"/>
      <c r="S50" s="61"/>
      <c r="W50" s="61"/>
      <c r="AA50" s="61"/>
    </row>
    <row r="51" spans="1:39" s="7" customFormat="1" x14ac:dyDescent="0.35">
      <c r="A51"/>
      <c r="B51" s="5" t="s">
        <v>46</v>
      </c>
      <c r="C51" s="7">
        <v>20581</v>
      </c>
      <c r="D51" s="7">
        <v>21116</v>
      </c>
      <c r="E51" s="7">
        <v>22339</v>
      </c>
      <c r="F51" s="7">
        <f>94665-C51-D51-E51</f>
        <v>30629</v>
      </c>
      <c r="G51" s="27">
        <v>23734</v>
      </c>
      <c r="H51" s="7">
        <v>24745</v>
      </c>
      <c r="I51" s="7">
        <v>28768</v>
      </c>
      <c r="J51" s="7">
        <f>118573-G51-H51-I51</f>
        <v>41326</v>
      </c>
      <c r="K51" s="27">
        <v>31605</v>
      </c>
      <c r="L51" s="7">
        <v>31864</v>
      </c>
      <c r="M51" s="7">
        <v>33746</v>
      </c>
      <c r="N51" s="7">
        <f>141915-K51-L51-M51</f>
        <v>44700</v>
      </c>
      <c r="O51" s="27">
        <v>34283</v>
      </c>
      <c r="P51" s="7">
        <v>35856</v>
      </c>
      <c r="Q51" s="7">
        <v>39726</v>
      </c>
      <c r="R51" s="7">
        <f>160408-O51-P51-Q51</f>
        <v>50543</v>
      </c>
      <c r="S51" s="27">
        <v>41841</v>
      </c>
      <c r="T51" s="7">
        <v>50244</v>
      </c>
      <c r="U51" s="7">
        <v>52774</v>
      </c>
      <c r="V51" s="7">
        <f>215915-S51-T51-U51</f>
        <v>71056</v>
      </c>
      <c r="W51" s="27">
        <v>57491</v>
      </c>
      <c r="X51" s="7">
        <v>58004</v>
      </c>
      <c r="Y51" s="7">
        <v>54876</v>
      </c>
      <c r="Z51" s="7">
        <f>241787-W51-X51-Y51</f>
        <v>71416</v>
      </c>
      <c r="AA51" s="27">
        <v>56455</v>
      </c>
      <c r="AB51" s="7">
        <v>56575</v>
      </c>
      <c r="AC51" s="7">
        <v>59340</v>
      </c>
      <c r="AJ51" s="7">
        <v>160408</v>
      </c>
      <c r="AK51" s="7">
        <v>215915</v>
      </c>
      <c r="AL51" s="7">
        <v>241787</v>
      </c>
      <c r="AM51" s="7">
        <v>242901</v>
      </c>
    </row>
    <row r="52" spans="1:39" s="13" customFormat="1" x14ac:dyDescent="0.35">
      <c r="A52" s="8"/>
      <c r="B52" s="9" t="s">
        <v>47</v>
      </c>
      <c r="C52" s="13">
        <v>8547</v>
      </c>
      <c r="D52" s="13">
        <v>9288</v>
      </c>
      <c r="E52" s="13">
        <v>10375</v>
      </c>
      <c r="F52" s="13">
        <f>41322-SUM(C52:E52)</f>
        <v>13112</v>
      </c>
      <c r="G52" s="28">
        <v>11980</v>
      </c>
      <c r="H52" s="13">
        <v>13210</v>
      </c>
      <c r="I52" s="13">
        <v>14976</v>
      </c>
      <c r="J52" s="13">
        <f>59293-SUM(G52:I52)</f>
        <v>19127</v>
      </c>
      <c r="K52" s="28">
        <v>19437</v>
      </c>
      <c r="L52" s="13">
        <v>21022</v>
      </c>
      <c r="M52" s="13">
        <v>22830</v>
      </c>
      <c r="N52" s="13">
        <f>90972-SUM(K52:M52)</f>
        <v>27683</v>
      </c>
      <c r="O52" s="28">
        <v>25417</v>
      </c>
      <c r="P52" s="13">
        <v>27548</v>
      </c>
      <c r="Q52" s="13">
        <v>30255</v>
      </c>
      <c r="R52" s="13">
        <f>120114-SUM(O52:Q52)</f>
        <v>36894</v>
      </c>
      <c r="S52" s="28">
        <v>33611</v>
      </c>
      <c r="T52" s="13">
        <v>38668</v>
      </c>
      <c r="U52" s="13">
        <v>43371</v>
      </c>
      <c r="V52" s="13">
        <f>170149-SUM(S52:U52)</f>
        <v>54499</v>
      </c>
      <c r="W52" s="28">
        <v>51027</v>
      </c>
      <c r="X52" s="13">
        <v>55076</v>
      </c>
      <c r="Y52" s="13">
        <v>55936</v>
      </c>
      <c r="Z52" s="13">
        <f>228035-SUM(W52:Y52)</f>
        <v>65996</v>
      </c>
      <c r="AA52" s="28">
        <v>59989</v>
      </c>
      <c r="AB52" s="13">
        <v>64659</v>
      </c>
      <c r="AC52" s="13">
        <v>67761</v>
      </c>
      <c r="AJ52" s="13">
        <v>120114</v>
      </c>
      <c r="AK52" s="13">
        <v>170149</v>
      </c>
      <c r="AL52" s="13">
        <v>228035</v>
      </c>
      <c r="AM52" s="13">
        <v>271082</v>
      </c>
    </row>
    <row r="53" spans="1:39" s="12" customFormat="1" x14ac:dyDescent="0.35">
      <c r="A53" s="3"/>
      <c r="B53" s="11" t="s">
        <v>48</v>
      </c>
      <c r="C53" s="12">
        <f>C51+C52</f>
        <v>29128</v>
      </c>
      <c r="D53" s="12">
        <f t="shared" ref="D53:X53" si="65">D51+D52</f>
        <v>30404</v>
      </c>
      <c r="E53" s="12">
        <f t="shared" si="65"/>
        <v>32714</v>
      </c>
      <c r="F53" s="12">
        <f t="shared" si="65"/>
        <v>43741</v>
      </c>
      <c r="G53" s="30">
        <f t="shared" si="65"/>
        <v>35714</v>
      </c>
      <c r="H53" s="12">
        <f t="shared" si="65"/>
        <v>37955</v>
      </c>
      <c r="I53" s="12">
        <f t="shared" si="65"/>
        <v>43744</v>
      </c>
      <c r="J53" s="12">
        <f t="shared" si="65"/>
        <v>60453</v>
      </c>
      <c r="K53" s="30">
        <f t="shared" si="65"/>
        <v>51042</v>
      </c>
      <c r="L53" s="12">
        <f t="shared" si="65"/>
        <v>52886</v>
      </c>
      <c r="M53" s="12">
        <f t="shared" si="65"/>
        <v>56576</v>
      </c>
      <c r="N53" s="12">
        <f t="shared" si="65"/>
        <v>72383</v>
      </c>
      <c r="O53" s="30">
        <f t="shared" si="65"/>
        <v>59700</v>
      </c>
      <c r="P53" s="12">
        <f t="shared" si="65"/>
        <v>63404</v>
      </c>
      <c r="Q53" s="12">
        <f t="shared" si="65"/>
        <v>69981</v>
      </c>
      <c r="R53" s="12">
        <f t="shared" si="65"/>
        <v>87437</v>
      </c>
      <c r="S53" s="30">
        <f t="shared" si="65"/>
        <v>75452</v>
      </c>
      <c r="T53" s="12">
        <f t="shared" si="65"/>
        <v>88912</v>
      </c>
      <c r="U53" s="12">
        <f t="shared" si="65"/>
        <v>96145</v>
      </c>
      <c r="V53" s="12">
        <f t="shared" si="65"/>
        <v>125555</v>
      </c>
      <c r="W53" s="30">
        <f t="shared" si="65"/>
        <v>108518</v>
      </c>
      <c r="X53" s="12">
        <f t="shared" si="65"/>
        <v>113080</v>
      </c>
      <c r="Y53" s="12">
        <f t="shared" ref="Y53:Z53" si="66">Y51+Y52</f>
        <v>110812</v>
      </c>
      <c r="Z53" s="12">
        <f t="shared" si="66"/>
        <v>137412</v>
      </c>
      <c r="AA53" s="30">
        <f t="shared" ref="AA53" si="67">AA51+AA52</f>
        <v>116444</v>
      </c>
      <c r="AB53" s="12">
        <f t="shared" ref="AB53" si="68">AB51+AB52</f>
        <v>121234</v>
      </c>
      <c r="AC53" s="12">
        <f t="shared" ref="AC53" si="69">AC51+AC52</f>
        <v>127101</v>
      </c>
      <c r="AF53" s="12">
        <f t="shared" ref="AF53:AM53" si="70">AF51+AF52</f>
        <v>0</v>
      </c>
      <c r="AG53" s="12">
        <f t="shared" si="70"/>
        <v>0</v>
      </c>
      <c r="AH53" s="12">
        <f t="shared" si="70"/>
        <v>0</v>
      </c>
      <c r="AI53" s="12">
        <f t="shared" si="70"/>
        <v>0</v>
      </c>
      <c r="AJ53" s="12">
        <f t="shared" si="70"/>
        <v>280522</v>
      </c>
      <c r="AK53" s="12">
        <f t="shared" si="70"/>
        <v>386064</v>
      </c>
      <c r="AL53" s="12">
        <f t="shared" si="70"/>
        <v>469822</v>
      </c>
      <c r="AM53" s="12">
        <f t="shared" si="70"/>
        <v>513983</v>
      </c>
    </row>
    <row r="54" spans="1:39" s="48" customFormat="1" x14ac:dyDescent="0.35">
      <c r="A54" s="41"/>
      <c r="B54" s="47" t="s">
        <v>23</v>
      </c>
      <c r="G54" s="49"/>
      <c r="K54" s="49"/>
      <c r="O54" s="49"/>
      <c r="S54" s="49"/>
      <c r="W54" s="49"/>
      <c r="AA54" s="49"/>
    </row>
    <row r="55" spans="1:39" s="7" customFormat="1" x14ac:dyDescent="0.35">
      <c r="A55"/>
      <c r="B55" s="5" t="s">
        <v>49</v>
      </c>
      <c r="C55" s="7">
        <v>18866</v>
      </c>
      <c r="D55" s="7">
        <v>19180</v>
      </c>
      <c r="E55" s="7">
        <v>21260</v>
      </c>
      <c r="F55" s="7">
        <f>88265-C55-D55-E55</f>
        <v>28959</v>
      </c>
      <c r="G55" s="27">
        <v>22440</v>
      </c>
      <c r="H55" s="7">
        <v>23451</v>
      </c>
      <c r="I55" s="7">
        <v>27549</v>
      </c>
      <c r="J55" s="7">
        <f>111934-G55-H55-I55</f>
        <v>38494</v>
      </c>
      <c r="K55" s="27">
        <v>30735</v>
      </c>
      <c r="L55" s="7">
        <v>30632</v>
      </c>
      <c r="M55" s="7">
        <v>33003</v>
      </c>
      <c r="N55" s="7">
        <f>139156-K55-L55-M55</f>
        <v>44786</v>
      </c>
      <c r="O55" s="27">
        <v>33920</v>
      </c>
      <c r="P55" s="7">
        <v>36337</v>
      </c>
      <c r="Q55" s="7">
        <v>41302</v>
      </c>
      <c r="R55" s="7">
        <f>165536-O55-P55-Q55</f>
        <v>53977</v>
      </c>
      <c r="S55" s="27">
        <v>44257</v>
      </c>
      <c r="T55" s="7">
        <v>52660</v>
      </c>
      <c r="U55" s="7">
        <v>57106</v>
      </c>
      <c r="V55" s="7">
        <f>233307-S55-T55-U55</f>
        <v>79284</v>
      </c>
      <c r="W55" s="27">
        <v>62403</v>
      </c>
      <c r="X55" s="7">
        <v>64176</v>
      </c>
      <c r="Y55" s="7">
        <v>62930</v>
      </c>
      <c r="Z55" s="7">
        <f>272344-W55-X55-Y55</f>
        <v>82835</v>
      </c>
      <c r="AA55" s="27">
        <v>66499</v>
      </c>
      <c r="AB55" s="7">
        <v>66424</v>
      </c>
      <c r="AC55" s="7">
        <v>70268</v>
      </c>
      <c r="AJ55" s="7">
        <v>165536</v>
      </c>
      <c r="AK55" s="7">
        <v>233307</v>
      </c>
      <c r="AL55" s="7">
        <v>272344</v>
      </c>
      <c r="AM55" s="7">
        <v>288831</v>
      </c>
    </row>
    <row r="56" spans="1:39" s="7" customFormat="1" x14ac:dyDescent="0.35">
      <c r="A56"/>
      <c r="B56" s="5" t="s">
        <v>50</v>
      </c>
      <c r="C56" s="7">
        <v>3687</v>
      </c>
      <c r="D56" s="7">
        <v>3878</v>
      </c>
      <c r="E56" s="7">
        <v>4335</v>
      </c>
      <c r="F56" s="7">
        <f>17619-C56-D56-E56</f>
        <v>5719</v>
      </c>
      <c r="G56" s="27">
        <v>4697</v>
      </c>
      <c r="H56" s="7">
        <v>5158</v>
      </c>
      <c r="I56" s="7">
        <v>6420</v>
      </c>
      <c r="J56" s="7">
        <f>25249-G56-H56-I56</f>
        <v>8974</v>
      </c>
      <c r="K56" s="27">
        <v>7792</v>
      </c>
      <c r="L56" s="7">
        <v>7932</v>
      </c>
      <c r="M56" s="7">
        <v>8275</v>
      </c>
      <c r="N56" s="7">
        <f>34027-K56-L56-M56</f>
        <v>10028</v>
      </c>
      <c r="O56" s="27">
        <v>8601</v>
      </c>
      <c r="P56" s="7">
        <v>9271</v>
      </c>
      <c r="Q56" s="7">
        <v>10167</v>
      </c>
      <c r="R56" s="7">
        <f>40232-O56-P56-Q56</f>
        <v>12193</v>
      </c>
      <c r="S56" s="27">
        <v>11531</v>
      </c>
      <c r="T56" s="7">
        <v>13806</v>
      </c>
      <c r="U56" s="7">
        <v>14705</v>
      </c>
      <c r="V56" s="7">
        <f>58517-S56-T56-U56</f>
        <v>18475</v>
      </c>
      <c r="W56" s="27">
        <v>16530</v>
      </c>
      <c r="X56" s="7">
        <v>17638</v>
      </c>
      <c r="Y56" s="7">
        <v>18498</v>
      </c>
      <c r="Z56" s="7">
        <f>75111-W56-X56-Y56</f>
        <v>22445</v>
      </c>
      <c r="AA56" s="27">
        <v>20271</v>
      </c>
      <c r="AB56" s="7">
        <v>20342</v>
      </c>
      <c r="AC56" s="7">
        <v>20583</v>
      </c>
      <c r="AJ56" s="7">
        <v>40232</v>
      </c>
      <c r="AK56" s="7">
        <v>58517</v>
      </c>
      <c r="AL56" s="7">
        <v>75111</v>
      </c>
      <c r="AM56" s="7">
        <v>84299</v>
      </c>
    </row>
    <row r="57" spans="1:39" s="7" customFormat="1" x14ac:dyDescent="0.35">
      <c r="A57"/>
      <c r="B57" t="s">
        <v>51</v>
      </c>
      <c r="C57" s="7">
        <v>1436</v>
      </c>
      <c r="D57" s="7">
        <v>1546</v>
      </c>
      <c r="E57" s="7">
        <v>1738</v>
      </c>
      <c r="F57" s="7">
        <f>7233-C57-D57-E57</f>
        <v>2513</v>
      </c>
      <c r="G57" s="7">
        <v>1920</v>
      </c>
      <c r="H57" s="7">
        <v>2229</v>
      </c>
      <c r="I57" s="7">
        <v>2479</v>
      </c>
      <c r="J57" s="7">
        <f>10069-G57-H57-I57</f>
        <v>3441</v>
      </c>
      <c r="K57" s="7">
        <v>2699</v>
      </c>
      <c r="L57" s="7">
        <v>2901</v>
      </c>
      <c r="M57" s="7">
        <v>3303</v>
      </c>
      <c r="N57" s="7">
        <f>13814-K57-L57-M57</f>
        <v>4911</v>
      </c>
      <c r="O57" s="7">
        <v>3664</v>
      </c>
      <c r="P57" s="7">
        <v>4291</v>
      </c>
      <c r="Q57" s="7">
        <v>4752</v>
      </c>
      <c r="R57" s="7">
        <f>18878-O57-P57-Q57</f>
        <v>6171</v>
      </c>
      <c r="S57" s="7">
        <v>4828</v>
      </c>
      <c r="T57" s="7">
        <v>4345</v>
      </c>
      <c r="U57" s="7">
        <v>5434</v>
      </c>
      <c r="V57" s="7">
        <f>22008-S57-T57-U57</f>
        <v>7401</v>
      </c>
      <c r="W57" s="7">
        <v>6207</v>
      </c>
      <c r="X57" s="7">
        <v>7524</v>
      </c>
      <c r="Y57" s="7">
        <v>8010</v>
      </c>
      <c r="Z57" s="7">
        <f>32551-W57-X57-Y57</f>
        <v>10810</v>
      </c>
      <c r="AA57" s="7">
        <v>8320</v>
      </c>
      <c r="AB57" s="7">
        <v>10086</v>
      </c>
      <c r="AC57" s="7">
        <v>19485</v>
      </c>
      <c r="AJ57" s="7">
        <v>35931</v>
      </c>
      <c r="AK57" s="7">
        <v>22008</v>
      </c>
      <c r="AL57" s="7">
        <v>32551</v>
      </c>
      <c r="AM57" s="7">
        <v>42238</v>
      </c>
    </row>
    <row r="58" spans="1:39" s="7" customFormat="1" x14ac:dyDescent="0.35">
      <c r="A58"/>
      <c r="B58" s="5" t="s">
        <v>52</v>
      </c>
      <c r="C58" s="7">
        <v>3526</v>
      </c>
      <c r="D58" s="7">
        <v>3880</v>
      </c>
      <c r="E58" s="7">
        <v>4135</v>
      </c>
      <c r="F58" s="7">
        <f>16085-C58-D58-E58</f>
        <v>4544</v>
      </c>
      <c r="G58" s="27">
        <v>4813</v>
      </c>
      <c r="H58" s="7">
        <v>5549</v>
      </c>
      <c r="I58" s="7">
        <v>5944</v>
      </c>
      <c r="J58" s="7">
        <f>22620-G58-H58-I58</f>
        <v>6314</v>
      </c>
      <c r="K58" s="27">
        <v>6759</v>
      </c>
      <c r="L58" s="7">
        <v>7247</v>
      </c>
      <c r="M58" s="7">
        <v>7162</v>
      </c>
      <c r="N58" s="7">
        <f>28837-K58-L58-M58</f>
        <v>7669</v>
      </c>
      <c r="O58" s="27">
        <v>7927</v>
      </c>
      <c r="P58" s="7">
        <v>9065</v>
      </c>
      <c r="Q58" s="7">
        <v>9200</v>
      </c>
      <c r="R58" s="7">
        <f>35931-O58-P58-Q58</f>
        <v>9739</v>
      </c>
      <c r="S58" s="27">
        <v>9325</v>
      </c>
      <c r="T58" s="7">
        <v>10388</v>
      </c>
      <c r="U58" s="7">
        <v>10976</v>
      </c>
      <c r="V58" s="7">
        <f>42740-S58-T58-U58</f>
        <v>12051</v>
      </c>
      <c r="W58" s="27">
        <v>12488</v>
      </c>
      <c r="X58" s="7">
        <v>13871</v>
      </c>
      <c r="Y58" s="7">
        <v>14380</v>
      </c>
      <c r="Z58" s="7">
        <f>54052-W58-X58-Y58</f>
        <v>13313</v>
      </c>
      <c r="AA58" s="27">
        <v>14842</v>
      </c>
      <c r="AB58" s="7">
        <v>18072</v>
      </c>
      <c r="AC58" s="7">
        <v>11014</v>
      </c>
      <c r="AJ58" s="7">
        <v>18878</v>
      </c>
      <c r="AK58" s="7">
        <v>42740</v>
      </c>
      <c r="AL58" s="7">
        <v>56052</v>
      </c>
      <c r="AM58" s="7">
        <v>73213</v>
      </c>
    </row>
    <row r="59" spans="1:39" s="7" customFormat="1" x14ac:dyDescent="0.35">
      <c r="A59"/>
      <c r="B59" s="5" t="s">
        <v>53</v>
      </c>
      <c r="C59" s="7">
        <v>497</v>
      </c>
      <c r="D59" s="7">
        <v>580</v>
      </c>
      <c r="E59" s="7">
        <v>639</v>
      </c>
      <c r="F59" s="7">
        <f>2432-C59-D59-E59</f>
        <v>716</v>
      </c>
      <c r="G59" s="27">
        <v>795</v>
      </c>
      <c r="H59" s="7">
        <v>874</v>
      </c>
      <c r="I59" s="7">
        <v>960</v>
      </c>
      <c r="J59" s="7">
        <f>3674-G59-H59-I59</f>
        <v>1045</v>
      </c>
      <c r="K59" s="27">
        <v>1067</v>
      </c>
      <c r="L59" s="7">
        <v>1111</v>
      </c>
      <c r="M59" s="7">
        <v>1041</v>
      </c>
      <c r="N59" s="7">
        <f>4336-K59-L59-M59</f>
        <v>1117</v>
      </c>
      <c r="O59" s="27">
        <v>1173</v>
      </c>
      <c r="P59" s="7">
        <v>1270</v>
      </c>
      <c r="Q59" s="7">
        <v>1348</v>
      </c>
      <c r="R59" s="7">
        <f>5203-O59-P59-Q59</f>
        <v>1412</v>
      </c>
      <c r="S59" s="27">
        <v>1452</v>
      </c>
      <c r="T59" s="7">
        <v>1580</v>
      </c>
      <c r="U59" s="7">
        <v>1668</v>
      </c>
      <c r="V59" s="7">
        <f>6668-S59-T59-U59</f>
        <v>1968</v>
      </c>
      <c r="W59" s="27">
        <v>1987</v>
      </c>
      <c r="X59" s="7">
        <v>2158</v>
      </c>
      <c r="Y59" s="7">
        <v>2153</v>
      </c>
      <c r="Z59" s="7">
        <f>8823-W59-X59-Y59</f>
        <v>2525</v>
      </c>
      <c r="AA59" s="27">
        <v>2594</v>
      </c>
      <c r="AB59" s="7">
        <v>2903</v>
      </c>
      <c r="AC59" s="7">
        <v>3061</v>
      </c>
      <c r="AJ59" s="7">
        <v>5203</v>
      </c>
      <c r="AK59" s="7">
        <v>6668</v>
      </c>
      <c r="AL59" s="7">
        <v>8823</v>
      </c>
      <c r="AM59" s="7">
        <v>11891</v>
      </c>
    </row>
    <row r="60" spans="1:39" s="13" customFormat="1" x14ac:dyDescent="0.35">
      <c r="A60" s="8"/>
      <c r="B60" s="9" t="s">
        <v>54</v>
      </c>
      <c r="C60" s="13">
        <v>45</v>
      </c>
      <c r="D60" s="13">
        <v>55</v>
      </c>
      <c r="E60" s="13">
        <v>32</v>
      </c>
      <c r="F60" s="13">
        <f>167-C60-D60-E60</f>
        <v>35</v>
      </c>
      <c r="G60" s="28">
        <v>44</v>
      </c>
      <c r="H60" s="13">
        <v>66</v>
      </c>
      <c r="I60" s="13">
        <v>45</v>
      </c>
      <c r="J60" s="13">
        <f>214-G60-H60-I60</f>
        <v>59</v>
      </c>
      <c r="K60" s="28">
        <v>63</v>
      </c>
      <c r="L60" s="13">
        <v>80</v>
      </c>
      <c r="M60" s="13">
        <v>68</v>
      </c>
      <c r="N60" s="13">
        <f>296-K60-L60-M60</f>
        <v>85</v>
      </c>
      <c r="O60" s="28">
        <v>-5</v>
      </c>
      <c r="P60" s="13">
        <v>86</v>
      </c>
      <c r="Q60" s="13">
        <v>55</v>
      </c>
      <c r="R60" s="13">
        <f>201-O60-P60-Q60</f>
        <v>65</v>
      </c>
      <c r="S60" s="28">
        <v>70</v>
      </c>
      <c r="T60" s="13">
        <v>290</v>
      </c>
      <c r="U60" s="13">
        <v>62</v>
      </c>
      <c r="V60" s="13">
        <f>-75-S60-T60-U60</f>
        <v>-497</v>
      </c>
      <c r="W60" s="28">
        <v>38</v>
      </c>
      <c r="X60" s="13">
        <v>11</v>
      </c>
      <c r="Y60" s="13">
        <v>-11</v>
      </c>
      <c r="Z60" s="13">
        <f>62-W60-X60-Y60</f>
        <v>24</v>
      </c>
      <c r="AA60" s="28">
        <v>249</v>
      </c>
      <c r="AB60" s="13">
        <v>90</v>
      </c>
      <c r="AC60" s="13">
        <v>165</v>
      </c>
      <c r="AJ60" s="13">
        <v>201</v>
      </c>
      <c r="AK60" s="13">
        <v>-75</v>
      </c>
      <c r="AL60" s="13">
        <v>62</v>
      </c>
      <c r="AM60" s="13">
        <v>1263</v>
      </c>
    </row>
    <row r="61" spans="1:39" s="39" customFormat="1" x14ac:dyDescent="0.35">
      <c r="A61" s="37"/>
      <c r="B61" s="38" t="s">
        <v>55</v>
      </c>
      <c r="C61" s="39">
        <f t="shared" ref="C61:AB61" si="71">SUM(C55:C60)</f>
        <v>28057</v>
      </c>
      <c r="D61" s="39">
        <f t="shared" si="71"/>
        <v>29119</v>
      </c>
      <c r="E61" s="39">
        <f t="shared" si="71"/>
        <v>32139</v>
      </c>
      <c r="F61" s="39">
        <f t="shared" si="71"/>
        <v>42486</v>
      </c>
      <c r="G61" s="39">
        <f t="shared" si="71"/>
        <v>34709</v>
      </c>
      <c r="H61" s="39">
        <f t="shared" si="71"/>
        <v>37327</v>
      </c>
      <c r="I61" s="39">
        <f t="shared" si="71"/>
        <v>43397</v>
      </c>
      <c r="J61" s="39">
        <f t="shared" si="71"/>
        <v>58327</v>
      </c>
      <c r="K61" s="39">
        <f t="shared" si="71"/>
        <v>49115</v>
      </c>
      <c r="L61" s="39">
        <f t="shared" si="71"/>
        <v>49903</v>
      </c>
      <c r="M61" s="39">
        <f t="shared" si="71"/>
        <v>52852</v>
      </c>
      <c r="N61" s="39">
        <f t="shared" si="71"/>
        <v>68596</v>
      </c>
      <c r="O61" s="39">
        <f t="shared" si="71"/>
        <v>55280</v>
      </c>
      <c r="P61" s="39">
        <f t="shared" si="71"/>
        <v>60320</v>
      </c>
      <c r="Q61" s="39">
        <f t="shared" si="71"/>
        <v>66824</v>
      </c>
      <c r="R61" s="39">
        <f t="shared" si="71"/>
        <v>83557</v>
      </c>
      <c r="S61" s="39">
        <f t="shared" si="71"/>
        <v>71463</v>
      </c>
      <c r="T61" s="39">
        <f t="shared" si="71"/>
        <v>83069</v>
      </c>
      <c r="U61" s="39">
        <f t="shared" si="71"/>
        <v>89951</v>
      </c>
      <c r="V61" s="39">
        <f t="shared" si="71"/>
        <v>118682</v>
      </c>
      <c r="W61" s="39">
        <f t="shared" si="71"/>
        <v>99653</v>
      </c>
      <c r="X61" s="39">
        <f t="shared" si="71"/>
        <v>105378</v>
      </c>
      <c r="Y61" s="39">
        <f t="shared" si="71"/>
        <v>105960</v>
      </c>
      <c r="Z61" s="39">
        <f t="shared" si="71"/>
        <v>131952</v>
      </c>
      <c r="AA61" s="39">
        <f t="shared" si="71"/>
        <v>112775</v>
      </c>
      <c r="AB61" s="39">
        <f t="shared" si="71"/>
        <v>117917</v>
      </c>
      <c r="AC61" s="39">
        <f>SUM(AC55:AC60)</f>
        <v>124576</v>
      </c>
      <c r="AE61" s="39">
        <f t="shared" ref="AE61:AK61" si="72">SUM(AE55:AE60)</f>
        <v>0</v>
      </c>
      <c r="AF61" s="39">
        <f t="shared" si="72"/>
        <v>0</v>
      </c>
      <c r="AG61" s="39">
        <f t="shared" si="72"/>
        <v>0</v>
      </c>
      <c r="AH61" s="39">
        <f t="shared" si="72"/>
        <v>0</v>
      </c>
      <c r="AI61" s="39">
        <f t="shared" si="72"/>
        <v>0</v>
      </c>
      <c r="AJ61" s="39">
        <f t="shared" si="72"/>
        <v>265981</v>
      </c>
      <c r="AK61" s="39">
        <f t="shared" si="72"/>
        <v>363165</v>
      </c>
      <c r="AL61" s="39">
        <f t="shared" ref="AL61:AM61" si="73">SUM(AL55:AL60)</f>
        <v>444943</v>
      </c>
      <c r="AM61" s="39">
        <f t="shared" si="73"/>
        <v>501735</v>
      </c>
    </row>
    <row r="62" spans="1:39" s="12" customFormat="1" x14ac:dyDescent="0.35">
      <c r="A62" s="3"/>
      <c r="B62" s="11" t="s">
        <v>24</v>
      </c>
      <c r="C62" s="12">
        <f t="shared" ref="C62:AB62" si="74">C53-C61</f>
        <v>1071</v>
      </c>
      <c r="D62" s="12">
        <f t="shared" si="74"/>
        <v>1285</v>
      </c>
      <c r="E62" s="12">
        <f t="shared" si="74"/>
        <v>575</v>
      </c>
      <c r="F62" s="12">
        <f t="shared" si="74"/>
        <v>1255</v>
      </c>
      <c r="G62" s="12">
        <f t="shared" si="74"/>
        <v>1005</v>
      </c>
      <c r="H62" s="12">
        <f t="shared" si="74"/>
        <v>628</v>
      </c>
      <c r="I62" s="12">
        <f t="shared" si="74"/>
        <v>347</v>
      </c>
      <c r="J62" s="12">
        <f t="shared" si="74"/>
        <v>2126</v>
      </c>
      <c r="K62" s="12">
        <f t="shared" si="74"/>
        <v>1927</v>
      </c>
      <c r="L62" s="12">
        <f t="shared" si="74"/>
        <v>2983</v>
      </c>
      <c r="M62" s="12">
        <f t="shared" si="74"/>
        <v>3724</v>
      </c>
      <c r="N62" s="12">
        <f t="shared" si="74"/>
        <v>3787</v>
      </c>
      <c r="O62" s="12">
        <f t="shared" si="74"/>
        <v>4420</v>
      </c>
      <c r="P62" s="12">
        <f t="shared" si="74"/>
        <v>3084</v>
      </c>
      <c r="Q62" s="12">
        <f t="shared" si="74"/>
        <v>3157</v>
      </c>
      <c r="R62" s="12">
        <f t="shared" si="74"/>
        <v>3880</v>
      </c>
      <c r="S62" s="12">
        <f t="shared" si="74"/>
        <v>3989</v>
      </c>
      <c r="T62" s="12">
        <f t="shared" si="74"/>
        <v>5843</v>
      </c>
      <c r="U62" s="12">
        <f t="shared" si="74"/>
        <v>6194</v>
      </c>
      <c r="V62" s="12">
        <f t="shared" si="74"/>
        <v>6873</v>
      </c>
      <c r="W62" s="12">
        <f t="shared" si="74"/>
        <v>8865</v>
      </c>
      <c r="X62" s="12">
        <f t="shared" si="74"/>
        <v>7702</v>
      </c>
      <c r="Y62" s="12">
        <f t="shared" si="74"/>
        <v>4852</v>
      </c>
      <c r="Z62" s="12">
        <f t="shared" si="74"/>
        <v>5460</v>
      </c>
      <c r="AA62" s="12">
        <f t="shared" si="74"/>
        <v>3669</v>
      </c>
      <c r="AB62" s="12">
        <f t="shared" si="74"/>
        <v>3317</v>
      </c>
      <c r="AC62" s="12">
        <f>AC53-AC61</f>
        <v>2525</v>
      </c>
      <c r="AE62" s="12">
        <f>AE53-AE61</f>
        <v>0</v>
      </c>
      <c r="AF62" s="12">
        <f t="shared" ref="AF62:AJ62" si="75">AF53-AF61</f>
        <v>0</v>
      </c>
      <c r="AG62" s="12">
        <f t="shared" si="75"/>
        <v>0</v>
      </c>
      <c r="AH62" s="12">
        <f t="shared" si="75"/>
        <v>0</v>
      </c>
      <c r="AI62" s="12">
        <f t="shared" si="75"/>
        <v>0</v>
      </c>
      <c r="AJ62" s="12">
        <f t="shared" si="75"/>
        <v>14541</v>
      </c>
      <c r="AK62" s="12">
        <f>AK53-AK61</f>
        <v>22899</v>
      </c>
      <c r="AL62" s="12">
        <f t="shared" ref="AL62:AM62" si="76">AL53-AL61</f>
        <v>24879</v>
      </c>
      <c r="AM62" s="12">
        <f t="shared" si="76"/>
        <v>12248</v>
      </c>
    </row>
    <row r="63" spans="1:39" s="48" customFormat="1" x14ac:dyDescent="0.35">
      <c r="A63" s="41"/>
      <c r="B63" s="47" t="s">
        <v>56</v>
      </c>
    </row>
    <row r="64" spans="1:39" s="7" customFormat="1" x14ac:dyDescent="0.35">
      <c r="A64"/>
      <c r="B64" s="5" t="s">
        <v>57</v>
      </c>
      <c r="C64" s="7">
        <v>21</v>
      </c>
      <c r="D64" s="7">
        <v>24</v>
      </c>
      <c r="E64" s="7">
        <v>26</v>
      </c>
      <c r="F64" s="7">
        <f>100-C64-D64-E64</f>
        <v>29</v>
      </c>
      <c r="G64" s="27">
        <v>39</v>
      </c>
      <c r="H64" s="7">
        <v>44</v>
      </c>
      <c r="I64" s="7">
        <v>54</v>
      </c>
      <c r="J64" s="7">
        <f>202-G64-H64-I64</f>
        <v>65</v>
      </c>
      <c r="K64" s="27">
        <v>80</v>
      </c>
      <c r="L64" s="7">
        <v>94</v>
      </c>
      <c r="M64" s="7">
        <v>117</v>
      </c>
      <c r="N64" s="7">
        <f>440-K64-L64-M64</f>
        <v>149</v>
      </c>
      <c r="O64" s="27">
        <v>183</v>
      </c>
      <c r="P64" s="7">
        <v>215</v>
      </c>
      <c r="Q64" s="7">
        <v>224</v>
      </c>
      <c r="R64" s="7">
        <f>832-O64-P64-Q64</f>
        <v>210</v>
      </c>
      <c r="S64" s="27">
        <v>202</v>
      </c>
      <c r="T64" s="7">
        <v>135</v>
      </c>
      <c r="U64" s="7">
        <v>118</v>
      </c>
      <c r="V64" s="7">
        <f>555-S64-T64-U64</f>
        <v>100</v>
      </c>
      <c r="W64" s="27">
        <v>105</v>
      </c>
      <c r="X64" s="7">
        <v>106</v>
      </c>
      <c r="Y64" s="7">
        <v>119</v>
      </c>
      <c r="Z64" s="7">
        <f>448-W64-X64-Y64</f>
        <v>118</v>
      </c>
      <c r="AA64" s="27">
        <v>108</v>
      </c>
      <c r="AB64" s="7">
        <v>159</v>
      </c>
      <c r="AC64" s="7">
        <v>277</v>
      </c>
      <c r="AJ64" s="7">
        <v>832</v>
      </c>
      <c r="AK64" s="7">
        <v>555</v>
      </c>
      <c r="AL64" s="7">
        <v>448</v>
      </c>
      <c r="AM64" s="7">
        <v>989</v>
      </c>
    </row>
    <row r="65" spans="1:39" s="7" customFormat="1" x14ac:dyDescent="0.35">
      <c r="A65"/>
      <c r="B65" s="5" t="s">
        <v>58</v>
      </c>
      <c r="C65" s="7">
        <v>-117</v>
      </c>
      <c r="D65" s="7">
        <v>-116</v>
      </c>
      <c r="E65" s="7">
        <v>-118</v>
      </c>
      <c r="F65" s="7">
        <f>+-484-C65-D65-E65</f>
        <v>-133</v>
      </c>
      <c r="G65" s="27">
        <v>-139</v>
      </c>
      <c r="H65" s="7">
        <v>-143</v>
      </c>
      <c r="I65" s="7">
        <v>-228</v>
      </c>
      <c r="J65" s="7">
        <f>+-848-G65-H65-I65</f>
        <v>-338</v>
      </c>
      <c r="K65" s="27">
        <v>-330</v>
      </c>
      <c r="L65" s="7">
        <v>-343</v>
      </c>
      <c r="M65" s="7">
        <v>-358</v>
      </c>
      <c r="N65" s="7">
        <f>+-1417-K65-L65-M65</f>
        <v>-386</v>
      </c>
      <c r="O65" s="27">
        <v>-366</v>
      </c>
      <c r="P65" s="7">
        <v>-383</v>
      </c>
      <c r="Q65" s="7">
        <v>-396</v>
      </c>
      <c r="R65" s="7">
        <f>+-1600-O65-P65-Q65</f>
        <v>-455</v>
      </c>
      <c r="S65" s="27">
        <v>-402</v>
      </c>
      <c r="T65" s="7">
        <v>-403</v>
      </c>
      <c r="U65" s="7">
        <v>-428</v>
      </c>
      <c r="V65" s="7">
        <f>+-1647-S65-T65-U65</f>
        <v>-414</v>
      </c>
      <c r="W65" s="27">
        <v>-399</v>
      </c>
      <c r="X65" s="7">
        <v>-435</v>
      </c>
      <c r="Y65" s="7">
        <v>-493</v>
      </c>
      <c r="Z65" s="7">
        <f>+-1809-W65-X65-Y65</f>
        <v>-482</v>
      </c>
      <c r="AA65" s="27">
        <v>-472</v>
      </c>
      <c r="AB65" s="7">
        <v>-584</v>
      </c>
      <c r="AC65" s="7">
        <v>-617</v>
      </c>
      <c r="AJ65" s="7">
        <v>-1600</v>
      </c>
      <c r="AK65" s="7">
        <v>-1647</v>
      </c>
      <c r="AL65" s="7">
        <v>-1809</v>
      </c>
      <c r="AM65" s="7">
        <v>-2367</v>
      </c>
    </row>
    <row r="66" spans="1:39" s="13" customFormat="1" x14ac:dyDescent="0.35">
      <c r="A66" s="8"/>
      <c r="B66" s="8" t="s">
        <v>59</v>
      </c>
      <c r="C66" s="13">
        <v>81</v>
      </c>
      <c r="D66" s="13">
        <v>-14</v>
      </c>
      <c r="E66" s="13">
        <v>8</v>
      </c>
      <c r="F66" s="13">
        <f>90-C66-D66-E66</f>
        <v>15</v>
      </c>
      <c r="G66" s="28">
        <v>48</v>
      </c>
      <c r="H66" s="13">
        <v>137</v>
      </c>
      <c r="I66" s="13">
        <v>143</v>
      </c>
      <c r="J66" s="13">
        <f>346-G66-H66-I66</f>
        <v>18</v>
      </c>
      <c r="K66" s="28">
        <v>239</v>
      </c>
      <c r="L66" s="13">
        <v>-129</v>
      </c>
      <c r="M66" s="13">
        <v>-93</v>
      </c>
      <c r="N66" s="13">
        <f>-183-K66-L66-M66</f>
        <v>-200</v>
      </c>
      <c r="O66" s="28">
        <v>164</v>
      </c>
      <c r="P66" s="13">
        <v>-27</v>
      </c>
      <c r="Q66" s="13">
        <v>-353</v>
      </c>
      <c r="R66" s="13">
        <f>203-O66-P66-Q66</f>
        <v>419</v>
      </c>
      <c r="S66" s="28">
        <v>-406</v>
      </c>
      <c r="T66" s="13">
        <v>646</v>
      </c>
      <c r="U66" s="13">
        <v>925</v>
      </c>
      <c r="V66" s="13">
        <f>2371-S66-T66-U66</f>
        <v>1206</v>
      </c>
      <c r="W66" s="28">
        <v>1697</v>
      </c>
      <c r="X66" s="13">
        <v>1261</v>
      </c>
      <c r="Y66" s="13">
        <v>-163</v>
      </c>
      <c r="Z66" s="13">
        <f>14633-W66-X66-Y66</f>
        <v>11838</v>
      </c>
      <c r="AA66" s="28">
        <v>-8570</v>
      </c>
      <c r="AB66" s="13">
        <v>-5545</v>
      </c>
      <c r="AC66" s="13">
        <v>759</v>
      </c>
      <c r="AJ66" s="13">
        <v>203</v>
      </c>
      <c r="AK66" s="13">
        <v>2371</v>
      </c>
      <c r="AL66" s="13">
        <v>14633</v>
      </c>
      <c r="AM66" s="13">
        <v>-16806</v>
      </c>
    </row>
    <row r="67" spans="1:39" s="13" customFormat="1" x14ac:dyDescent="0.35">
      <c r="A67" s="8"/>
      <c r="B67" s="9" t="s">
        <v>60</v>
      </c>
      <c r="C67" s="13">
        <f>SUM(C64:C66)</f>
        <v>-15</v>
      </c>
      <c r="D67" s="13">
        <f t="shared" ref="D67:X67" si="77">SUM(D64:D66)</f>
        <v>-106</v>
      </c>
      <c r="E67" s="13">
        <f t="shared" si="77"/>
        <v>-84</v>
      </c>
      <c r="F67" s="13">
        <f t="shared" si="77"/>
        <v>-89</v>
      </c>
      <c r="G67" s="28">
        <f t="shared" si="77"/>
        <v>-52</v>
      </c>
      <c r="H67" s="13">
        <f t="shared" si="77"/>
        <v>38</v>
      </c>
      <c r="I67" s="13">
        <f t="shared" si="77"/>
        <v>-31</v>
      </c>
      <c r="J67" s="13">
        <f t="shared" si="77"/>
        <v>-255</v>
      </c>
      <c r="K67" s="28">
        <f t="shared" si="77"/>
        <v>-11</v>
      </c>
      <c r="L67" s="13">
        <f t="shared" si="77"/>
        <v>-378</v>
      </c>
      <c r="M67" s="13">
        <f t="shared" si="77"/>
        <v>-334</v>
      </c>
      <c r="N67" s="13">
        <f t="shared" si="77"/>
        <v>-437</v>
      </c>
      <c r="O67" s="28">
        <f t="shared" si="77"/>
        <v>-19</v>
      </c>
      <c r="P67" s="13">
        <f t="shared" si="77"/>
        <v>-195</v>
      </c>
      <c r="Q67" s="13">
        <f t="shared" si="77"/>
        <v>-525</v>
      </c>
      <c r="R67" s="13">
        <f t="shared" si="77"/>
        <v>174</v>
      </c>
      <c r="S67" s="28">
        <f t="shared" si="77"/>
        <v>-606</v>
      </c>
      <c r="T67" s="13">
        <f t="shared" si="77"/>
        <v>378</v>
      </c>
      <c r="U67" s="13">
        <f t="shared" si="77"/>
        <v>615</v>
      </c>
      <c r="V67" s="13">
        <f t="shared" si="77"/>
        <v>892</v>
      </c>
      <c r="W67" s="28">
        <f t="shared" si="77"/>
        <v>1403</v>
      </c>
      <c r="X67" s="13">
        <f t="shared" si="77"/>
        <v>932</v>
      </c>
      <c r="Y67" s="13">
        <f t="shared" ref="Y67:Z67" si="78">SUM(Y64:Y66)</f>
        <v>-537</v>
      </c>
      <c r="Z67" s="13">
        <f t="shared" si="78"/>
        <v>11474</v>
      </c>
      <c r="AA67" s="28">
        <f t="shared" ref="AA67" si="79">SUM(AA64:AA66)</f>
        <v>-8934</v>
      </c>
      <c r="AB67" s="13">
        <f t="shared" ref="AB67" si="80">SUM(AB64:AB66)</f>
        <v>-5970</v>
      </c>
      <c r="AC67" s="13">
        <f t="shared" ref="AC67" si="81">SUM(AC64:AC66)</f>
        <v>419</v>
      </c>
      <c r="AE67" s="13">
        <f t="shared" ref="AE67" si="82">SUM(AE64:AE66)</f>
        <v>0</v>
      </c>
      <c r="AF67" s="13">
        <f t="shared" ref="AF67" si="83">SUM(AF64:AF66)</f>
        <v>0</v>
      </c>
      <c r="AG67" s="13">
        <f t="shared" ref="AG67" si="84">SUM(AG64:AG66)</f>
        <v>0</v>
      </c>
      <c r="AH67" s="13">
        <f t="shared" ref="AH67" si="85">SUM(AH64:AH66)</f>
        <v>0</v>
      </c>
      <c r="AI67" s="13">
        <f t="shared" ref="AI67" si="86">SUM(AI64:AI66)</f>
        <v>0</v>
      </c>
      <c r="AJ67" s="13">
        <f>SUM(AJ64:AJ66)</f>
        <v>-565</v>
      </c>
      <c r="AK67" s="13">
        <f>SUM(AK64:AK66)</f>
        <v>1279</v>
      </c>
      <c r="AL67" s="13">
        <f t="shared" ref="AL67:AM67" si="87">SUM(AL64:AL66)</f>
        <v>13272</v>
      </c>
      <c r="AM67" s="13">
        <f t="shared" si="87"/>
        <v>-18184</v>
      </c>
    </row>
    <row r="68" spans="1:39" s="7" customFormat="1" x14ac:dyDescent="0.35">
      <c r="A68"/>
      <c r="B68" s="5" t="s">
        <v>61</v>
      </c>
      <c r="C68" s="7">
        <f t="shared" ref="C68:AB68" si="88">C62+C67</f>
        <v>1056</v>
      </c>
      <c r="D68" s="7">
        <f t="shared" si="88"/>
        <v>1179</v>
      </c>
      <c r="E68" s="7">
        <f t="shared" si="88"/>
        <v>491</v>
      </c>
      <c r="F68" s="7">
        <f t="shared" si="88"/>
        <v>1166</v>
      </c>
      <c r="G68" s="7">
        <f t="shared" si="88"/>
        <v>953</v>
      </c>
      <c r="H68" s="7">
        <f t="shared" si="88"/>
        <v>666</v>
      </c>
      <c r="I68" s="7">
        <f t="shared" si="88"/>
        <v>316</v>
      </c>
      <c r="J68" s="7">
        <f t="shared" si="88"/>
        <v>1871</v>
      </c>
      <c r="K68" s="7">
        <f t="shared" si="88"/>
        <v>1916</v>
      </c>
      <c r="L68" s="7">
        <f t="shared" si="88"/>
        <v>2605</v>
      </c>
      <c r="M68" s="7">
        <f t="shared" si="88"/>
        <v>3390</v>
      </c>
      <c r="N68" s="7">
        <f t="shared" si="88"/>
        <v>3350</v>
      </c>
      <c r="O68" s="7">
        <f t="shared" si="88"/>
        <v>4401</v>
      </c>
      <c r="P68" s="7">
        <f t="shared" si="88"/>
        <v>2889</v>
      </c>
      <c r="Q68" s="7">
        <f t="shared" si="88"/>
        <v>2632</v>
      </c>
      <c r="R68" s="7">
        <f t="shared" si="88"/>
        <v>4054</v>
      </c>
      <c r="S68" s="7">
        <f t="shared" si="88"/>
        <v>3383</v>
      </c>
      <c r="T68" s="7">
        <f t="shared" si="88"/>
        <v>6221</v>
      </c>
      <c r="U68" s="7">
        <f t="shared" si="88"/>
        <v>6809</v>
      </c>
      <c r="V68" s="7">
        <f t="shared" si="88"/>
        <v>7765</v>
      </c>
      <c r="W68" s="7">
        <f t="shared" si="88"/>
        <v>10268</v>
      </c>
      <c r="X68" s="7">
        <f t="shared" si="88"/>
        <v>8634</v>
      </c>
      <c r="Y68" s="7">
        <f t="shared" si="88"/>
        <v>4315</v>
      </c>
      <c r="Z68" s="7">
        <f t="shared" si="88"/>
        <v>16934</v>
      </c>
      <c r="AA68" s="7">
        <f t="shared" si="88"/>
        <v>-5265</v>
      </c>
      <c r="AB68" s="7">
        <f t="shared" si="88"/>
        <v>-2653</v>
      </c>
      <c r="AC68" s="7">
        <f>AC62+AC67</f>
        <v>2944</v>
      </c>
      <c r="AE68" s="7">
        <f>AE62+AE67</f>
        <v>0</v>
      </c>
      <c r="AF68" s="7">
        <f t="shared" ref="AF68:AJ68" si="89">AF62+AF67</f>
        <v>0</v>
      </c>
      <c r="AG68" s="7">
        <f t="shared" si="89"/>
        <v>0</v>
      </c>
      <c r="AH68" s="7">
        <f t="shared" si="89"/>
        <v>0</v>
      </c>
      <c r="AI68" s="7">
        <f t="shared" si="89"/>
        <v>0</v>
      </c>
      <c r="AJ68" s="7">
        <f t="shared" si="89"/>
        <v>13976</v>
      </c>
      <c r="AK68" s="7">
        <f>AK62+AK67</f>
        <v>24178</v>
      </c>
      <c r="AL68" s="7">
        <f t="shared" ref="AL68:AM68" si="90">AL62+AL67</f>
        <v>38151</v>
      </c>
      <c r="AM68" s="7">
        <f t="shared" si="90"/>
        <v>-5936</v>
      </c>
    </row>
    <row r="69" spans="1:39" s="7" customFormat="1" x14ac:dyDescent="0.35">
      <c r="A69"/>
      <c r="B69" s="5" t="s">
        <v>62</v>
      </c>
      <c r="C69" s="7">
        <v>-475</v>
      </c>
      <c r="D69" s="7">
        <v>-307</v>
      </c>
      <c r="E69" s="7">
        <v>-229</v>
      </c>
      <c r="F69" s="7">
        <f>+-1425-C69-D69-E69</f>
        <v>-414</v>
      </c>
      <c r="G69" s="27">
        <v>-229</v>
      </c>
      <c r="H69" s="7">
        <v>-467</v>
      </c>
      <c r="I69" s="7">
        <v>-58</v>
      </c>
      <c r="J69" s="7">
        <f>+-769-G69-H69-I69</f>
        <v>-15</v>
      </c>
      <c r="K69" s="27">
        <v>-287</v>
      </c>
      <c r="L69" s="7">
        <v>-74</v>
      </c>
      <c r="M69" s="7">
        <v>-508</v>
      </c>
      <c r="N69" s="7">
        <f>+-1197-K69-L69-M69</f>
        <v>-328</v>
      </c>
      <c r="O69" s="27">
        <v>-836</v>
      </c>
      <c r="P69" s="7">
        <v>-257</v>
      </c>
      <c r="Q69" s="7">
        <v>-494</v>
      </c>
      <c r="R69" s="7">
        <f>+-2374-O69-P69-Q69</f>
        <v>-787</v>
      </c>
      <c r="S69" s="27">
        <v>-744</v>
      </c>
      <c r="T69" s="7">
        <v>-984</v>
      </c>
      <c r="U69" s="7">
        <v>-569</v>
      </c>
      <c r="V69" s="7">
        <f>+-2863-S69-T69-U69</f>
        <v>-566</v>
      </c>
      <c r="W69" s="27">
        <v>-2156</v>
      </c>
      <c r="X69" s="7">
        <v>-868</v>
      </c>
      <c r="Y69" s="7">
        <v>-1155</v>
      </c>
      <c r="Z69" s="7">
        <f>+-4791-W69-X69-Y69</f>
        <v>-612</v>
      </c>
      <c r="AA69" s="27">
        <v>1422</v>
      </c>
      <c r="AB69" s="7">
        <v>637</v>
      </c>
      <c r="AC69" s="7">
        <v>-69</v>
      </c>
      <c r="AJ69" s="7">
        <v>-2374</v>
      </c>
      <c r="AK69" s="7">
        <v>-2863</v>
      </c>
      <c r="AL69" s="7">
        <v>-4791</v>
      </c>
      <c r="AM69" s="7">
        <v>3217</v>
      </c>
    </row>
    <row r="70" spans="1:39" s="13" customFormat="1" x14ac:dyDescent="0.35">
      <c r="A70" s="8"/>
      <c r="B70" s="9" t="s">
        <v>63</v>
      </c>
      <c r="C70" s="13">
        <v>-68</v>
      </c>
      <c r="D70" s="13">
        <v>-15</v>
      </c>
      <c r="E70" s="13">
        <v>-10</v>
      </c>
      <c r="F70" s="13">
        <f>+-96-C70-D70-E70</f>
        <v>-3</v>
      </c>
      <c r="G70" s="28">
        <v>0</v>
      </c>
      <c r="H70" s="13">
        <v>-2</v>
      </c>
      <c r="I70" s="13">
        <v>-2</v>
      </c>
      <c r="J70" s="13">
        <f>+-4-G70-H70-I70</f>
        <v>0</v>
      </c>
      <c r="K70" s="28">
        <v>0</v>
      </c>
      <c r="L70" s="13">
        <v>3</v>
      </c>
      <c r="M70" s="13">
        <v>1</v>
      </c>
      <c r="N70" s="13">
        <f>9-K70-L70-M70</f>
        <v>5</v>
      </c>
      <c r="O70" s="28">
        <v>-4</v>
      </c>
      <c r="P70" s="13">
        <v>-7</v>
      </c>
      <c r="Q70" s="13">
        <v>-4</v>
      </c>
      <c r="R70" s="13">
        <f>-14-O70-P70-Q70</f>
        <v>1</v>
      </c>
      <c r="S70" s="28">
        <v>-104</v>
      </c>
      <c r="T70" s="13">
        <v>6</v>
      </c>
      <c r="U70" s="13">
        <v>91</v>
      </c>
      <c r="V70" s="13">
        <f>16-S70-T70-U70</f>
        <v>23</v>
      </c>
      <c r="W70" s="28">
        <v>-5</v>
      </c>
      <c r="X70" s="13">
        <v>12</v>
      </c>
      <c r="Y70" s="13">
        <v>-4</v>
      </c>
      <c r="Z70" s="13">
        <f>4-W70-X70-Y70</f>
        <v>1</v>
      </c>
      <c r="AA70" s="28">
        <v>-1</v>
      </c>
      <c r="AB70" s="13">
        <v>-12</v>
      </c>
      <c r="AC70" s="13">
        <v>-3</v>
      </c>
      <c r="AJ70" s="13">
        <v>-14</v>
      </c>
      <c r="AK70" s="13">
        <v>16</v>
      </c>
      <c r="AL70" s="13">
        <v>4</v>
      </c>
      <c r="AM70" s="13">
        <v>-3</v>
      </c>
    </row>
    <row r="71" spans="1:39" s="12" customFormat="1" x14ac:dyDescent="0.35">
      <c r="A71" s="3"/>
      <c r="B71" s="11" t="s">
        <v>64</v>
      </c>
      <c r="C71" s="12">
        <f>SUM(C68:C70)</f>
        <v>513</v>
      </c>
      <c r="D71" s="12">
        <f t="shared" ref="D71:X71" si="91">SUM(D68:D70)</f>
        <v>857</v>
      </c>
      <c r="E71" s="12">
        <f t="shared" si="91"/>
        <v>252</v>
      </c>
      <c r="F71" s="12">
        <f t="shared" si="91"/>
        <v>749</v>
      </c>
      <c r="G71" s="30">
        <f t="shared" si="91"/>
        <v>724</v>
      </c>
      <c r="H71" s="12">
        <f t="shared" si="91"/>
        <v>197</v>
      </c>
      <c r="I71" s="12">
        <f t="shared" si="91"/>
        <v>256</v>
      </c>
      <c r="J71" s="12">
        <f t="shared" si="91"/>
        <v>1856</v>
      </c>
      <c r="K71" s="30">
        <f t="shared" si="91"/>
        <v>1629</v>
      </c>
      <c r="L71" s="12">
        <f t="shared" si="91"/>
        <v>2534</v>
      </c>
      <c r="M71" s="12">
        <f t="shared" si="91"/>
        <v>2883</v>
      </c>
      <c r="N71" s="12">
        <f t="shared" si="91"/>
        <v>3027</v>
      </c>
      <c r="O71" s="30">
        <f t="shared" si="91"/>
        <v>3561</v>
      </c>
      <c r="P71" s="12">
        <f t="shared" si="91"/>
        <v>2625</v>
      </c>
      <c r="Q71" s="12">
        <f t="shared" si="91"/>
        <v>2134</v>
      </c>
      <c r="R71" s="12">
        <f t="shared" si="91"/>
        <v>3268</v>
      </c>
      <c r="S71" s="30">
        <f t="shared" si="91"/>
        <v>2535</v>
      </c>
      <c r="T71" s="12">
        <f t="shared" si="91"/>
        <v>5243</v>
      </c>
      <c r="U71" s="12">
        <f t="shared" si="91"/>
        <v>6331</v>
      </c>
      <c r="V71" s="12">
        <f t="shared" si="91"/>
        <v>7222</v>
      </c>
      <c r="W71" s="30">
        <f t="shared" si="91"/>
        <v>8107</v>
      </c>
      <c r="X71" s="12">
        <f t="shared" si="91"/>
        <v>7778</v>
      </c>
      <c r="Y71" s="12">
        <f t="shared" ref="Y71:Z71" si="92">SUM(Y68:Y70)</f>
        <v>3156</v>
      </c>
      <c r="Z71" s="12">
        <f t="shared" si="92"/>
        <v>16323</v>
      </c>
      <c r="AA71" s="30">
        <f t="shared" ref="AA71" si="93">SUM(AA68:AA70)</f>
        <v>-3844</v>
      </c>
      <c r="AB71" s="12">
        <f t="shared" ref="AB71" si="94">SUM(AB68:AB70)</f>
        <v>-2028</v>
      </c>
      <c r="AC71" s="12">
        <f t="shared" ref="AC71" si="95">SUM(AC68:AC70)</f>
        <v>2872</v>
      </c>
      <c r="AE71" s="12">
        <f t="shared" ref="AE71" si="96">SUM(AE68:AE70)</f>
        <v>0</v>
      </c>
      <c r="AF71" s="12">
        <f t="shared" ref="AF71" si="97">SUM(AF68:AF70)</f>
        <v>0</v>
      </c>
      <c r="AG71" s="12">
        <f t="shared" ref="AG71" si="98">SUM(AG68:AG70)</f>
        <v>0</v>
      </c>
      <c r="AH71" s="12">
        <f t="shared" ref="AH71" si="99">SUM(AH68:AH70)</f>
        <v>0</v>
      </c>
      <c r="AI71" s="12">
        <f>SUM(AI68:AI70)</f>
        <v>0</v>
      </c>
      <c r="AJ71" s="12">
        <f>SUM(AJ68:AJ70)</f>
        <v>11588</v>
      </c>
      <c r="AK71" s="12">
        <f>SUM(AK68:AK70)</f>
        <v>21331</v>
      </c>
      <c r="AL71" s="12">
        <f t="shared" ref="AL71:AM71" si="100">SUM(AL68:AL70)</f>
        <v>33364</v>
      </c>
      <c r="AM71" s="12">
        <f t="shared" si="100"/>
        <v>-2722</v>
      </c>
    </row>
    <row r="72" spans="1:39" x14ac:dyDescent="0.35">
      <c r="P72" s="7"/>
      <c r="W72" s="27"/>
      <c r="Z72" s="10"/>
    </row>
    <row r="73" spans="1:39" s="10" customFormat="1" x14ac:dyDescent="0.35">
      <c r="B73" s="67" t="s">
        <v>65</v>
      </c>
      <c r="C73" s="10">
        <f>C71/C75</f>
        <v>1.089171974522293</v>
      </c>
      <c r="D73" s="10">
        <f t="shared" ref="D73:W73" si="101">D71/D75</f>
        <v>1.8080168776371308</v>
      </c>
      <c r="E73" s="10">
        <f t="shared" si="101"/>
        <v>0.53052631578947373</v>
      </c>
      <c r="F73" s="10">
        <f t="shared" si="101"/>
        <v>1.570230607966457</v>
      </c>
      <c r="G73" s="34">
        <f t="shared" si="101"/>
        <v>1.5178197064989518</v>
      </c>
      <c r="H73" s="10">
        <f t="shared" si="101"/>
        <v>0.41127348643006262</v>
      </c>
      <c r="I73" s="10">
        <f t="shared" si="101"/>
        <v>0.53222453222453225</v>
      </c>
      <c r="J73" s="10">
        <f t="shared" si="101"/>
        <v>3.8666666666666667</v>
      </c>
      <c r="K73" s="34">
        <f t="shared" si="101"/>
        <v>3.365702479338843</v>
      </c>
      <c r="L73" s="10">
        <f t="shared" si="101"/>
        <v>5.2139917695473255</v>
      </c>
      <c r="M73" s="10">
        <f t="shared" si="101"/>
        <v>5.7544910179640718</v>
      </c>
      <c r="N73" s="10">
        <f t="shared" si="101"/>
        <v>6.2156057494866532</v>
      </c>
      <c r="O73" s="34">
        <f t="shared" si="101"/>
        <v>7.2525458248472505</v>
      </c>
      <c r="P73" s="10">
        <f t="shared" si="101"/>
        <v>5.3245436105476678</v>
      </c>
      <c r="Q73" s="10">
        <f t="shared" si="101"/>
        <v>4.3111111111111109</v>
      </c>
      <c r="R73" s="10">
        <f t="shared" si="101"/>
        <v>6.615384615384615</v>
      </c>
      <c r="S73" s="34">
        <f t="shared" si="101"/>
        <v>5.0903614457831328</v>
      </c>
      <c r="T73" s="10">
        <f t="shared" si="101"/>
        <v>10.486000000000001</v>
      </c>
      <c r="U73" s="10">
        <f t="shared" si="101"/>
        <v>12.636726546906187</v>
      </c>
      <c r="V73" s="10">
        <f t="shared" si="101"/>
        <v>14.444000000000001</v>
      </c>
      <c r="W73" s="34">
        <f t="shared" si="101"/>
        <v>16.085317460317459</v>
      </c>
      <c r="X73" s="10">
        <f t="shared" ref="X73:AC73" si="102">X71/X75</f>
        <v>15.397406710877958</v>
      </c>
      <c r="Y73" s="10">
        <f t="shared" si="102"/>
        <v>6.224852071005917</v>
      </c>
      <c r="Z73" s="10">
        <f t="shared" si="102"/>
        <v>32.258893280632414</v>
      </c>
      <c r="AA73" s="34">
        <f t="shared" si="102"/>
        <v>-7.5520628683693518</v>
      </c>
      <c r="AB73" s="10">
        <f t="shared" si="102"/>
        <v>-0.19931203931203931</v>
      </c>
      <c r="AC73" s="10">
        <f t="shared" si="102"/>
        <v>0.27799825767108705</v>
      </c>
      <c r="AE73" s="10" t="s">
        <v>66</v>
      </c>
      <c r="AF73" s="10" t="e">
        <f t="shared" ref="AF73:AJ73" si="103">AF71/AF75</f>
        <v>#DIV/0!</v>
      </c>
      <c r="AG73" s="10" t="e">
        <f t="shared" si="103"/>
        <v>#DIV/0!</v>
      </c>
      <c r="AH73" s="10" t="e">
        <f t="shared" si="103"/>
        <v>#DIV/0!</v>
      </c>
      <c r="AI73" s="10">
        <f t="shared" si="103"/>
        <v>0</v>
      </c>
      <c r="AJ73" s="10">
        <f t="shared" si="103"/>
        <v>1.1728744939271256</v>
      </c>
      <c r="AK73" s="10">
        <f>AK71/AK75</f>
        <v>2.1320339830084958</v>
      </c>
      <c r="AL73" s="10">
        <f>AL71/AL75</f>
        <v>3.2978155579717305</v>
      </c>
      <c r="AM73" s="10">
        <f>AM71/AM75</f>
        <v>-0.2671508489547551</v>
      </c>
    </row>
    <row r="74" spans="1:39" s="10" customFormat="1" x14ac:dyDescent="0.35">
      <c r="B74" s="67" t="s">
        <v>67</v>
      </c>
      <c r="G74" s="34"/>
      <c r="K74" s="34"/>
      <c r="O74" s="34"/>
      <c r="S74" s="34"/>
      <c r="W74" s="34"/>
      <c r="AA74" s="34"/>
      <c r="AE74" s="10" t="e">
        <f>AE71/AE76</f>
        <v>#DIV/0!</v>
      </c>
      <c r="AF74" s="10" t="e">
        <f t="shared" ref="AF74:AJ74" si="104">AF71/AF76</f>
        <v>#DIV/0!</v>
      </c>
      <c r="AG74" s="10" t="e">
        <f t="shared" si="104"/>
        <v>#DIV/0!</v>
      </c>
      <c r="AH74" s="10" t="e">
        <f t="shared" si="104"/>
        <v>#DIV/0!</v>
      </c>
      <c r="AI74" s="10">
        <f t="shared" si="104"/>
        <v>0</v>
      </c>
      <c r="AJ74" s="10">
        <f t="shared" si="104"/>
        <v>1.1496031746031745</v>
      </c>
      <c r="AK74" s="10">
        <f>AK71/AK76</f>
        <v>2.0916846440478527</v>
      </c>
      <c r="AL74" s="10">
        <f>AL71/AL76</f>
        <v>3.2404817404817403</v>
      </c>
      <c r="AM74" s="10">
        <f>AM71/AM76</f>
        <v>-0.2671508489547551</v>
      </c>
    </row>
    <row r="75" spans="1:39" x14ac:dyDescent="0.35">
      <c r="B75" s="5" t="s">
        <v>68</v>
      </c>
      <c r="C75">
        <v>471</v>
      </c>
      <c r="D75">
        <v>474</v>
      </c>
      <c r="E75">
        <v>475</v>
      </c>
      <c r="F75">
        <v>477</v>
      </c>
      <c r="G75" s="33">
        <v>477</v>
      </c>
      <c r="H75">
        <v>479</v>
      </c>
      <c r="I75">
        <v>481</v>
      </c>
      <c r="J75">
        <v>480</v>
      </c>
      <c r="K75" s="33">
        <v>484</v>
      </c>
      <c r="L75">
        <v>486</v>
      </c>
      <c r="M75">
        <v>501</v>
      </c>
      <c r="N75">
        <v>487</v>
      </c>
      <c r="O75" s="33">
        <v>491</v>
      </c>
      <c r="P75">
        <v>493</v>
      </c>
      <c r="Q75">
        <v>495</v>
      </c>
      <c r="R75">
        <v>494</v>
      </c>
      <c r="S75" s="33">
        <v>498</v>
      </c>
      <c r="T75">
        <v>500</v>
      </c>
      <c r="U75">
        <v>501</v>
      </c>
      <c r="V75">
        <v>500</v>
      </c>
      <c r="W75" s="33">
        <v>504</v>
      </c>
      <c r="X75">
        <f>10103/20</f>
        <v>505.15</v>
      </c>
      <c r="Y75">
        <v>507</v>
      </c>
      <c r="Z75">
        <v>506</v>
      </c>
      <c r="AA75" s="33">
        <v>509</v>
      </c>
      <c r="AB75" s="7">
        <v>10175</v>
      </c>
      <c r="AC75">
        <v>10331</v>
      </c>
      <c r="AI75">
        <f>487*20</f>
        <v>9740</v>
      </c>
      <c r="AJ75">
        <f>494*20</f>
        <v>9880</v>
      </c>
      <c r="AK75">
        <v>10005</v>
      </c>
      <c r="AL75">
        <v>10117</v>
      </c>
      <c r="AM75">
        <v>10189</v>
      </c>
    </row>
    <row r="76" spans="1:39" x14ac:dyDescent="0.35">
      <c r="B76" s="5" t="s">
        <v>69</v>
      </c>
      <c r="AB76" s="7"/>
      <c r="AI76">
        <f>500*20</f>
        <v>10000</v>
      </c>
      <c r="AJ76">
        <f>504*20</f>
        <v>10080</v>
      </c>
      <c r="AK76">
        <v>10198</v>
      </c>
      <c r="AL76">
        <v>10296</v>
      </c>
      <c r="AM76">
        <v>10189</v>
      </c>
    </row>
    <row r="77" spans="1:39" x14ac:dyDescent="0.35">
      <c r="AB77" s="7"/>
    </row>
    <row r="79" spans="1:39" s="60" customFormat="1" x14ac:dyDescent="0.35">
      <c r="B79" s="26" t="s">
        <v>70</v>
      </c>
      <c r="G79" s="61"/>
      <c r="K79" s="61"/>
      <c r="O79" s="61"/>
      <c r="S79" s="61"/>
      <c r="W79" s="61"/>
      <c r="AA79" s="61"/>
    </row>
    <row r="80" spans="1:39" s="42" customFormat="1" x14ac:dyDescent="0.35">
      <c r="B80" s="43" t="s">
        <v>71</v>
      </c>
      <c r="G80" s="44"/>
      <c r="K80" s="44"/>
      <c r="O80" s="44"/>
      <c r="S80" s="44"/>
      <c r="W80" s="44"/>
      <c r="AA80" s="44"/>
    </row>
    <row r="81" spans="1:39" s="7" customFormat="1" x14ac:dyDescent="0.35">
      <c r="A81"/>
      <c r="B81" s="5" t="s">
        <v>72</v>
      </c>
      <c r="C81" s="7">
        <v>12470</v>
      </c>
      <c r="D81" s="7">
        <v>12521</v>
      </c>
      <c r="E81" s="7">
        <v>13656</v>
      </c>
      <c r="F81" s="7">
        <v>19334</v>
      </c>
      <c r="G81" s="27">
        <v>15440</v>
      </c>
      <c r="H81" s="7">
        <v>13203</v>
      </c>
      <c r="I81" s="7">
        <v>12767</v>
      </c>
      <c r="J81" s="7">
        <v>20522</v>
      </c>
      <c r="K81" s="27">
        <v>16676</v>
      </c>
      <c r="L81" s="7">
        <v>19823</v>
      </c>
      <c r="M81" s="7">
        <v>20425</v>
      </c>
      <c r="N81" s="7">
        <v>31750</v>
      </c>
      <c r="O81" s="27">
        <v>23115</v>
      </c>
      <c r="P81" s="7">
        <v>22616</v>
      </c>
      <c r="Q81" s="7">
        <v>23255</v>
      </c>
      <c r="R81" s="7">
        <v>36092</v>
      </c>
      <c r="S81" s="27">
        <v>27201</v>
      </c>
      <c r="T81" s="7">
        <v>37466</v>
      </c>
      <c r="U81" s="7">
        <v>29930</v>
      </c>
      <c r="V81" s="7">
        <v>42122</v>
      </c>
      <c r="W81" s="27">
        <v>33834</v>
      </c>
      <c r="X81" s="7">
        <v>40380</v>
      </c>
      <c r="Y81" s="7">
        <v>29944</v>
      </c>
      <c r="Z81" s="7">
        <v>36220</v>
      </c>
      <c r="AA81" s="27">
        <v>36393</v>
      </c>
      <c r="AB81" s="7">
        <v>37478</v>
      </c>
      <c r="AC81" s="7">
        <v>34947</v>
      </c>
      <c r="AJ81" s="7">
        <v>36092</v>
      </c>
      <c r="AK81" s="7">
        <v>42122</v>
      </c>
      <c r="AL81" s="7">
        <v>36220</v>
      </c>
      <c r="AM81" s="7">
        <v>53888</v>
      </c>
    </row>
    <row r="82" spans="1:39" s="7" customFormat="1" x14ac:dyDescent="0.35">
      <c r="A82"/>
      <c r="B82" s="5" t="s">
        <v>73</v>
      </c>
      <c r="C82" s="7">
        <v>3389</v>
      </c>
      <c r="D82" s="7">
        <v>4019</v>
      </c>
      <c r="E82" s="7">
        <v>4691</v>
      </c>
      <c r="F82" s="7">
        <v>6647</v>
      </c>
      <c r="G82" s="27">
        <v>6091</v>
      </c>
      <c r="H82" s="7">
        <v>8248</v>
      </c>
      <c r="I82" s="7">
        <v>11543</v>
      </c>
      <c r="J82" s="7">
        <v>10464</v>
      </c>
      <c r="K82" s="27">
        <v>8287</v>
      </c>
      <c r="L82" s="7">
        <v>7227</v>
      </c>
      <c r="M82" s="7">
        <v>9340</v>
      </c>
      <c r="N82" s="7">
        <v>9500</v>
      </c>
      <c r="O82" s="27">
        <v>13905</v>
      </c>
      <c r="P82" s="7">
        <v>18847</v>
      </c>
      <c r="Q82" s="7">
        <v>20146</v>
      </c>
      <c r="R82" s="7">
        <v>18929</v>
      </c>
      <c r="S82" s="27">
        <v>22091</v>
      </c>
      <c r="T82" s="7">
        <v>33925</v>
      </c>
      <c r="U82" s="7">
        <v>38472</v>
      </c>
      <c r="V82" s="7">
        <v>42274</v>
      </c>
      <c r="W82" s="27">
        <v>39436</v>
      </c>
      <c r="X82" s="7">
        <v>49514</v>
      </c>
      <c r="Y82" s="7">
        <v>49044</v>
      </c>
      <c r="Z82" s="7">
        <v>59829</v>
      </c>
      <c r="AA82" s="27">
        <v>29992</v>
      </c>
      <c r="AB82" s="7">
        <v>23232</v>
      </c>
      <c r="AC82" s="7">
        <v>23715</v>
      </c>
      <c r="AJ82" s="7">
        <v>18929</v>
      </c>
      <c r="AK82" s="7">
        <v>42274</v>
      </c>
      <c r="AL82" s="7">
        <v>59829</v>
      </c>
      <c r="AM82" s="7">
        <v>16138</v>
      </c>
    </row>
    <row r="83" spans="1:39" s="7" customFormat="1" x14ac:dyDescent="0.35">
      <c r="A83"/>
      <c r="B83" s="5" t="s">
        <v>74</v>
      </c>
      <c r="C83" s="7">
        <v>9582</v>
      </c>
      <c r="D83" s="7">
        <v>9588</v>
      </c>
      <c r="E83" s="7">
        <v>10696</v>
      </c>
      <c r="F83" s="7">
        <v>11461</v>
      </c>
      <c r="G83" s="27">
        <v>10600</v>
      </c>
      <c r="H83" s="7">
        <v>11510</v>
      </c>
      <c r="I83" s="7">
        <v>13711</v>
      </c>
      <c r="J83" s="7">
        <v>16047</v>
      </c>
      <c r="K83" s="27">
        <v>13840</v>
      </c>
      <c r="L83" s="7">
        <v>14824</v>
      </c>
      <c r="M83" s="7">
        <v>15862</v>
      </c>
      <c r="N83" s="7">
        <v>17174</v>
      </c>
      <c r="O83" s="27">
        <v>16432</v>
      </c>
      <c r="P83" s="7">
        <v>18580</v>
      </c>
      <c r="Q83" s="7">
        <v>18766</v>
      </c>
      <c r="R83" s="7">
        <v>20497</v>
      </c>
      <c r="S83" s="27">
        <v>18857</v>
      </c>
      <c r="T83" s="7">
        <v>19599</v>
      </c>
      <c r="U83" s="7">
        <v>23735</v>
      </c>
      <c r="V83" s="7">
        <v>23795</v>
      </c>
      <c r="W83" s="27">
        <v>23849</v>
      </c>
      <c r="X83" s="7">
        <v>24119</v>
      </c>
      <c r="Y83" s="7">
        <v>30933</v>
      </c>
      <c r="Z83" s="7">
        <v>32640</v>
      </c>
      <c r="AA83" s="27">
        <v>34987</v>
      </c>
      <c r="AB83" s="7">
        <v>38153</v>
      </c>
      <c r="AC83" s="7">
        <v>36647</v>
      </c>
      <c r="AJ83" s="7">
        <v>20497</v>
      </c>
      <c r="AK83" s="7">
        <v>23795</v>
      </c>
      <c r="AL83" s="7">
        <v>32640</v>
      </c>
      <c r="AM83" s="7">
        <v>34405</v>
      </c>
    </row>
    <row r="84" spans="1:39" s="13" customFormat="1" x14ac:dyDescent="0.35">
      <c r="A84" s="8"/>
      <c r="B84" s="9" t="s">
        <v>75</v>
      </c>
      <c r="C84" s="13">
        <v>5072</v>
      </c>
      <c r="D84" s="13">
        <v>6092</v>
      </c>
      <c r="E84" s="13">
        <v>6566</v>
      </c>
      <c r="F84" s="13">
        <v>8339</v>
      </c>
      <c r="G84" s="28">
        <v>7329</v>
      </c>
      <c r="H84" s="13">
        <v>8046</v>
      </c>
      <c r="I84" s="13">
        <v>10557</v>
      </c>
      <c r="J84" s="13">
        <v>13164</v>
      </c>
      <c r="K84" s="28">
        <v>12026</v>
      </c>
      <c r="L84" s="13">
        <v>12607</v>
      </c>
      <c r="M84" s="13">
        <v>14258</v>
      </c>
      <c r="N84" s="13">
        <v>16677</v>
      </c>
      <c r="O84" s="28">
        <v>15979</v>
      </c>
      <c r="P84" s="13">
        <v>16747</v>
      </c>
      <c r="Q84" s="13">
        <v>16887</v>
      </c>
      <c r="R84" s="13">
        <v>20816</v>
      </c>
      <c r="S84" s="28">
        <v>17836</v>
      </c>
      <c r="T84" s="13">
        <v>19918</v>
      </c>
      <c r="U84" s="13">
        <v>20832</v>
      </c>
      <c r="V84" s="13">
        <v>24542</v>
      </c>
      <c r="W84" s="28">
        <v>24289</v>
      </c>
      <c r="X84" s="13">
        <v>26835</v>
      </c>
      <c r="Y84" s="13">
        <v>28610</v>
      </c>
      <c r="Z84" s="13">
        <v>32891</v>
      </c>
      <c r="AA84" s="28">
        <v>32504</v>
      </c>
      <c r="AB84" s="13">
        <v>34804</v>
      </c>
      <c r="AC84" s="13">
        <v>36154</v>
      </c>
      <c r="AJ84" s="13">
        <v>20816</v>
      </c>
      <c r="AK84" s="13">
        <v>24542</v>
      </c>
      <c r="AL84" s="13">
        <v>32891</v>
      </c>
      <c r="AM84" s="13">
        <v>42360</v>
      </c>
    </row>
    <row r="85" spans="1:39" s="12" customFormat="1" x14ac:dyDescent="0.35">
      <c r="A85" s="3"/>
      <c r="B85" s="11" t="s">
        <v>76</v>
      </c>
      <c r="C85" s="12">
        <f>SUM(C81:C84)</f>
        <v>30513</v>
      </c>
      <c r="D85" s="12">
        <f t="shared" ref="D85:X85" si="105">SUM(D81:D84)</f>
        <v>32220</v>
      </c>
      <c r="E85" s="12">
        <f t="shared" si="105"/>
        <v>35609</v>
      </c>
      <c r="F85" s="12">
        <f t="shared" si="105"/>
        <v>45781</v>
      </c>
      <c r="G85" s="30">
        <f t="shared" si="105"/>
        <v>39460</v>
      </c>
      <c r="H85" s="12">
        <f t="shared" si="105"/>
        <v>41007</v>
      </c>
      <c r="I85" s="12">
        <f t="shared" si="105"/>
        <v>48578</v>
      </c>
      <c r="J85" s="12">
        <f t="shared" si="105"/>
        <v>60197</v>
      </c>
      <c r="K85" s="30">
        <f t="shared" si="105"/>
        <v>50829</v>
      </c>
      <c r="L85" s="12">
        <f t="shared" si="105"/>
        <v>54481</v>
      </c>
      <c r="M85" s="12">
        <f t="shared" si="105"/>
        <v>59885</v>
      </c>
      <c r="N85" s="12">
        <f t="shared" si="105"/>
        <v>75101</v>
      </c>
      <c r="O85" s="30">
        <f t="shared" si="105"/>
        <v>69431</v>
      </c>
      <c r="P85" s="12">
        <f t="shared" si="105"/>
        <v>76790</v>
      </c>
      <c r="Q85" s="12">
        <f t="shared" si="105"/>
        <v>79054</v>
      </c>
      <c r="R85" s="12">
        <f t="shared" si="105"/>
        <v>96334</v>
      </c>
      <c r="S85" s="30">
        <f t="shared" si="105"/>
        <v>85985</v>
      </c>
      <c r="T85" s="12">
        <f t="shared" si="105"/>
        <v>110908</v>
      </c>
      <c r="U85" s="12">
        <f t="shared" si="105"/>
        <v>112969</v>
      </c>
      <c r="V85" s="12">
        <f t="shared" si="105"/>
        <v>132733</v>
      </c>
      <c r="W85" s="30">
        <f t="shared" si="105"/>
        <v>121408</v>
      </c>
      <c r="X85" s="12">
        <f t="shared" si="105"/>
        <v>140848</v>
      </c>
      <c r="Y85" s="12">
        <f t="shared" ref="Y85" si="106">SUM(Y81:Y84)</f>
        <v>138531</v>
      </c>
      <c r="Z85" s="12">
        <f t="shared" ref="Z85" si="107">SUM(Z81:Z84)</f>
        <v>161580</v>
      </c>
      <c r="AA85" s="30">
        <f t="shared" ref="AA85" si="108">SUM(AA81:AA84)</f>
        <v>133876</v>
      </c>
      <c r="AB85" s="12">
        <f t="shared" ref="AB85" si="109">SUM(AB81:AB84)</f>
        <v>133667</v>
      </c>
      <c r="AC85" s="12">
        <f t="shared" ref="AC85" si="110">SUM(AC81:AC84)</f>
        <v>131463</v>
      </c>
      <c r="AF85" s="12">
        <f t="shared" ref="AF85" si="111">SUM(AF81:AF84)</f>
        <v>0</v>
      </c>
      <c r="AG85" s="12">
        <f t="shared" ref="AG85" si="112">SUM(AG81:AG84)</f>
        <v>0</v>
      </c>
      <c r="AH85" s="12">
        <f t="shared" ref="AH85" si="113">SUM(AH81:AH84)</f>
        <v>0</v>
      </c>
      <c r="AI85" s="12">
        <f t="shared" ref="AI85:AM85" si="114">SUM(AI81:AI84)</f>
        <v>0</v>
      </c>
      <c r="AJ85" s="12">
        <f t="shared" ref="AJ85" si="115">SUM(AJ81:AJ84)</f>
        <v>96334</v>
      </c>
      <c r="AK85" s="12">
        <f t="shared" si="114"/>
        <v>132733</v>
      </c>
      <c r="AL85" s="12">
        <f t="shared" si="114"/>
        <v>161580</v>
      </c>
      <c r="AM85" s="12">
        <f t="shared" si="114"/>
        <v>146791</v>
      </c>
    </row>
    <row r="86" spans="1:39" s="45" customFormat="1" x14ac:dyDescent="0.35">
      <c r="A86" s="42"/>
      <c r="B86" s="43" t="s">
        <v>77</v>
      </c>
      <c r="G86" s="46"/>
      <c r="K86" s="46"/>
      <c r="O86" s="46"/>
      <c r="S86" s="46"/>
      <c r="W86" s="46"/>
      <c r="AA86" s="46"/>
    </row>
    <row r="87" spans="1:39" s="7" customFormat="1" x14ac:dyDescent="0.35">
      <c r="A87"/>
      <c r="B87" s="5" t="s">
        <v>78</v>
      </c>
      <c r="C87" s="7">
        <v>23308</v>
      </c>
      <c r="D87" s="7">
        <v>25190</v>
      </c>
      <c r="E87" s="7">
        <v>27177</v>
      </c>
      <c r="F87" s="7">
        <v>29114</v>
      </c>
      <c r="G87" s="27">
        <v>32632</v>
      </c>
      <c r="H87" s="7">
        <v>37083</v>
      </c>
      <c r="I87" s="7">
        <v>45335</v>
      </c>
      <c r="J87" s="7">
        <v>48866</v>
      </c>
      <c r="K87" s="27">
        <v>52331</v>
      </c>
      <c r="L87" s="7">
        <v>54768</v>
      </c>
      <c r="M87" s="7">
        <v>58019</v>
      </c>
      <c r="N87" s="7">
        <v>61797</v>
      </c>
      <c r="O87" s="27">
        <v>61048</v>
      </c>
      <c r="P87" s="7">
        <v>64723</v>
      </c>
      <c r="Q87" s="7">
        <v>67662</v>
      </c>
      <c r="R87" s="7">
        <v>72705</v>
      </c>
      <c r="S87" s="27">
        <v>77779</v>
      </c>
      <c r="T87" s="7">
        <v>86517</v>
      </c>
      <c r="U87" s="7">
        <v>99981</v>
      </c>
      <c r="V87" s="7">
        <v>113114</v>
      </c>
      <c r="W87" s="27">
        <v>121461</v>
      </c>
      <c r="X87" s="7">
        <v>133502</v>
      </c>
      <c r="Y87" s="7">
        <v>147152</v>
      </c>
      <c r="Z87" s="7">
        <v>160281</v>
      </c>
      <c r="AA87" s="27">
        <v>168468</v>
      </c>
      <c r="AB87" s="7">
        <v>173706</v>
      </c>
      <c r="AC87" s="7">
        <v>177195</v>
      </c>
      <c r="AJ87" s="7">
        <v>72705</v>
      </c>
      <c r="AK87" s="7">
        <v>113114</v>
      </c>
      <c r="AL87" s="7">
        <v>160281</v>
      </c>
      <c r="AM87" s="7">
        <v>186715</v>
      </c>
    </row>
    <row r="88" spans="1:39" s="7" customFormat="1" x14ac:dyDescent="0.35">
      <c r="A88"/>
      <c r="B88" s="5" t="s">
        <v>79</v>
      </c>
      <c r="C88" s="7" t="s">
        <v>32</v>
      </c>
      <c r="D88" s="7" t="s">
        <v>32</v>
      </c>
      <c r="E88" s="7" t="s">
        <v>32</v>
      </c>
      <c r="F88" s="7" t="s">
        <v>32</v>
      </c>
      <c r="G88" s="27" t="s">
        <v>32</v>
      </c>
      <c r="H88" s="7" t="s">
        <v>32</v>
      </c>
      <c r="I88" s="7" t="s">
        <v>32</v>
      </c>
      <c r="J88" s="7" t="s">
        <v>32</v>
      </c>
      <c r="K88" s="27" t="s">
        <v>32</v>
      </c>
      <c r="L88" s="7" t="s">
        <v>32</v>
      </c>
      <c r="M88" s="7" t="s">
        <v>32</v>
      </c>
      <c r="N88" s="7" t="s">
        <v>32</v>
      </c>
      <c r="O88" s="27">
        <v>20132</v>
      </c>
      <c r="P88" s="7">
        <v>21649</v>
      </c>
      <c r="Q88" s="7">
        <v>23114</v>
      </c>
      <c r="R88" s="7">
        <v>25141</v>
      </c>
      <c r="S88" s="27">
        <v>26279</v>
      </c>
      <c r="T88" s="7">
        <v>28537</v>
      </c>
      <c r="U88" s="7">
        <v>34119</v>
      </c>
      <c r="V88" s="7">
        <v>37553</v>
      </c>
      <c r="W88" s="27">
        <v>39328</v>
      </c>
      <c r="X88" s="7">
        <v>43346</v>
      </c>
      <c r="Y88" s="7">
        <v>52151</v>
      </c>
      <c r="Z88" s="7">
        <v>56082</v>
      </c>
      <c r="AA88" s="27">
        <v>56161</v>
      </c>
      <c r="AB88" s="7">
        <v>58430</v>
      </c>
      <c r="AC88" s="7">
        <v>62033</v>
      </c>
      <c r="AJ88" s="7">
        <v>25141</v>
      </c>
      <c r="AK88" s="7">
        <v>37553</v>
      </c>
      <c r="AL88" s="7">
        <v>56082</v>
      </c>
      <c r="AM88" s="7">
        <v>66123</v>
      </c>
    </row>
    <row r="89" spans="1:39" s="7" customFormat="1" x14ac:dyDescent="0.35">
      <c r="A89"/>
      <c r="B89" s="5" t="s">
        <v>80</v>
      </c>
      <c r="C89" s="7">
        <v>3785</v>
      </c>
      <c r="D89" s="7">
        <v>3774</v>
      </c>
      <c r="E89" s="7">
        <v>3815</v>
      </c>
      <c r="F89" s="7">
        <v>3784</v>
      </c>
      <c r="G89" s="27">
        <v>3823</v>
      </c>
      <c r="H89" s="7">
        <v>4254</v>
      </c>
      <c r="I89" s="7">
        <v>13271</v>
      </c>
      <c r="J89" s="7">
        <v>13350</v>
      </c>
      <c r="K89" s="27">
        <v>13388</v>
      </c>
      <c r="L89" s="7">
        <v>13944</v>
      </c>
      <c r="M89" s="7">
        <v>14553</v>
      </c>
      <c r="N89" s="7">
        <v>14548</v>
      </c>
      <c r="O89" s="27">
        <v>14708</v>
      </c>
      <c r="P89" s="7">
        <v>14727</v>
      </c>
      <c r="Q89" s="7">
        <v>14734</v>
      </c>
      <c r="R89" s="7">
        <v>14754</v>
      </c>
      <c r="S89" s="27">
        <v>14739</v>
      </c>
      <c r="T89" s="7">
        <v>14751</v>
      </c>
      <c r="U89" s="7">
        <v>14960</v>
      </c>
      <c r="V89" s="7">
        <v>15017</v>
      </c>
      <c r="W89" s="27">
        <v>15220</v>
      </c>
      <c r="X89" s="7">
        <v>15350</v>
      </c>
      <c r="Y89" s="7">
        <v>15345</v>
      </c>
      <c r="Z89" s="7">
        <v>15371</v>
      </c>
      <c r="AA89" s="27">
        <v>20229</v>
      </c>
      <c r="AB89" s="7">
        <v>20195</v>
      </c>
      <c r="AC89" s="7">
        <v>20168</v>
      </c>
      <c r="AJ89" s="7">
        <v>14754</v>
      </c>
      <c r="AK89" s="7">
        <v>15017</v>
      </c>
      <c r="AL89" s="7">
        <v>15371</v>
      </c>
      <c r="AM89" s="7">
        <v>20288</v>
      </c>
    </row>
    <row r="90" spans="1:39" s="13" customFormat="1" x14ac:dyDescent="0.35">
      <c r="A90" s="8"/>
      <c r="B90" s="9" t="s">
        <v>81</v>
      </c>
      <c r="C90" s="13">
        <v>3522</v>
      </c>
      <c r="D90" s="13">
        <v>3892</v>
      </c>
      <c r="E90" s="13">
        <v>4296</v>
      </c>
      <c r="F90" s="13">
        <v>4723</v>
      </c>
      <c r="G90" s="28">
        <v>5054</v>
      </c>
      <c r="H90" s="13">
        <v>5437</v>
      </c>
      <c r="I90" s="13">
        <v>8083</v>
      </c>
      <c r="J90" s="13">
        <v>8897</v>
      </c>
      <c r="K90" s="28">
        <v>9814</v>
      </c>
      <c r="L90" s="13">
        <v>10907</v>
      </c>
      <c r="M90" s="13">
        <v>11238</v>
      </c>
      <c r="N90" s="13">
        <v>11202</v>
      </c>
      <c r="O90" s="28">
        <v>12783</v>
      </c>
      <c r="P90" s="13">
        <v>13462</v>
      </c>
      <c r="Q90" s="13">
        <v>14535</v>
      </c>
      <c r="R90" s="13">
        <v>16314</v>
      </c>
      <c r="S90" s="28">
        <v>16456</v>
      </c>
      <c r="T90" s="13">
        <v>17601</v>
      </c>
      <c r="U90" s="13">
        <v>20150</v>
      </c>
      <c r="V90" s="13">
        <v>22778</v>
      </c>
      <c r="W90" s="28">
        <v>25660</v>
      </c>
      <c r="X90" s="13">
        <v>27273</v>
      </c>
      <c r="Y90" s="13">
        <v>29227</v>
      </c>
      <c r="Z90" s="13">
        <v>27235</v>
      </c>
      <c r="AA90" s="28">
        <v>32033</v>
      </c>
      <c r="AB90" s="13">
        <v>33730</v>
      </c>
      <c r="AC90" s="13">
        <v>37503</v>
      </c>
      <c r="AJ90" s="13">
        <v>16314</v>
      </c>
      <c r="AK90" s="13">
        <v>22778</v>
      </c>
      <c r="AL90" s="13">
        <v>27235</v>
      </c>
      <c r="AM90" s="13">
        <v>42758</v>
      </c>
    </row>
    <row r="91" spans="1:39" s="12" customFormat="1" x14ac:dyDescent="0.35">
      <c r="A91" s="3"/>
      <c r="B91" s="11" t="s">
        <v>82</v>
      </c>
      <c r="C91" s="12">
        <f>SUM(C85:C90)</f>
        <v>61128</v>
      </c>
      <c r="D91" s="12">
        <f t="shared" ref="D91:X91" si="116">SUM(D85:D90)</f>
        <v>65076</v>
      </c>
      <c r="E91" s="12">
        <f t="shared" si="116"/>
        <v>70897</v>
      </c>
      <c r="F91" s="12">
        <f t="shared" si="116"/>
        <v>83402</v>
      </c>
      <c r="G91" s="30">
        <f t="shared" si="116"/>
        <v>80969</v>
      </c>
      <c r="H91" s="12">
        <f t="shared" si="116"/>
        <v>87781</v>
      </c>
      <c r="I91" s="12">
        <f t="shared" si="116"/>
        <v>115267</v>
      </c>
      <c r="J91" s="12">
        <f t="shared" si="116"/>
        <v>131310</v>
      </c>
      <c r="K91" s="30">
        <f t="shared" si="116"/>
        <v>126362</v>
      </c>
      <c r="L91" s="12">
        <f t="shared" si="116"/>
        <v>134100</v>
      </c>
      <c r="M91" s="12">
        <f t="shared" si="116"/>
        <v>143695</v>
      </c>
      <c r="N91" s="12">
        <f t="shared" si="116"/>
        <v>162648</v>
      </c>
      <c r="O91" s="30">
        <f t="shared" si="116"/>
        <v>178102</v>
      </c>
      <c r="P91" s="12">
        <f t="shared" si="116"/>
        <v>191351</v>
      </c>
      <c r="Q91" s="12">
        <f t="shared" si="116"/>
        <v>199099</v>
      </c>
      <c r="R91" s="12">
        <f t="shared" si="116"/>
        <v>225248</v>
      </c>
      <c r="S91" s="30">
        <f t="shared" si="116"/>
        <v>221238</v>
      </c>
      <c r="T91" s="12">
        <f t="shared" si="116"/>
        <v>258314</v>
      </c>
      <c r="U91" s="12">
        <f t="shared" si="116"/>
        <v>282179</v>
      </c>
      <c r="V91" s="12">
        <f t="shared" si="116"/>
        <v>321195</v>
      </c>
      <c r="W91" s="30">
        <f t="shared" si="116"/>
        <v>323077</v>
      </c>
      <c r="X91" s="12">
        <f t="shared" si="116"/>
        <v>360319</v>
      </c>
      <c r="Y91" s="12">
        <f t="shared" ref="Y91" si="117">SUM(Y85:Y90)</f>
        <v>382406</v>
      </c>
      <c r="Z91" s="12">
        <f t="shared" ref="Z91" si="118">SUM(Z85:Z90)</f>
        <v>420549</v>
      </c>
      <c r="AA91" s="30">
        <f t="shared" ref="AA91" si="119">SUM(AA85:AA90)</f>
        <v>410767</v>
      </c>
      <c r="AB91" s="12">
        <f t="shared" ref="AB91" si="120">SUM(AB85:AB90)</f>
        <v>419728</v>
      </c>
      <c r="AC91" s="12">
        <f t="shared" ref="AC91" si="121">SUM(AC85:AC90)</f>
        <v>428362</v>
      </c>
      <c r="AF91" s="12">
        <f t="shared" ref="AF91" si="122">SUM(AF85:AF90)</f>
        <v>0</v>
      </c>
      <c r="AG91" s="12">
        <f t="shared" ref="AG91" si="123">SUM(AG85:AG90)</f>
        <v>0</v>
      </c>
      <c r="AH91" s="12">
        <f t="shared" ref="AH91:AM91" si="124">SUM(AH85:AH90)</f>
        <v>0</v>
      </c>
      <c r="AI91" s="12">
        <f t="shared" si="124"/>
        <v>0</v>
      </c>
      <c r="AJ91" s="12">
        <f t="shared" ref="AJ91" si="125">SUM(AJ85:AJ90)</f>
        <v>225248</v>
      </c>
      <c r="AK91" s="12">
        <f t="shared" si="124"/>
        <v>321195</v>
      </c>
      <c r="AL91" s="12">
        <f t="shared" si="124"/>
        <v>420549</v>
      </c>
      <c r="AM91" s="12">
        <f t="shared" si="124"/>
        <v>462675</v>
      </c>
    </row>
    <row r="92" spans="1:39" s="48" customFormat="1" x14ac:dyDescent="0.35">
      <c r="A92" s="41"/>
      <c r="B92" s="47" t="s">
        <v>83</v>
      </c>
      <c r="G92" s="49"/>
      <c r="K92" s="49"/>
      <c r="O92" s="49"/>
      <c r="S92" s="49"/>
      <c r="W92" s="49"/>
      <c r="AA92" s="49"/>
    </row>
    <row r="93" spans="1:39" s="7" customFormat="1" x14ac:dyDescent="0.35">
      <c r="A93"/>
      <c r="B93" s="5" t="s">
        <v>84</v>
      </c>
      <c r="C93" s="7">
        <v>14990</v>
      </c>
      <c r="D93" s="7">
        <v>16123</v>
      </c>
      <c r="E93" s="7">
        <v>18801</v>
      </c>
      <c r="F93" s="7">
        <v>25309</v>
      </c>
      <c r="G93" s="27">
        <v>18891</v>
      </c>
      <c r="H93" s="7">
        <v>21439</v>
      </c>
      <c r="I93" s="7">
        <v>26075</v>
      </c>
      <c r="J93" s="7">
        <v>34616</v>
      </c>
      <c r="K93" s="27">
        <v>25172</v>
      </c>
      <c r="L93" s="7">
        <v>27657</v>
      </c>
      <c r="M93" s="7">
        <v>30904</v>
      </c>
      <c r="N93" s="7">
        <v>38192</v>
      </c>
      <c r="O93" s="27">
        <v>31809</v>
      </c>
      <c r="P93" s="7">
        <v>36063</v>
      </c>
      <c r="Q93" s="7">
        <v>35794</v>
      </c>
      <c r="R93" s="7">
        <v>47183</v>
      </c>
      <c r="S93" s="27">
        <v>40056</v>
      </c>
      <c r="T93" s="7">
        <v>51036</v>
      </c>
      <c r="U93" s="7">
        <v>58334</v>
      </c>
      <c r="V93" s="7">
        <v>72539</v>
      </c>
      <c r="W93" s="27">
        <v>63926</v>
      </c>
      <c r="X93" s="7">
        <v>66090</v>
      </c>
      <c r="Y93" s="7">
        <v>71474</v>
      </c>
      <c r="Z93" s="7">
        <v>78664</v>
      </c>
      <c r="AA93" s="27">
        <v>68547</v>
      </c>
      <c r="AB93" s="7">
        <v>71219</v>
      </c>
      <c r="AC93" s="7">
        <v>67760</v>
      </c>
      <c r="AJ93" s="7">
        <v>47183</v>
      </c>
      <c r="AK93" s="7">
        <v>72539</v>
      </c>
      <c r="AL93" s="7">
        <v>78664</v>
      </c>
      <c r="AM93" s="7">
        <v>79600</v>
      </c>
    </row>
    <row r="94" spans="1:39" s="7" customFormat="1" x14ac:dyDescent="0.35">
      <c r="A94"/>
      <c r="B94" s="5" t="s">
        <v>85</v>
      </c>
      <c r="C94" s="7">
        <v>9431</v>
      </c>
      <c r="D94" s="7">
        <v>9613</v>
      </c>
      <c r="E94" s="7">
        <v>10497</v>
      </c>
      <c r="F94" s="7">
        <v>13739</v>
      </c>
      <c r="G94" s="27">
        <v>13054</v>
      </c>
      <c r="H94" s="7">
        <v>14016</v>
      </c>
      <c r="I94" s="7">
        <v>15844</v>
      </c>
      <c r="J94" s="7">
        <v>18170</v>
      </c>
      <c r="K94" s="27">
        <v>16691</v>
      </c>
      <c r="L94" s="7">
        <v>17140</v>
      </c>
      <c r="M94" s="7">
        <v>18420</v>
      </c>
      <c r="N94" s="7">
        <v>23663</v>
      </c>
      <c r="O94" s="27">
        <v>24588</v>
      </c>
      <c r="P94" s="7">
        <v>26140</v>
      </c>
      <c r="Q94" s="7">
        <v>28961</v>
      </c>
      <c r="R94" s="7">
        <v>32439</v>
      </c>
      <c r="S94" s="27">
        <v>30791</v>
      </c>
      <c r="T94" s="7">
        <v>33863</v>
      </c>
      <c r="U94" s="7">
        <v>34327</v>
      </c>
      <c r="V94" s="7">
        <v>44138</v>
      </c>
      <c r="W94" s="27">
        <v>40939</v>
      </c>
      <c r="X94" s="7">
        <v>41007</v>
      </c>
      <c r="Y94" s="7">
        <v>41546</v>
      </c>
      <c r="Z94" s="7">
        <v>51775</v>
      </c>
      <c r="AA94" s="27">
        <v>58141</v>
      </c>
      <c r="AB94" s="7">
        <v>56254</v>
      </c>
      <c r="AC94" s="7">
        <v>59974</v>
      </c>
      <c r="AJ94" s="7">
        <v>32439</v>
      </c>
      <c r="AK94" s="7">
        <v>44138</v>
      </c>
      <c r="AL94" s="7">
        <v>51775</v>
      </c>
      <c r="AM94" s="7">
        <v>62566</v>
      </c>
    </row>
    <row r="95" spans="1:39" s="13" customFormat="1" x14ac:dyDescent="0.35">
      <c r="A95" s="8"/>
      <c r="B95" s="9" t="s">
        <v>86</v>
      </c>
      <c r="C95" s="13">
        <v>3766</v>
      </c>
      <c r="D95" s="13">
        <v>3851</v>
      </c>
      <c r="E95" s="13">
        <v>4200</v>
      </c>
      <c r="F95" s="13">
        <v>4768</v>
      </c>
      <c r="G95" s="28">
        <v>5454</v>
      </c>
      <c r="H95" s="13">
        <v>5065</v>
      </c>
      <c r="I95" s="13">
        <v>5153</v>
      </c>
      <c r="J95" s="13">
        <v>5097</v>
      </c>
      <c r="K95" s="28">
        <v>6182</v>
      </c>
      <c r="L95" s="13">
        <v>6004</v>
      </c>
      <c r="M95" s="13">
        <v>6000</v>
      </c>
      <c r="N95" s="13">
        <v>6536</v>
      </c>
      <c r="O95" s="28">
        <v>7298</v>
      </c>
      <c r="P95" s="13">
        <v>7475</v>
      </c>
      <c r="Q95" s="13">
        <v>7381</v>
      </c>
      <c r="R95" s="13">
        <v>8190</v>
      </c>
      <c r="S95" s="28">
        <v>8864</v>
      </c>
      <c r="T95" s="13">
        <v>8997</v>
      </c>
      <c r="U95" s="13">
        <v>9251</v>
      </c>
      <c r="V95" s="13">
        <v>9708</v>
      </c>
      <c r="W95" s="28">
        <v>10539</v>
      </c>
      <c r="X95" s="13">
        <v>10695</v>
      </c>
      <c r="Y95" s="13">
        <v>10974</v>
      </c>
      <c r="Z95" s="13">
        <v>11827</v>
      </c>
      <c r="AA95" s="28">
        <v>12820</v>
      </c>
      <c r="AB95" s="13">
        <v>12818</v>
      </c>
      <c r="AC95" s="13">
        <v>12629</v>
      </c>
      <c r="AJ95" s="13">
        <v>8190</v>
      </c>
      <c r="AK95" s="13">
        <v>9708</v>
      </c>
      <c r="AL95" s="13">
        <v>11827</v>
      </c>
      <c r="AM95" s="13">
        <v>13227</v>
      </c>
    </row>
    <row r="96" spans="1:39" s="12" customFormat="1" x14ac:dyDescent="0.35">
      <c r="A96" s="3"/>
      <c r="B96" s="11" t="s">
        <v>87</v>
      </c>
      <c r="C96" s="12">
        <f>SUM(C93:C95)</f>
        <v>28187</v>
      </c>
      <c r="D96" s="12">
        <f t="shared" ref="D96:X96" si="126">SUM(D93:D95)</f>
        <v>29587</v>
      </c>
      <c r="E96" s="12">
        <f t="shared" si="126"/>
        <v>33498</v>
      </c>
      <c r="F96" s="12">
        <f t="shared" si="126"/>
        <v>43816</v>
      </c>
      <c r="G96" s="30">
        <f t="shared" si="126"/>
        <v>37399</v>
      </c>
      <c r="H96" s="12">
        <f t="shared" si="126"/>
        <v>40520</v>
      </c>
      <c r="I96" s="12">
        <f t="shared" si="126"/>
        <v>47072</v>
      </c>
      <c r="J96" s="12">
        <f t="shared" si="126"/>
        <v>57883</v>
      </c>
      <c r="K96" s="30">
        <f t="shared" si="126"/>
        <v>48045</v>
      </c>
      <c r="L96" s="12">
        <f t="shared" si="126"/>
        <v>50801</v>
      </c>
      <c r="M96" s="12">
        <f t="shared" si="126"/>
        <v>55324</v>
      </c>
      <c r="N96" s="12">
        <f t="shared" si="126"/>
        <v>68391</v>
      </c>
      <c r="O96" s="30">
        <f t="shared" si="126"/>
        <v>63695</v>
      </c>
      <c r="P96" s="12">
        <f t="shared" si="126"/>
        <v>69678</v>
      </c>
      <c r="Q96" s="12">
        <f t="shared" si="126"/>
        <v>72136</v>
      </c>
      <c r="R96" s="12">
        <f t="shared" si="126"/>
        <v>87812</v>
      </c>
      <c r="S96" s="30">
        <f t="shared" si="126"/>
        <v>79711</v>
      </c>
      <c r="T96" s="12">
        <f t="shared" si="126"/>
        <v>93896</v>
      </c>
      <c r="U96" s="12">
        <f t="shared" si="126"/>
        <v>101912</v>
      </c>
      <c r="V96" s="12">
        <f t="shared" si="126"/>
        <v>126385</v>
      </c>
      <c r="W96" s="30">
        <f t="shared" si="126"/>
        <v>115404</v>
      </c>
      <c r="X96" s="12">
        <f t="shared" si="126"/>
        <v>117792</v>
      </c>
      <c r="Y96" s="12">
        <f t="shared" ref="Y96" si="127">SUM(Y93:Y95)</f>
        <v>123994</v>
      </c>
      <c r="Z96" s="12">
        <f t="shared" ref="Z96" si="128">SUM(Z93:Z95)</f>
        <v>142266</v>
      </c>
      <c r="AA96" s="30">
        <f t="shared" ref="AA96" si="129">SUM(AA93:AA95)</f>
        <v>139508</v>
      </c>
      <c r="AB96" s="12">
        <f t="shared" ref="AB96" si="130">SUM(AB93:AB95)</f>
        <v>140291</v>
      </c>
      <c r="AC96" s="12">
        <f t="shared" ref="AC96" si="131">SUM(AC93:AC95)</f>
        <v>140363</v>
      </c>
      <c r="AF96" s="12">
        <f t="shared" ref="AF96" si="132">SUM(AF93:AF95)</f>
        <v>0</v>
      </c>
      <c r="AG96" s="12">
        <f t="shared" ref="AG96" si="133">SUM(AG93:AG95)</f>
        <v>0</v>
      </c>
      <c r="AH96" s="12">
        <f t="shared" ref="AH96" si="134">SUM(AH93:AH95)</f>
        <v>0</v>
      </c>
      <c r="AI96" s="12">
        <f t="shared" ref="AI96:AM96" si="135">SUM(AI93:AI95)</f>
        <v>0</v>
      </c>
      <c r="AJ96" s="12">
        <f t="shared" ref="AJ96" si="136">SUM(AJ93:AJ95)</f>
        <v>87812</v>
      </c>
      <c r="AK96" s="12">
        <f t="shared" si="135"/>
        <v>126385</v>
      </c>
      <c r="AL96" s="12">
        <f t="shared" si="135"/>
        <v>142266</v>
      </c>
      <c r="AM96" s="12">
        <f t="shared" si="135"/>
        <v>155393</v>
      </c>
    </row>
    <row r="97" spans="1:39" s="48" customFormat="1" x14ac:dyDescent="0.35">
      <c r="A97" s="41"/>
      <c r="B97" s="47" t="s">
        <v>88</v>
      </c>
      <c r="G97" s="49"/>
      <c r="K97" s="49"/>
      <c r="O97" s="49"/>
      <c r="S97" s="49"/>
      <c r="W97" s="49"/>
      <c r="AA97" s="49"/>
    </row>
    <row r="98" spans="1:39" s="7" customFormat="1" x14ac:dyDescent="0.35">
      <c r="A98"/>
      <c r="B98" s="5" t="s">
        <v>89</v>
      </c>
      <c r="C98" s="7" t="s">
        <v>32</v>
      </c>
      <c r="D98" s="7" t="s">
        <v>32</v>
      </c>
      <c r="E98" s="7" t="s">
        <v>32</v>
      </c>
      <c r="F98" s="7" t="s">
        <v>32</v>
      </c>
      <c r="G98" s="27" t="s">
        <v>32</v>
      </c>
      <c r="H98" s="7" t="s">
        <v>32</v>
      </c>
      <c r="I98" s="7" t="s">
        <v>32</v>
      </c>
      <c r="J98" s="7" t="s">
        <v>32</v>
      </c>
      <c r="K98" s="27" t="s">
        <v>32</v>
      </c>
      <c r="L98" s="7" t="s">
        <v>32</v>
      </c>
      <c r="M98" s="7" t="s">
        <v>32</v>
      </c>
      <c r="N98" s="7">
        <v>9650</v>
      </c>
      <c r="O98" s="27">
        <v>33275</v>
      </c>
      <c r="P98" s="7">
        <v>35134</v>
      </c>
      <c r="Q98" s="7">
        <v>37058</v>
      </c>
      <c r="R98" s="7">
        <v>39791</v>
      </c>
      <c r="S98" s="27">
        <v>40300</v>
      </c>
      <c r="T98" s="7">
        <v>42798</v>
      </c>
      <c r="U98" s="7">
        <v>48589</v>
      </c>
      <c r="V98" s="7">
        <v>52573</v>
      </c>
      <c r="W98" s="27">
        <v>53067</v>
      </c>
      <c r="X98" s="7">
        <v>56297</v>
      </c>
      <c r="Y98" s="7">
        <v>63848</v>
      </c>
      <c r="Z98" s="7">
        <v>67651</v>
      </c>
      <c r="AA98" s="27">
        <v>65731</v>
      </c>
      <c r="AB98" s="7">
        <v>66524</v>
      </c>
      <c r="AC98" s="7">
        <v>69332</v>
      </c>
      <c r="AJ98" s="7">
        <v>39791</v>
      </c>
      <c r="AK98" s="7">
        <v>52573</v>
      </c>
      <c r="AL98" s="7">
        <v>67651</v>
      </c>
      <c r="AM98" s="7">
        <v>72968</v>
      </c>
    </row>
    <row r="99" spans="1:39" s="7" customFormat="1" x14ac:dyDescent="0.35">
      <c r="A99"/>
      <c r="B99" s="5" t="s">
        <v>90</v>
      </c>
      <c r="C99" s="7">
        <v>8219</v>
      </c>
      <c r="D99" s="7">
        <v>8212</v>
      </c>
      <c r="E99" s="7">
        <v>8205</v>
      </c>
      <c r="F99" s="7">
        <v>7694</v>
      </c>
      <c r="G99" s="27">
        <v>7691</v>
      </c>
      <c r="H99" s="7">
        <v>7683</v>
      </c>
      <c r="I99" s="7">
        <v>24710</v>
      </c>
      <c r="J99" s="7">
        <v>24743</v>
      </c>
      <c r="K99" s="27">
        <v>24640</v>
      </c>
      <c r="L99" s="7">
        <v>24638</v>
      </c>
      <c r="M99" s="7">
        <v>24684</v>
      </c>
      <c r="N99" s="7">
        <v>23495</v>
      </c>
      <c r="O99" s="27">
        <v>23322</v>
      </c>
      <c r="P99" s="7">
        <v>23329</v>
      </c>
      <c r="Q99" s="7">
        <v>22472</v>
      </c>
      <c r="R99" s="7">
        <v>23414</v>
      </c>
      <c r="S99" s="27">
        <v>23437</v>
      </c>
      <c r="T99" s="7">
        <v>33128</v>
      </c>
      <c r="U99" s="7">
        <v>32929</v>
      </c>
      <c r="V99" s="7">
        <v>31816</v>
      </c>
      <c r="W99" s="27">
        <v>31868</v>
      </c>
      <c r="X99" s="7">
        <v>50279</v>
      </c>
      <c r="Y99" s="7">
        <v>50055</v>
      </c>
      <c r="Z99" s="7">
        <v>48744</v>
      </c>
      <c r="AA99" s="27">
        <v>47556</v>
      </c>
      <c r="AB99" s="7">
        <v>58053</v>
      </c>
      <c r="AC99" s="7">
        <v>58919</v>
      </c>
      <c r="AJ99" s="7">
        <v>23414</v>
      </c>
      <c r="AK99" s="7">
        <v>31816</v>
      </c>
      <c r="AL99" s="7">
        <v>48744</v>
      </c>
      <c r="AM99" s="7">
        <v>67150</v>
      </c>
    </row>
    <row r="100" spans="1:39" s="13" customFormat="1" x14ac:dyDescent="0.35">
      <c r="A100" s="8"/>
      <c r="B100" s="9" t="s">
        <v>91</v>
      </c>
      <c r="C100" s="13">
        <v>9966</v>
      </c>
      <c r="D100" s="13">
        <v>10739</v>
      </c>
      <c r="E100" s="13">
        <v>11412</v>
      </c>
      <c r="F100" s="13">
        <v>12607</v>
      </c>
      <c r="G100" s="28">
        <v>14205</v>
      </c>
      <c r="H100" s="13">
        <v>16364</v>
      </c>
      <c r="I100" s="13">
        <v>18827</v>
      </c>
      <c r="J100" s="13">
        <v>20975</v>
      </c>
      <c r="K100" s="28">
        <v>22214</v>
      </c>
      <c r="L100" s="13">
        <v>23666</v>
      </c>
      <c r="M100" s="13">
        <v>24562</v>
      </c>
      <c r="N100" s="13">
        <v>17563</v>
      </c>
      <c r="O100" s="28">
        <v>9400</v>
      </c>
      <c r="P100" s="13">
        <v>10149</v>
      </c>
      <c r="Q100" s="13">
        <v>10925</v>
      </c>
      <c r="R100" s="13">
        <v>12171</v>
      </c>
      <c r="S100" s="28">
        <v>12518</v>
      </c>
      <c r="T100" s="13">
        <v>14764</v>
      </c>
      <c r="U100" s="13">
        <v>15974</v>
      </c>
      <c r="V100" s="13">
        <v>17017</v>
      </c>
      <c r="W100" s="28">
        <v>19418</v>
      </c>
      <c r="X100" s="13">
        <v>21148</v>
      </c>
      <c r="Y100" s="13">
        <v>23945</v>
      </c>
      <c r="Z100" s="13">
        <v>23643</v>
      </c>
      <c r="AA100" s="28">
        <v>23971</v>
      </c>
      <c r="AB100" s="13">
        <v>23458</v>
      </c>
      <c r="AC100" s="13">
        <v>22259</v>
      </c>
      <c r="AJ100" s="13">
        <v>12171</v>
      </c>
      <c r="AK100" s="13">
        <v>17017</v>
      </c>
      <c r="AL100" s="13">
        <v>23643</v>
      </c>
      <c r="AM100" s="13">
        <v>21121</v>
      </c>
    </row>
    <row r="101" spans="1:39" s="12" customFormat="1" x14ac:dyDescent="0.35">
      <c r="A101" s="3"/>
      <c r="B101" s="11" t="s">
        <v>92</v>
      </c>
      <c r="C101" s="12">
        <f t="shared" ref="C101:AB101" si="137">SUM(C96:C100)</f>
        <v>46372</v>
      </c>
      <c r="D101" s="12">
        <f t="shared" si="137"/>
        <v>48538</v>
      </c>
      <c r="E101" s="12">
        <f t="shared" si="137"/>
        <v>53115</v>
      </c>
      <c r="F101" s="12">
        <f t="shared" si="137"/>
        <v>64117</v>
      </c>
      <c r="G101" s="12">
        <f t="shared" si="137"/>
        <v>59295</v>
      </c>
      <c r="H101" s="12">
        <f t="shared" si="137"/>
        <v>64567</v>
      </c>
      <c r="I101" s="12">
        <f t="shared" si="137"/>
        <v>90609</v>
      </c>
      <c r="J101" s="12">
        <f t="shared" si="137"/>
        <v>103601</v>
      </c>
      <c r="K101" s="12">
        <f t="shared" si="137"/>
        <v>94899</v>
      </c>
      <c r="L101" s="12">
        <f t="shared" si="137"/>
        <v>99105</v>
      </c>
      <c r="M101" s="12">
        <f t="shared" si="137"/>
        <v>104570</v>
      </c>
      <c r="N101" s="12">
        <f t="shared" si="137"/>
        <v>119099</v>
      </c>
      <c r="O101" s="12">
        <f t="shared" si="137"/>
        <v>129692</v>
      </c>
      <c r="P101" s="12">
        <f t="shared" si="137"/>
        <v>138290</v>
      </c>
      <c r="Q101" s="12">
        <f t="shared" si="137"/>
        <v>142591</v>
      </c>
      <c r="R101" s="12">
        <f t="shared" si="137"/>
        <v>163188</v>
      </c>
      <c r="S101" s="12">
        <f t="shared" si="137"/>
        <v>155966</v>
      </c>
      <c r="T101" s="12">
        <f t="shared" si="137"/>
        <v>184586</v>
      </c>
      <c r="U101" s="12">
        <f t="shared" si="137"/>
        <v>199404</v>
      </c>
      <c r="V101" s="12">
        <f t="shared" si="137"/>
        <v>227791</v>
      </c>
      <c r="W101" s="12">
        <f t="shared" si="137"/>
        <v>219757</v>
      </c>
      <c r="X101" s="12">
        <f t="shared" si="137"/>
        <v>245516</v>
      </c>
      <c r="Y101" s="12">
        <f t="shared" si="137"/>
        <v>261842</v>
      </c>
      <c r="Z101" s="12">
        <f t="shared" si="137"/>
        <v>282304</v>
      </c>
      <c r="AA101" s="12">
        <f t="shared" si="137"/>
        <v>276766</v>
      </c>
      <c r="AB101" s="12">
        <f t="shared" si="137"/>
        <v>288326</v>
      </c>
      <c r="AC101" s="12">
        <f>SUM(AC96:AC100)</f>
        <v>290873</v>
      </c>
      <c r="AF101" s="12">
        <f t="shared" ref="AF101:AL101" si="138">SUM(AF98:AF100)+AF96</f>
        <v>0</v>
      </c>
      <c r="AG101" s="12">
        <f t="shared" si="138"/>
        <v>0</v>
      </c>
      <c r="AH101" s="12">
        <f t="shared" si="138"/>
        <v>0</v>
      </c>
      <c r="AI101" s="12">
        <f t="shared" si="138"/>
        <v>0</v>
      </c>
      <c r="AJ101" s="12">
        <f t="shared" si="138"/>
        <v>163188</v>
      </c>
      <c r="AK101" s="12">
        <f t="shared" si="138"/>
        <v>227791</v>
      </c>
      <c r="AL101" s="12">
        <f t="shared" si="138"/>
        <v>282304</v>
      </c>
      <c r="AM101" s="12">
        <f>SUM(AM98:AM100)+AM96</f>
        <v>316632</v>
      </c>
    </row>
    <row r="102" spans="1:39" s="48" customFormat="1" x14ac:dyDescent="0.35">
      <c r="A102" s="41"/>
      <c r="B102" s="47" t="s">
        <v>93</v>
      </c>
      <c r="G102" s="49"/>
      <c r="K102" s="49"/>
      <c r="O102" s="49"/>
      <c r="S102" s="49"/>
      <c r="W102" s="49"/>
      <c r="AA102" s="49"/>
    </row>
    <row r="103" spans="1:39" s="7" customFormat="1" x14ac:dyDescent="0.35">
      <c r="A103"/>
      <c r="B103" s="5" t="s">
        <v>94</v>
      </c>
      <c r="C103" s="7">
        <v>5</v>
      </c>
      <c r="D103" s="7">
        <v>5</v>
      </c>
      <c r="E103" s="7">
        <v>5</v>
      </c>
      <c r="F103" s="7">
        <v>5</v>
      </c>
      <c r="G103" s="27">
        <v>5</v>
      </c>
      <c r="H103" s="7">
        <v>5</v>
      </c>
      <c r="I103" s="7">
        <v>5</v>
      </c>
      <c r="J103" s="7">
        <v>5</v>
      </c>
      <c r="K103" s="27">
        <v>5</v>
      </c>
      <c r="L103" s="7">
        <v>5</v>
      </c>
      <c r="M103" s="7">
        <v>5</v>
      </c>
      <c r="N103" s="7">
        <v>5</v>
      </c>
      <c r="O103" s="27">
        <v>5</v>
      </c>
      <c r="P103" s="7">
        <v>5</v>
      </c>
      <c r="Q103" s="7">
        <v>5</v>
      </c>
      <c r="R103" s="7">
        <v>5</v>
      </c>
      <c r="S103" s="27">
        <v>5</v>
      </c>
      <c r="T103" s="7">
        <v>5</v>
      </c>
      <c r="U103" s="7">
        <v>5</v>
      </c>
      <c r="V103" s="7">
        <v>5</v>
      </c>
      <c r="W103" s="27">
        <v>5</v>
      </c>
      <c r="X103" s="7">
        <v>5</v>
      </c>
      <c r="Y103" s="7">
        <v>5</v>
      </c>
      <c r="Z103" s="7">
        <v>5</v>
      </c>
      <c r="AA103" s="27">
        <v>5</v>
      </c>
      <c r="AB103" s="7">
        <v>107</v>
      </c>
      <c r="AC103" s="7">
        <v>107</v>
      </c>
      <c r="AJ103" s="7">
        <v>0</v>
      </c>
      <c r="AK103" s="7">
        <v>0</v>
      </c>
      <c r="AL103" s="7">
        <v>0</v>
      </c>
      <c r="AM103" s="7">
        <v>0</v>
      </c>
    </row>
    <row r="104" spans="1:39" s="7" customFormat="1" x14ac:dyDescent="0.35">
      <c r="A104"/>
      <c r="B104" s="5" t="s">
        <v>95</v>
      </c>
      <c r="G104" s="27"/>
      <c r="K104" s="27"/>
      <c r="O104" s="27"/>
      <c r="S104" s="27"/>
      <c r="W104" s="27"/>
      <c r="AA104" s="27"/>
      <c r="AJ104" s="7">
        <v>5</v>
      </c>
      <c r="AK104" s="7">
        <v>5</v>
      </c>
      <c r="AL104" s="7">
        <v>106</v>
      </c>
      <c r="AM104" s="7">
        <v>108</v>
      </c>
    </row>
    <row r="105" spans="1:39" s="7" customFormat="1" x14ac:dyDescent="0.35">
      <c r="A105"/>
      <c r="B105" s="5" t="s">
        <v>96</v>
      </c>
      <c r="C105" s="7">
        <v>-1837</v>
      </c>
      <c r="D105" s="7">
        <v>-1837</v>
      </c>
      <c r="E105" s="7">
        <v>-1837</v>
      </c>
      <c r="F105" s="7">
        <v>-1837</v>
      </c>
      <c r="G105" s="27">
        <v>-1837</v>
      </c>
      <c r="H105" s="7">
        <v>-1837</v>
      </c>
      <c r="I105" s="7">
        <v>-1837</v>
      </c>
      <c r="J105" s="7">
        <v>-1837</v>
      </c>
      <c r="K105" s="27">
        <v>-1837</v>
      </c>
      <c r="L105" s="7">
        <v>-1837</v>
      </c>
      <c r="M105" s="7">
        <v>-1837</v>
      </c>
      <c r="N105" s="7">
        <v>-1837</v>
      </c>
      <c r="O105" s="27">
        <v>-1837</v>
      </c>
      <c r="P105" s="7">
        <v>-1837</v>
      </c>
      <c r="Q105" s="7">
        <v>-1837</v>
      </c>
      <c r="R105" s="7">
        <v>-1837</v>
      </c>
      <c r="S105" s="27">
        <v>-1837</v>
      </c>
      <c r="T105" s="7">
        <v>-1837</v>
      </c>
      <c r="U105" s="7">
        <v>-1837</v>
      </c>
      <c r="V105" s="7">
        <v>-1837</v>
      </c>
      <c r="W105" s="27">
        <v>-1837</v>
      </c>
      <c r="X105" s="7">
        <v>-1837</v>
      </c>
      <c r="Y105" s="7">
        <v>-1837</v>
      </c>
      <c r="Z105" s="7">
        <v>-1837</v>
      </c>
      <c r="AA105" s="27">
        <v>-4503</v>
      </c>
      <c r="AB105" s="7">
        <v>-7837</v>
      </c>
      <c r="AC105" s="7">
        <v>-7837</v>
      </c>
      <c r="AJ105" s="7">
        <v>-1837</v>
      </c>
      <c r="AK105" s="7">
        <v>-1837</v>
      </c>
      <c r="AL105" s="7">
        <v>-1837</v>
      </c>
      <c r="AM105" s="7">
        <v>-7837</v>
      </c>
    </row>
    <row r="106" spans="1:39" s="7" customFormat="1" x14ac:dyDescent="0.35">
      <c r="A106"/>
      <c r="B106" s="5" t="s">
        <v>97</v>
      </c>
      <c r="C106" s="7">
        <v>14144</v>
      </c>
      <c r="D106" s="7">
        <v>15026</v>
      </c>
      <c r="E106" s="7">
        <v>15968</v>
      </c>
      <c r="F106" s="7">
        <v>17186</v>
      </c>
      <c r="G106" s="27">
        <v>17976</v>
      </c>
      <c r="H106" s="7">
        <v>19129</v>
      </c>
      <c r="I106" s="7">
        <v>20212</v>
      </c>
      <c r="J106" s="7">
        <v>21389</v>
      </c>
      <c r="K106" s="27">
        <v>22563</v>
      </c>
      <c r="L106" s="7">
        <v>24028</v>
      </c>
      <c r="M106" s="7">
        <v>25375</v>
      </c>
      <c r="N106" s="7">
        <v>26791</v>
      </c>
      <c r="O106" s="27">
        <v>28059</v>
      </c>
      <c r="P106" s="7">
        <v>30035</v>
      </c>
      <c r="Q106" s="7">
        <v>31817</v>
      </c>
      <c r="R106" s="7">
        <v>33658</v>
      </c>
      <c r="S106" s="27">
        <v>35412</v>
      </c>
      <c r="T106" s="7">
        <v>38017</v>
      </c>
      <c r="U106" s="7">
        <v>40307</v>
      </c>
      <c r="V106" s="7">
        <v>42865</v>
      </c>
      <c r="W106" s="27">
        <v>45160</v>
      </c>
      <c r="X106" s="7">
        <v>48724</v>
      </c>
      <c r="Y106" s="7">
        <v>51879</v>
      </c>
      <c r="Z106" s="7">
        <v>55538</v>
      </c>
      <c r="AA106" s="27">
        <v>58793</v>
      </c>
      <c r="AB106" s="7">
        <v>63871</v>
      </c>
      <c r="AC106" s="7">
        <v>69419</v>
      </c>
      <c r="AJ106" s="7">
        <v>33658</v>
      </c>
      <c r="AK106" s="7">
        <v>42865</v>
      </c>
      <c r="AL106" s="7">
        <v>55437</v>
      </c>
      <c r="AM106" s="7">
        <v>75066</v>
      </c>
    </row>
    <row r="107" spans="1:39" s="7" customFormat="1" x14ac:dyDescent="0.35">
      <c r="A107"/>
      <c r="B107" s="5" t="s">
        <v>98</v>
      </c>
      <c r="C107" s="7">
        <v>-614</v>
      </c>
      <c r="D107" s="7">
        <v>-571</v>
      </c>
      <c r="E107" s="7">
        <v>-521</v>
      </c>
      <c r="F107" s="7">
        <v>-985</v>
      </c>
      <c r="G107" s="27">
        <v>-797</v>
      </c>
      <c r="H107" s="7">
        <v>-607</v>
      </c>
      <c r="I107" s="7">
        <v>-501</v>
      </c>
      <c r="J107" s="7">
        <v>-484</v>
      </c>
      <c r="K107" s="27">
        <v>-467</v>
      </c>
      <c r="L107" s="7">
        <v>-934</v>
      </c>
      <c r="M107" s="7">
        <v>-1037</v>
      </c>
      <c r="N107" s="7">
        <v>-1035</v>
      </c>
      <c r="O107" s="27">
        <v>-1010</v>
      </c>
      <c r="P107" s="7">
        <v>-960</v>
      </c>
      <c r="Q107" s="7">
        <v>-1429</v>
      </c>
      <c r="R107" s="7">
        <v>-986</v>
      </c>
      <c r="S107" s="27">
        <v>-2063</v>
      </c>
      <c r="T107" s="7">
        <v>-1455</v>
      </c>
      <c r="U107" s="7">
        <v>-1029</v>
      </c>
      <c r="V107" s="7">
        <v>-180</v>
      </c>
      <c r="W107" s="27">
        <v>-666</v>
      </c>
      <c r="X107" s="7">
        <v>-525</v>
      </c>
      <c r="Y107" s="7">
        <v>-1075</v>
      </c>
      <c r="Z107" s="7">
        <v>-1376</v>
      </c>
      <c r="AA107" s="27">
        <v>-2365</v>
      </c>
      <c r="AB107" s="7">
        <v>-4782</v>
      </c>
      <c r="AC107" s="7">
        <v>-7115</v>
      </c>
      <c r="AJ107" s="7">
        <v>-986</v>
      </c>
      <c r="AK107" s="7">
        <v>-180</v>
      </c>
      <c r="AL107" s="7">
        <v>-1376</v>
      </c>
      <c r="AM107" s="7">
        <v>-4487</v>
      </c>
    </row>
    <row r="108" spans="1:39" s="13" customFormat="1" x14ac:dyDescent="0.35">
      <c r="A108" s="8"/>
      <c r="B108" s="9" t="s">
        <v>99</v>
      </c>
      <c r="C108" s="13">
        <v>3058</v>
      </c>
      <c r="D108" s="13">
        <v>3915</v>
      </c>
      <c r="E108" s="13">
        <v>4167</v>
      </c>
      <c r="F108" s="13">
        <v>4916</v>
      </c>
      <c r="G108" s="28">
        <v>6327</v>
      </c>
      <c r="H108" s="13">
        <v>6524</v>
      </c>
      <c r="I108" s="13">
        <v>6779</v>
      </c>
      <c r="J108" s="13">
        <v>8636</v>
      </c>
      <c r="K108" s="28">
        <v>11199</v>
      </c>
      <c r="L108" s="13">
        <v>13733</v>
      </c>
      <c r="M108" s="13">
        <v>16616</v>
      </c>
      <c r="N108" s="13">
        <v>19625</v>
      </c>
      <c r="O108" s="28">
        <v>23193</v>
      </c>
      <c r="P108" s="13">
        <v>25818</v>
      </c>
      <c r="Q108" s="13">
        <v>27952</v>
      </c>
      <c r="R108" s="13">
        <v>31220</v>
      </c>
      <c r="S108" s="28">
        <v>33755</v>
      </c>
      <c r="T108" s="13">
        <v>38998</v>
      </c>
      <c r="U108" s="13">
        <v>45329</v>
      </c>
      <c r="V108" s="13">
        <v>52551</v>
      </c>
      <c r="W108" s="28">
        <v>60658</v>
      </c>
      <c r="X108" s="13">
        <v>68436</v>
      </c>
      <c r="Y108" s="13">
        <v>71592</v>
      </c>
      <c r="Z108" s="13">
        <v>85915</v>
      </c>
      <c r="AA108" s="28">
        <v>82071</v>
      </c>
      <c r="AB108" s="13">
        <v>80043</v>
      </c>
      <c r="AC108" s="13">
        <v>82915</v>
      </c>
      <c r="AJ108" s="13">
        <v>31220</v>
      </c>
      <c r="AK108" s="13">
        <v>52551</v>
      </c>
      <c r="AL108" s="13">
        <v>85915</v>
      </c>
      <c r="AM108" s="13">
        <v>83193</v>
      </c>
    </row>
    <row r="109" spans="1:39" s="12" customFormat="1" x14ac:dyDescent="0.35">
      <c r="A109" s="3"/>
      <c r="B109" s="11" t="s">
        <v>100</v>
      </c>
      <c r="C109" s="12">
        <f>SUM(C103:C108)</f>
        <v>14756</v>
      </c>
      <c r="D109" s="12">
        <f t="shared" ref="D109:X109" si="139">SUM(D103:D108)</f>
        <v>16538</v>
      </c>
      <c r="E109" s="12">
        <f t="shared" si="139"/>
        <v>17782</v>
      </c>
      <c r="F109" s="12">
        <f t="shared" si="139"/>
        <v>19285</v>
      </c>
      <c r="G109" s="30">
        <f t="shared" si="139"/>
        <v>21674</v>
      </c>
      <c r="H109" s="12">
        <f t="shared" si="139"/>
        <v>23214</v>
      </c>
      <c r="I109" s="12">
        <f>SUM(I103:I108)</f>
        <v>24658</v>
      </c>
      <c r="J109" s="12">
        <f t="shared" si="139"/>
        <v>27709</v>
      </c>
      <c r="K109" s="30">
        <f t="shared" si="139"/>
        <v>31463</v>
      </c>
      <c r="L109" s="12">
        <f t="shared" si="139"/>
        <v>34995</v>
      </c>
      <c r="M109" s="12">
        <f t="shared" si="139"/>
        <v>39122</v>
      </c>
      <c r="N109" s="12">
        <f t="shared" si="139"/>
        <v>43549</v>
      </c>
      <c r="O109" s="30">
        <f t="shared" si="139"/>
        <v>48410</v>
      </c>
      <c r="P109" s="12">
        <f t="shared" si="139"/>
        <v>53061</v>
      </c>
      <c r="Q109" s="12">
        <f t="shared" si="139"/>
        <v>56508</v>
      </c>
      <c r="R109" s="12">
        <f t="shared" si="139"/>
        <v>62060</v>
      </c>
      <c r="S109" s="30">
        <f t="shared" si="139"/>
        <v>65272</v>
      </c>
      <c r="T109" s="12">
        <f t="shared" si="139"/>
        <v>73728</v>
      </c>
      <c r="U109" s="12">
        <f t="shared" si="139"/>
        <v>82775</v>
      </c>
      <c r="V109" s="12">
        <f t="shared" si="139"/>
        <v>93404</v>
      </c>
      <c r="W109" s="30">
        <f t="shared" si="139"/>
        <v>103320</v>
      </c>
      <c r="X109" s="12">
        <f t="shared" si="139"/>
        <v>114803</v>
      </c>
      <c r="Y109" s="12">
        <f t="shared" ref="Y109" si="140">SUM(Y103:Y108)</f>
        <v>120564</v>
      </c>
      <c r="Z109" s="12">
        <f t="shared" ref="Z109" si="141">SUM(Z103:Z108)</f>
        <v>138245</v>
      </c>
      <c r="AA109" s="30">
        <f t="shared" ref="AA109" si="142">SUM(AA103:AA108)</f>
        <v>134001</v>
      </c>
      <c r="AB109" s="12">
        <f t="shared" ref="AB109" si="143">SUM(AB103:AB108)</f>
        <v>131402</v>
      </c>
      <c r="AC109" s="12">
        <f t="shared" ref="AC109" si="144">SUM(AC103:AC108)</f>
        <v>137489</v>
      </c>
      <c r="AF109" s="12">
        <f t="shared" ref="AF109" si="145">SUM(AF103:AF108)</f>
        <v>0</v>
      </c>
      <c r="AG109" s="12">
        <f t="shared" ref="AG109" si="146">SUM(AG103:AG108)</f>
        <v>0</v>
      </c>
      <c r="AH109" s="12">
        <f t="shared" ref="AH109" si="147">SUM(AH103:AH108)</f>
        <v>0</v>
      </c>
      <c r="AI109" s="12">
        <f t="shared" ref="AI109:AM109" si="148">SUM(AI103:AI108)</f>
        <v>0</v>
      </c>
      <c r="AJ109" s="12">
        <f t="shared" ref="AJ109" si="149">SUM(AJ103:AJ108)</f>
        <v>62060</v>
      </c>
      <c r="AK109" s="12">
        <f t="shared" si="148"/>
        <v>93404</v>
      </c>
      <c r="AL109" s="12">
        <f t="shared" si="148"/>
        <v>138245</v>
      </c>
      <c r="AM109" s="12">
        <f t="shared" si="148"/>
        <v>146043</v>
      </c>
    </row>
    <row r="110" spans="1:39" s="12" customFormat="1" x14ac:dyDescent="0.35">
      <c r="A110" s="3"/>
      <c r="B110" s="11" t="s">
        <v>101</v>
      </c>
      <c r="C110" s="12">
        <f>C109+C96+C99+C100</f>
        <v>61128</v>
      </c>
      <c r="D110" s="12">
        <f t="shared" ref="D110:M110" si="150">D109+D96+D99+D100</f>
        <v>65076</v>
      </c>
      <c r="E110" s="12">
        <f t="shared" si="150"/>
        <v>70897</v>
      </c>
      <c r="F110" s="12">
        <f t="shared" si="150"/>
        <v>83402</v>
      </c>
      <c r="G110" s="30">
        <f t="shared" si="150"/>
        <v>80969</v>
      </c>
      <c r="H110" s="12">
        <f t="shared" si="150"/>
        <v>87781</v>
      </c>
      <c r="I110" s="12">
        <f t="shared" si="150"/>
        <v>115267</v>
      </c>
      <c r="J110" s="12">
        <f t="shared" si="150"/>
        <v>131310</v>
      </c>
      <c r="K110" s="30">
        <f t="shared" si="150"/>
        <v>126362</v>
      </c>
      <c r="L110" s="12">
        <f t="shared" si="150"/>
        <v>134100</v>
      </c>
      <c r="M110" s="12">
        <f t="shared" si="150"/>
        <v>143692</v>
      </c>
      <c r="N110" s="12">
        <f>N109+N96+N99+N100+N98</f>
        <v>162648</v>
      </c>
      <c r="O110" s="30">
        <f t="shared" ref="O110:Y110" si="151">O109+O96+O99+O100+O98</f>
        <v>178102</v>
      </c>
      <c r="P110" s="12">
        <f t="shared" si="151"/>
        <v>191351</v>
      </c>
      <c r="Q110" s="12">
        <f t="shared" si="151"/>
        <v>199099</v>
      </c>
      <c r="R110" s="12">
        <f t="shared" si="151"/>
        <v>225248</v>
      </c>
      <c r="S110" s="30">
        <f t="shared" si="151"/>
        <v>221238</v>
      </c>
      <c r="T110" s="12">
        <f t="shared" si="151"/>
        <v>258314</v>
      </c>
      <c r="U110" s="12">
        <f t="shared" si="151"/>
        <v>282179</v>
      </c>
      <c r="V110" s="12">
        <f t="shared" si="151"/>
        <v>321195</v>
      </c>
      <c r="W110" s="30">
        <f t="shared" si="151"/>
        <v>323077</v>
      </c>
      <c r="X110" s="12">
        <f t="shared" si="151"/>
        <v>360319</v>
      </c>
      <c r="Y110" s="12">
        <f t="shared" si="151"/>
        <v>382406</v>
      </c>
      <c r="Z110" s="12">
        <f t="shared" ref="Z110" si="152">Z109+Z96+Z99+Z100+Z98</f>
        <v>420549</v>
      </c>
      <c r="AA110" s="30">
        <f t="shared" ref="AA110" si="153">AA109+AA96+AA99+AA100+AA98</f>
        <v>410767</v>
      </c>
      <c r="AB110" s="12">
        <f t="shared" ref="AB110" si="154">AB109+AB96+AB99+AB100+AB98</f>
        <v>419728</v>
      </c>
      <c r="AC110" s="12">
        <f t="shared" ref="AC110" si="155">AC109+AC96+AC99+AC100+AC98</f>
        <v>428362</v>
      </c>
      <c r="AF110" s="12">
        <f t="shared" ref="AF110:AL110" si="156">AF109+AF101</f>
        <v>0</v>
      </c>
      <c r="AG110" s="12">
        <f t="shared" si="156"/>
        <v>0</v>
      </c>
      <c r="AH110" s="12">
        <f t="shared" si="156"/>
        <v>0</v>
      </c>
      <c r="AI110" s="12">
        <f t="shared" si="156"/>
        <v>0</v>
      </c>
      <c r="AJ110" s="12">
        <f t="shared" si="156"/>
        <v>225248</v>
      </c>
      <c r="AK110" s="12">
        <f t="shared" si="156"/>
        <v>321195</v>
      </c>
      <c r="AL110" s="12">
        <f t="shared" si="156"/>
        <v>420549</v>
      </c>
      <c r="AM110" s="12">
        <f>AM109+AM101</f>
        <v>462675</v>
      </c>
    </row>
    <row r="112" spans="1:39" s="10" customFormat="1" x14ac:dyDescent="0.35">
      <c r="B112" s="67" t="s">
        <v>102</v>
      </c>
      <c r="C112" s="10">
        <f>C85/C96</f>
        <v>1.082520310781566</v>
      </c>
      <c r="D112" s="10">
        <f t="shared" ref="D112:AC112" si="157">D85/D96</f>
        <v>1.0889917869334504</v>
      </c>
      <c r="E112" s="10">
        <f t="shared" si="157"/>
        <v>1.0630186876828467</v>
      </c>
      <c r="F112" s="10">
        <f t="shared" si="157"/>
        <v>1.0448466313675371</v>
      </c>
      <c r="G112" s="10">
        <f t="shared" si="157"/>
        <v>1.0551084253589669</v>
      </c>
      <c r="H112" s="10">
        <f t="shared" si="157"/>
        <v>1.0120187561697926</v>
      </c>
      <c r="I112" s="10">
        <f t="shared" si="157"/>
        <v>1.0319935418082937</v>
      </c>
      <c r="J112" s="10">
        <f t="shared" si="157"/>
        <v>1.039977195376881</v>
      </c>
      <c r="K112" s="10">
        <f t="shared" si="157"/>
        <v>1.0579456759288168</v>
      </c>
      <c r="L112" s="10">
        <f t="shared" si="157"/>
        <v>1.0724395189071081</v>
      </c>
      <c r="M112" s="10">
        <f t="shared" si="157"/>
        <v>1.0824416166582316</v>
      </c>
      <c r="N112" s="10">
        <f t="shared" si="157"/>
        <v>1.0981123247210891</v>
      </c>
      <c r="O112" s="10">
        <f t="shared" si="157"/>
        <v>1.0900541643771096</v>
      </c>
      <c r="P112" s="10">
        <f t="shared" si="157"/>
        <v>1.1020695197910388</v>
      </c>
      <c r="Q112" s="10">
        <f t="shared" si="157"/>
        <v>1.095902184762116</v>
      </c>
      <c r="R112" s="10">
        <f t="shared" si="157"/>
        <v>1.0970482394205803</v>
      </c>
      <c r="S112" s="10">
        <f t="shared" si="157"/>
        <v>1.0787093374816525</v>
      </c>
      <c r="T112" s="10">
        <f t="shared" si="157"/>
        <v>1.181179176961745</v>
      </c>
      <c r="U112" s="10">
        <f t="shared" si="157"/>
        <v>1.1084955648010049</v>
      </c>
      <c r="V112" s="10">
        <f t="shared" si="157"/>
        <v>1.0502274795268425</v>
      </c>
      <c r="W112" s="10">
        <f t="shared" si="157"/>
        <v>1.0520259263110463</v>
      </c>
      <c r="X112" s="10">
        <f t="shared" si="157"/>
        <v>1.19573485465906</v>
      </c>
      <c r="Y112" s="10">
        <f t="shared" si="157"/>
        <v>1.117239543848896</v>
      </c>
      <c r="Z112" s="10">
        <f t="shared" si="157"/>
        <v>1.1357597739445826</v>
      </c>
      <c r="AA112" s="10">
        <f t="shared" si="157"/>
        <v>0.95962955529432004</v>
      </c>
      <c r="AB112" s="10">
        <f t="shared" si="157"/>
        <v>0.9527838564127421</v>
      </c>
      <c r="AC112" s="10">
        <f t="shared" si="157"/>
        <v>0.93659297678163045</v>
      </c>
      <c r="AF112" s="10" t="e">
        <f t="shared" ref="AF112:AM112" si="158">AF85/AF96</f>
        <v>#DIV/0!</v>
      </c>
      <c r="AG112" s="10" t="e">
        <f t="shared" si="158"/>
        <v>#DIV/0!</v>
      </c>
      <c r="AH112" s="10" t="e">
        <f t="shared" si="158"/>
        <v>#DIV/0!</v>
      </c>
      <c r="AI112" s="10" t="e">
        <f t="shared" si="158"/>
        <v>#DIV/0!</v>
      </c>
      <c r="AJ112" s="10">
        <f t="shared" si="158"/>
        <v>1.0970482394205803</v>
      </c>
      <c r="AK112" s="10">
        <f t="shared" si="158"/>
        <v>1.0502274795268425</v>
      </c>
      <c r="AL112" s="10">
        <f t="shared" si="158"/>
        <v>1.1357597739445826</v>
      </c>
      <c r="AM112" s="10">
        <f t="shared" si="158"/>
        <v>0.9446435811136924</v>
      </c>
    </row>
    <row r="113" spans="1:39" s="6" customFormat="1" x14ac:dyDescent="0.35">
      <c r="A113" s="25"/>
      <c r="B113" s="26" t="s">
        <v>103</v>
      </c>
      <c r="G113" s="35"/>
      <c r="K113" s="35"/>
      <c r="O113" s="35"/>
      <c r="S113" s="35"/>
      <c r="W113" s="35"/>
      <c r="AA113" s="35"/>
    </row>
    <row r="114" spans="1:39" x14ac:dyDescent="0.35">
      <c r="B114" s="5" t="s">
        <v>104</v>
      </c>
      <c r="AC114">
        <v>11404</v>
      </c>
      <c r="AF114">
        <v>12039</v>
      </c>
      <c r="AG114">
        <v>17272</v>
      </c>
      <c r="AH114">
        <v>18434</v>
      </c>
      <c r="AJ114">
        <v>38514</v>
      </c>
      <c r="AK114">
        <v>66064</v>
      </c>
      <c r="AL114">
        <v>54671</v>
      </c>
      <c r="AM114">
        <v>39665</v>
      </c>
    </row>
    <row r="115" spans="1:39" s="8" customFormat="1" x14ac:dyDescent="0.35">
      <c r="B115" s="9" t="s">
        <v>105</v>
      </c>
      <c r="G115" s="36"/>
      <c r="K115" s="36"/>
      <c r="O115" s="36"/>
      <c r="S115" s="36"/>
      <c r="W115" s="36"/>
      <c r="AA115" s="36"/>
      <c r="AC115" s="8">
        <f>-15748-654</f>
        <v>-16402</v>
      </c>
      <c r="AF115" s="8">
        <v>-4589</v>
      </c>
      <c r="AG115" s="8">
        <v>-6737</v>
      </c>
      <c r="AH115" s="8">
        <v>-10058</v>
      </c>
      <c r="AJ115" s="8">
        <v>-12689</v>
      </c>
      <c r="AK115" s="8">
        <v>-35044</v>
      </c>
      <c r="AL115" s="8">
        <v>-52119</v>
      </c>
      <c r="AM115" s="8">
        <v>-59351</v>
      </c>
    </row>
    <row r="116" spans="1:39" x14ac:dyDescent="0.35">
      <c r="B116" s="5" t="s">
        <v>106</v>
      </c>
      <c r="AC116">
        <f>SUM(AC114:AC115)</f>
        <v>-4998</v>
      </c>
      <c r="AF116">
        <f>SUM(AF114:AF115)</f>
        <v>7450</v>
      </c>
      <c r="AG116">
        <f t="shared" ref="AG116:AI116" si="159">SUM(AG114:AG115)</f>
        <v>10535</v>
      </c>
      <c r="AH116">
        <f t="shared" si="159"/>
        <v>8376</v>
      </c>
      <c r="AI116">
        <f t="shared" si="159"/>
        <v>0</v>
      </c>
      <c r="AJ116">
        <f>SUM(AJ114:AJ115)</f>
        <v>25825</v>
      </c>
      <c r="AK116">
        <f>SUM(AK114:AK115)</f>
        <v>31020</v>
      </c>
      <c r="AL116">
        <f t="shared" ref="AL116:AM116" si="160">SUM(AL114:AL115)</f>
        <v>2552</v>
      </c>
      <c r="AM116">
        <f t="shared" si="160"/>
        <v>-19686</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9"/>
  <sheetViews>
    <sheetView zoomScale="85" zoomScaleNormal="85" workbookViewId="0">
      <selection activeCell="P41" sqref="P41"/>
    </sheetView>
  </sheetViews>
  <sheetFormatPr defaultRowHeight="14.5" x14ac:dyDescent="0.35"/>
  <cols>
    <col min="1" max="1" width="26.453125" customWidth="1"/>
  </cols>
  <sheetData>
    <row r="1" spans="1:18" x14ac:dyDescent="0.35">
      <c r="B1" s="1" t="s">
        <v>107</v>
      </c>
      <c r="C1" s="1" t="s">
        <v>108</v>
      </c>
      <c r="D1" s="1" t="s">
        <v>109</v>
      </c>
      <c r="E1" s="1" t="s">
        <v>110</v>
      </c>
      <c r="F1" s="1" t="s">
        <v>111</v>
      </c>
      <c r="G1" s="1" t="s">
        <v>112</v>
      </c>
      <c r="H1" s="1" t="s">
        <v>113</v>
      </c>
      <c r="I1" s="1" t="s">
        <v>114</v>
      </c>
      <c r="J1" s="1" t="s">
        <v>115</v>
      </c>
      <c r="K1" s="1" t="s">
        <v>116</v>
      </c>
      <c r="L1" s="1" t="s">
        <v>117</v>
      </c>
      <c r="M1" s="1" t="s">
        <v>118</v>
      </c>
      <c r="N1" s="1" t="s">
        <v>119</v>
      </c>
      <c r="O1" s="1" t="s">
        <v>120</v>
      </c>
      <c r="P1" s="1" t="s">
        <v>121</v>
      </c>
      <c r="Q1" s="1" t="s">
        <v>122</v>
      </c>
      <c r="R1" s="1" t="s">
        <v>123</v>
      </c>
    </row>
    <row r="2" spans="1:18" s="3" customFormat="1" x14ac:dyDescent="0.35">
      <c r="A2" s="1" t="s">
        <v>124</v>
      </c>
      <c r="B2" s="3" t="s">
        <v>125</v>
      </c>
      <c r="C2" s="3" t="s">
        <v>126</v>
      </c>
      <c r="D2" s="3" t="s">
        <v>127</v>
      </c>
      <c r="E2" s="3" t="s">
        <v>128</v>
      </c>
      <c r="F2" s="3" t="s">
        <v>129</v>
      </c>
      <c r="G2" s="3" t="s">
        <v>130</v>
      </c>
      <c r="H2" s="3" t="s">
        <v>131</v>
      </c>
      <c r="I2" s="3" t="s">
        <v>132</v>
      </c>
      <c r="J2" s="3" t="s">
        <v>133</v>
      </c>
      <c r="K2" s="3" t="s">
        <v>134</v>
      </c>
      <c r="L2" s="3" t="s">
        <v>135</v>
      </c>
      <c r="M2" s="3" t="s">
        <v>136</v>
      </c>
      <c r="N2" s="3" t="s">
        <v>137</v>
      </c>
      <c r="O2" s="3" t="s">
        <v>138</v>
      </c>
      <c r="P2" s="3" t="s">
        <v>139</v>
      </c>
      <c r="Q2" s="3" t="s">
        <v>140</v>
      </c>
      <c r="R2" s="3" t="s">
        <v>141</v>
      </c>
    </row>
    <row r="3" spans="1:18" s="3" customFormat="1" x14ac:dyDescent="0.35">
      <c r="A3" s="1" t="s">
        <v>142</v>
      </c>
      <c r="B3" s="3" t="s">
        <v>143</v>
      </c>
      <c r="C3" s="3" t="s">
        <v>144</v>
      </c>
      <c r="D3" s="3" t="s">
        <v>145</v>
      </c>
      <c r="E3" s="3" t="s">
        <v>146</v>
      </c>
      <c r="F3" s="3" t="s">
        <v>147</v>
      </c>
      <c r="G3" s="3" t="s">
        <v>148</v>
      </c>
      <c r="H3" s="3" t="s">
        <v>149</v>
      </c>
      <c r="I3" s="3" t="s">
        <v>150</v>
      </c>
      <c r="J3" s="3" t="s">
        <v>151</v>
      </c>
      <c r="K3" s="3" t="s">
        <v>144</v>
      </c>
      <c r="L3" s="3" t="s">
        <v>152</v>
      </c>
      <c r="M3" s="3" t="s">
        <v>153</v>
      </c>
      <c r="N3" s="3" t="s">
        <v>154</v>
      </c>
      <c r="O3" s="3" t="s">
        <v>155</v>
      </c>
      <c r="P3" s="3" t="s">
        <v>156</v>
      </c>
      <c r="Q3" s="3" t="s">
        <v>157</v>
      </c>
      <c r="R3" s="3" t="s">
        <v>158</v>
      </c>
    </row>
    <row r="4" spans="1:18" x14ac:dyDescent="0.35">
      <c r="A4" s="1" t="s">
        <v>159</v>
      </c>
      <c r="B4" t="s">
        <v>144</v>
      </c>
      <c r="C4" t="s">
        <v>160</v>
      </c>
      <c r="D4" t="s">
        <v>161</v>
      </c>
      <c r="E4" t="s">
        <v>162</v>
      </c>
      <c r="F4" t="s">
        <v>163</v>
      </c>
      <c r="G4" t="s">
        <v>164</v>
      </c>
      <c r="H4" t="s">
        <v>165</v>
      </c>
      <c r="I4" t="s">
        <v>166</v>
      </c>
      <c r="J4" t="s">
        <v>167</v>
      </c>
      <c r="K4" t="s">
        <v>168</v>
      </c>
      <c r="L4" t="s">
        <v>169</v>
      </c>
      <c r="M4" t="s">
        <v>170</v>
      </c>
      <c r="N4" t="s">
        <v>171</v>
      </c>
      <c r="O4" t="s">
        <v>172</v>
      </c>
      <c r="P4" t="s">
        <v>173</v>
      </c>
      <c r="Q4" t="s">
        <v>174</v>
      </c>
      <c r="R4" t="s">
        <v>175</v>
      </c>
    </row>
    <row r="5" spans="1:18" x14ac:dyDescent="0.35">
      <c r="A5" s="1" t="s">
        <v>176</v>
      </c>
      <c r="B5" t="s">
        <v>177</v>
      </c>
      <c r="C5" t="s">
        <v>177</v>
      </c>
      <c r="D5" t="s">
        <v>177</v>
      </c>
      <c r="E5" t="s">
        <v>177</v>
      </c>
      <c r="F5" t="s">
        <v>177</v>
      </c>
      <c r="G5" t="s">
        <v>177</v>
      </c>
      <c r="H5" t="s">
        <v>177</v>
      </c>
      <c r="I5" t="s">
        <v>177</v>
      </c>
      <c r="J5" t="s">
        <v>177</v>
      </c>
      <c r="K5" t="s">
        <v>177</v>
      </c>
      <c r="L5" t="s">
        <v>177</v>
      </c>
      <c r="M5" t="s">
        <v>177</v>
      </c>
      <c r="N5" t="s">
        <v>177</v>
      </c>
      <c r="O5" t="s">
        <v>177</v>
      </c>
      <c r="P5" t="s">
        <v>177</v>
      </c>
      <c r="Q5" t="s">
        <v>177</v>
      </c>
      <c r="R5" t="s">
        <v>177</v>
      </c>
    </row>
    <row r="6" spans="1:18" x14ac:dyDescent="0.35">
      <c r="A6" s="1" t="s">
        <v>178</v>
      </c>
      <c r="B6" t="s">
        <v>150</v>
      </c>
      <c r="C6" t="s">
        <v>150</v>
      </c>
      <c r="D6" t="s">
        <v>165</v>
      </c>
      <c r="E6" t="s">
        <v>165</v>
      </c>
      <c r="F6" t="s">
        <v>179</v>
      </c>
      <c r="G6" t="s">
        <v>180</v>
      </c>
      <c r="H6" t="s">
        <v>181</v>
      </c>
      <c r="I6" t="s">
        <v>182</v>
      </c>
      <c r="J6" t="s">
        <v>183</v>
      </c>
      <c r="K6" t="s">
        <v>184</v>
      </c>
      <c r="L6" t="s">
        <v>185</v>
      </c>
      <c r="M6" t="s">
        <v>186</v>
      </c>
      <c r="N6" t="s">
        <v>187</v>
      </c>
      <c r="O6" t="s">
        <v>188</v>
      </c>
      <c r="P6" t="s">
        <v>189</v>
      </c>
      <c r="Q6" t="s">
        <v>190</v>
      </c>
      <c r="R6" t="s">
        <v>191</v>
      </c>
    </row>
    <row r="7" spans="1:18" x14ac:dyDescent="0.35">
      <c r="A7" s="1" t="s">
        <v>192</v>
      </c>
      <c r="B7" t="s">
        <v>193</v>
      </c>
      <c r="C7" t="s">
        <v>160</v>
      </c>
      <c r="D7" t="s">
        <v>153</v>
      </c>
      <c r="E7" t="s">
        <v>194</v>
      </c>
      <c r="F7" t="s">
        <v>195</v>
      </c>
      <c r="G7" t="s">
        <v>196</v>
      </c>
      <c r="H7" t="s">
        <v>197</v>
      </c>
      <c r="I7" t="s">
        <v>198</v>
      </c>
      <c r="J7" t="s">
        <v>199</v>
      </c>
      <c r="K7" t="s">
        <v>200</v>
      </c>
      <c r="L7" t="s">
        <v>201</v>
      </c>
      <c r="M7" t="s">
        <v>202</v>
      </c>
      <c r="N7" t="s">
        <v>203</v>
      </c>
      <c r="O7" t="s">
        <v>204</v>
      </c>
      <c r="P7" t="s">
        <v>205</v>
      </c>
      <c r="Q7" t="s">
        <v>206</v>
      </c>
      <c r="R7" t="s">
        <v>207</v>
      </c>
    </row>
    <row r="8" spans="1:18" x14ac:dyDescent="0.35">
      <c r="A8" s="1" t="s">
        <v>208</v>
      </c>
      <c r="B8" t="s">
        <v>209</v>
      </c>
      <c r="C8" t="s">
        <v>210</v>
      </c>
      <c r="D8" t="s">
        <v>211</v>
      </c>
      <c r="E8" t="s">
        <v>212</v>
      </c>
      <c r="F8" t="s">
        <v>213</v>
      </c>
      <c r="G8" t="s">
        <v>214</v>
      </c>
      <c r="H8" t="s">
        <v>214</v>
      </c>
      <c r="I8" t="s">
        <v>215</v>
      </c>
      <c r="J8" t="s">
        <v>216</v>
      </c>
      <c r="K8" t="s">
        <v>217</v>
      </c>
      <c r="L8" t="s">
        <v>218</v>
      </c>
      <c r="M8" t="s">
        <v>219</v>
      </c>
      <c r="N8" t="s">
        <v>220</v>
      </c>
      <c r="O8" t="s">
        <v>221</v>
      </c>
      <c r="P8" t="s">
        <v>222</v>
      </c>
      <c r="Q8" t="s">
        <v>223</v>
      </c>
      <c r="R8" t="s">
        <v>224</v>
      </c>
    </row>
    <row r="9" spans="1:18" s="3" customFormat="1" x14ac:dyDescent="0.35">
      <c r="A9" s="1" t="s">
        <v>225</v>
      </c>
      <c r="B9" s="3" t="s">
        <v>226</v>
      </c>
      <c r="C9" s="3" t="s">
        <v>227</v>
      </c>
      <c r="D9" s="3" t="s">
        <v>228</v>
      </c>
      <c r="E9" s="3" t="s">
        <v>229</v>
      </c>
      <c r="F9" s="3" t="s">
        <v>230</v>
      </c>
      <c r="G9" s="3" t="s">
        <v>231</v>
      </c>
      <c r="H9" s="3" t="s">
        <v>232</v>
      </c>
      <c r="I9" s="3" t="s">
        <v>233</v>
      </c>
      <c r="J9" s="3" t="s">
        <v>234</v>
      </c>
      <c r="K9" s="3" t="s">
        <v>235</v>
      </c>
      <c r="L9" s="3" t="s">
        <v>236</v>
      </c>
      <c r="M9" s="3" t="s">
        <v>237</v>
      </c>
      <c r="N9" s="3" t="s">
        <v>238</v>
      </c>
      <c r="O9" s="3" t="s">
        <v>239</v>
      </c>
      <c r="P9" s="3" t="s">
        <v>240</v>
      </c>
      <c r="Q9" s="3" t="s">
        <v>241</v>
      </c>
      <c r="R9" s="3" t="s">
        <v>242</v>
      </c>
    </row>
    <row r="10" spans="1:18" x14ac:dyDescent="0.35">
      <c r="A10" s="1" t="s">
        <v>243</v>
      </c>
      <c r="B10" t="s">
        <v>244</v>
      </c>
      <c r="C10" t="s">
        <v>245</v>
      </c>
      <c r="D10" t="s">
        <v>246</v>
      </c>
      <c r="E10" t="s">
        <v>247</v>
      </c>
      <c r="F10" t="s">
        <v>248</v>
      </c>
      <c r="G10" t="s">
        <v>249</v>
      </c>
      <c r="H10" t="s">
        <v>250</v>
      </c>
      <c r="I10" t="s">
        <v>251</v>
      </c>
      <c r="J10" t="s">
        <v>252</v>
      </c>
      <c r="K10" t="s">
        <v>253</v>
      </c>
      <c r="L10" t="s">
        <v>254</v>
      </c>
      <c r="M10" t="s">
        <v>255</v>
      </c>
      <c r="N10" t="s">
        <v>256</v>
      </c>
      <c r="O10" t="s">
        <v>257</v>
      </c>
      <c r="P10" t="s">
        <v>258</v>
      </c>
      <c r="Q10" t="s">
        <v>258</v>
      </c>
      <c r="R10" t="s">
        <v>254</v>
      </c>
    </row>
    <row r="11" spans="1:18" x14ac:dyDescent="0.35">
      <c r="A11" s="1" t="s">
        <v>259</v>
      </c>
      <c r="B11" t="s">
        <v>177</v>
      </c>
      <c r="C11" t="s">
        <v>177</v>
      </c>
      <c r="D11" t="s">
        <v>177</v>
      </c>
      <c r="E11" t="s">
        <v>177</v>
      </c>
      <c r="F11" t="s">
        <v>177</v>
      </c>
      <c r="G11" t="s">
        <v>177</v>
      </c>
      <c r="H11" t="s">
        <v>177</v>
      </c>
      <c r="I11" t="s">
        <v>177</v>
      </c>
      <c r="J11" t="s">
        <v>177</v>
      </c>
      <c r="K11" t="s">
        <v>177</v>
      </c>
      <c r="L11" t="s">
        <v>177</v>
      </c>
      <c r="M11" t="s">
        <v>177</v>
      </c>
      <c r="N11" t="s">
        <v>177</v>
      </c>
      <c r="O11" t="s">
        <v>177</v>
      </c>
      <c r="P11" t="s">
        <v>177</v>
      </c>
      <c r="Q11" t="s">
        <v>177</v>
      </c>
      <c r="R11" t="s">
        <v>177</v>
      </c>
    </row>
    <row r="12" spans="1:18" x14ac:dyDescent="0.35">
      <c r="A12" s="1" t="s">
        <v>260</v>
      </c>
      <c r="B12" t="s">
        <v>261</v>
      </c>
      <c r="C12" t="s">
        <v>262</v>
      </c>
      <c r="D12" t="s">
        <v>263</v>
      </c>
      <c r="E12" t="s">
        <v>264</v>
      </c>
      <c r="F12" t="s">
        <v>265</v>
      </c>
      <c r="G12" t="s">
        <v>266</v>
      </c>
      <c r="H12" t="s">
        <v>267</v>
      </c>
      <c r="I12" t="s">
        <v>268</v>
      </c>
      <c r="J12" t="s">
        <v>269</v>
      </c>
      <c r="K12" t="s">
        <v>270</v>
      </c>
      <c r="L12" t="s">
        <v>271</v>
      </c>
      <c r="M12" t="s">
        <v>272</v>
      </c>
      <c r="N12" t="s">
        <v>273</v>
      </c>
      <c r="O12" t="s">
        <v>274</v>
      </c>
      <c r="P12" t="s">
        <v>275</v>
      </c>
      <c r="Q12" t="s">
        <v>276</v>
      </c>
      <c r="R12" t="s">
        <v>277</v>
      </c>
    </row>
    <row r="13" spans="1:18" x14ac:dyDescent="0.35">
      <c r="A13" s="1" t="s">
        <v>278</v>
      </c>
      <c r="B13" t="s">
        <v>279</v>
      </c>
      <c r="C13" t="s">
        <v>280</v>
      </c>
      <c r="D13" t="s">
        <v>280</v>
      </c>
      <c r="E13" t="s">
        <v>281</v>
      </c>
      <c r="F13" t="s">
        <v>282</v>
      </c>
      <c r="G13" t="s">
        <v>283</v>
      </c>
      <c r="H13" t="s">
        <v>284</v>
      </c>
      <c r="I13" t="s">
        <v>285</v>
      </c>
      <c r="J13" t="s">
        <v>286</v>
      </c>
      <c r="K13" t="s">
        <v>287</v>
      </c>
      <c r="L13" t="s">
        <v>288</v>
      </c>
      <c r="M13" t="s">
        <v>289</v>
      </c>
      <c r="N13" t="s">
        <v>290</v>
      </c>
      <c r="O13" t="s">
        <v>291</v>
      </c>
      <c r="P13" t="s">
        <v>292</v>
      </c>
      <c r="Q13" t="s">
        <v>290</v>
      </c>
      <c r="R13" t="s">
        <v>293</v>
      </c>
    </row>
    <row r="14" spans="1:18" x14ac:dyDescent="0.35">
      <c r="A14" s="1" t="s">
        <v>294</v>
      </c>
      <c r="B14" t="s">
        <v>295</v>
      </c>
      <c r="C14" t="s">
        <v>296</v>
      </c>
      <c r="D14" t="s">
        <v>297</v>
      </c>
      <c r="E14" t="s">
        <v>298</v>
      </c>
      <c r="F14" t="s">
        <v>299</v>
      </c>
      <c r="G14" t="s">
        <v>300</v>
      </c>
      <c r="H14" t="s">
        <v>301</v>
      </c>
      <c r="I14" t="s">
        <v>302</v>
      </c>
      <c r="J14" t="s">
        <v>303</v>
      </c>
      <c r="K14" t="s">
        <v>304</v>
      </c>
      <c r="L14" t="s">
        <v>305</v>
      </c>
      <c r="M14" t="s">
        <v>306</v>
      </c>
      <c r="N14" t="s">
        <v>307</v>
      </c>
      <c r="O14" t="s">
        <v>308</v>
      </c>
      <c r="P14" t="s">
        <v>309</v>
      </c>
      <c r="Q14" t="s">
        <v>310</v>
      </c>
      <c r="R14" t="s">
        <v>311</v>
      </c>
    </row>
    <row r="15" spans="1:18" x14ac:dyDescent="0.35">
      <c r="A15" s="1" t="s">
        <v>312</v>
      </c>
      <c r="B15" t="s">
        <v>313</v>
      </c>
      <c r="C15" t="s">
        <v>314</v>
      </c>
      <c r="D15" t="s">
        <v>315</v>
      </c>
      <c r="E15" t="s">
        <v>316</v>
      </c>
      <c r="F15" t="s">
        <v>317</v>
      </c>
      <c r="G15" t="s">
        <v>318</v>
      </c>
      <c r="H15" t="s">
        <v>319</v>
      </c>
      <c r="I15" t="s">
        <v>320</v>
      </c>
      <c r="J15" t="s">
        <v>321</v>
      </c>
      <c r="K15" t="s">
        <v>322</v>
      </c>
      <c r="L15" t="s">
        <v>323</v>
      </c>
      <c r="M15" t="s">
        <v>324</v>
      </c>
      <c r="N15" t="s">
        <v>325</v>
      </c>
      <c r="O15" t="s">
        <v>326</v>
      </c>
      <c r="P15" t="s">
        <v>327</v>
      </c>
      <c r="Q15" t="s">
        <v>328</v>
      </c>
      <c r="R15" t="s">
        <v>329</v>
      </c>
    </row>
    <row r="16" spans="1:18" x14ac:dyDescent="0.35">
      <c r="A16" s="1" t="s">
        <v>330</v>
      </c>
      <c r="B16" t="s">
        <v>331</v>
      </c>
      <c r="C16" t="s">
        <v>332</v>
      </c>
      <c r="D16" t="s">
        <v>333</v>
      </c>
      <c r="E16" t="s">
        <v>334</v>
      </c>
      <c r="F16" t="s">
        <v>335</v>
      </c>
      <c r="G16" t="s">
        <v>336</v>
      </c>
      <c r="H16" t="s">
        <v>337</v>
      </c>
      <c r="I16" t="s">
        <v>338</v>
      </c>
      <c r="J16" t="s">
        <v>339</v>
      </c>
      <c r="K16" t="s">
        <v>340</v>
      </c>
      <c r="L16" t="s">
        <v>341</v>
      </c>
      <c r="M16" t="s">
        <v>342</v>
      </c>
      <c r="N16" t="s">
        <v>343</v>
      </c>
      <c r="O16" t="s">
        <v>344</v>
      </c>
      <c r="P16" t="s">
        <v>345</v>
      </c>
      <c r="Q16" t="s">
        <v>346</v>
      </c>
      <c r="R16" t="s">
        <v>347</v>
      </c>
    </row>
    <row r="17" spans="1:18" x14ac:dyDescent="0.35">
      <c r="A17" s="1" t="s">
        <v>348</v>
      </c>
      <c r="B17" t="s">
        <v>283</v>
      </c>
      <c r="C17" t="s">
        <v>293</v>
      </c>
      <c r="D17" t="s">
        <v>349</v>
      </c>
      <c r="E17" t="s">
        <v>350</v>
      </c>
      <c r="F17" t="s">
        <v>349</v>
      </c>
      <c r="G17" t="s">
        <v>351</v>
      </c>
      <c r="H17" t="s">
        <v>352</v>
      </c>
      <c r="I17" t="s">
        <v>353</v>
      </c>
      <c r="J17" t="s">
        <v>354</v>
      </c>
      <c r="K17" t="s">
        <v>355</v>
      </c>
      <c r="L17" t="s">
        <v>356</v>
      </c>
      <c r="M17" t="s">
        <v>356</v>
      </c>
      <c r="N17" t="s">
        <v>357</v>
      </c>
      <c r="O17" t="s">
        <v>282</v>
      </c>
      <c r="P17" t="s">
        <v>358</v>
      </c>
      <c r="Q17" t="s">
        <v>359</v>
      </c>
      <c r="R17" t="s">
        <v>287</v>
      </c>
    </row>
    <row r="18" spans="1:18" x14ac:dyDescent="0.35">
      <c r="A18" s="1" t="s">
        <v>360</v>
      </c>
      <c r="B18" t="s">
        <v>361</v>
      </c>
      <c r="C18" t="s">
        <v>362</v>
      </c>
      <c r="D18" t="s">
        <v>363</v>
      </c>
      <c r="E18" t="s">
        <v>364</v>
      </c>
      <c r="F18" t="s">
        <v>365</v>
      </c>
      <c r="G18" t="s">
        <v>366</v>
      </c>
      <c r="H18" t="s">
        <v>367</v>
      </c>
      <c r="I18" t="s">
        <v>368</v>
      </c>
      <c r="J18" t="s">
        <v>369</v>
      </c>
      <c r="K18" t="s">
        <v>370</v>
      </c>
      <c r="L18" t="s">
        <v>371</v>
      </c>
      <c r="M18" t="s">
        <v>372</v>
      </c>
      <c r="N18" t="s">
        <v>373</v>
      </c>
      <c r="O18" t="s">
        <v>374</v>
      </c>
      <c r="P18" t="s">
        <v>375</v>
      </c>
      <c r="Q18" t="s">
        <v>376</v>
      </c>
      <c r="R18" t="s">
        <v>377</v>
      </c>
    </row>
    <row r="19" spans="1:18" x14ac:dyDescent="0.35">
      <c r="A19" s="1" t="s">
        <v>378</v>
      </c>
      <c r="B19" t="s">
        <v>379</v>
      </c>
      <c r="C19" t="s">
        <v>380</v>
      </c>
      <c r="D19" t="s">
        <v>381</v>
      </c>
      <c r="E19" t="s">
        <v>382</v>
      </c>
      <c r="F19" t="s">
        <v>383</v>
      </c>
      <c r="G19" t="s">
        <v>384</v>
      </c>
      <c r="H19" t="s">
        <v>385</v>
      </c>
      <c r="I19" t="s">
        <v>386</v>
      </c>
      <c r="J19" t="s">
        <v>387</v>
      </c>
      <c r="K19" t="s">
        <v>388</v>
      </c>
      <c r="L19" t="s">
        <v>389</v>
      </c>
      <c r="M19" t="s">
        <v>390</v>
      </c>
      <c r="N19" t="s">
        <v>391</v>
      </c>
      <c r="O19" t="s">
        <v>392</v>
      </c>
      <c r="P19" t="s">
        <v>393</v>
      </c>
      <c r="Q19" t="s">
        <v>394</v>
      </c>
      <c r="R19" t="s">
        <v>395</v>
      </c>
    </row>
    <row r="20" spans="1:18" x14ac:dyDescent="0.35">
      <c r="A20" s="1" t="s">
        <v>396</v>
      </c>
      <c r="B20" t="s">
        <v>397</v>
      </c>
      <c r="C20" t="s">
        <v>398</v>
      </c>
      <c r="D20" t="s">
        <v>399</v>
      </c>
      <c r="E20" t="s">
        <v>400</v>
      </c>
      <c r="F20" t="s">
        <v>401</v>
      </c>
      <c r="G20" t="s">
        <v>402</v>
      </c>
      <c r="H20" t="s">
        <v>403</v>
      </c>
      <c r="I20" t="s">
        <v>404</v>
      </c>
      <c r="J20" t="s">
        <v>405</v>
      </c>
      <c r="K20" t="s">
        <v>406</v>
      </c>
      <c r="L20" t="s">
        <v>407</v>
      </c>
      <c r="M20" t="s">
        <v>408</v>
      </c>
      <c r="N20" t="s">
        <v>409</v>
      </c>
      <c r="O20" t="s">
        <v>410</v>
      </c>
      <c r="P20" t="s">
        <v>411</v>
      </c>
      <c r="Q20" t="s">
        <v>412</v>
      </c>
      <c r="R20" t="s">
        <v>413</v>
      </c>
    </row>
    <row r="21" spans="1:18" x14ac:dyDescent="0.35">
      <c r="A21" s="1" t="s">
        <v>414</v>
      </c>
      <c r="B21" t="s">
        <v>415</v>
      </c>
      <c r="C21" t="s">
        <v>416</v>
      </c>
      <c r="D21" t="s">
        <v>417</v>
      </c>
      <c r="E21" t="s">
        <v>418</v>
      </c>
      <c r="F21" t="s">
        <v>419</v>
      </c>
      <c r="G21" t="s">
        <v>420</v>
      </c>
      <c r="H21" t="s">
        <v>421</v>
      </c>
      <c r="I21" t="s">
        <v>289</v>
      </c>
      <c r="J21" t="s">
        <v>351</v>
      </c>
      <c r="K21" t="s">
        <v>422</v>
      </c>
      <c r="L21" t="s">
        <v>423</v>
      </c>
      <c r="M21" t="s">
        <v>424</v>
      </c>
      <c r="N21" t="s">
        <v>425</v>
      </c>
      <c r="O21" t="s">
        <v>426</v>
      </c>
      <c r="P21" t="s">
        <v>427</v>
      </c>
      <c r="Q21" t="s">
        <v>346</v>
      </c>
      <c r="R21" t="s">
        <v>428</v>
      </c>
    </row>
    <row r="22" spans="1:18" x14ac:dyDescent="0.35">
      <c r="A22" s="1" t="s">
        <v>429</v>
      </c>
      <c r="B22" t="s">
        <v>430</v>
      </c>
      <c r="C22" t="s">
        <v>431</v>
      </c>
      <c r="D22" t="s">
        <v>432</v>
      </c>
      <c r="E22" t="s">
        <v>433</v>
      </c>
      <c r="F22" t="s">
        <v>434</v>
      </c>
      <c r="G22" t="s">
        <v>435</v>
      </c>
      <c r="H22" t="s">
        <v>436</v>
      </c>
      <c r="I22" t="s">
        <v>437</v>
      </c>
      <c r="J22" t="s">
        <v>286</v>
      </c>
      <c r="K22" t="s">
        <v>288</v>
      </c>
      <c r="L22" t="s">
        <v>424</v>
      </c>
      <c r="M22" t="s">
        <v>438</v>
      </c>
      <c r="N22" t="s">
        <v>439</v>
      </c>
      <c r="O22" t="s">
        <v>423</v>
      </c>
      <c r="P22" t="s">
        <v>440</v>
      </c>
      <c r="Q22" t="s">
        <v>441</v>
      </c>
      <c r="R22" t="s">
        <v>438</v>
      </c>
    </row>
    <row r="23" spans="1:18" x14ac:dyDescent="0.35">
      <c r="A23" s="1" t="s">
        <v>442</v>
      </c>
      <c r="B23" t="s">
        <v>443</v>
      </c>
      <c r="C23" t="s">
        <v>444</v>
      </c>
      <c r="D23" t="s">
        <v>445</v>
      </c>
      <c r="E23" t="s">
        <v>446</v>
      </c>
      <c r="F23" t="s">
        <v>447</v>
      </c>
      <c r="G23" t="s">
        <v>448</v>
      </c>
      <c r="H23" t="s">
        <v>449</v>
      </c>
      <c r="I23" t="s">
        <v>450</v>
      </c>
      <c r="J23" t="s">
        <v>451</v>
      </c>
      <c r="K23" t="s">
        <v>452</v>
      </c>
      <c r="L23" t="s">
        <v>453</v>
      </c>
      <c r="M23" t="s">
        <v>454</v>
      </c>
      <c r="N23" t="s">
        <v>455</v>
      </c>
      <c r="O23" t="s">
        <v>456</v>
      </c>
      <c r="P23" t="s">
        <v>457</v>
      </c>
      <c r="Q23" t="s">
        <v>445</v>
      </c>
      <c r="R23" t="s">
        <v>458</v>
      </c>
    </row>
    <row r="24" spans="1:18" x14ac:dyDescent="0.35">
      <c r="A24" s="1" t="s">
        <v>459</v>
      </c>
      <c r="B24" t="s">
        <v>460</v>
      </c>
      <c r="C24" t="s">
        <v>460</v>
      </c>
      <c r="D24" t="s">
        <v>460</v>
      </c>
      <c r="E24" t="s">
        <v>460</v>
      </c>
      <c r="F24" t="s">
        <v>460</v>
      </c>
      <c r="G24" t="s">
        <v>460</v>
      </c>
      <c r="H24" t="s">
        <v>460</v>
      </c>
      <c r="I24" t="s">
        <v>460</v>
      </c>
      <c r="J24" t="s">
        <v>460</v>
      </c>
      <c r="K24" t="s">
        <v>460</v>
      </c>
      <c r="L24" t="s">
        <v>460</v>
      </c>
      <c r="M24" t="s">
        <v>460</v>
      </c>
      <c r="N24" t="s">
        <v>460</v>
      </c>
      <c r="O24" t="s">
        <v>460</v>
      </c>
      <c r="P24" t="s">
        <v>460</v>
      </c>
      <c r="Q24" t="s">
        <v>460</v>
      </c>
      <c r="R24" t="s">
        <v>460</v>
      </c>
    </row>
    <row r="25" spans="1:18" x14ac:dyDescent="0.35">
      <c r="A25" s="1" t="s">
        <v>461</v>
      </c>
      <c r="B25" t="s">
        <v>462</v>
      </c>
      <c r="C25" t="s">
        <v>463</v>
      </c>
      <c r="D25" t="s">
        <v>464</v>
      </c>
      <c r="E25" t="s">
        <v>177</v>
      </c>
      <c r="F25" t="s">
        <v>177</v>
      </c>
      <c r="G25" t="s">
        <v>465</v>
      </c>
      <c r="H25" t="s">
        <v>177</v>
      </c>
      <c r="I25" t="s">
        <v>177</v>
      </c>
      <c r="J25" t="s">
        <v>177</v>
      </c>
      <c r="K25" t="s">
        <v>177</v>
      </c>
      <c r="L25" t="s">
        <v>177</v>
      </c>
      <c r="M25" t="s">
        <v>177</v>
      </c>
      <c r="N25" t="s">
        <v>177</v>
      </c>
      <c r="O25" t="s">
        <v>177</v>
      </c>
      <c r="P25" t="s">
        <v>177</v>
      </c>
      <c r="Q25" t="s">
        <v>177</v>
      </c>
      <c r="R25" t="s">
        <v>466</v>
      </c>
    </row>
    <row r="28" spans="1:18" x14ac:dyDescent="0.35">
      <c r="A28" s="2" t="s">
        <v>467</v>
      </c>
      <c r="B28">
        <f>B3*B9</f>
        <v>1.5860000000000001</v>
      </c>
      <c r="C28">
        <f t="shared" ref="C28:R28" si="0">C3*C9</f>
        <v>3.5220000000000002</v>
      </c>
      <c r="D28">
        <f t="shared" si="0"/>
        <v>3.6639999999999997</v>
      </c>
      <c r="E28">
        <f t="shared" si="0"/>
        <v>4.2</v>
      </c>
      <c r="F28">
        <f t="shared" si="0"/>
        <v>6.9550000000000001</v>
      </c>
      <c r="G28">
        <f t="shared" si="0"/>
        <v>9.8770000000000007</v>
      </c>
      <c r="H28">
        <f t="shared" si="0"/>
        <v>0</v>
      </c>
      <c r="I28">
        <f t="shared" si="0"/>
        <v>14.91</v>
      </c>
      <c r="J28">
        <f t="shared" si="0"/>
        <v>19.013999999999999</v>
      </c>
      <c r="K28">
        <f t="shared" si="0"/>
        <v>22.511999999999997</v>
      </c>
      <c r="L28">
        <f t="shared" si="0"/>
        <v>34.799999999999997</v>
      </c>
      <c r="M28">
        <f t="shared" si="0"/>
        <v>49.152000000000001</v>
      </c>
      <c r="N28">
        <f t="shared" si="0"/>
        <v>81.061000000000007</v>
      </c>
      <c r="O28">
        <f t="shared" si="0"/>
        <v>88.802999999999997</v>
      </c>
      <c r="P28">
        <f t="shared" si="0"/>
        <v>133.55099999999999</v>
      </c>
      <c r="Q28">
        <f t="shared" si="0"/>
        <v>166.98</v>
      </c>
      <c r="R28">
        <f t="shared" si="0"/>
        <v>148.65600000000001</v>
      </c>
    </row>
    <row r="30" spans="1:18" x14ac:dyDescent="0.35">
      <c r="A30" t="s">
        <v>468</v>
      </c>
      <c r="B30" s="4">
        <f>B3/B2</f>
        <v>1.5503875968992248E-2</v>
      </c>
      <c r="C30" s="4">
        <f t="shared" ref="C30:R30" si="1">C3/C2</f>
        <v>3.3333333333333333E-2</v>
      </c>
      <c r="D30" s="4">
        <f t="shared" si="1"/>
        <v>3.5242290748898682E-2</v>
      </c>
      <c r="E30" s="4">
        <f t="shared" si="1"/>
        <v>3.5335689045936397E-2</v>
      </c>
      <c r="F30" s="4">
        <f t="shared" si="1"/>
        <v>3.3942558746736295E-2</v>
      </c>
      <c r="G30" s="4">
        <f t="shared" si="1"/>
        <v>1.3182674199623354E-2</v>
      </c>
      <c r="H30" s="4">
        <f t="shared" si="1"/>
        <v>0</v>
      </c>
      <c r="I30" s="4">
        <f t="shared" si="1"/>
        <v>3.6809815950920241E-3</v>
      </c>
      <c r="J30" s="4">
        <f t="shared" si="1"/>
        <v>-3.1152647975077876E-3</v>
      </c>
      <c r="K30" s="4">
        <f t="shared" si="1"/>
        <v>5.2356020942408371E-3</v>
      </c>
      <c r="L30" s="4">
        <f t="shared" si="1"/>
        <v>1.7433751743375175E-2</v>
      </c>
      <c r="M30" s="4">
        <f t="shared" si="1"/>
        <v>1.7269293038316244E-2</v>
      </c>
      <c r="N30" s="4">
        <f t="shared" si="1"/>
        <v>4.3078209953994147E-2</v>
      </c>
      <c r="O30" s="4">
        <f t="shared" si="1"/>
        <v>4.1211694258541737E-2</v>
      </c>
      <c r="P30" s="4">
        <f t="shared" si="1"/>
        <v>5.5167055167055168E-2</v>
      </c>
      <c r="Q30" s="4">
        <f t="shared" si="1"/>
        <v>7.1074736161964247E-2</v>
      </c>
      <c r="R30" s="4">
        <f t="shared" si="1"/>
        <v>2.3844384020079479E-2</v>
      </c>
    </row>
    <row r="31" spans="1:18" x14ac:dyDescent="0.35">
      <c r="B31" s="4"/>
      <c r="C31" s="4"/>
      <c r="D31" s="4"/>
      <c r="E31" s="4"/>
      <c r="F31" s="4"/>
      <c r="G31" s="4"/>
      <c r="H31" s="4"/>
      <c r="I31" s="4"/>
      <c r="J31" s="4"/>
      <c r="K31" s="4"/>
      <c r="L31" s="4"/>
      <c r="M31" s="4"/>
      <c r="N31" s="4"/>
      <c r="O31" s="4"/>
      <c r="P31" s="4"/>
      <c r="Q31" s="4"/>
      <c r="R31" s="4"/>
    </row>
    <row r="32" spans="1:18" x14ac:dyDescent="0.35">
      <c r="A32" t="s">
        <v>469</v>
      </c>
      <c r="B32" s="4"/>
      <c r="C32" s="4"/>
      <c r="D32" s="4"/>
      <c r="E32" s="4"/>
      <c r="F32" s="4"/>
      <c r="G32" s="4"/>
      <c r="H32" s="4"/>
      <c r="I32" s="4"/>
      <c r="J32" s="4"/>
      <c r="K32" s="4"/>
      <c r="L32" s="4"/>
      <c r="M32" s="4"/>
      <c r="N32" s="4"/>
      <c r="O32" s="4"/>
      <c r="P32" s="4"/>
      <c r="Q32" s="4"/>
      <c r="R32" s="4"/>
    </row>
    <row r="33" spans="1:18" x14ac:dyDescent="0.35">
      <c r="A33" s="1" t="s">
        <v>124</v>
      </c>
      <c r="B33" s="3" t="s">
        <v>125</v>
      </c>
      <c r="C33" s="3" t="s">
        <v>126</v>
      </c>
      <c r="D33" s="3" t="s">
        <v>127</v>
      </c>
      <c r="E33" s="3" t="s">
        <v>128</v>
      </c>
      <c r="F33" s="3" t="s">
        <v>129</v>
      </c>
      <c r="G33" s="3" t="s">
        <v>130</v>
      </c>
      <c r="H33" s="3" t="s">
        <v>131</v>
      </c>
      <c r="I33" s="3" t="s">
        <v>132</v>
      </c>
      <c r="J33" s="3" t="s">
        <v>133</v>
      </c>
      <c r="K33" s="3" t="s">
        <v>134</v>
      </c>
      <c r="L33" s="3" t="s">
        <v>135</v>
      </c>
      <c r="M33" s="3" t="s">
        <v>136</v>
      </c>
      <c r="N33" s="3" t="s">
        <v>137</v>
      </c>
      <c r="O33" s="3" t="s">
        <v>138</v>
      </c>
      <c r="P33" s="3" t="s">
        <v>139</v>
      </c>
      <c r="Q33" s="3" t="s">
        <v>140</v>
      </c>
      <c r="R33" s="4"/>
    </row>
    <row r="34" spans="1:18" s="3" customFormat="1" x14ac:dyDescent="0.35">
      <c r="A34" s="1" t="s">
        <v>142</v>
      </c>
      <c r="B34" s="3" t="s">
        <v>143</v>
      </c>
      <c r="C34" s="3" t="s">
        <v>144</v>
      </c>
      <c r="D34" s="3" t="s">
        <v>145</v>
      </c>
      <c r="E34" s="3" t="s">
        <v>146</v>
      </c>
      <c r="F34" s="3" t="s">
        <v>147</v>
      </c>
      <c r="G34" s="3" t="s">
        <v>148</v>
      </c>
      <c r="H34" s="3" t="s">
        <v>149</v>
      </c>
      <c r="I34" s="3" t="s">
        <v>150</v>
      </c>
      <c r="J34" s="3" t="s">
        <v>151</v>
      </c>
      <c r="K34" s="3" t="s">
        <v>144</v>
      </c>
      <c r="L34" s="3" t="s">
        <v>152</v>
      </c>
      <c r="M34" s="3" t="s">
        <v>153</v>
      </c>
      <c r="N34" s="3" t="s">
        <v>154</v>
      </c>
      <c r="O34" s="3" t="s">
        <v>155</v>
      </c>
      <c r="P34" s="3" t="s">
        <v>156</v>
      </c>
      <c r="Q34" s="3" t="s">
        <v>157</v>
      </c>
      <c r="R34" s="3" t="s">
        <v>158</v>
      </c>
    </row>
    <row r="35" spans="1:18" x14ac:dyDescent="0.35">
      <c r="A35" s="1" t="s">
        <v>159</v>
      </c>
      <c r="B35" t="s">
        <v>144</v>
      </c>
      <c r="C35" t="s">
        <v>160</v>
      </c>
      <c r="D35" t="s">
        <v>161</v>
      </c>
      <c r="E35" t="s">
        <v>162</v>
      </c>
      <c r="F35" t="s">
        <v>163</v>
      </c>
      <c r="G35" t="s">
        <v>164</v>
      </c>
      <c r="H35" t="s">
        <v>165</v>
      </c>
      <c r="I35" t="s">
        <v>166</v>
      </c>
      <c r="J35" t="s">
        <v>167</v>
      </c>
      <c r="K35" t="s">
        <v>168</v>
      </c>
      <c r="L35" t="s">
        <v>169</v>
      </c>
      <c r="M35" t="s">
        <v>170</v>
      </c>
      <c r="N35" t="s">
        <v>171</v>
      </c>
      <c r="O35" t="s">
        <v>172</v>
      </c>
      <c r="P35" t="s">
        <v>173</v>
      </c>
      <c r="Q35" t="s">
        <v>174</v>
      </c>
      <c r="R35" t="s">
        <v>175</v>
      </c>
    </row>
    <row r="36" spans="1:18" x14ac:dyDescent="0.35">
      <c r="B36" s="4"/>
      <c r="C36" s="4"/>
      <c r="D36" s="4"/>
      <c r="E36" s="4"/>
      <c r="F36" s="4"/>
      <c r="G36" s="4"/>
      <c r="H36" s="4"/>
      <c r="I36" s="4"/>
      <c r="J36" s="4"/>
      <c r="K36" s="4"/>
      <c r="L36" s="4"/>
      <c r="M36" s="4"/>
      <c r="N36" s="4"/>
      <c r="O36" s="4"/>
      <c r="P36" s="4"/>
      <c r="Q36" s="4"/>
      <c r="R36" s="4"/>
    </row>
    <row r="37" spans="1:18" x14ac:dyDescent="0.35">
      <c r="B37" s="4"/>
      <c r="C37" s="4"/>
      <c r="D37" s="4"/>
      <c r="E37" s="4"/>
      <c r="F37" s="4"/>
      <c r="G37" s="4"/>
      <c r="H37" s="4"/>
      <c r="I37" s="4"/>
      <c r="J37" s="4"/>
      <c r="K37" s="4"/>
      <c r="L37" s="4"/>
      <c r="M37" s="4"/>
      <c r="N37" s="4"/>
      <c r="O37" s="4"/>
      <c r="P37" s="4"/>
      <c r="Q37" s="4"/>
      <c r="R37" s="4"/>
    </row>
    <row r="38" spans="1:18" x14ac:dyDescent="0.35">
      <c r="B38" s="4"/>
      <c r="C38" s="4"/>
      <c r="D38" s="4"/>
      <c r="E38" s="4"/>
      <c r="F38" s="4"/>
      <c r="G38" s="4"/>
      <c r="H38" s="4"/>
      <c r="I38" s="4"/>
      <c r="J38" s="4"/>
      <c r="K38" s="4"/>
      <c r="L38" s="4"/>
      <c r="M38" s="4"/>
      <c r="N38" s="4"/>
      <c r="O38" s="4"/>
      <c r="P38" s="4"/>
      <c r="Q38" s="4"/>
      <c r="R38" s="4"/>
    </row>
    <row r="39" spans="1:18" x14ac:dyDescent="0.35">
      <c r="B39" s="4"/>
      <c r="C39" s="4"/>
      <c r="D39" s="4"/>
      <c r="E39" s="4"/>
      <c r="F39" s="4"/>
      <c r="G39" s="4"/>
      <c r="H39" s="4"/>
      <c r="I39" s="4"/>
      <c r="J39" s="4"/>
      <c r="K39" s="4"/>
      <c r="L39" s="4"/>
      <c r="M39" s="4"/>
      <c r="N39" s="4"/>
      <c r="O39" s="4"/>
      <c r="P39" s="4"/>
      <c r="Q39" s="4"/>
      <c r="R39" s="4"/>
    </row>
    <row r="40" spans="1:18" x14ac:dyDescent="0.35">
      <c r="B40" s="4"/>
      <c r="C40" s="4"/>
      <c r="D40" s="4"/>
      <c r="E40" s="4"/>
      <c r="F40" s="4"/>
      <c r="G40" s="4"/>
      <c r="H40" s="4"/>
      <c r="I40" s="4"/>
      <c r="J40" s="4"/>
      <c r="K40" s="4"/>
      <c r="L40" s="4"/>
      <c r="M40" s="4"/>
      <c r="N40" s="4"/>
      <c r="O40" s="4"/>
      <c r="P40" s="4"/>
      <c r="Q40" s="4"/>
      <c r="R40" s="4"/>
    </row>
    <row r="41" spans="1:18" x14ac:dyDescent="0.35">
      <c r="B41" s="4"/>
      <c r="C41" s="4"/>
      <c r="D41" s="4"/>
      <c r="E41" s="4"/>
      <c r="F41" s="4"/>
      <c r="G41" s="4"/>
      <c r="H41" s="4"/>
      <c r="I41" s="4"/>
      <c r="J41" s="4"/>
      <c r="K41" s="4"/>
      <c r="L41" s="4"/>
      <c r="M41" s="4"/>
      <c r="N41" s="4"/>
      <c r="O41" s="4"/>
      <c r="P41" s="4"/>
      <c r="Q41" s="4"/>
      <c r="R41" s="4"/>
    </row>
    <row r="42" spans="1:18" x14ac:dyDescent="0.35">
      <c r="B42" s="4"/>
      <c r="C42" s="4"/>
      <c r="D42" s="4"/>
      <c r="E42" s="4"/>
      <c r="F42" s="4"/>
      <c r="G42" s="4"/>
      <c r="H42" s="4"/>
      <c r="I42" s="4"/>
      <c r="J42" s="4"/>
      <c r="K42" s="4"/>
      <c r="L42" s="4"/>
      <c r="M42" s="4"/>
      <c r="N42" s="4"/>
      <c r="O42" s="4"/>
      <c r="P42" s="4"/>
      <c r="Q42" s="4"/>
      <c r="R42" s="4"/>
    </row>
    <row r="43" spans="1:18" x14ac:dyDescent="0.35">
      <c r="B43" s="4"/>
      <c r="C43" s="4"/>
      <c r="D43" s="4"/>
      <c r="E43" s="4"/>
      <c r="F43" s="4"/>
      <c r="G43" s="4"/>
      <c r="H43" s="4"/>
      <c r="I43" s="4"/>
      <c r="J43" s="4"/>
      <c r="K43" s="4"/>
      <c r="L43" s="4"/>
      <c r="M43" s="4"/>
      <c r="N43" s="4"/>
      <c r="O43" s="4"/>
      <c r="P43" s="4"/>
      <c r="Q43" s="4"/>
      <c r="R43" s="4"/>
    </row>
    <row r="44" spans="1:18" x14ac:dyDescent="0.35">
      <c r="B44" s="4"/>
      <c r="C44" s="4"/>
      <c r="D44" s="4"/>
      <c r="E44" s="4"/>
      <c r="F44" s="4"/>
      <c r="G44" s="4"/>
      <c r="H44" s="4"/>
      <c r="I44" s="4"/>
      <c r="J44" s="4"/>
      <c r="K44" s="4"/>
      <c r="L44" s="4"/>
      <c r="M44" s="4"/>
      <c r="N44" s="4"/>
      <c r="O44" s="4"/>
      <c r="P44" s="4"/>
      <c r="Q44" s="4"/>
      <c r="R44" s="4"/>
    </row>
    <row r="45" spans="1:18" x14ac:dyDescent="0.35">
      <c r="B45" s="4"/>
      <c r="C45" s="4"/>
      <c r="D45" s="4"/>
      <c r="E45" s="4"/>
      <c r="F45" s="4"/>
      <c r="G45" s="4"/>
      <c r="H45" s="4"/>
      <c r="I45" s="4"/>
      <c r="J45" s="4"/>
      <c r="K45" s="4"/>
      <c r="L45" s="4"/>
      <c r="M45" s="4"/>
      <c r="N45" s="4"/>
      <c r="O45" s="4"/>
      <c r="P45" s="4"/>
      <c r="Q45" s="4"/>
      <c r="R45" s="4"/>
    </row>
    <row r="46" spans="1:18" x14ac:dyDescent="0.35">
      <c r="B46" s="4"/>
      <c r="C46" s="4"/>
      <c r="D46" s="4"/>
      <c r="E46" s="4"/>
      <c r="F46" s="4"/>
      <c r="G46" s="4"/>
      <c r="H46" s="4"/>
      <c r="I46" s="4"/>
      <c r="J46" s="4"/>
      <c r="K46" s="4"/>
      <c r="L46" s="4"/>
      <c r="M46" s="4"/>
      <c r="N46" s="4"/>
      <c r="O46" s="4"/>
      <c r="P46" s="4"/>
      <c r="Q46" s="4"/>
      <c r="R46" s="4"/>
    </row>
    <row r="47" spans="1:18" x14ac:dyDescent="0.35">
      <c r="B47" s="4"/>
      <c r="C47" s="4"/>
      <c r="D47" s="4"/>
      <c r="E47" s="4"/>
      <c r="F47" s="4"/>
      <c r="G47" s="4"/>
      <c r="H47" s="4"/>
      <c r="I47" s="4"/>
      <c r="J47" s="4"/>
      <c r="K47" s="4"/>
      <c r="L47" s="4"/>
      <c r="M47" s="4"/>
      <c r="N47" s="4"/>
      <c r="O47" s="4"/>
      <c r="P47" s="4"/>
      <c r="Q47" s="4"/>
      <c r="R47" s="4"/>
    </row>
    <row r="48" spans="1:18" x14ac:dyDescent="0.35">
      <c r="B48" s="4"/>
      <c r="C48" s="4"/>
      <c r="D48" s="4"/>
      <c r="E48" s="4"/>
      <c r="F48" s="4"/>
      <c r="G48" s="4"/>
      <c r="H48" s="4"/>
      <c r="I48" s="4"/>
      <c r="J48" s="4"/>
      <c r="K48" s="4"/>
      <c r="L48" s="4"/>
      <c r="M48" s="4"/>
      <c r="N48" s="4"/>
      <c r="O48" s="4"/>
      <c r="P48" s="4"/>
      <c r="Q48" s="4"/>
      <c r="R48" s="4"/>
    </row>
    <row r="49" spans="2:18" x14ac:dyDescent="0.35">
      <c r="B49" s="4"/>
      <c r="C49" s="4"/>
      <c r="D49" s="4"/>
      <c r="E49" s="4"/>
      <c r="F49" s="4"/>
      <c r="G49" s="4"/>
      <c r="H49" s="4"/>
      <c r="I49" s="4"/>
      <c r="J49" s="4"/>
      <c r="K49" s="4"/>
      <c r="L49" s="4"/>
      <c r="M49" s="4"/>
      <c r="N49" s="4"/>
      <c r="O49" s="4"/>
      <c r="P49" s="4"/>
      <c r="Q49" s="4"/>
      <c r="R49" s="4"/>
    </row>
    <row r="50" spans="2:18" x14ac:dyDescent="0.35">
      <c r="B50" s="4"/>
      <c r="C50" s="4"/>
      <c r="D50" s="4"/>
      <c r="E50" s="4"/>
      <c r="F50" s="4"/>
      <c r="G50" s="4"/>
      <c r="H50" s="4"/>
      <c r="I50" s="4"/>
      <c r="J50" s="4"/>
      <c r="K50" s="4"/>
      <c r="L50" s="4"/>
      <c r="M50" s="4"/>
      <c r="N50" s="4"/>
      <c r="O50" s="4"/>
      <c r="P50" s="4"/>
      <c r="Q50" s="4"/>
      <c r="R50" s="4"/>
    </row>
    <row r="51" spans="2:18" x14ac:dyDescent="0.35">
      <c r="B51" s="4"/>
      <c r="C51" s="4"/>
      <c r="D51" s="4"/>
      <c r="E51" s="4"/>
      <c r="F51" s="4"/>
      <c r="G51" s="4"/>
      <c r="H51" s="4"/>
      <c r="I51" s="4"/>
      <c r="J51" s="4"/>
      <c r="K51" s="4"/>
      <c r="L51" s="4"/>
      <c r="M51" s="4"/>
      <c r="N51" s="4"/>
      <c r="O51" s="4"/>
      <c r="P51" s="4"/>
      <c r="Q51" s="4"/>
      <c r="R51" s="4"/>
    </row>
    <row r="52" spans="2:18" x14ac:dyDescent="0.35">
      <c r="B52" s="4"/>
      <c r="C52" s="4"/>
      <c r="D52" s="4"/>
      <c r="E52" s="4"/>
      <c r="F52" s="4"/>
      <c r="G52" s="4"/>
      <c r="H52" s="4"/>
      <c r="I52" s="4"/>
      <c r="J52" s="4"/>
      <c r="K52" s="4"/>
      <c r="L52" s="4"/>
      <c r="M52" s="4"/>
      <c r="N52" s="4"/>
      <c r="O52" s="4"/>
      <c r="P52" s="4"/>
      <c r="Q52" s="4"/>
      <c r="R52" s="4"/>
    </row>
    <row r="53" spans="2:18" x14ac:dyDescent="0.35">
      <c r="B53" s="4"/>
      <c r="C53" s="4"/>
      <c r="D53" s="4"/>
      <c r="E53" s="4"/>
      <c r="F53" s="4"/>
      <c r="G53" s="4"/>
      <c r="H53" s="4"/>
      <c r="I53" s="4"/>
      <c r="J53" s="4"/>
      <c r="K53" s="4"/>
      <c r="L53" s="4"/>
      <c r="M53" s="4"/>
      <c r="N53" s="4"/>
      <c r="O53" s="4"/>
      <c r="P53" s="4"/>
      <c r="Q53" s="4"/>
      <c r="R53" s="4"/>
    </row>
    <row r="54" spans="2:18" x14ac:dyDescent="0.35">
      <c r="B54" s="4"/>
      <c r="C54" s="4"/>
      <c r="D54" s="4"/>
      <c r="E54" s="4"/>
      <c r="F54" s="4"/>
      <c r="G54" s="4"/>
      <c r="H54" s="4"/>
      <c r="I54" s="4"/>
      <c r="J54" s="4"/>
      <c r="K54" s="4"/>
      <c r="L54" s="4"/>
      <c r="M54" s="4"/>
      <c r="N54" s="4"/>
      <c r="O54" s="4"/>
      <c r="P54" s="4"/>
      <c r="Q54" s="4"/>
      <c r="R54" s="4"/>
    </row>
    <row r="55" spans="2:18" x14ac:dyDescent="0.35">
      <c r="B55" s="4"/>
      <c r="C55" s="4"/>
      <c r="D55" s="4"/>
      <c r="E55" s="4"/>
      <c r="F55" s="4"/>
      <c r="G55" s="4"/>
      <c r="H55" s="4"/>
      <c r="I55" s="4"/>
      <c r="J55" s="4"/>
      <c r="K55" s="4"/>
      <c r="L55" s="4"/>
      <c r="M55" s="4"/>
      <c r="N55" s="4"/>
      <c r="O55" s="4"/>
      <c r="P55" s="4"/>
      <c r="Q55" s="4"/>
      <c r="R55" s="4"/>
    </row>
    <row r="56" spans="2:18" x14ac:dyDescent="0.35">
      <c r="B56" s="4"/>
      <c r="C56" s="4"/>
      <c r="D56" s="4"/>
      <c r="E56" s="4"/>
      <c r="F56" s="4"/>
      <c r="G56" s="4"/>
      <c r="H56" s="4"/>
      <c r="I56" s="4"/>
      <c r="J56" s="4"/>
      <c r="K56" s="4"/>
      <c r="L56" s="4"/>
      <c r="M56" s="4"/>
      <c r="N56" s="4"/>
      <c r="O56" s="4"/>
      <c r="P56" s="4"/>
      <c r="Q56" s="4"/>
      <c r="R56" s="4"/>
    </row>
    <row r="57" spans="2:18" x14ac:dyDescent="0.35">
      <c r="B57" s="4"/>
      <c r="C57" s="4"/>
      <c r="D57" s="4"/>
      <c r="E57" s="4"/>
      <c r="F57" s="4"/>
      <c r="G57" s="4"/>
      <c r="H57" s="4"/>
      <c r="I57" s="4"/>
      <c r="J57" s="4"/>
      <c r="K57" s="4"/>
      <c r="L57" s="4"/>
      <c r="M57" s="4"/>
      <c r="N57" s="4"/>
      <c r="O57" s="4"/>
      <c r="P57" s="4"/>
      <c r="Q57" s="4"/>
      <c r="R57" s="4"/>
    </row>
    <row r="58" spans="2:18" x14ac:dyDescent="0.35">
      <c r="B58" s="4"/>
      <c r="C58" s="4"/>
      <c r="D58" s="4"/>
      <c r="E58" s="4"/>
      <c r="F58" s="4"/>
      <c r="G58" s="4"/>
      <c r="H58" s="4"/>
      <c r="I58" s="4"/>
      <c r="J58" s="4"/>
      <c r="K58" s="4"/>
      <c r="L58" s="4"/>
      <c r="M58" s="4"/>
      <c r="N58" s="4"/>
      <c r="O58" s="4"/>
      <c r="P58" s="4"/>
      <c r="Q58" s="4"/>
      <c r="R58" s="4"/>
    </row>
    <row r="59" spans="2:18" x14ac:dyDescent="0.35">
      <c r="B59" s="4"/>
      <c r="C59" s="4"/>
      <c r="D59" s="4"/>
      <c r="E59" s="4"/>
      <c r="F59" s="4"/>
      <c r="G59" s="4"/>
      <c r="H59" s="4"/>
      <c r="I59" s="4"/>
      <c r="J59" s="4"/>
      <c r="K59" s="4"/>
      <c r="L59" s="4"/>
      <c r="M59" s="4"/>
      <c r="N59" s="4"/>
      <c r="O59" s="4"/>
      <c r="P59" s="4"/>
      <c r="Q59" s="4"/>
      <c r="R59" s="4"/>
    </row>
    <row r="60" spans="2:18" x14ac:dyDescent="0.35">
      <c r="B60" s="4"/>
      <c r="C60" s="4"/>
      <c r="D60" s="4"/>
      <c r="E60" s="4"/>
      <c r="F60" s="4"/>
      <c r="G60" s="4"/>
      <c r="H60" s="4"/>
      <c r="I60" s="4"/>
      <c r="J60" s="4"/>
      <c r="K60" s="4"/>
      <c r="L60" s="4"/>
      <c r="M60" s="4"/>
      <c r="N60" s="4"/>
      <c r="O60" s="4"/>
      <c r="P60" s="4"/>
      <c r="Q60" s="4"/>
      <c r="R60" s="4"/>
    </row>
    <row r="61" spans="2:18" x14ac:dyDescent="0.35">
      <c r="B61" s="4"/>
      <c r="C61" s="4"/>
      <c r="D61" s="4"/>
      <c r="E61" s="4"/>
      <c r="F61" s="4"/>
      <c r="G61" s="4"/>
      <c r="H61" s="4"/>
      <c r="I61" s="4"/>
      <c r="J61" s="4"/>
      <c r="K61" s="4"/>
      <c r="L61" s="4"/>
      <c r="M61" s="4"/>
      <c r="N61" s="4"/>
      <c r="O61" s="4"/>
      <c r="P61" s="4"/>
      <c r="Q61" s="4"/>
      <c r="R61" s="4"/>
    </row>
    <row r="62" spans="2:18" x14ac:dyDescent="0.35">
      <c r="B62" s="4"/>
      <c r="C62" s="4"/>
      <c r="D62" s="4"/>
      <c r="E62" s="4"/>
      <c r="F62" s="4"/>
      <c r="G62" s="4"/>
      <c r="H62" s="4"/>
      <c r="I62" s="4"/>
      <c r="J62" s="4"/>
      <c r="K62" s="4"/>
      <c r="L62" s="4"/>
      <c r="M62" s="4"/>
      <c r="N62" s="4"/>
      <c r="O62" s="4"/>
      <c r="P62" s="4"/>
      <c r="Q62" s="4"/>
      <c r="R62" s="4"/>
    </row>
    <row r="63" spans="2:18" x14ac:dyDescent="0.35">
      <c r="B63" s="4"/>
      <c r="C63" s="4"/>
      <c r="D63" s="4"/>
      <c r="E63" s="4"/>
      <c r="F63" s="4"/>
      <c r="G63" s="4"/>
      <c r="H63" s="4"/>
      <c r="I63" s="4"/>
      <c r="J63" s="4"/>
      <c r="K63" s="4"/>
      <c r="L63" s="4"/>
      <c r="M63" s="4"/>
      <c r="N63" s="4"/>
      <c r="O63" s="4"/>
      <c r="P63" s="4"/>
      <c r="Q63" s="4"/>
      <c r="R63" s="4"/>
    </row>
    <row r="64" spans="2:18" x14ac:dyDescent="0.35">
      <c r="B64" s="4"/>
      <c r="C64" s="4"/>
      <c r="D64" s="4"/>
      <c r="E64" s="4"/>
      <c r="F64" s="4"/>
      <c r="G64" s="4"/>
      <c r="H64" s="4"/>
      <c r="I64" s="4"/>
      <c r="J64" s="4"/>
      <c r="K64" s="4"/>
      <c r="L64" s="4"/>
      <c r="M64" s="4"/>
      <c r="N64" s="4"/>
      <c r="O64" s="4"/>
      <c r="P64" s="4"/>
      <c r="Q64" s="4"/>
      <c r="R64" s="4"/>
    </row>
    <row r="65" spans="1:18" x14ac:dyDescent="0.35">
      <c r="B65" s="4"/>
      <c r="C65" s="4"/>
      <c r="D65" s="4"/>
      <c r="E65" s="4"/>
      <c r="F65" s="4"/>
      <c r="G65" s="4"/>
      <c r="H65" s="4"/>
      <c r="I65" s="4"/>
      <c r="J65" s="4"/>
      <c r="K65" s="4"/>
      <c r="L65" s="4"/>
      <c r="M65" s="4"/>
      <c r="N65" s="4"/>
      <c r="O65" s="4"/>
      <c r="P65" s="4"/>
      <c r="Q65" s="4"/>
      <c r="R65" s="4"/>
    </row>
    <row r="66" spans="1:18" x14ac:dyDescent="0.35">
      <c r="B66" s="4"/>
      <c r="C66" s="4"/>
      <c r="D66" s="4"/>
      <c r="E66" s="4"/>
      <c r="F66" s="4"/>
      <c r="G66" s="4"/>
      <c r="H66" s="4"/>
      <c r="I66" s="4"/>
      <c r="J66" s="4"/>
      <c r="K66" s="4"/>
      <c r="L66" s="4"/>
      <c r="M66" s="4"/>
      <c r="N66" s="4"/>
      <c r="O66" s="4"/>
      <c r="P66" s="4"/>
      <c r="Q66" s="4"/>
      <c r="R66" s="4"/>
    </row>
    <row r="67" spans="1:18" x14ac:dyDescent="0.35">
      <c r="B67" s="4"/>
      <c r="C67" s="4"/>
      <c r="D67" s="4"/>
      <c r="E67" s="4"/>
      <c r="F67" s="4"/>
      <c r="G67" s="4"/>
      <c r="H67" s="4"/>
      <c r="I67" s="4"/>
      <c r="J67" s="4"/>
      <c r="K67" s="4"/>
      <c r="L67" s="4"/>
      <c r="M67" s="4"/>
      <c r="N67" s="4"/>
      <c r="O67" s="4"/>
      <c r="P67" s="4"/>
      <c r="Q67" s="4"/>
      <c r="R67" s="4"/>
    </row>
    <row r="68" spans="1:18" x14ac:dyDescent="0.35">
      <c r="B68" s="4"/>
      <c r="C68" s="4"/>
      <c r="D68" s="4"/>
      <c r="E68" s="4"/>
      <c r="F68" s="4"/>
      <c r="G68" s="4"/>
      <c r="H68" s="4"/>
      <c r="I68" s="4"/>
      <c r="J68" s="4"/>
      <c r="K68" s="4"/>
      <c r="L68" s="4"/>
      <c r="M68" s="4"/>
      <c r="N68" s="4"/>
      <c r="O68" s="4"/>
      <c r="P68" s="4"/>
      <c r="Q68" s="4"/>
      <c r="R68" s="4"/>
    </row>
    <row r="69" spans="1:18" x14ac:dyDescent="0.35">
      <c r="B69" s="4"/>
      <c r="C69" s="4"/>
      <c r="D69" s="4"/>
      <c r="E69" s="4"/>
      <c r="F69" s="4"/>
      <c r="G69" s="4"/>
      <c r="H69" s="4"/>
      <c r="I69" s="4"/>
      <c r="J69" s="4"/>
      <c r="K69" s="4"/>
      <c r="L69" s="4"/>
      <c r="M69" s="4"/>
      <c r="N69" s="4"/>
      <c r="O69" s="4"/>
      <c r="P69" s="4"/>
      <c r="Q69" s="4"/>
      <c r="R69" s="4"/>
    </row>
    <row r="70" spans="1:18" x14ac:dyDescent="0.35">
      <c r="B70" s="4"/>
      <c r="C70" s="4"/>
      <c r="D70" s="4"/>
      <c r="E70" s="4"/>
      <c r="F70" s="4"/>
      <c r="G70" s="4"/>
      <c r="H70" s="4"/>
      <c r="I70" s="4"/>
      <c r="J70" s="4"/>
      <c r="K70" s="4"/>
      <c r="L70" s="4"/>
      <c r="M70" s="4"/>
      <c r="N70" s="4"/>
      <c r="O70" s="4"/>
      <c r="P70" s="4"/>
      <c r="Q70" s="4"/>
      <c r="R70" s="4"/>
    </row>
    <row r="71" spans="1:18" x14ac:dyDescent="0.35">
      <c r="B71" s="4"/>
      <c r="C71" s="4"/>
      <c r="D71" s="4"/>
      <c r="E71" s="4"/>
      <c r="F71" s="4"/>
      <c r="G71" s="4"/>
      <c r="H71" s="4"/>
      <c r="I71" s="4"/>
      <c r="J71" s="4"/>
      <c r="K71" s="4"/>
      <c r="L71" s="4"/>
      <c r="M71" s="4"/>
      <c r="N71" s="4"/>
      <c r="O71" s="4"/>
      <c r="P71" s="4"/>
      <c r="Q71" s="4"/>
      <c r="R71" s="4"/>
    </row>
    <row r="72" spans="1:18" x14ac:dyDescent="0.35">
      <c r="B72" s="4"/>
      <c r="C72" s="4"/>
      <c r="D72" s="4"/>
      <c r="E72" s="4"/>
      <c r="F72" s="4"/>
      <c r="G72" s="4"/>
      <c r="H72" s="4"/>
      <c r="I72" s="4"/>
      <c r="J72" s="4"/>
      <c r="K72" s="4"/>
      <c r="L72" s="4"/>
      <c r="M72" s="4"/>
      <c r="N72" s="4"/>
      <c r="O72" s="4"/>
      <c r="P72" s="4"/>
      <c r="Q72" s="4"/>
      <c r="R72" s="4"/>
    </row>
    <row r="73" spans="1:18" x14ac:dyDescent="0.35">
      <c r="B73" s="4"/>
      <c r="C73" s="4"/>
      <c r="D73" s="4"/>
      <c r="E73" s="4"/>
      <c r="F73" s="4"/>
      <c r="G73" s="4"/>
      <c r="H73" s="4"/>
      <c r="I73" s="4"/>
      <c r="J73" s="4"/>
      <c r="K73" s="4"/>
      <c r="L73" s="4"/>
      <c r="M73" s="4"/>
      <c r="N73" s="4"/>
      <c r="O73" s="4"/>
      <c r="P73" s="4"/>
      <c r="Q73" s="4"/>
      <c r="R73" s="4"/>
    </row>
    <row r="74" spans="1:18" x14ac:dyDescent="0.35">
      <c r="B74" s="4"/>
      <c r="C74" s="4"/>
      <c r="D74" s="4"/>
      <c r="E74" s="4"/>
      <c r="F74" s="4"/>
      <c r="G74" s="4"/>
      <c r="H74" s="4"/>
      <c r="I74" s="4"/>
      <c r="J74" s="4"/>
      <c r="K74" s="4"/>
      <c r="L74" s="4"/>
      <c r="M74" s="4"/>
      <c r="N74" s="4"/>
      <c r="O74" s="4"/>
      <c r="P74" s="4"/>
      <c r="Q74" s="4"/>
      <c r="R74" s="4"/>
    </row>
    <row r="79" spans="1:18" x14ac:dyDescent="0.35">
      <c r="A79" t="s">
        <v>470</v>
      </c>
      <c r="B79" t="s">
        <v>471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44"/>
  <sheetViews>
    <sheetView zoomScale="85" zoomScaleNormal="85" workbookViewId="0">
      <pane xSplit="1" ySplit="1" topLeftCell="B2" activePane="bottomRight" state="frozen"/>
      <selection pane="topRight" activeCell="B1" sqref="B1"/>
      <selection pane="bottomLeft" activeCell="A2" sqref="A2"/>
      <selection pane="bottomRight" activeCell="E65" sqref="E65"/>
    </sheetView>
  </sheetViews>
  <sheetFormatPr defaultRowHeight="14.5" x14ac:dyDescent="0.35"/>
  <cols>
    <col min="1" max="1" width="25.54296875" customWidth="1"/>
    <col min="12" max="20" width="9.54296875" bestFit="1" customWidth="1"/>
    <col min="21" max="27" width="10.453125" bestFit="1" customWidth="1"/>
  </cols>
  <sheetData>
    <row r="1" spans="1:27" x14ac:dyDescent="0.35">
      <c r="B1" s="1" t="s">
        <v>472</v>
      </c>
      <c r="C1" s="1" t="s">
        <v>473</v>
      </c>
      <c r="D1" s="1" t="s">
        <v>474</v>
      </c>
      <c r="E1" s="1" t="s">
        <v>475</v>
      </c>
      <c r="F1" s="1" t="s">
        <v>476</v>
      </c>
      <c r="G1" s="1" t="s">
        <v>477</v>
      </c>
      <c r="H1" s="1" t="s">
        <v>478</v>
      </c>
      <c r="I1" s="1" t="s">
        <v>479</v>
      </c>
      <c r="J1" s="1" t="s">
        <v>480</v>
      </c>
      <c r="K1" s="1" t="s">
        <v>481</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row>
    <row r="2" spans="1:27" s="3" customFormat="1" x14ac:dyDescent="0.35">
      <c r="A2" s="1" t="s">
        <v>482</v>
      </c>
      <c r="B2" s="22">
        <v>16</v>
      </c>
      <c r="C2" s="22" t="s">
        <v>483</v>
      </c>
      <c r="D2" s="22" t="s">
        <v>484</v>
      </c>
      <c r="E2" s="22" t="s">
        <v>485</v>
      </c>
      <c r="F2" s="22" t="s">
        <v>486</v>
      </c>
      <c r="G2" s="22" t="s">
        <v>487</v>
      </c>
      <c r="H2" s="22" t="s">
        <v>488</v>
      </c>
      <c r="I2" s="22" t="s">
        <v>489</v>
      </c>
      <c r="J2" s="22" t="s">
        <v>490</v>
      </c>
      <c r="K2" s="22" t="s">
        <v>491</v>
      </c>
      <c r="L2" s="22" t="s">
        <v>261</v>
      </c>
      <c r="M2" s="22" t="s">
        <v>262</v>
      </c>
      <c r="N2" s="22" t="s">
        <v>263</v>
      </c>
      <c r="O2" s="22" t="s">
        <v>264</v>
      </c>
      <c r="P2" s="22" t="s">
        <v>265</v>
      </c>
      <c r="Q2" s="22" t="s">
        <v>266</v>
      </c>
      <c r="R2" s="22" t="s">
        <v>267</v>
      </c>
      <c r="S2" s="22" t="s">
        <v>268</v>
      </c>
      <c r="T2" s="22" t="s">
        <v>269</v>
      </c>
      <c r="U2" s="22" t="s">
        <v>270</v>
      </c>
      <c r="V2" s="22" t="s">
        <v>271</v>
      </c>
      <c r="W2" s="22" t="s">
        <v>272</v>
      </c>
      <c r="X2" s="22" t="s">
        <v>273</v>
      </c>
      <c r="Y2" s="22" t="s">
        <v>274</v>
      </c>
      <c r="Z2" s="22" t="s">
        <v>275</v>
      </c>
      <c r="AA2" s="22" t="s">
        <v>276</v>
      </c>
    </row>
    <row r="3" spans="1:27" x14ac:dyDescent="0.35">
      <c r="A3" s="1" t="s">
        <v>492</v>
      </c>
      <c r="B3" s="10" t="s">
        <v>493</v>
      </c>
      <c r="C3" s="10" t="s">
        <v>494</v>
      </c>
      <c r="D3" s="10" t="s">
        <v>314</v>
      </c>
      <c r="E3" s="10" t="s">
        <v>495</v>
      </c>
      <c r="F3" s="10" t="s">
        <v>496</v>
      </c>
      <c r="G3" s="10" t="s">
        <v>497</v>
      </c>
      <c r="H3" s="10" t="s">
        <v>498</v>
      </c>
      <c r="I3" s="10" t="s">
        <v>499</v>
      </c>
      <c r="J3" s="10" t="s">
        <v>500</v>
      </c>
      <c r="K3" s="10" t="s">
        <v>501</v>
      </c>
      <c r="L3" s="10" t="s">
        <v>502</v>
      </c>
      <c r="M3" s="10" t="s">
        <v>503</v>
      </c>
      <c r="N3" s="10" t="s">
        <v>504</v>
      </c>
      <c r="O3" s="10" t="s">
        <v>505</v>
      </c>
      <c r="P3" s="10" t="s">
        <v>506</v>
      </c>
      <c r="Q3" s="10" t="s">
        <v>507</v>
      </c>
      <c r="R3" s="10" t="s">
        <v>508</v>
      </c>
      <c r="S3" s="10" t="s">
        <v>509</v>
      </c>
      <c r="T3" s="10" t="s">
        <v>510</v>
      </c>
      <c r="U3" s="10" t="s">
        <v>511</v>
      </c>
      <c r="V3" s="10" t="s">
        <v>512</v>
      </c>
      <c r="W3" s="10" t="s">
        <v>513</v>
      </c>
      <c r="X3" s="10" t="s">
        <v>514</v>
      </c>
      <c r="Y3" s="10" t="s">
        <v>515</v>
      </c>
      <c r="Z3" s="10" t="s">
        <v>516</v>
      </c>
      <c r="AA3" s="10" t="s">
        <v>517</v>
      </c>
    </row>
    <row r="4" spans="1:27" s="3" customFormat="1" x14ac:dyDescent="0.35">
      <c r="A4" s="1" t="s">
        <v>518</v>
      </c>
      <c r="B4" s="22" t="s">
        <v>519</v>
      </c>
      <c r="C4" s="22" t="s">
        <v>520</v>
      </c>
      <c r="D4" s="22" t="s">
        <v>521</v>
      </c>
      <c r="E4" s="22" t="s">
        <v>522</v>
      </c>
      <c r="F4" s="22" t="s">
        <v>523</v>
      </c>
      <c r="G4" s="22" t="s">
        <v>524</v>
      </c>
      <c r="H4" s="22" t="s">
        <v>525</v>
      </c>
      <c r="I4" s="22" t="s">
        <v>526</v>
      </c>
      <c r="J4" s="22" t="s">
        <v>527</v>
      </c>
      <c r="K4" s="22" t="s">
        <v>528</v>
      </c>
      <c r="L4" s="22" t="s">
        <v>529</v>
      </c>
      <c r="M4" s="22" t="s">
        <v>530</v>
      </c>
      <c r="N4" s="22" t="s">
        <v>531</v>
      </c>
      <c r="O4" s="22" t="s">
        <v>532</v>
      </c>
      <c r="P4" s="22" t="s">
        <v>533</v>
      </c>
      <c r="Q4" s="22" t="s">
        <v>534</v>
      </c>
      <c r="R4" s="22" t="s">
        <v>535</v>
      </c>
      <c r="S4" s="22" t="s">
        <v>536</v>
      </c>
      <c r="T4" s="22" t="s">
        <v>537</v>
      </c>
      <c r="U4" s="22" t="s">
        <v>538</v>
      </c>
      <c r="V4" s="22" t="s">
        <v>539</v>
      </c>
      <c r="W4" s="22" t="s">
        <v>540</v>
      </c>
      <c r="X4" s="22" t="s">
        <v>541</v>
      </c>
      <c r="Y4" s="22" t="s">
        <v>542</v>
      </c>
      <c r="Z4" s="22" t="s">
        <v>543</v>
      </c>
      <c r="AA4" s="22" t="s">
        <v>544</v>
      </c>
    </row>
    <row r="5" spans="1:27" x14ac:dyDescent="0.35">
      <c r="A5" s="1" t="s">
        <v>23</v>
      </c>
      <c r="B5" t="s">
        <v>545</v>
      </c>
      <c r="C5" t="s">
        <v>546</v>
      </c>
      <c r="D5" t="s">
        <v>296</v>
      </c>
      <c r="E5" t="s">
        <v>547</v>
      </c>
      <c r="F5" t="s">
        <v>548</v>
      </c>
      <c r="G5" t="s">
        <v>549</v>
      </c>
      <c r="H5" t="s">
        <v>550</v>
      </c>
      <c r="I5" t="s">
        <v>551</v>
      </c>
      <c r="J5" t="s">
        <v>552</v>
      </c>
      <c r="K5" t="s">
        <v>553</v>
      </c>
      <c r="L5" t="s">
        <v>554</v>
      </c>
      <c r="M5" t="s">
        <v>555</v>
      </c>
      <c r="N5" t="s">
        <v>556</v>
      </c>
      <c r="O5" t="s">
        <v>557</v>
      </c>
      <c r="P5" t="s">
        <v>558</v>
      </c>
      <c r="Q5" t="s">
        <v>559</v>
      </c>
      <c r="R5" t="s">
        <v>560</v>
      </c>
      <c r="S5" t="s">
        <v>561</v>
      </c>
      <c r="T5" t="s">
        <v>562</v>
      </c>
      <c r="U5" t="s">
        <v>563</v>
      </c>
      <c r="V5" t="s">
        <v>564</v>
      </c>
      <c r="W5" t="s">
        <v>565</v>
      </c>
      <c r="X5" t="s">
        <v>566</v>
      </c>
      <c r="Y5" t="s">
        <v>567</v>
      </c>
      <c r="Z5" t="s">
        <v>568</v>
      </c>
      <c r="AA5" t="s">
        <v>569</v>
      </c>
    </row>
    <row r="6" spans="1:27" x14ac:dyDescent="0.35">
      <c r="A6" s="1" t="s">
        <v>570</v>
      </c>
      <c r="B6" t="s">
        <v>177</v>
      </c>
      <c r="C6" t="s">
        <v>571</v>
      </c>
      <c r="D6" t="s">
        <v>572</v>
      </c>
      <c r="E6" t="s">
        <v>573</v>
      </c>
      <c r="F6" t="s">
        <v>574</v>
      </c>
      <c r="G6" t="s">
        <v>575</v>
      </c>
      <c r="H6" t="s">
        <v>576</v>
      </c>
      <c r="I6" t="s">
        <v>577</v>
      </c>
      <c r="J6" t="s">
        <v>578</v>
      </c>
      <c r="K6" t="s">
        <v>579</v>
      </c>
      <c r="L6" t="s">
        <v>580</v>
      </c>
      <c r="M6" t="s">
        <v>581</v>
      </c>
      <c r="N6" t="s">
        <v>582</v>
      </c>
      <c r="O6" t="s">
        <v>583</v>
      </c>
      <c r="P6" t="s">
        <v>584</v>
      </c>
      <c r="Q6" t="s">
        <v>585</v>
      </c>
      <c r="R6" t="s">
        <v>586</v>
      </c>
      <c r="S6" t="s">
        <v>587</v>
      </c>
      <c r="T6" t="s">
        <v>588</v>
      </c>
      <c r="U6" t="s">
        <v>589</v>
      </c>
      <c r="V6" t="s">
        <v>590</v>
      </c>
      <c r="W6" t="s">
        <v>591</v>
      </c>
      <c r="X6" t="s">
        <v>592</v>
      </c>
      <c r="Y6" t="s">
        <v>593</v>
      </c>
      <c r="Z6" t="s">
        <v>594</v>
      </c>
      <c r="AA6" t="s">
        <v>595</v>
      </c>
    </row>
    <row r="7" spans="1:27" x14ac:dyDescent="0.35">
      <c r="A7" s="1" t="s">
        <v>596</v>
      </c>
      <c r="B7" t="s">
        <v>597</v>
      </c>
      <c r="C7" t="s">
        <v>598</v>
      </c>
      <c r="D7" t="s">
        <v>599</v>
      </c>
      <c r="E7" t="s">
        <v>600</v>
      </c>
      <c r="F7" t="s">
        <v>601</v>
      </c>
      <c r="G7" t="s">
        <v>602</v>
      </c>
      <c r="H7" t="s">
        <v>603</v>
      </c>
      <c r="I7" t="s">
        <v>604</v>
      </c>
      <c r="J7" t="s">
        <v>605</v>
      </c>
      <c r="K7" t="s">
        <v>606</v>
      </c>
      <c r="L7" t="s">
        <v>607</v>
      </c>
      <c r="M7" t="s">
        <v>608</v>
      </c>
      <c r="N7" t="s">
        <v>609</v>
      </c>
      <c r="O7" t="s">
        <v>610</v>
      </c>
      <c r="P7" t="s">
        <v>611</v>
      </c>
      <c r="Q7" t="s">
        <v>401</v>
      </c>
      <c r="R7" t="s">
        <v>612</v>
      </c>
      <c r="S7" t="s">
        <v>613</v>
      </c>
      <c r="T7" t="s">
        <v>614</v>
      </c>
      <c r="U7" t="s">
        <v>615</v>
      </c>
      <c r="V7" t="s">
        <v>616</v>
      </c>
      <c r="W7" t="s">
        <v>617</v>
      </c>
      <c r="X7" t="s">
        <v>618</v>
      </c>
      <c r="Y7" t="s">
        <v>619</v>
      </c>
      <c r="Z7" t="s">
        <v>620</v>
      </c>
      <c r="AA7" t="s">
        <v>621</v>
      </c>
    </row>
    <row r="8" spans="1:27" x14ac:dyDescent="0.35">
      <c r="A8" s="1" t="s">
        <v>622</v>
      </c>
      <c r="B8" t="s">
        <v>597</v>
      </c>
      <c r="C8" t="s">
        <v>598</v>
      </c>
      <c r="D8" t="s">
        <v>623</v>
      </c>
      <c r="E8" t="s">
        <v>624</v>
      </c>
      <c r="F8" t="s">
        <v>521</v>
      </c>
      <c r="G8" t="s">
        <v>625</v>
      </c>
      <c r="H8" t="s">
        <v>626</v>
      </c>
      <c r="I8" t="s">
        <v>627</v>
      </c>
      <c r="J8" t="s">
        <v>177</v>
      </c>
      <c r="K8" t="s">
        <v>177</v>
      </c>
      <c r="L8" t="s">
        <v>628</v>
      </c>
      <c r="M8" t="s">
        <v>629</v>
      </c>
      <c r="N8" t="s">
        <v>630</v>
      </c>
      <c r="O8" t="s">
        <v>631</v>
      </c>
      <c r="P8" t="s">
        <v>632</v>
      </c>
      <c r="Q8" t="s">
        <v>633</v>
      </c>
      <c r="R8" t="s">
        <v>634</v>
      </c>
      <c r="S8" t="s">
        <v>635</v>
      </c>
      <c r="T8" t="s">
        <v>636</v>
      </c>
      <c r="U8" t="s">
        <v>637</v>
      </c>
      <c r="V8" t="s">
        <v>638</v>
      </c>
      <c r="W8" t="s">
        <v>639</v>
      </c>
      <c r="X8" t="s">
        <v>640</v>
      </c>
      <c r="Y8" t="s">
        <v>641</v>
      </c>
      <c r="Z8" t="s">
        <v>642</v>
      </c>
      <c r="AA8" t="s">
        <v>643</v>
      </c>
    </row>
    <row r="9" spans="1:27" x14ac:dyDescent="0.35">
      <c r="A9" s="1" t="s">
        <v>644</v>
      </c>
      <c r="B9" t="s">
        <v>177</v>
      </c>
      <c r="C9" t="s">
        <v>177</v>
      </c>
      <c r="D9" t="s">
        <v>645</v>
      </c>
      <c r="E9" t="s">
        <v>646</v>
      </c>
      <c r="F9" t="s">
        <v>647</v>
      </c>
      <c r="G9" t="s">
        <v>648</v>
      </c>
      <c r="H9" t="s">
        <v>649</v>
      </c>
      <c r="I9" t="s">
        <v>650</v>
      </c>
      <c r="J9" t="s">
        <v>177</v>
      </c>
      <c r="K9" t="s">
        <v>177</v>
      </c>
      <c r="L9" t="s">
        <v>651</v>
      </c>
      <c r="M9" t="s">
        <v>652</v>
      </c>
      <c r="N9" t="s">
        <v>653</v>
      </c>
      <c r="O9" t="s">
        <v>654</v>
      </c>
      <c r="P9" t="s">
        <v>549</v>
      </c>
      <c r="Q9" t="s">
        <v>655</v>
      </c>
      <c r="R9" t="s">
        <v>656</v>
      </c>
      <c r="S9" t="s">
        <v>657</v>
      </c>
      <c r="T9" t="s">
        <v>658</v>
      </c>
      <c r="U9" t="s">
        <v>659</v>
      </c>
      <c r="V9" t="s">
        <v>660</v>
      </c>
      <c r="W9" t="s">
        <v>661</v>
      </c>
      <c r="X9" t="s">
        <v>662</v>
      </c>
      <c r="Y9" t="s">
        <v>663</v>
      </c>
      <c r="Z9" t="s">
        <v>664</v>
      </c>
      <c r="AA9" t="s">
        <v>665</v>
      </c>
    </row>
    <row r="10" spans="1:27" x14ac:dyDescent="0.35">
      <c r="A10" s="1" t="s">
        <v>666</v>
      </c>
      <c r="B10" t="s">
        <v>667</v>
      </c>
      <c r="C10" t="s">
        <v>668</v>
      </c>
      <c r="D10" t="s">
        <v>669</v>
      </c>
      <c r="E10" t="s">
        <v>670</v>
      </c>
      <c r="F10" t="s">
        <v>671</v>
      </c>
      <c r="G10" t="s">
        <v>672</v>
      </c>
      <c r="H10" t="s">
        <v>668</v>
      </c>
      <c r="I10" t="s">
        <v>673</v>
      </c>
      <c r="J10" t="s">
        <v>674</v>
      </c>
      <c r="K10" t="s">
        <v>177</v>
      </c>
      <c r="L10" t="s">
        <v>177</v>
      </c>
      <c r="M10" t="s">
        <v>177</v>
      </c>
      <c r="N10" t="s">
        <v>177</v>
      </c>
      <c r="O10" t="s">
        <v>177</v>
      </c>
      <c r="P10" t="s">
        <v>177</v>
      </c>
      <c r="Q10" t="s">
        <v>177</v>
      </c>
      <c r="R10" t="s">
        <v>675</v>
      </c>
      <c r="S10" t="s">
        <v>494</v>
      </c>
      <c r="T10" t="s">
        <v>645</v>
      </c>
      <c r="U10" t="s">
        <v>676</v>
      </c>
      <c r="V10" t="s">
        <v>677</v>
      </c>
      <c r="W10" t="s">
        <v>678</v>
      </c>
      <c r="X10" t="s">
        <v>679</v>
      </c>
      <c r="Y10" t="s">
        <v>680</v>
      </c>
      <c r="Z10" t="s">
        <v>681</v>
      </c>
      <c r="AA10" t="s">
        <v>682</v>
      </c>
    </row>
    <row r="11" spans="1:27" x14ac:dyDescent="0.35">
      <c r="A11" s="1" t="s">
        <v>683</v>
      </c>
      <c r="B11" t="s">
        <v>684</v>
      </c>
      <c r="C11" t="s">
        <v>685</v>
      </c>
      <c r="D11" t="s">
        <v>686</v>
      </c>
      <c r="E11" t="s">
        <v>687</v>
      </c>
      <c r="F11" t="s">
        <v>688</v>
      </c>
      <c r="G11" t="s">
        <v>530</v>
      </c>
      <c r="H11" t="s">
        <v>689</v>
      </c>
      <c r="I11" t="s">
        <v>690</v>
      </c>
      <c r="J11" t="s">
        <v>691</v>
      </c>
      <c r="K11" t="s">
        <v>692</v>
      </c>
      <c r="L11" t="s">
        <v>693</v>
      </c>
      <c r="M11" t="s">
        <v>694</v>
      </c>
      <c r="N11" t="s">
        <v>695</v>
      </c>
      <c r="O11" t="s">
        <v>696</v>
      </c>
      <c r="P11" t="s">
        <v>697</v>
      </c>
      <c r="Q11" t="s">
        <v>698</v>
      </c>
      <c r="R11" t="s">
        <v>699</v>
      </c>
      <c r="S11" t="s">
        <v>700</v>
      </c>
      <c r="T11" t="s">
        <v>701</v>
      </c>
      <c r="U11" t="s">
        <v>702</v>
      </c>
      <c r="V11" t="s">
        <v>703</v>
      </c>
      <c r="W11" t="s">
        <v>704</v>
      </c>
      <c r="X11" t="s">
        <v>705</v>
      </c>
      <c r="Y11" t="s">
        <v>706</v>
      </c>
      <c r="Z11" t="s">
        <v>707</v>
      </c>
      <c r="AA11" t="s">
        <v>708</v>
      </c>
    </row>
    <row r="12" spans="1:27" x14ac:dyDescent="0.35">
      <c r="A12" s="1" t="s">
        <v>709</v>
      </c>
      <c r="B12" t="s">
        <v>177</v>
      </c>
      <c r="C12" t="s">
        <v>177</v>
      </c>
      <c r="D12" t="s">
        <v>177</v>
      </c>
      <c r="E12" t="s">
        <v>177</v>
      </c>
      <c r="F12" t="s">
        <v>177</v>
      </c>
      <c r="G12" t="s">
        <v>177</v>
      </c>
      <c r="H12" t="s">
        <v>177</v>
      </c>
      <c r="I12" t="s">
        <v>177</v>
      </c>
      <c r="J12" t="s">
        <v>177</v>
      </c>
      <c r="K12" t="s">
        <v>177</v>
      </c>
      <c r="L12" t="s">
        <v>177</v>
      </c>
      <c r="M12" t="s">
        <v>177</v>
      </c>
      <c r="N12" t="s">
        <v>177</v>
      </c>
      <c r="O12" t="s">
        <v>177</v>
      </c>
      <c r="P12" t="s">
        <v>177</v>
      </c>
      <c r="Q12" t="s">
        <v>177</v>
      </c>
      <c r="R12" t="s">
        <v>177</v>
      </c>
      <c r="S12" t="s">
        <v>177</v>
      </c>
      <c r="T12" t="s">
        <v>177</v>
      </c>
      <c r="U12" t="s">
        <v>177</v>
      </c>
      <c r="V12" t="s">
        <v>177</v>
      </c>
      <c r="W12" t="s">
        <v>177</v>
      </c>
      <c r="X12" t="s">
        <v>177</v>
      </c>
      <c r="Y12" t="s">
        <v>177</v>
      </c>
      <c r="Z12" t="s">
        <v>177</v>
      </c>
      <c r="AA12" t="s">
        <v>710</v>
      </c>
    </row>
    <row r="13" spans="1:27" x14ac:dyDescent="0.35">
      <c r="A13" s="1" t="s">
        <v>58</v>
      </c>
      <c r="B13" t="s">
        <v>177</v>
      </c>
      <c r="C13" t="s">
        <v>177</v>
      </c>
      <c r="D13" t="s">
        <v>177</v>
      </c>
      <c r="E13" t="s">
        <v>177</v>
      </c>
      <c r="F13" t="s">
        <v>177</v>
      </c>
      <c r="G13" t="s">
        <v>177</v>
      </c>
      <c r="H13" t="s">
        <v>177</v>
      </c>
      <c r="I13" t="s">
        <v>177</v>
      </c>
      <c r="J13" t="s">
        <v>177</v>
      </c>
      <c r="K13" t="s">
        <v>177</v>
      </c>
      <c r="L13" t="s">
        <v>711</v>
      </c>
      <c r="M13" t="s">
        <v>712</v>
      </c>
      <c r="N13" t="s">
        <v>713</v>
      </c>
      <c r="O13" t="s">
        <v>520</v>
      </c>
      <c r="P13" t="s">
        <v>714</v>
      </c>
      <c r="Q13" t="s">
        <v>715</v>
      </c>
      <c r="R13" t="s">
        <v>716</v>
      </c>
      <c r="S13" t="s">
        <v>717</v>
      </c>
      <c r="T13" t="s">
        <v>718</v>
      </c>
      <c r="U13" t="s">
        <v>719</v>
      </c>
      <c r="V13" t="s">
        <v>720</v>
      </c>
      <c r="W13" t="s">
        <v>721</v>
      </c>
      <c r="X13" t="s">
        <v>722</v>
      </c>
      <c r="Y13" t="s">
        <v>723</v>
      </c>
      <c r="Z13" t="s">
        <v>724</v>
      </c>
      <c r="AA13" t="s">
        <v>725</v>
      </c>
    </row>
    <row r="14" spans="1:27" x14ac:dyDescent="0.35">
      <c r="A14" s="1" t="s">
        <v>726</v>
      </c>
      <c r="B14" t="s">
        <v>667</v>
      </c>
      <c r="C14" t="s">
        <v>668</v>
      </c>
      <c r="D14" t="s">
        <v>493</v>
      </c>
      <c r="E14" t="s">
        <v>727</v>
      </c>
      <c r="F14" t="s">
        <v>728</v>
      </c>
      <c r="G14" t="s">
        <v>729</v>
      </c>
      <c r="H14" t="s">
        <v>730</v>
      </c>
      <c r="I14" t="s">
        <v>711</v>
      </c>
      <c r="J14" t="s">
        <v>731</v>
      </c>
      <c r="K14" t="s">
        <v>732</v>
      </c>
      <c r="L14" t="s">
        <v>295</v>
      </c>
      <c r="M14" t="s">
        <v>296</v>
      </c>
      <c r="N14" t="s">
        <v>297</v>
      </c>
      <c r="O14" t="s">
        <v>298</v>
      </c>
      <c r="P14" t="s">
        <v>299</v>
      </c>
      <c r="Q14" t="s">
        <v>300</v>
      </c>
      <c r="R14" t="s">
        <v>301</v>
      </c>
      <c r="S14" t="s">
        <v>302</v>
      </c>
      <c r="T14" t="s">
        <v>303</v>
      </c>
      <c r="U14" t="s">
        <v>304</v>
      </c>
      <c r="V14" t="s">
        <v>305</v>
      </c>
      <c r="W14" t="s">
        <v>306</v>
      </c>
      <c r="X14" t="s">
        <v>307</v>
      </c>
      <c r="Y14" t="s">
        <v>308</v>
      </c>
      <c r="Z14" t="s">
        <v>309</v>
      </c>
      <c r="AA14" t="s">
        <v>310</v>
      </c>
    </row>
    <row r="15" spans="1:27" x14ac:dyDescent="0.35">
      <c r="A15" s="1" t="s">
        <v>733</v>
      </c>
      <c r="B15" t="s">
        <v>734</v>
      </c>
      <c r="C15" t="s">
        <v>735</v>
      </c>
      <c r="D15" t="s">
        <v>736</v>
      </c>
      <c r="E15" t="s">
        <v>737</v>
      </c>
      <c r="F15" t="s">
        <v>738</v>
      </c>
      <c r="G15" t="s">
        <v>739</v>
      </c>
      <c r="H15" t="s">
        <v>740</v>
      </c>
      <c r="I15" t="s">
        <v>494</v>
      </c>
      <c r="J15" t="s">
        <v>741</v>
      </c>
      <c r="K15" t="s">
        <v>742</v>
      </c>
      <c r="L15" t="s">
        <v>743</v>
      </c>
      <c r="M15" t="s">
        <v>744</v>
      </c>
      <c r="N15" t="s">
        <v>745</v>
      </c>
      <c r="O15" t="s">
        <v>746</v>
      </c>
      <c r="P15" t="s">
        <v>747</v>
      </c>
      <c r="Q15" t="s">
        <v>748</v>
      </c>
      <c r="R15" t="s">
        <v>749</v>
      </c>
      <c r="S15" t="s">
        <v>750</v>
      </c>
      <c r="T15" t="s">
        <v>751</v>
      </c>
      <c r="U15" t="s">
        <v>752</v>
      </c>
      <c r="V15" t="s">
        <v>753</v>
      </c>
      <c r="W15" t="s">
        <v>754</v>
      </c>
      <c r="X15" t="s">
        <v>755</v>
      </c>
      <c r="Y15" t="s">
        <v>756</v>
      </c>
      <c r="Z15" t="s">
        <v>757</v>
      </c>
      <c r="AA15" t="s">
        <v>758</v>
      </c>
    </row>
    <row r="16" spans="1:27" x14ac:dyDescent="0.35">
      <c r="A16" s="1" t="s">
        <v>24</v>
      </c>
      <c r="B16" t="s">
        <v>734</v>
      </c>
      <c r="C16" t="s">
        <v>759</v>
      </c>
      <c r="D16" t="s">
        <v>736</v>
      </c>
      <c r="E16" t="s">
        <v>760</v>
      </c>
      <c r="F16" t="s">
        <v>761</v>
      </c>
      <c r="G16" t="s">
        <v>762</v>
      </c>
      <c r="H16" t="s">
        <v>763</v>
      </c>
      <c r="I16" t="s">
        <v>764</v>
      </c>
      <c r="J16" t="s">
        <v>765</v>
      </c>
      <c r="K16" t="s">
        <v>741</v>
      </c>
      <c r="L16" t="s">
        <v>766</v>
      </c>
      <c r="M16" t="s">
        <v>767</v>
      </c>
      <c r="N16" t="s">
        <v>768</v>
      </c>
      <c r="O16" t="s">
        <v>635</v>
      </c>
      <c r="P16" t="s">
        <v>769</v>
      </c>
      <c r="Q16" t="s">
        <v>770</v>
      </c>
      <c r="R16" t="s">
        <v>771</v>
      </c>
      <c r="S16" t="s">
        <v>772</v>
      </c>
      <c r="T16" t="s">
        <v>773</v>
      </c>
      <c r="U16" t="s">
        <v>774</v>
      </c>
      <c r="V16" t="s">
        <v>775</v>
      </c>
      <c r="W16" t="s">
        <v>776</v>
      </c>
      <c r="X16" t="s">
        <v>777</v>
      </c>
      <c r="Y16" t="s">
        <v>778</v>
      </c>
      <c r="Z16" t="s">
        <v>779</v>
      </c>
      <c r="AA16" t="s">
        <v>780</v>
      </c>
    </row>
    <row r="17" spans="1:27" x14ac:dyDescent="0.35">
      <c r="A17" s="1" t="s">
        <v>781</v>
      </c>
      <c r="B17" t="s">
        <v>667</v>
      </c>
      <c r="C17" t="s">
        <v>782</v>
      </c>
      <c r="D17" t="s">
        <v>783</v>
      </c>
      <c r="E17" t="s">
        <v>784</v>
      </c>
      <c r="F17" t="s">
        <v>785</v>
      </c>
      <c r="G17" t="s">
        <v>786</v>
      </c>
      <c r="H17" t="s">
        <v>787</v>
      </c>
      <c r="I17" t="s">
        <v>788</v>
      </c>
      <c r="J17" t="s">
        <v>789</v>
      </c>
      <c r="K17" t="s">
        <v>790</v>
      </c>
      <c r="L17" t="s">
        <v>791</v>
      </c>
      <c r="M17" t="s">
        <v>668</v>
      </c>
      <c r="N17" t="s">
        <v>792</v>
      </c>
      <c r="O17" t="s">
        <v>793</v>
      </c>
      <c r="P17" t="s">
        <v>794</v>
      </c>
      <c r="Q17" t="s">
        <v>795</v>
      </c>
      <c r="R17" t="s">
        <v>796</v>
      </c>
      <c r="S17" t="s">
        <v>797</v>
      </c>
      <c r="T17" t="s">
        <v>798</v>
      </c>
      <c r="U17" t="s">
        <v>799</v>
      </c>
      <c r="V17" t="s">
        <v>800</v>
      </c>
      <c r="W17" t="s">
        <v>801</v>
      </c>
      <c r="X17" t="s">
        <v>802</v>
      </c>
      <c r="Y17" t="s">
        <v>803</v>
      </c>
      <c r="Z17" t="s">
        <v>804</v>
      </c>
      <c r="AA17" t="s">
        <v>805</v>
      </c>
    </row>
    <row r="18" spans="1:27" x14ac:dyDescent="0.35">
      <c r="A18" s="1" t="s">
        <v>806</v>
      </c>
      <c r="B18" t="s">
        <v>177</v>
      </c>
      <c r="C18" t="s">
        <v>177</v>
      </c>
      <c r="D18" t="s">
        <v>177</v>
      </c>
      <c r="E18" t="s">
        <v>177</v>
      </c>
      <c r="F18" t="s">
        <v>177</v>
      </c>
      <c r="G18" t="s">
        <v>177</v>
      </c>
      <c r="H18" t="s">
        <v>177</v>
      </c>
      <c r="I18" t="s">
        <v>177</v>
      </c>
      <c r="J18" t="s">
        <v>807</v>
      </c>
      <c r="K18" t="s">
        <v>808</v>
      </c>
      <c r="L18" t="s">
        <v>809</v>
      </c>
      <c r="M18" t="s">
        <v>743</v>
      </c>
      <c r="N18" t="s">
        <v>810</v>
      </c>
      <c r="O18" t="s">
        <v>811</v>
      </c>
      <c r="P18" t="s">
        <v>812</v>
      </c>
      <c r="Q18" t="s">
        <v>813</v>
      </c>
      <c r="R18" t="s">
        <v>814</v>
      </c>
      <c r="S18" t="s">
        <v>815</v>
      </c>
      <c r="T18" t="s">
        <v>816</v>
      </c>
      <c r="U18" t="s">
        <v>817</v>
      </c>
      <c r="V18" t="s">
        <v>818</v>
      </c>
      <c r="W18" t="s">
        <v>819</v>
      </c>
      <c r="X18" t="s">
        <v>820</v>
      </c>
      <c r="Y18" t="s">
        <v>821</v>
      </c>
      <c r="Z18" t="s">
        <v>822</v>
      </c>
      <c r="AA18" t="s">
        <v>823</v>
      </c>
    </row>
    <row r="19" spans="1:27" x14ac:dyDescent="0.35">
      <c r="A19" s="1" t="s">
        <v>824</v>
      </c>
      <c r="B19" t="s">
        <v>177</v>
      </c>
      <c r="C19" t="s">
        <v>177</v>
      </c>
      <c r="D19" t="s">
        <v>177</v>
      </c>
      <c r="E19" t="s">
        <v>177</v>
      </c>
      <c r="F19" t="s">
        <v>177</v>
      </c>
      <c r="G19" t="s">
        <v>177</v>
      </c>
      <c r="H19" t="s">
        <v>177</v>
      </c>
      <c r="I19" t="s">
        <v>177</v>
      </c>
      <c r="J19" t="s">
        <v>825</v>
      </c>
      <c r="K19" t="s">
        <v>826</v>
      </c>
      <c r="L19" t="s">
        <v>827</v>
      </c>
      <c r="M19" t="s">
        <v>828</v>
      </c>
      <c r="N19" t="s">
        <v>829</v>
      </c>
      <c r="O19" t="s">
        <v>830</v>
      </c>
      <c r="P19" t="s">
        <v>831</v>
      </c>
      <c r="Q19" t="s">
        <v>832</v>
      </c>
      <c r="R19" t="s">
        <v>833</v>
      </c>
      <c r="S19" t="s">
        <v>834</v>
      </c>
      <c r="T19" t="s">
        <v>835</v>
      </c>
      <c r="U19" t="s">
        <v>836</v>
      </c>
      <c r="V19" t="s">
        <v>837</v>
      </c>
      <c r="W19" t="s">
        <v>838</v>
      </c>
      <c r="X19" t="s">
        <v>839</v>
      </c>
      <c r="Y19" t="s">
        <v>840</v>
      </c>
      <c r="Z19" t="s">
        <v>841</v>
      </c>
      <c r="AA19" t="s">
        <v>842</v>
      </c>
    </row>
    <row r="20" spans="1:27" x14ac:dyDescent="0.35">
      <c r="A20" s="1" t="s">
        <v>843</v>
      </c>
      <c r="B20" t="s">
        <v>177</v>
      </c>
      <c r="C20" t="s">
        <v>177</v>
      </c>
      <c r="D20" t="s">
        <v>177</v>
      </c>
      <c r="E20" t="s">
        <v>177</v>
      </c>
      <c r="F20" t="s">
        <v>177</v>
      </c>
      <c r="G20" t="s">
        <v>177</v>
      </c>
      <c r="H20" t="s">
        <v>177</v>
      </c>
      <c r="I20" t="s">
        <v>177</v>
      </c>
      <c r="J20" t="s">
        <v>844</v>
      </c>
      <c r="K20" t="s">
        <v>845</v>
      </c>
      <c r="L20" t="s">
        <v>846</v>
      </c>
      <c r="M20" t="s">
        <v>383</v>
      </c>
      <c r="N20" t="s">
        <v>847</v>
      </c>
      <c r="O20" t="s">
        <v>848</v>
      </c>
      <c r="P20" t="s">
        <v>849</v>
      </c>
      <c r="Q20" t="s">
        <v>522</v>
      </c>
      <c r="R20" t="s">
        <v>808</v>
      </c>
      <c r="S20" t="s">
        <v>850</v>
      </c>
      <c r="T20" t="s">
        <v>677</v>
      </c>
      <c r="U20" t="s">
        <v>851</v>
      </c>
      <c r="V20" t="s">
        <v>852</v>
      </c>
      <c r="W20" t="s">
        <v>853</v>
      </c>
      <c r="X20" t="s">
        <v>398</v>
      </c>
      <c r="Y20" t="s">
        <v>854</v>
      </c>
      <c r="Z20" t="s">
        <v>855</v>
      </c>
      <c r="AA20" t="s">
        <v>856</v>
      </c>
    </row>
    <row r="21" spans="1:27" s="3" customFormat="1" x14ac:dyDescent="0.35">
      <c r="A21" s="1" t="s">
        <v>64</v>
      </c>
      <c r="B21" s="3" t="s">
        <v>734</v>
      </c>
      <c r="C21" s="3" t="s">
        <v>857</v>
      </c>
      <c r="D21" s="3" t="s">
        <v>858</v>
      </c>
      <c r="E21" s="3" t="s">
        <v>859</v>
      </c>
      <c r="F21" s="3" t="s">
        <v>860</v>
      </c>
      <c r="G21" s="3" t="s">
        <v>861</v>
      </c>
      <c r="H21" s="3" t="s">
        <v>862</v>
      </c>
      <c r="I21" s="3" t="s">
        <v>863</v>
      </c>
      <c r="J21" s="3" t="s">
        <v>864</v>
      </c>
      <c r="K21" s="3" t="s">
        <v>865</v>
      </c>
      <c r="L21" s="3" t="s">
        <v>313</v>
      </c>
      <c r="M21" s="3" t="s">
        <v>314</v>
      </c>
      <c r="N21" s="3" t="s">
        <v>315</v>
      </c>
      <c r="O21" s="3" t="s">
        <v>316</v>
      </c>
      <c r="P21" s="3" t="s">
        <v>317</v>
      </c>
      <c r="Q21" s="3" t="s">
        <v>318</v>
      </c>
      <c r="R21" s="3" t="s">
        <v>319</v>
      </c>
      <c r="S21" s="3" t="s">
        <v>320</v>
      </c>
      <c r="T21" s="3" t="s">
        <v>321</v>
      </c>
      <c r="U21" s="3" t="s">
        <v>322</v>
      </c>
      <c r="V21" s="3" t="s">
        <v>323</v>
      </c>
      <c r="W21" s="3" t="s">
        <v>324</v>
      </c>
      <c r="X21" s="3" t="s">
        <v>325</v>
      </c>
      <c r="Y21" s="3" t="s">
        <v>326</v>
      </c>
      <c r="Z21" s="3" t="s">
        <v>327</v>
      </c>
      <c r="AA21" s="3" t="s">
        <v>328</v>
      </c>
    </row>
    <row r="22" spans="1:27" x14ac:dyDescent="0.35">
      <c r="A22" s="1" t="s">
        <v>866</v>
      </c>
      <c r="B22" t="s">
        <v>149</v>
      </c>
      <c r="C22" t="s">
        <v>867</v>
      </c>
      <c r="D22" t="s">
        <v>868</v>
      </c>
      <c r="E22" t="s">
        <v>869</v>
      </c>
      <c r="F22" t="s">
        <v>870</v>
      </c>
      <c r="G22" t="s">
        <v>871</v>
      </c>
      <c r="H22" t="s">
        <v>868</v>
      </c>
      <c r="I22" t="s">
        <v>872</v>
      </c>
      <c r="J22" t="s">
        <v>148</v>
      </c>
      <c r="K22" t="s">
        <v>165</v>
      </c>
      <c r="L22" t="s">
        <v>143</v>
      </c>
      <c r="M22" t="s">
        <v>144</v>
      </c>
      <c r="N22" t="s">
        <v>148</v>
      </c>
      <c r="O22" t="s">
        <v>146</v>
      </c>
      <c r="P22" t="s">
        <v>147</v>
      </c>
      <c r="Q22" t="s">
        <v>148</v>
      </c>
      <c r="R22" t="s">
        <v>149</v>
      </c>
      <c r="S22" t="s">
        <v>150</v>
      </c>
      <c r="T22" t="s">
        <v>151</v>
      </c>
      <c r="U22" t="s">
        <v>144</v>
      </c>
      <c r="V22" t="s">
        <v>873</v>
      </c>
      <c r="W22" t="s">
        <v>874</v>
      </c>
      <c r="X22" t="s">
        <v>875</v>
      </c>
      <c r="Y22" t="s">
        <v>876</v>
      </c>
      <c r="Z22" t="s">
        <v>877</v>
      </c>
      <c r="AA22" t="s">
        <v>157</v>
      </c>
    </row>
    <row r="23" spans="1:27" x14ac:dyDescent="0.35">
      <c r="A23" s="1" t="s">
        <v>878</v>
      </c>
      <c r="B23" t="s">
        <v>149</v>
      </c>
      <c r="C23" t="s">
        <v>867</v>
      </c>
      <c r="D23" t="s">
        <v>868</v>
      </c>
      <c r="E23" t="s">
        <v>869</v>
      </c>
      <c r="F23" t="s">
        <v>870</v>
      </c>
      <c r="G23" t="s">
        <v>871</v>
      </c>
      <c r="H23" t="s">
        <v>868</v>
      </c>
      <c r="I23" t="s">
        <v>872</v>
      </c>
      <c r="J23" t="s">
        <v>148</v>
      </c>
      <c r="K23" t="s">
        <v>165</v>
      </c>
      <c r="L23" t="s">
        <v>143</v>
      </c>
      <c r="M23" t="s">
        <v>144</v>
      </c>
      <c r="N23" t="s">
        <v>148</v>
      </c>
      <c r="O23" t="s">
        <v>146</v>
      </c>
      <c r="P23" t="s">
        <v>147</v>
      </c>
      <c r="Q23" t="s">
        <v>148</v>
      </c>
      <c r="R23" t="s">
        <v>149</v>
      </c>
      <c r="S23" t="s">
        <v>150</v>
      </c>
      <c r="T23" t="s">
        <v>151</v>
      </c>
      <c r="U23" t="s">
        <v>144</v>
      </c>
      <c r="V23" t="s">
        <v>873</v>
      </c>
      <c r="W23" t="s">
        <v>874</v>
      </c>
      <c r="X23" t="s">
        <v>875</v>
      </c>
      <c r="Y23" t="s">
        <v>876</v>
      </c>
      <c r="Z23" t="s">
        <v>877</v>
      </c>
      <c r="AA23" t="s">
        <v>879</v>
      </c>
    </row>
    <row r="24" spans="1:27" x14ac:dyDescent="0.35">
      <c r="A24" s="1" t="s">
        <v>880</v>
      </c>
      <c r="B24" t="s">
        <v>881</v>
      </c>
      <c r="C24" t="s">
        <v>882</v>
      </c>
      <c r="D24" t="s">
        <v>883</v>
      </c>
      <c r="E24" t="s">
        <v>884</v>
      </c>
      <c r="F24" s="7">
        <v>7017</v>
      </c>
      <c r="G24" t="s">
        <v>885</v>
      </c>
      <c r="H24" t="s">
        <v>886</v>
      </c>
      <c r="I24" t="s">
        <v>887</v>
      </c>
      <c r="J24" t="s">
        <v>888</v>
      </c>
      <c r="K24" t="s">
        <v>889</v>
      </c>
      <c r="L24" t="s">
        <v>209</v>
      </c>
      <c r="M24" t="s">
        <v>210</v>
      </c>
      <c r="N24" t="s">
        <v>211</v>
      </c>
      <c r="O24" t="s">
        <v>212</v>
      </c>
      <c r="P24" t="s">
        <v>213</v>
      </c>
      <c r="Q24" t="s">
        <v>214</v>
      </c>
      <c r="R24" t="s">
        <v>214</v>
      </c>
      <c r="S24" t="s">
        <v>215</v>
      </c>
      <c r="T24" t="s">
        <v>216</v>
      </c>
      <c r="U24" t="s">
        <v>217</v>
      </c>
      <c r="V24" t="s">
        <v>218</v>
      </c>
      <c r="W24" t="s">
        <v>219</v>
      </c>
      <c r="X24" t="s">
        <v>220</v>
      </c>
      <c r="Y24" t="s">
        <v>221</v>
      </c>
      <c r="Z24" t="s">
        <v>222</v>
      </c>
      <c r="AA24" t="s">
        <v>223</v>
      </c>
    </row>
    <row r="25" spans="1:27" x14ac:dyDescent="0.35">
      <c r="A25" s="1" t="s">
        <v>890</v>
      </c>
      <c r="B25" t="s">
        <v>881</v>
      </c>
      <c r="C25" t="s">
        <v>891</v>
      </c>
      <c r="D25" t="s">
        <v>883</v>
      </c>
      <c r="E25" t="s">
        <v>884</v>
      </c>
      <c r="F25" t="s">
        <v>892</v>
      </c>
      <c r="G25" t="s">
        <v>885</v>
      </c>
      <c r="H25" t="s">
        <v>886</v>
      </c>
      <c r="I25" t="s">
        <v>893</v>
      </c>
      <c r="J25" t="s">
        <v>894</v>
      </c>
      <c r="K25" t="s">
        <v>895</v>
      </c>
      <c r="L25" t="s">
        <v>896</v>
      </c>
      <c r="M25" t="s">
        <v>896</v>
      </c>
      <c r="N25" t="s">
        <v>897</v>
      </c>
      <c r="O25" t="s">
        <v>898</v>
      </c>
      <c r="P25" t="s">
        <v>899</v>
      </c>
      <c r="Q25" t="s">
        <v>900</v>
      </c>
      <c r="R25" t="s">
        <v>214</v>
      </c>
      <c r="S25" t="s">
        <v>901</v>
      </c>
      <c r="T25" t="s">
        <v>216</v>
      </c>
      <c r="U25" t="s">
        <v>902</v>
      </c>
      <c r="V25" t="s">
        <v>903</v>
      </c>
      <c r="W25" t="s">
        <v>904</v>
      </c>
      <c r="X25" t="s">
        <v>222</v>
      </c>
      <c r="Y25" t="s">
        <v>905</v>
      </c>
      <c r="Z25" t="s">
        <v>906</v>
      </c>
      <c r="AA25" t="s">
        <v>907</v>
      </c>
    </row>
    <row r="28" spans="1:27" x14ac:dyDescent="0.35">
      <c r="C28">
        <f>((C2-B2)/B2)*100</f>
        <v>825</v>
      </c>
    </row>
    <row r="29" spans="1:27" x14ac:dyDescent="0.35">
      <c r="A29" t="s">
        <v>908</v>
      </c>
      <c r="C29" s="4">
        <f>C2/B2-1</f>
        <v>8.25</v>
      </c>
      <c r="D29" s="4">
        <f t="shared" ref="D29:AA29" si="0">D2/C2-1</f>
        <v>3.1216216216216219</v>
      </c>
      <c r="E29" s="4">
        <f t="shared" si="0"/>
        <v>1.6885245901639343</v>
      </c>
      <c r="F29" s="4">
        <f t="shared" si="0"/>
        <v>0.68414634146341458</v>
      </c>
      <c r="G29" s="4">
        <f t="shared" si="0"/>
        <v>0.13034033309196236</v>
      </c>
      <c r="H29" s="4">
        <f t="shared" si="0"/>
        <v>0.25976937860345939</v>
      </c>
      <c r="I29" s="4">
        <f t="shared" si="0"/>
        <v>0.33841851004322399</v>
      </c>
      <c r="J29" s="4">
        <f t="shared" si="0"/>
        <v>0.31477963525835873</v>
      </c>
      <c r="K29" s="4">
        <f t="shared" si="0"/>
        <v>0.22670134373645423</v>
      </c>
      <c r="L29" s="4">
        <f t="shared" si="0"/>
        <v>0.26160188457008249</v>
      </c>
      <c r="M29" s="4">
        <f t="shared" si="0"/>
        <v>0.38502474092054895</v>
      </c>
      <c r="N29" s="4">
        <f t="shared" si="0"/>
        <v>0.29194472531176263</v>
      </c>
      <c r="O29" s="4">
        <f t="shared" si="0"/>
        <v>0.27877491391004905</v>
      </c>
      <c r="P29" s="4">
        <f t="shared" si="0"/>
        <v>0.39556897466236896</v>
      </c>
      <c r="Q29" s="4">
        <f t="shared" si="0"/>
        <v>0.40559583674424049</v>
      </c>
      <c r="R29" s="4">
        <f t="shared" si="0"/>
        <v>0.27073236682821311</v>
      </c>
      <c r="S29" s="4">
        <f t="shared" si="0"/>
        <v>0.21866662301736706</v>
      </c>
      <c r="T29" s="4">
        <f t="shared" si="0"/>
        <v>0.1952398861011122</v>
      </c>
      <c r="U29" s="4">
        <f t="shared" si="0"/>
        <v>0.20247673843664304</v>
      </c>
      <c r="V29" s="4">
        <f t="shared" si="0"/>
        <v>0.27083528026465808</v>
      </c>
      <c r="W29" s="4">
        <f t="shared" si="0"/>
        <v>0.30796326119408479</v>
      </c>
      <c r="X29" s="4">
        <f t="shared" si="0"/>
        <v>0.3093396152159491</v>
      </c>
      <c r="Y29" s="4">
        <f t="shared" si="0"/>
        <v>0.20454125820676983</v>
      </c>
      <c r="Z29" s="4">
        <f t="shared" si="0"/>
        <v>0.37623430604373276</v>
      </c>
      <c r="AA29" s="4">
        <f t="shared" si="0"/>
        <v>0.21695366571345676</v>
      </c>
    </row>
    <row r="30" spans="1:27" x14ac:dyDescent="0.35">
      <c r="A30" t="s">
        <v>909</v>
      </c>
    </row>
    <row r="31" spans="1:27" x14ac:dyDescent="0.35">
      <c r="A31" t="s">
        <v>910</v>
      </c>
    </row>
    <row r="33" spans="1:27" x14ac:dyDescent="0.35">
      <c r="A33" t="s">
        <v>911</v>
      </c>
      <c r="B33" s="4">
        <f>B4/B2</f>
        <v>0.25</v>
      </c>
      <c r="C33" s="4">
        <f t="shared" ref="C33:AA33" si="1">C4/C2</f>
        <v>0.22972972972972974</v>
      </c>
      <c r="D33" s="4">
        <f t="shared" si="1"/>
        <v>0.21967213114754097</v>
      </c>
      <c r="E33" s="4">
        <f t="shared" si="1"/>
        <v>0.17743902439024389</v>
      </c>
      <c r="F33" s="4">
        <f t="shared" si="1"/>
        <v>0.23750905141202028</v>
      </c>
      <c r="G33" s="4">
        <f t="shared" si="1"/>
        <v>0.25592568866111465</v>
      </c>
      <c r="H33" s="4">
        <f t="shared" si="1"/>
        <v>0.25247902364607172</v>
      </c>
      <c r="I33" s="4">
        <f t="shared" si="1"/>
        <v>0.23879179331306991</v>
      </c>
      <c r="J33" s="4">
        <f t="shared" si="1"/>
        <v>0.23146944083224968</v>
      </c>
      <c r="K33" s="4">
        <f t="shared" si="1"/>
        <v>0.24016489988221437</v>
      </c>
      <c r="L33" s="4">
        <f t="shared" si="1"/>
        <v>0.22929698440855195</v>
      </c>
      <c r="M33" s="4">
        <f t="shared" si="1"/>
        <v>0.22601954836535221</v>
      </c>
      <c r="N33" s="4">
        <f t="shared" si="1"/>
        <v>0.22279035792549307</v>
      </c>
      <c r="O33" s="4">
        <f t="shared" si="1"/>
        <v>0.22567220204822719</v>
      </c>
      <c r="P33" s="4">
        <f t="shared" si="1"/>
        <v>0.22345339726347796</v>
      </c>
      <c r="Q33" s="4">
        <f t="shared" si="1"/>
        <v>0.22441084094265448</v>
      </c>
      <c r="R33" s="4">
        <f t="shared" si="1"/>
        <v>0.14245494573846432</v>
      </c>
      <c r="S33" s="4">
        <f t="shared" si="1"/>
        <v>0.1569601891151346</v>
      </c>
      <c r="T33" s="4">
        <f t="shared" si="1"/>
        <v>0.17384366431428958</v>
      </c>
      <c r="U33" s="4">
        <f t="shared" si="1"/>
        <v>0.20508195802104554</v>
      </c>
      <c r="V33" s="4">
        <f t="shared" si="1"/>
        <v>0.22136674829211617</v>
      </c>
      <c r="W33" s="4">
        <f t="shared" si="1"/>
        <v>0.22872836854710848</v>
      </c>
      <c r="X33" s="4">
        <f t="shared" si="1"/>
        <v>0.25636467471348767</v>
      </c>
      <c r="Y33" s="4">
        <f t="shared" si="1"/>
        <v>0.26648177326555494</v>
      </c>
      <c r="Z33" s="4">
        <f t="shared" si="1"/>
        <v>0.24410460441792034</v>
      </c>
      <c r="AA33" s="4">
        <f t="shared" si="1"/>
        <v>0.14114920118683247</v>
      </c>
    </row>
    <row r="34" spans="1:27" x14ac:dyDescent="0.35">
      <c r="A34" t="s">
        <v>25</v>
      </c>
      <c r="B34" s="4">
        <f>B16/B4</f>
        <v>-1.5</v>
      </c>
      <c r="C34" s="4">
        <f t="shared" ref="C34:AA34" si="2">C16/C4</f>
        <v>-0.8529411764705882</v>
      </c>
      <c r="D34" s="4">
        <f t="shared" si="2"/>
        <v>-0.83582089552238803</v>
      </c>
      <c r="E34" s="4">
        <f t="shared" si="2"/>
        <v>-2.0824742268041239</v>
      </c>
      <c r="F34" s="4">
        <f t="shared" si="2"/>
        <v>-1.3170731707317074</v>
      </c>
      <c r="G34" s="4">
        <f t="shared" si="2"/>
        <v>-0.51564455569461831</v>
      </c>
      <c r="H34" s="4">
        <f t="shared" si="2"/>
        <v>6.4451158106747231E-2</v>
      </c>
      <c r="I34" s="4">
        <f t="shared" si="2"/>
        <v>0.21559268098647574</v>
      </c>
      <c r="J34" s="4">
        <f t="shared" si="2"/>
        <v>0.27465667915106118</v>
      </c>
      <c r="K34" s="4">
        <f t="shared" si="2"/>
        <v>0.21186856302108878</v>
      </c>
      <c r="L34" s="4">
        <f t="shared" si="2"/>
        <v>0.15838762214983712</v>
      </c>
      <c r="M34" s="4">
        <f t="shared" si="2"/>
        <v>0.19534745004473605</v>
      </c>
      <c r="N34" s="4">
        <f t="shared" si="2"/>
        <v>0.19718969555035129</v>
      </c>
      <c r="O34" s="4">
        <f t="shared" si="2"/>
        <v>0.20412222021334298</v>
      </c>
      <c r="P34" s="4">
        <f t="shared" si="2"/>
        <v>0.18395917833311526</v>
      </c>
      <c r="Q34" s="4">
        <f t="shared" si="2"/>
        <v>7.9896190564463801E-2</v>
      </c>
      <c r="R34" s="4">
        <f t="shared" si="2"/>
        <v>7.767436516143858E-2</v>
      </c>
      <c r="S34" s="4">
        <f t="shared" si="2"/>
        <v>6.3751497518398079E-2</v>
      </c>
      <c r="T34" s="4">
        <f t="shared" si="2"/>
        <v>1.1506140917905625E-2</v>
      </c>
      <c r="U34" s="4">
        <f t="shared" si="2"/>
        <v>0.10175438596491228</v>
      </c>
      <c r="V34" s="4">
        <f t="shared" si="2"/>
        <v>0.13905590804903165</v>
      </c>
      <c r="W34" s="4">
        <f t="shared" si="2"/>
        <v>0.10092667699038911</v>
      </c>
      <c r="X34" s="4">
        <f t="shared" si="2"/>
        <v>0.20804301219348786</v>
      </c>
      <c r="Y34" s="4">
        <f t="shared" si="2"/>
        <v>0.1945180191026567</v>
      </c>
      <c r="Z34" s="4">
        <f t="shared" si="2"/>
        <v>0.24298599320882852</v>
      </c>
      <c r="AA34" s="4">
        <f t="shared" si="2"/>
        <v>0.37516399004750056</v>
      </c>
    </row>
    <row r="35" spans="1:27" x14ac:dyDescent="0.35">
      <c r="A35" t="s">
        <v>912</v>
      </c>
      <c r="B35" s="4">
        <f>B21/B4</f>
        <v>-1.5</v>
      </c>
      <c r="C35" s="4">
        <f t="shared" ref="C35:AA35" si="3">C21/C4</f>
        <v>-0.82352941176470584</v>
      </c>
      <c r="D35" s="4">
        <f t="shared" si="3"/>
        <v>-0.93283582089552242</v>
      </c>
      <c r="E35" s="4">
        <f t="shared" si="3"/>
        <v>-2.4742268041237114</v>
      </c>
      <c r="F35" s="4">
        <f t="shared" si="3"/>
        <v>-2.1509146341463414</v>
      </c>
      <c r="G35" s="4">
        <f t="shared" si="3"/>
        <v>-0.70963704630788482</v>
      </c>
      <c r="H35" s="4">
        <f t="shared" si="3"/>
        <v>-0.15005035246727089</v>
      </c>
      <c r="I35" s="4">
        <f t="shared" si="3"/>
        <v>2.7844073190135241E-2</v>
      </c>
      <c r="J35" s="4">
        <f t="shared" si="3"/>
        <v>0.36704119850187267</v>
      </c>
      <c r="K35" s="4">
        <f t="shared" si="3"/>
        <v>0.17606669936243258</v>
      </c>
      <c r="L35" s="4">
        <f t="shared" si="3"/>
        <v>7.7361563517915316E-2</v>
      </c>
      <c r="M35" s="4">
        <f t="shared" si="3"/>
        <v>0.14196242171189979</v>
      </c>
      <c r="N35" s="4">
        <f t="shared" si="3"/>
        <v>0.15105386416861827</v>
      </c>
      <c r="O35" s="4">
        <f t="shared" si="3"/>
        <v>0.16308081721207737</v>
      </c>
      <c r="P35" s="4">
        <f t="shared" si="3"/>
        <v>0.15072615465131492</v>
      </c>
      <c r="Q35" s="4">
        <f t="shared" si="3"/>
        <v>5.8485494485123739E-2</v>
      </c>
      <c r="R35" s="4">
        <f t="shared" si="3"/>
        <v>-4.4812133746983795E-3</v>
      </c>
      <c r="S35" s="4">
        <f t="shared" si="3"/>
        <v>2.3446859489988019E-2</v>
      </c>
      <c r="T35" s="4">
        <f t="shared" si="3"/>
        <v>-1.5578539107950873E-2</v>
      </c>
      <c r="U35" s="4">
        <f t="shared" si="3"/>
        <v>2.7158806106174528E-2</v>
      </c>
      <c r="V35" s="4">
        <f t="shared" si="3"/>
        <v>7.876291399528286E-2</v>
      </c>
      <c r="W35" s="4">
        <f t="shared" si="3"/>
        <v>7.4552024187006863E-2</v>
      </c>
      <c r="X35" s="4">
        <f t="shared" si="3"/>
        <v>0.16871566394211443</v>
      </c>
      <c r="Y35" s="4">
        <f t="shared" si="3"/>
        <v>0.15501511624795997</v>
      </c>
      <c r="Z35" s="4">
        <f t="shared" si="3"/>
        <v>0.22634762308998302</v>
      </c>
      <c r="AA35" s="4">
        <f t="shared" si="3"/>
        <v>0.50311392595943605</v>
      </c>
    </row>
    <row r="40" spans="1:27" x14ac:dyDescent="0.35">
      <c r="A40" t="s">
        <v>469</v>
      </c>
      <c r="B40" s="1" t="s">
        <v>472</v>
      </c>
      <c r="C40" s="1" t="s">
        <v>473</v>
      </c>
      <c r="D40" s="1" t="s">
        <v>474</v>
      </c>
      <c r="E40" s="1" t="s">
        <v>475</v>
      </c>
      <c r="F40" s="1" t="s">
        <v>476</v>
      </c>
      <c r="G40" s="1" t="s">
        <v>477</v>
      </c>
      <c r="H40" s="1" t="s">
        <v>478</v>
      </c>
      <c r="I40" s="1" t="s">
        <v>479</v>
      </c>
      <c r="J40" s="1" t="s">
        <v>480</v>
      </c>
      <c r="K40" s="1" t="s">
        <v>481</v>
      </c>
      <c r="L40" s="1" t="s">
        <v>107</v>
      </c>
      <c r="M40" s="1" t="s">
        <v>108</v>
      </c>
      <c r="N40" s="1" t="s">
        <v>109</v>
      </c>
      <c r="O40" s="1" t="s">
        <v>110</v>
      </c>
      <c r="P40" s="1" t="s">
        <v>111</v>
      </c>
      <c r="Q40" s="1" t="s">
        <v>112</v>
      </c>
      <c r="R40" s="1" t="s">
        <v>113</v>
      </c>
      <c r="S40" s="1" t="s">
        <v>114</v>
      </c>
      <c r="T40" s="1" t="s">
        <v>115</v>
      </c>
      <c r="U40" s="1" t="s">
        <v>116</v>
      </c>
      <c r="V40" s="1" t="s">
        <v>117</v>
      </c>
      <c r="W40" s="1" t="s">
        <v>118</v>
      </c>
      <c r="X40" s="1" t="s">
        <v>119</v>
      </c>
      <c r="Y40" s="1" t="s">
        <v>120</v>
      </c>
      <c r="Z40" s="1" t="s">
        <v>121</v>
      </c>
      <c r="AA40" s="1" t="s">
        <v>122</v>
      </c>
    </row>
    <row r="41" spans="1:27" s="3" customFormat="1" x14ac:dyDescent="0.35">
      <c r="A41" s="1" t="s">
        <v>482</v>
      </c>
      <c r="B41" s="23">
        <v>16</v>
      </c>
      <c r="C41" s="23">
        <v>148</v>
      </c>
      <c r="D41" s="23">
        <v>610</v>
      </c>
      <c r="E41" s="23">
        <v>1640</v>
      </c>
      <c r="F41" s="23">
        <v>2762</v>
      </c>
      <c r="G41" s="23">
        <v>3122</v>
      </c>
      <c r="H41" s="23">
        <v>3933</v>
      </c>
      <c r="I41" s="23">
        <v>5264</v>
      </c>
      <c r="J41" s="23">
        <v>6921</v>
      </c>
      <c r="K41" s="23">
        <v>8490</v>
      </c>
      <c r="L41" s="23">
        <v>10711</v>
      </c>
      <c r="M41" s="23">
        <v>14835</v>
      </c>
      <c r="N41" s="23">
        <v>19166</v>
      </c>
      <c r="O41" s="23">
        <v>24509</v>
      </c>
      <c r="P41" s="23">
        <v>34204</v>
      </c>
      <c r="Q41" s="23">
        <v>48077</v>
      </c>
      <c r="R41" s="23">
        <v>61093</v>
      </c>
      <c r="S41" s="23">
        <v>74452</v>
      </c>
      <c r="T41" s="23">
        <v>88988</v>
      </c>
      <c r="U41" s="23">
        <v>107006</v>
      </c>
      <c r="V41" s="23">
        <v>135987</v>
      </c>
      <c r="W41" s="23">
        <v>177866</v>
      </c>
      <c r="X41" s="23">
        <v>232887</v>
      </c>
      <c r="Y41" s="23">
        <v>280522</v>
      </c>
      <c r="Z41" s="23">
        <v>386064</v>
      </c>
      <c r="AA41" s="23">
        <v>469822</v>
      </c>
    </row>
    <row r="42" spans="1:27" s="3" customFormat="1" x14ac:dyDescent="0.35">
      <c r="A42" s="1" t="s">
        <v>518</v>
      </c>
      <c r="B42" s="22">
        <v>4</v>
      </c>
      <c r="C42" s="22">
        <v>34</v>
      </c>
      <c r="D42" s="22">
        <v>134</v>
      </c>
      <c r="E42" s="3">
        <v>291</v>
      </c>
      <c r="F42" s="3">
        <v>656</v>
      </c>
      <c r="G42" s="22">
        <v>799</v>
      </c>
      <c r="H42" s="3">
        <v>993</v>
      </c>
      <c r="I42" s="12">
        <v>1257</v>
      </c>
      <c r="J42" s="12">
        <v>1602</v>
      </c>
      <c r="K42" s="12">
        <v>2039</v>
      </c>
      <c r="L42" s="12">
        <v>2456</v>
      </c>
      <c r="M42" s="12">
        <v>3353</v>
      </c>
      <c r="N42" s="12">
        <v>4270</v>
      </c>
      <c r="O42" s="12">
        <v>5531</v>
      </c>
      <c r="P42" s="12">
        <v>7643</v>
      </c>
      <c r="Q42" s="12">
        <v>10789</v>
      </c>
      <c r="R42" s="12">
        <v>8703</v>
      </c>
      <c r="S42" s="12">
        <v>11686</v>
      </c>
      <c r="T42" s="12">
        <v>15470</v>
      </c>
      <c r="U42" s="12">
        <v>21945</v>
      </c>
      <c r="V42" s="12">
        <v>30103</v>
      </c>
      <c r="W42" s="12">
        <v>40683</v>
      </c>
      <c r="X42" s="12">
        <v>59704</v>
      </c>
      <c r="Y42" s="12">
        <v>74754</v>
      </c>
      <c r="Z42" s="12">
        <v>94240</v>
      </c>
      <c r="AA42" s="12">
        <v>66315</v>
      </c>
    </row>
    <row r="43" spans="1:27" x14ac:dyDescent="0.35">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s="3" customFormat="1" x14ac:dyDescent="0.35">
      <c r="A44" s="1" t="s">
        <v>64</v>
      </c>
      <c r="B44" s="22">
        <v>-6</v>
      </c>
      <c r="C44" s="3">
        <v>-28</v>
      </c>
      <c r="D44" s="3">
        <v>-125</v>
      </c>
      <c r="E44" s="3">
        <v>-720</v>
      </c>
      <c r="F44" s="12">
        <v>-1411</v>
      </c>
      <c r="G44" s="3">
        <v>-567</v>
      </c>
      <c r="H44" s="3">
        <v>-149</v>
      </c>
      <c r="I44" s="3">
        <v>35</v>
      </c>
      <c r="J44" s="3">
        <v>588</v>
      </c>
      <c r="K44" s="3">
        <v>359</v>
      </c>
      <c r="L44" s="3">
        <v>190</v>
      </c>
      <c r="M44" s="3">
        <v>476</v>
      </c>
      <c r="N44" s="3">
        <v>645</v>
      </c>
      <c r="O44" s="3">
        <v>902</v>
      </c>
      <c r="P44" s="12">
        <v>1152</v>
      </c>
      <c r="Q44" s="3">
        <v>631</v>
      </c>
      <c r="R44" s="3">
        <v>-39</v>
      </c>
      <c r="S44" s="3">
        <v>274</v>
      </c>
      <c r="T44" s="3">
        <v>-241</v>
      </c>
      <c r="U44" s="3">
        <v>596</v>
      </c>
      <c r="V44" s="12">
        <v>2371</v>
      </c>
      <c r="W44" s="12">
        <v>3033</v>
      </c>
      <c r="X44" s="12">
        <v>10073</v>
      </c>
      <c r="Y44" s="12">
        <v>11588</v>
      </c>
      <c r="Z44" s="12">
        <v>21331</v>
      </c>
      <c r="AA44" s="12">
        <v>33364</v>
      </c>
    </row>
  </sheetData>
  <conditionalFormatting sqref="B33:AA33">
    <cfRule type="colorScale" priority="2">
      <colorScale>
        <cfvo type="min"/>
        <cfvo type="percentile" val="50"/>
        <cfvo type="max"/>
        <color theme="0"/>
        <color theme="6" tint="0.79998168889431442"/>
        <color rgb="FF63BE7B"/>
      </colorScale>
    </cfRule>
  </conditionalFormatting>
  <conditionalFormatting sqref="B34:AA34">
    <cfRule type="colorScale" priority="3">
      <colorScale>
        <cfvo type="min"/>
        <cfvo type="percentile" val="50"/>
        <cfvo type="max"/>
        <color theme="0"/>
        <color theme="6" tint="0.79998168889431442"/>
        <color rgb="FF63BE7B"/>
      </colorScale>
    </cfRule>
  </conditionalFormatting>
  <conditionalFormatting sqref="B35:AA35">
    <cfRule type="colorScale" priority="1">
      <colorScale>
        <cfvo type="min"/>
        <cfvo type="percentile" val="50"/>
        <cfvo type="max"/>
        <color theme="0"/>
        <color theme="6" tint="0.79998168889431442"/>
        <color rgb="FF63BE7B"/>
      </colorScale>
    </cfRule>
  </conditionalFormatting>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40"/>
  <sheetViews>
    <sheetView workbookViewId="0"/>
  </sheetViews>
  <sheetFormatPr defaultRowHeight="14.5" x14ac:dyDescent="0.35"/>
  <sheetData>
    <row r="1" spans="1:27" x14ac:dyDescent="0.35">
      <c r="B1" s="1" t="s">
        <v>472</v>
      </c>
      <c r="C1" s="1" t="s">
        <v>473</v>
      </c>
      <c r="D1" s="1" t="s">
        <v>474</v>
      </c>
      <c r="E1" s="1" t="s">
        <v>475</v>
      </c>
      <c r="F1" s="1" t="s">
        <v>476</v>
      </c>
      <c r="G1" s="1" t="s">
        <v>477</v>
      </c>
      <c r="H1" s="1" t="s">
        <v>478</v>
      </c>
      <c r="I1" s="1" t="s">
        <v>479</v>
      </c>
      <c r="J1" s="1" t="s">
        <v>480</v>
      </c>
      <c r="K1" s="1" t="s">
        <v>481</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row>
    <row r="2" spans="1:27" x14ac:dyDescent="0.35">
      <c r="A2" s="1" t="s">
        <v>913</v>
      </c>
      <c r="B2" t="s">
        <v>914</v>
      </c>
      <c r="C2" t="s">
        <v>915</v>
      </c>
      <c r="D2" t="s">
        <v>916</v>
      </c>
      <c r="E2" t="s">
        <v>917</v>
      </c>
      <c r="F2" t="s">
        <v>918</v>
      </c>
      <c r="G2" t="s">
        <v>626</v>
      </c>
      <c r="H2" t="s">
        <v>919</v>
      </c>
      <c r="I2" t="s">
        <v>920</v>
      </c>
      <c r="J2" t="s">
        <v>921</v>
      </c>
      <c r="K2" t="s">
        <v>922</v>
      </c>
      <c r="L2" t="s">
        <v>923</v>
      </c>
      <c r="M2" t="s">
        <v>924</v>
      </c>
      <c r="N2" t="s">
        <v>925</v>
      </c>
      <c r="O2" t="s">
        <v>926</v>
      </c>
      <c r="P2" t="s">
        <v>927</v>
      </c>
      <c r="Q2" t="s">
        <v>928</v>
      </c>
      <c r="R2" t="s">
        <v>929</v>
      </c>
      <c r="S2" t="s">
        <v>930</v>
      </c>
      <c r="T2" t="s">
        <v>931</v>
      </c>
      <c r="U2" t="s">
        <v>932</v>
      </c>
      <c r="V2" t="s">
        <v>933</v>
      </c>
      <c r="W2" t="s">
        <v>934</v>
      </c>
      <c r="X2" t="s">
        <v>935</v>
      </c>
      <c r="Y2" t="s">
        <v>936</v>
      </c>
      <c r="Z2" t="s">
        <v>937</v>
      </c>
      <c r="AA2" t="s">
        <v>938</v>
      </c>
    </row>
    <row r="3" spans="1:27" x14ac:dyDescent="0.35">
      <c r="A3" s="1" t="s">
        <v>939</v>
      </c>
      <c r="B3" t="s">
        <v>177</v>
      </c>
      <c r="C3" t="s">
        <v>177</v>
      </c>
      <c r="D3" t="s">
        <v>940</v>
      </c>
      <c r="E3" t="s">
        <v>941</v>
      </c>
      <c r="F3" t="s">
        <v>942</v>
      </c>
      <c r="G3" t="s">
        <v>943</v>
      </c>
      <c r="H3" t="s">
        <v>944</v>
      </c>
      <c r="I3" t="s">
        <v>945</v>
      </c>
      <c r="J3" t="s">
        <v>946</v>
      </c>
      <c r="K3" t="s">
        <v>947</v>
      </c>
      <c r="L3" t="s">
        <v>948</v>
      </c>
      <c r="M3" t="s">
        <v>949</v>
      </c>
      <c r="N3" t="s">
        <v>950</v>
      </c>
      <c r="O3" t="s">
        <v>951</v>
      </c>
      <c r="P3" t="s">
        <v>952</v>
      </c>
      <c r="Q3" t="s">
        <v>953</v>
      </c>
      <c r="R3" t="s">
        <v>954</v>
      </c>
      <c r="S3" t="s">
        <v>955</v>
      </c>
      <c r="T3" t="s">
        <v>956</v>
      </c>
      <c r="U3" t="s">
        <v>957</v>
      </c>
      <c r="V3" t="s">
        <v>958</v>
      </c>
      <c r="W3" t="s">
        <v>959</v>
      </c>
      <c r="X3" t="s">
        <v>960</v>
      </c>
      <c r="Y3" t="s">
        <v>961</v>
      </c>
      <c r="Z3" t="s">
        <v>962</v>
      </c>
      <c r="AA3" t="s">
        <v>963</v>
      </c>
    </row>
    <row r="4" spans="1:27" x14ac:dyDescent="0.35">
      <c r="A4" s="1" t="s">
        <v>964</v>
      </c>
      <c r="B4" t="s">
        <v>914</v>
      </c>
      <c r="C4" t="s">
        <v>915</v>
      </c>
      <c r="D4" t="s">
        <v>965</v>
      </c>
      <c r="E4" t="s">
        <v>966</v>
      </c>
      <c r="F4" t="s">
        <v>967</v>
      </c>
      <c r="G4" t="s">
        <v>948</v>
      </c>
      <c r="H4" t="s">
        <v>968</v>
      </c>
      <c r="I4" t="s">
        <v>607</v>
      </c>
      <c r="J4" t="s">
        <v>969</v>
      </c>
      <c r="K4" t="s">
        <v>970</v>
      </c>
      <c r="L4" t="s">
        <v>971</v>
      </c>
      <c r="M4" t="s">
        <v>972</v>
      </c>
      <c r="N4" t="s">
        <v>973</v>
      </c>
      <c r="O4" t="s">
        <v>974</v>
      </c>
      <c r="P4" t="s">
        <v>975</v>
      </c>
      <c r="Q4" t="s">
        <v>976</v>
      </c>
      <c r="R4" t="s">
        <v>977</v>
      </c>
      <c r="S4" t="s">
        <v>978</v>
      </c>
      <c r="T4" t="s">
        <v>979</v>
      </c>
      <c r="U4" t="s">
        <v>980</v>
      </c>
      <c r="V4" t="s">
        <v>981</v>
      </c>
      <c r="W4" t="s">
        <v>982</v>
      </c>
      <c r="X4" t="s">
        <v>983</v>
      </c>
      <c r="Y4" t="s">
        <v>984</v>
      </c>
      <c r="Z4" t="s">
        <v>985</v>
      </c>
      <c r="AA4" t="s">
        <v>986</v>
      </c>
    </row>
    <row r="5" spans="1:27" x14ac:dyDescent="0.35">
      <c r="A5" s="1" t="s">
        <v>987</v>
      </c>
      <c r="B5" t="s">
        <v>177</v>
      </c>
      <c r="C5" t="s">
        <v>177</v>
      </c>
      <c r="D5" t="s">
        <v>177</v>
      </c>
      <c r="E5" t="s">
        <v>177</v>
      </c>
      <c r="F5" t="s">
        <v>177</v>
      </c>
      <c r="G5" t="s">
        <v>177</v>
      </c>
      <c r="H5" t="s">
        <v>988</v>
      </c>
      <c r="I5" t="s">
        <v>989</v>
      </c>
      <c r="J5" t="s">
        <v>990</v>
      </c>
      <c r="K5" t="s">
        <v>320</v>
      </c>
      <c r="L5" t="s">
        <v>991</v>
      </c>
      <c r="M5" t="s">
        <v>992</v>
      </c>
      <c r="N5" t="s">
        <v>993</v>
      </c>
      <c r="O5" t="s">
        <v>994</v>
      </c>
      <c r="P5" t="s">
        <v>995</v>
      </c>
      <c r="Q5" t="s">
        <v>996</v>
      </c>
      <c r="R5" t="s">
        <v>954</v>
      </c>
      <c r="S5" t="s">
        <v>997</v>
      </c>
      <c r="T5" t="s">
        <v>998</v>
      </c>
      <c r="U5" t="s">
        <v>999</v>
      </c>
      <c r="V5" t="s">
        <v>1000</v>
      </c>
      <c r="W5" t="s">
        <v>1001</v>
      </c>
      <c r="X5" t="s">
        <v>1002</v>
      </c>
      <c r="Y5" t="s">
        <v>1003</v>
      </c>
      <c r="Z5" t="s">
        <v>1004</v>
      </c>
      <c r="AA5" t="s">
        <v>1005</v>
      </c>
    </row>
    <row r="6" spans="1:27" x14ac:dyDescent="0.35">
      <c r="A6" s="1" t="s">
        <v>1006</v>
      </c>
      <c r="B6" t="s">
        <v>1007</v>
      </c>
      <c r="C6" t="s">
        <v>597</v>
      </c>
      <c r="D6" t="s">
        <v>1008</v>
      </c>
      <c r="E6" t="s">
        <v>1009</v>
      </c>
      <c r="F6" t="s">
        <v>1010</v>
      </c>
      <c r="G6" t="s">
        <v>1011</v>
      </c>
      <c r="H6" t="s">
        <v>1012</v>
      </c>
      <c r="I6" t="s">
        <v>1013</v>
      </c>
      <c r="J6" t="s">
        <v>1014</v>
      </c>
      <c r="K6" t="s">
        <v>1015</v>
      </c>
      <c r="L6" t="s">
        <v>1016</v>
      </c>
      <c r="M6" t="s">
        <v>1017</v>
      </c>
      <c r="N6" t="s">
        <v>1018</v>
      </c>
      <c r="O6" t="s">
        <v>1019</v>
      </c>
      <c r="P6" t="s">
        <v>1020</v>
      </c>
      <c r="Q6" t="s">
        <v>1021</v>
      </c>
      <c r="R6" t="s">
        <v>1022</v>
      </c>
      <c r="S6" t="s">
        <v>1023</v>
      </c>
      <c r="T6" t="s">
        <v>1024</v>
      </c>
      <c r="U6" t="s">
        <v>1025</v>
      </c>
      <c r="V6" t="s">
        <v>1026</v>
      </c>
      <c r="W6" t="s">
        <v>1027</v>
      </c>
      <c r="X6" t="s">
        <v>1028</v>
      </c>
      <c r="Y6" t="s">
        <v>1029</v>
      </c>
      <c r="Z6" t="s">
        <v>1030</v>
      </c>
      <c r="AA6" t="s">
        <v>1031</v>
      </c>
    </row>
    <row r="7" spans="1:27" x14ac:dyDescent="0.35">
      <c r="A7" s="1" t="s">
        <v>1032</v>
      </c>
      <c r="B7" t="s">
        <v>667</v>
      </c>
      <c r="C7" t="s">
        <v>1033</v>
      </c>
      <c r="D7" t="s">
        <v>1034</v>
      </c>
      <c r="E7" t="s">
        <v>1035</v>
      </c>
      <c r="F7" t="s">
        <v>1036</v>
      </c>
      <c r="G7" t="s">
        <v>1037</v>
      </c>
      <c r="H7" t="s">
        <v>177</v>
      </c>
      <c r="I7" t="s">
        <v>177</v>
      </c>
      <c r="J7" t="s">
        <v>1038</v>
      </c>
      <c r="K7" t="s">
        <v>1039</v>
      </c>
      <c r="L7" t="s">
        <v>711</v>
      </c>
      <c r="M7" t="s">
        <v>1040</v>
      </c>
      <c r="N7" t="s">
        <v>1041</v>
      </c>
      <c r="O7" t="s">
        <v>1042</v>
      </c>
      <c r="P7" t="s">
        <v>1043</v>
      </c>
      <c r="Q7" t="s">
        <v>1044</v>
      </c>
      <c r="R7" t="s">
        <v>1045</v>
      </c>
      <c r="S7" t="s">
        <v>177</v>
      </c>
      <c r="T7" t="s">
        <v>177</v>
      </c>
      <c r="U7" t="s">
        <v>177</v>
      </c>
      <c r="V7" t="s">
        <v>177</v>
      </c>
      <c r="W7" t="s">
        <v>177</v>
      </c>
      <c r="X7" t="s">
        <v>177</v>
      </c>
      <c r="Y7" t="s">
        <v>177</v>
      </c>
      <c r="Z7" t="s">
        <v>177</v>
      </c>
      <c r="AA7" t="s">
        <v>177</v>
      </c>
    </row>
    <row r="8" spans="1:27" x14ac:dyDescent="0.35">
      <c r="A8" s="1" t="s">
        <v>1046</v>
      </c>
      <c r="B8" t="s">
        <v>1047</v>
      </c>
      <c r="C8" t="s">
        <v>1048</v>
      </c>
      <c r="D8" t="s">
        <v>1049</v>
      </c>
      <c r="E8" t="s">
        <v>1050</v>
      </c>
      <c r="F8" t="s">
        <v>1051</v>
      </c>
      <c r="G8" t="s">
        <v>1052</v>
      </c>
      <c r="H8" t="s">
        <v>1053</v>
      </c>
      <c r="I8" t="s">
        <v>1054</v>
      </c>
      <c r="J8" t="s">
        <v>924</v>
      </c>
      <c r="K8" t="s">
        <v>1055</v>
      </c>
      <c r="L8" t="s">
        <v>1056</v>
      </c>
      <c r="M8" t="s">
        <v>1057</v>
      </c>
      <c r="N8" t="s">
        <v>1058</v>
      </c>
      <c r="O8" t="s">
        <v>1059</v>
      </c>
      <c r="P8" t="s">
        <v>1060</v>
      </c>
      <c r="Q8" t="s">
        <v>1061</v>
      </c>
      <c r="R8" t="s">
        <v>1062</v>
      </c>
      <c r="S8" t="s">
        <v>1063</v>
      </c>
      <c r="T8" t="s">
        <v>1064</v>
      </c>
      <c r="U8" t="s">
        <v>1065</v>
      </c>
      <c r="V8" t="s">
        <v>1066</v>
      </c>
      <c r="W8" t="s">
        <v>1067</v>
      </c>
      <c r="X8" t="s">
        <v>1068</v>
      </c>
      <c r="Y8" t="s">
        <v>1069</v>
      </c>
      <c r="Z8" t="s">
        <v>1070</v>
      </c>
      <c r="AA8" t="s">
        <v>1071</v>
      </c>
    </row>
    <row r="9" spans="1:27" x14ac:dyDescent="0.35">
      <c r="A9" s="1" t="s">
        <v>78</v>
      </c>
      <c r="B9" t="s">
        <v>1007</v>
      </c>
      <c r="C9" t="s">
        <v>597</v>
      </c>
      <c r="D9" t="s">
        <v>1008</v>
      </c>
      <c r="E9" t="s">
        <v>1072</v>
      </c>
      <c r="F9" t="s">
        <v>1073</v>
      </c>
      <c r="G9" t="s">
        <v>1042</v>
      </c>
      <c r="H9" t="s">
        <v>1074</v>
      </c>
      <c r="I9" t="s">
        <v>1075</v>
      </c>
      <c r="J9" t="s">
        <v>296</v>
      </c>
      <c r="K9" t="s">
        <v>940</v>
      </c>
      <c r="L9" t="s">
        <v>1076</v>
      </c>
      <c r="M9" t="s">
        <v>1077</v>
      </c>
      <c r="N9" t="s">
        <v>1078</v>
      </c>
      <c r="O9" t="s">
        <v>1079</v>
      </c>
      <c r="P9" t="s">
        <v>1080</v>
      </c>
      <c r="Q9" t="s">
        <v>1081</v>
      </c>
      <c r="R9" t="s">
        <v>1082</v>
      </c>
      <c r="S9" t="s">
        <v>1083</v>
      </c>
      <c r="T9" t="s">
        <v>1084</v>
      </c>
      <c r="U9" t="s">
        <v>1085</v>
      </c>
      <c r="V9" t="s">
        <v>1086</v>
      </c>
      <c r="W9" t="s">
        <v>1087</v>
      </c>
      <c r="X9" t="s">
        <v>1088</v>
      </c>
      <c r="Y9" t="s">
        <v>1089</v>
      </c>
      <c r="Z9" t="s">
        <v>1090</v>
      </c>
      <c r="AA9" t="s">
        <v>1091</v>
      </c>
    </row>
    <row r="10" spans="1:27" x14ac:dyDescent="0.35">
      <c r="A10" s="1" t="s">
        <v>80</v>
      </c>
      <c r="B10" t="s">
        <v>177</v>
      </c>
      <c r="C10" t="s">
        <v>177</v>
      </c>
      <c r="D10" t="s">
        <v>177</v>
      </c>
      <c r="E10" t="s">
        <v>177</v>
      </c>
      <c r="F10" t="s">
        <v>177</v>
      </c>
      <c r="G10" t="s">
        <v>177</v>
      </c>
      <c r="H10" t="s">
        <v>177</v>
      </c>
      <c r="I10" t="s">
        <v>177</v>
      </c>
      <c r="J10" t="s">
        <v>177</v>
      </c>
      <c r="K10" t="s">
        <v>177</v>
      </c>
      <c r="L10" t="s">
        <v>1092</v>
      </c>
      <c r="M10" t="s">
        <v>1093</v>
      </c>
      <c r="N10" t="s">
        <v>1094</v>
      </c>
      <c r="O10" t="s">
        <v>1095</v>
      </c>
      <c r="P10" t="s">
        <v>495</v>
      </c>
      <c r="Q10" t="s">
        <v>1096</v>
      </c>
      <c r="R10" t="s">
        <v>1097</v>
      </c>
      <c r="S10" t="s">
        <v>1098</v>
      </c>
      <c r="T10" t="s">
        <v>1099</v>
      </c>
      <c r="U10" t="s">
        <v>1100</v>
      </c>
      <c r="V10" t="s">
        <v>1101</v>
      </c>
      <c r="W10" t="s">
        <v>1102</v>
      </c>
      <c r="X10" t="s">
        <v>1103</v>
      </c>
      <c r="Y10" t="s">
        <v>1104</v>
      </c>
      <c r="Z10" t="s">
        <v>1105</v>
      </c>
      <c r="AA10" t="s">
        <v>1106</v>
      </c>
    </row>
    <row r="11" spans="1:27" x14ac:dyDescent="0.35">
      <c r="A11" s="1" t="s">
        <v>1107</v>
      </c>
      <c r="B11" t="s">
        <v>177</v>
      </c>
      <c r="C11" t="s">
        <v>177</v>
      </c>
      <c r="D11" t="s">
        <v>1108</v>
      </c>
      <c r="E11" t="s">
        <v>1109</v>
      </c>
      <c r="F11" t="s">
        <v>384</v>
      </c>
      <c r="G11" t="s">
        <v>1110</v>
      </c>
      <c r="H11" t="s">
        <v>1111</v>
      </c>
      <c r="I11" t="s">
        <v>1112</v>
      </c>
      <c r="J11" t="s">
        <v>1113</v>
      </c>
      <c r="K11" t="s">
        <v>675</v>
      </c>
      <c r="L11" t="s">
        <v>1034</v>
      </c>
      <c r="M11" t="s">
        <v>916</v>
      </c>
      <c r="N11" t="s">
        <v>573</v>
      </c>
      <c r="O11" t="s">
        <v>1114</v>
      </c>
      <c r="P11" t="s">
        <v>944</v>
      </c>
      <c r="Q11" t="s">
        <v>1115</v>
      </c>
      <c r="R11" t="s">
        <v>1116</v>
      </c>
      <c r="S11" t="s">
        <v>315</v>
      </c>
      <c r="T11" t="s">
        <v>1117</v>
      </c>
      <c r="U11" t="s">
        <v>1118</v>
      </c>
      <c r="V11" t="s">
        <v>1078</v>
      </c>
      <c r="W11" t="s">
        <v>1119</v>
      </c>
      <c r="X11" t="s">
        <v>1120</v>
      </c>
      <c r="Y11" t="s">
        <v>1121</v>
      </c>
      <c r="Z11" t="s">
        <v>1122</v>
      </c>
      <c r="AA11" t="s">
        <v>1123</v>
      </c>
    </row>
    <row r="12" spans="1:27" x14ac:dyDescent="0.35">
      <c r="A12" s="1" t="s">
        <v>1124</v>
      </c>
      <c r="B12" t="s">
        <v>177</v>
      </c>
      <c r="C12" t="s">
        <v>177</v>
      </c>
      <c r="D12" t="s">
        <v>1108</v>
      </c>
      <c r="E12" t="s">
        <v>1109</v>
      </c>
      <c r="F12" t="s">
        <v>384</v>
      </c>
      <c r="G12" t="s">
        <v>1110</v>
      </c>
      <c r="H12" t="s">
        <v>1111</v>
      </c>
      <c r="I12" t="s">
        <v>1112</v>
      </c>
      <c r="J12" t="s">
        <v>1113</v>
      </c>
      <c r="K12" t="s">
        <v>675</v>
      </c>
      <c r="L12" t="s">
        <v>576</v>
      </c>
      <c r="M12" t="s">
        <v>1125</v>
      </c>
      <c r="N12" t="s">
        <v>1126</v>
      </c>
      <c r="O12" t="s">
        <v>1127</v>
      </c>
      <c r="P12" t="s">
        <v>1128</v>
      </c>
      <c r="Q12" t="s">
        <v>1129</v>
      </c>
      <c r="R12" t="s">
        <v>1130</v>
      </c>
      <c r="S12" t="s">
        <v>1131</v>
      </c>
      <c r="T12" t="s">
        <v>1132</v>
      </c>
      <c r="U12" t="s">
        <v>1133</v>
      </c>
      <c r="V12" t="s">
        <v>1134</v>
      </c>
      <c r="W12" t="s">
        <v>1135</v>
      </c>
      <c r="X12" t="s">
        <v>1136</v>
      </c>
      <c r="Y12" t="s">
        <v>1137</v>
      </c>
      <c r="Z12" t="s">
        <v>1138</v>
      </c>
      <c r="AA12" t="s">
        <v>1139</v>
      </c>
    </row>
    <row r="13" spans="1:27" x14ac:dyDescent="0.35">
      <c r="A13" s="1" t="s">
        <v>1140</v>
      </c>
      <c r="B13" t="s">
        <v>177</v>
      </c>
      <c r="C13" t="s">
        <v>177</v>
      </c>
      <c r="D13" t="s">
        <v>177</v>
      </c>
      <c r="E13" t="s">
        <v>177</v>
      </c>
      <c r="F13" t="s">
        <v>177</v>
      </c>
      <c r="G13" t="s">
        <v>177</v>
      </c>
      <c r="H13" t="s">
        <v>177</v>
      </c>
      <c r="I13" t="s">
        <v>177</v>
      </c>
      <c r="J13" t="s">
        <v>177</v>
      </c>
      <c r="K13" t="s">
        <v>177</v>
      </c>
      <c r="L13" t="s">
        <v>177</v>
      </c>
      <c r="M13" t="s">
        <v>177</v>
      </c>
      <c r="N13" t="s">
        <v>177</v>
      </c>
      <c r="O13" t="s">
        <v>177</v>
      </c>
      <c r="P13" t="s">
        <v>177</v>
      </c>
      <c r="Q13" t="s">
        <v>177</v>
      </c>
      <c r="R13" t="s">
        <v>177</v>
      </c>
      <c r="S13" t="s">
        <v>177</v>
      </c>
      <c r="T13" t="s">
        <v>177</v>
      </c>
      <c r="U13" t="s">
        <v>177</v>
      </c>
      <c r="V13" t="s">
        <v>177</v>
      </c>
      <c r="W13" t="s">
        <v>177</v>
      </c>
      <c r="X13" t="s">
        <v>177</v>
      </c>
      <c r="Y13" t="s">
        <v>177</v>
      </c>
      <c r="Z13" t="s">
        <v>177</v>
      </c>
      <c r="AA13" t="s">
        <v>177</v>
      </c>
    </row>
    <row r="14" spans="1:27" x14ac:dyDescent="0.35">
      <c r="A14" s="1" t="s">
        <v>1141</v>
      </c>
      <c r="B14" t="s">
        <v>177</v>
      </c>
      <c r="C14" t="s">
        <v>177</v>
      </c>
      <c r="D14" t="s">
        <v>177</v>
      </c>
      <c r="E14" t="s">
        <v>177</v>
      </c>
      <c r="F14" t="s">
        <v>177</v>
      </c>
      <c r="G14" t="s">
        <v>177</v>
      </c>
      <c r="H14" t="s">
        <v>177</v>
      </c>
      <c r="I14" t="s">
        <v>177</v>
      </c>
      <c r="J14" t="s">
        <v>727</v>
      </c>
      <c r="K14" t="s">
        <v>1142</v>
      </c>
      <c r="L14" t="s">
        <v>990</v>
      </c>
      <c r="M14" t="s">
        <v>1143</v>
      </c>
      <c r="N14" t="s">
        <v>1144</v>
      </c>
      <c r="O14" t="s">
        <v>1145</v>
      </c>
      <c r="P14" t="s">
        <v>684</v>
      </c>
      <c r="Q14" t="s">
        <v>1146</v>
      </c>
      <c r="R14" t="s">
        <v>650</v>
      </c>
      <c r="S14" t="s">
        <v>177</v>
      </c>
      <c r="T14" t="s">
        <v>177</v>
      </c>
      <c r="U14" t="s">
        <v>177</v>
      </c>
      <c r="V14" t="s">
        <v>177</v>
      </c>
      <c r="W14" t="s">
        <v>177</v>
      </c>
      <c r="X14" t="s">
        <v>177</v>
      </c>
      <c r="Y14" t="s">
        <v>177</v>
      </c>
      <c r="Z14" t="s">
        <v>177</v>
      </c>
      <c r="AA14" t="s">
        <v>177</v>
      </c>
    </row>
    <row r="15" spans="1:27" x14ac:dyDescent="0.35">
      <c r="A15" s="1" t="s">
        <v>1147</v>
      </c>
      <c r="B15" t="s">
        <v>667</v>
      </c>
      <c r="C15" t="s">
        <v>782</v>
      </c>
      <c r="D15" t="s">
        <v>1148</v>
      </c>
      <c r="E15" t="s">
        <v>1149</v>
      </c>
      <c r="F15" t="s">
        <v>1150</v>
      </c>
      <c r="G15" t="s">
        <v>711</v>
      </c>
      <c r="H15" t="s">
        <v>1151</v>
      </c>
      <c r="I15" t="s">
        <v>572</v>
      </c>
      <c r="J15" t="s">
        <v>1152</v>
      </c>
      <c r="K15" t="s">
        <v>1153</v>
      </c>
      <c r="L15" t="s">
        <v>1154</v>
      </c>
      <c r="M15" t="s">
        <v>1155</v>
      </c>
      <c r="N15" t="s">
        <v>1156</v>
      </c>
      <c r="O15" t="s">
        <v>1157</v>
      </c>
      <c r="P15" t="s">
        <v>1158</v>
      </c>
      <c r="Q15" t="s">
        <v>1159</v>
      </c>
      <c r="R15" t="s">
        <v>524</v>
      </c>
      <c r="S15" t="s">
        <v>1160</v>
      </c>
      <c r="T15" t="s">
        <v>1161</v>
      </c>
      <c r="U15" t="s">
        <v>1162</v>
      </c>
      <c r="V15" t="s">
        <v>1163</v>
      </c>
      <c r="W15" t="s">
        <v>1164</v>
      </c>
      <c r="X15" t="s">
        <v>1165</v>
      </c>
      <c r="Y15" t="s">
        <v>1166</v>
      </c>
      <c r="Z15" t="s">
        <v>1167</v>
      </c>
      <c r="AA15" t="s">
        <v>1168</v>
      </c>
    </row>
    <row r="16" spans="1:27" x14ac:dyDescent="0.35">
      <c r="A16" s="1" t="s">
        <v>1169</v>
      </c>
      <c r="B16" t="s">
        <v>1007</v>
      </c>
      <c r="C16" t="s">
        <v>493</v>
      </c>
      <c r="D16" t="s">
        <v>1075</v>
      </c>
      <c r="E16" t="s">
        <v>1170</v>
      </c>
      <c r="F16" t="s">
        <v>1171</v>
      </c>
      <c r="G16" t="s">
        <v>1172</v>
      </c>
      <c r="H16" t="s">
        <v>1173</v>
      </c>
      <c r="I16" t="s">
        <v>1174</v>
      </c>
      <c r="J16" t="s">
        <v>1175</v>
      </c>
      <c r="K16" t="s">
        <v>1176</v>
      </c>
      <c r="L16" t="s">
        <v>1177</v>
      </c>
      <c r="M16" t="s">
        <v>1178</v>
      </c>
      <c r="N16" t="s">
        <v>1179</v>
      </c>
      <c r="O16" t="s">
        <v>1180</v>
      </c>
      <c r="P16" t="s">
        <v>1181</v>
      </c>
      <c r="Q16" t="s">
        <v>1182</v>
      </c>
      <c r="R16" t="s">
        <v>1183</v>
      </c>
      <c r="S16" t="s">
        <v>1184</v>
      </c>
      <c r="T16" t="s">
        <v>1185</v>
      </c>
      <c r="U16" t="s">
        <v>1186</v>
      </c>
      <c r="V16" t="s">
        <v>1187</v>
      </c>
      <c r="W16" t="s">
        <v>1188</v>
      </c>
      <c r="X16" t="s">
        <v>1189</v>
      </c>
      <c r="Y16" t="s">
        <v>1190</v>
      </c>
      <c r="Z16" t="s">
        <v>1191</v>
      </c>
      <c r="AA16" t="s">
        <v>1192</v>
      </c>
    </row>
    <row r="17" spans="1:27" x14ac:dyDescent="0.35">
      <c r="A17" s="1" t="s">
        <v>1193</v>
      </c>
      <c r="B17" t="s">
        <v>177</v>
      </c>
      <c r="C17" t="s">
        <v>177</v>
      </c>
      <c r="D17" t="s">
        <v>177</v>
      </c>
      <c r="E17" t="s">
        <v>177</v>
      </c>
      <c r="F17" t="s">
        <v>177</v>
      </c>
      <c r="G17" t="s">
        <v>177</v>
      </c>
      <c r="H17" t="s">
        <v>177</v>
      </c>
      <c r="I17" t="s">
        <v>177</v>
      </c>
      <c r="J17" t="s">
        <v>177</v>
      </c>
      <c r="K17" t="s">
        <v>177</v>
      </c>
      <c r="L17" t="s">
        <v>177</v>
      </c>
      <c r="M17" t="s">
        <v>177</v>
      </c>
      <c r="N17" t="s">
        <v>177</v>
      </c>
      <c r="O17" t="s">
        <v>177</v>
      </c>
      <c r="P17" t="s">
        <v>177</v>
      </c>
      <c r="Q17" t="s">
        <v>177</v>
      </c>
      <c r="R17" t="s">
        <v>177</v>
      </c>
      <c r="S17" t="s">
        <v>177</v>
      </c>
      <c r="T17" t="s">
        <v>177</v>
      </c>
      <c r="U17" t="s">
        <v>177</v>
      </c>
      <c r="V17" t="s">
        <v>177</v>
      </c>
      <c r="W17" t="s">
        <v>177</v>
      </c>
      <c r="X17" t="s">
        <v>177</v>
      </c>
      <c r="Y17" t="s">
        <v>177</v>
      </c>
      <c r="Z17" t="s">
        <v>177</v>
      </c>
      <c r="AA17" t="s">
        <v>177</v>
      </c>
    </row>
    <row r="18" spans="1:27" x14ac:dyDescent="0.35">
      <c r="A18" s="1" t="s">
        <v>82</v>
      </c>
      <c r="B18" t="s">
        <v>1148</v>
      </c>
      <c r="C18" t="s">
        <v>599</v>
      </c>
      <c r="D18" t="s">
        <v>1194</v>
      </c>
      <c r="E18" t="s">
        <v>1195</v>
      </c>
      <c r="F18" t="s">
        <v>1196</v>
      </c>
      <c r="G18" t="s">
        <v>1197</v>
      </c>
      <c r="H18" t="s">
        <v>1198</v>
      </c>
      <c r="I18" t="s">
        <v>1199</v>
      </c>
      <c r="J18" t="s">
        <v>1200</v>
      </c>
      <c r="K18" t="s">
        <v>1201</v>
      </c>
      <c r="L18" t="s">
        <v>1202</v>
      </c>
      <c r="M18" t="s">
        <v>1203</v>
      </c>
      <c r="N18" t="s">
        <v>1204</v>
      </c>
      <c r="O18" t="s">
        <v>1205</v>
      </c>
      <c r="P18" t="s">
        <v>1206</v>
      </c>
      <c r="Q18" t="s">
        <v>1207</v>
      </c>
      <c r="R18" t="s">
        <v>1208</v>
      </c>
      <c r="S18" t="s">
        <v>1209</v>
      </c>
      <c r="T18" t="s">
        <v>1210</v>
      </c>
      <c r="U18" t="s">
        <v>1211</v>
      </c>
      <c r="V18" t="s">
        <v>1212</v>
      </c>
      <c r="W18" t="s">
        <v>1213</v>
      </c>
      <c r="X18" t="s">
        <v>1214</v>
      </c>
      <c r="Y18" t="s">
        <v>1215</v>
      </c>
      <c r="Z18" t="s">
        <v>1216</v>
      </c>
      <c r="AA18" t="s">
        <v>1217</v>
      </c>
    </row>
    <row r="19" spans="1:27" x14ac:dyDescent="0.35">
      <c r="A19" s="1" t="s">
        <v>1218</v>
      </c>
      <c r="B19" t="s">
        <v>673</v>
      </c>
      <c r="C19" t="s">
        <v>1219</v>
      </c>
      <c r="D19" t="s">
        <v>1220</v>
      </c>
      <c r="E19" t="s">
        <v>1221</v>
      </c>
      <c r="F19" t="s">
        <v>1222</v>
      </c>
      <c r="G19" t="s">
        <v>1223</v>
      </c>
      <c r="H19" t="s">
        <v>1224</v>
      </c>
      <c r="I19" t="s">
        <v>1225</v>
      </c>
      <c r="J19" t="s">
        <v>1226</v>
      </c>
      <c r="K19" t="s">
        <v>1227</v>
      </c>
      <c r="L19" t="s">
        <v>1228</v>
      </c>
      <c r="M19" t="s">
        <v>1229</v>
      </c>
      <c r="N19" t="s">
        <v>1230</v>
      </c>
      <c r="O19" t="s">
        <v>1231</v>
      </c>
      <c r="P19" t="s">
        <v>1232</v>
      </c>
      <c r="Q19" t="s">
        <v>1233</v>
      </c>
      <c r="R19" t="s">
        <v>1234</v>
      </c>
      <c r="S19" t="s">
        <v>1235</v>
      </c>
      <c r="T19" t="s">
        <v>1236</v>
      </c>
      <c r="U19" t="s">
        <v>1237</v>
      </c>
      <c r="V19" t="s">
        <v>1238</v>
      </c>
      <c r="W19" t="s">
        <v>1239</v>
      </c>
      <c r="X19" t="s">
        <v>1240</v>
      </c>
      <c r="Y19" t="s">
        <v>1241</v>
      </c>
      <c r="Z19" t="s">
        <v>1242</v>
      </c>
      <c r="AA19" t="s">
        <v>1243</v>
      </c>
    </row>
    <row r="20" spans="1:27" x14ac:dyDescent="0.35">
      <c r="A20" s="1" t="s">
        <v>1244</v>
      </c>
      <c r="B20" t="s">
        <v>177</v>
      </c>
      <c r="C20" t="s">
        <v>782</v>
      </c>
      <c r="D20" t="s">
        <v>1007</v>
      </c>
      <c r="E20" t="s">
        <v>1245</v>
      </c>
      <c r="F20" t="s">
        <v>1246</v>
      </c>
      <c r="G20" t="s">
        <v>1247</v>
      </c>
      <c r="H20" t="s">
        <v>571</v>
      </c>
      <c r="I20" t="s">
        <v>519</v>
      </c>
      <c r="J20" t="s">
        <v>782</v>
      </c>
      <c r="K20" t="s">
        <v>177</v>
      </c>
      <c r="L20" t="s">
        <v>177</v>
      </c>
      <c r="M20" t="s">
        <v>177</v>
      </c>
      <c r="N20" t="s">
        <v>792</v>
      </c>
      <c r="O20" t="s">
        <v>177</v>
      </c>
      <c r="P20" t="s">
        <v>177</v>
      </c>
      <c r="Q20" t="s">
        <v>177</v>
      </c>
      <c r="R20" t="s">
        <v>177</v>
      </c>
      <c r="S20" t="s">
        <v>177</v>
      </c>
      <c r="T20" t="s">
        <v>177</v>
      </c>
      <c r="U20" t="s">
        <v>177</v>
      </c>
      <c r="V20" t="s">
        <v>177</v>
      </c>
      <c r="W20" t="s">
        <v>177</v>
      </c>
      <c r="X20" t="s">
        <v>177</v>
      </c>
      <c r="Y20" t="s">
        <v>177</v>
      </c>
      <c r="Z20" t="s">
        <v>177</v>
      </c>
      <c r="AA20" t="s">
        <v>177</v>
      </c>
    </row>
    <row r="21" spans="1:27" x14ac:dyDescent="0.35">
      <c r="A21" s="1" t="s">
        <v>1248</v>
      </c>
      <c r="B21" t="s">
        <v>177</v>
      </c>
      <c r="C21" t="s">
        <v>177</v>
      </c>
      <c r="D21" t="s">
        <v>177</v>
      </c>
      <c r="E21" t="s">
        <v>177</v>
      </c>
      <c r="F21" t="s">
        <v>177</v>
      </c>
      <c r="G21" t="s">
        <v>177</v>
      </c>
      <c r="H21" t="s">
        <v>177</v>
      </c>
      <c r="I21" t="s">
        <v>177</v>
      </c>
      <c r="J21" t="s">
        <v>177</v>
      </c>
      <c r="K21" t="s">
        <v>177</v>
      </c>
      <c r="L21" t="s">
        <v>177</v>
      </c>
      <c r="M21" t="s">
        <v>177</v>
      </c>
      <c r="N21" t="s">
        <v>177</v>
      </c>
      <c r="O21" t="s">
        <v>177</v>
      </c>
      <c r="P21" t="s">
        <v>177</v>
      </c>
      <c r="Q21" t="s">
        <v>177</v>
      </c>
      <c r="R21" t="s">
        <v>177</v>
      </c>
      <c r="S21" t="s">
        <v>177</v>
      </c>
      <c r="T21" t="s">
        <v>177</v>
      </c>
      <c r="U21" t="s">
        <v>177</v>
      </c>
      <c r="V21" t="s">
        <v>177</v>
      </c>
      <c r="W21" t="s">
        <v>177</v>
      </c>
      <c r="X21" t="s">
        <v>177</v>
      </c>
      <c r="Y21" t="s">
        <v>177</v>
      </c>
      <c r="Z21" t="s">
        <v>177</v>
      </c>
      <c r="AA21" t="s">
        <v>177</v>
      </c>
    </row>
    <row r="22" spans="1:27" x14ac:dyDescent="0.35">
      <c r="A22" s="1" t="s">
        <v>1249</v>
      </c>
      <c r="B22" t="s">
        <v>177</v>
      </c>
      <c r="C22" t="s">
        <v>177</v>
      </c>
      <c r="D22" t="s">
        <v>177</v>
      </c>
      <c r="E22" t="s">
        <v>177</v>
      </c>
      <c r="F22" t="s">
        <v>177</v>
      </c>
      <c r="G22" t="s">
        <v>177</v>
      </c>
      <c r="H22" t="s">
        <v>177</v>
      </c>
      <c r="I22" t="s">
        <v>177</v>
      </c>
      <c r="J22" t="s">
        <v>177</v>
      </c>
      <c r="K22" t="s">
        <v>177</v>
      </c>
      <c r="L22" t="s">
        <v>177</v>
      </c>
      <c r="M22" t="s">
        <v>177</v>
      </c>
      <c r="N22" t="s">
        <v>177</v>
      </c>
      <c r="O22" t="s">
        <v>177</v>
      </c>
      <c r="P22" t="s">
        <v>177</v>
      </c>
      <c r="Q22" t="s">
        <v>177</v>
      </c>
      <c r="R22" t="s">
        <v>177</v>
      </c>
      <c r="S22" t="s">
        <v>177</v>
      </c>
      <c r="T22" t="s">
        <v>177</v>
      </c>
      <c r="U22" t="s">
        <v>177</v>
      </c>
      <c r="V22" t="s">
        <v>177</v>
      </c>
      <c r="W22" t="s">
        <v>177</v>
      </c>
      <c r="X22" t="s">
        <v>177</v>
      </c>
      <c r="Y22" t="s">
        <v>177</v>
      </c>
      <c r="Z22" t="s">
        <v>177</v>
      </c>
      <c r="AA22" t="s">
        <v>177</v>
      </c>
    </row>
    <row r="23" spans="1:27" x14ac:dyDescent="0.35">
      <c r="A23" s="1" t="s">
        <v>1250</v>
      </c>
      <c r="B23" t="s">
        <v>782</v>
      </c>
      <c r="C23" t="s">
        <v>545</v>
      </c>
      <c r="D23" t="s">
        <v>1251</v>
      </c>
      <c r="E23" t="s">
        <v>1252</v>
      </c>
      <c r="F23" t="s">
        <v>1253</v>
      </c>
      <c r="G23" t="s">
        <v>1254</v>
      </c>
      <c r="H23" t="s">
        <v>1255</v>
      </c>
      <c r="I23" t="s">
        <v>1256</v>
      </c>
      <c r="J23" t="s">
        <v>1257</v>
      </c>
      <c r="K23" t="s">
        <v>944</v>
      </c>
      <c r="L23" t="s">
        <v>1258</v>
      </c>
      <c r="M23" t="s">
        <v>1259</v>
      </c>
      <c r="N23" t="s">
        <v>1260</v>
      </c>
      <c r="O23" t="s">
        <v>1261</v>
      </c>
      <c r="P23" t="s">
        <v>1262</v>
      </c>
      <c r="Q23" t="s">
        <v>1263</v>
      </c>
      <c r="R23" t="s">
        <v>1264</v>
      </c>
      <c r="S23" t="s">
        <v>1265</v>
      </c>
      <c r="T23" t="s">
        <v>1266</v>
      </c>
      <c r="U23" t="s">
        <v>1267</v>
      </c>
      <c r="V23" t="s">
        <v>1268</v>
      </c>
      <c r="W23" t="s">
        <v>1269</v>
      </c>
      <c r="X23" t="s">
        <v>1270</v>
      </c>
      <c r="Y23" t="s">
        <v>1271</v>
      </c>
      <c r="Z23" t="s">
        <v>1272</v>
      </c>
      <c r="AA23" t="s">
        <v>1273</v>
      </c>
    </row>
    <row r="24" spans="1:27" x14ac:dyDescent="0.35">
      <c r="A24" s="1" t="s">
        <v>1274</v>
      </c>
      <c r="B24" t="s">
        <v>668</v>
      </c>
      <c r="C24" t="s">
        <v>1275</v>
      </c>
      <c r="D24" t="s">
        <v>1276</v>
      </c>
      <c r="E24" t="s">
        <v>1277</v>
      </c>
      <c r="F24" t="s">
        <v>1278</v>
      </c>
      <c r="G24" t="s">
        <v>1279</v>
      </c>
      <c r="H24" t="s">
        <v>1280</v>
      </c>
      <c r="I24" t="s">
        <v>1281</v>
      </c>
      <c r="J24" t="s">
        <v>1282</v>
      </c>
      <c r="K24" t="s">
        <v>1283</v>
      </c>
      <c r="L24" t="s">
        <v>1284</v>
      </c>
      <c r="M24" t="s">
        <v>1285</v>
      </c>
      <c r="N24" t="s">
        <v>303</v>
      </c>
      <c r="O24" t="s">
        <v>1286</v>
      </c>
      <c r="P24" t="s">
        <v>1287</v>
      </c>
      <c r="Q24" t="s">
        <v>504</v>
      </c>
      <c r="R24" t="s">
        <v>1288</v>
      </c>
      <c r="S24" t="s">
        <v>1289</v>
      </c>
      <c r="T24" t="s">
        <v>1290</v>
      </c>
      <c r="U24" t="s">
        <v>1291</v>
      </c>
      <c r="V24" t="s">
        <v>1292</v>
      </c>
      <c r="W24" t="s">
        <v>1293</v>
      </c>
      <c r="X24" t="s">
        <v>1294</v>
      </c>
      <c r="Y24" t="s">
        <v>1295</v>
      </c>
      <c r="Z24" t="s">
        <v>1296</v>
      </c>
      <c r="AA24" t="s">
        <v>1297</v>
      </c>
    </row>
    <row r="25" spans="1:27" x14ac:dyDescent="0.35">
      <c r="A25" s="1" t="s">
        <v>1298</v>
      </c>
      <c r="B25" t="s">
        <v>177</v>
      </c>
      <c r="C25" t="s">
        <v>712</v>
      </c>
      <c r="D25" t="s">
        <v>940</v>
      </c>
      <c r="E25" t="s">
        <v>1299</v>
      </c>
      <c r="F25" t="s">
        <v>1300</v>
      </c>
      <c r="G25" t="s">
        <v>1301</v>
      </c>
      <c r="H25" t="s">
        <v>1302</v>
      </c>
      <c r="I25" t="s">
        <v>1303</v>
      </c>
      <c r="J25" t="s">
        <v>1304</v>
      </c>
      <c r="K25" t="s">
        <v>1305</v>
      </c>
      <c r="L25" t="s">
        <v>379</v>
      </c>
      <c r="M25" t="s">
        <v>380</v>
      </c>
      <c r="N25" t="s">
        <v>381</v>
      </c>
      <c r="O25" t="s">
        <v>382</v>
      </c>
      <c r="P25" t="s">
        <v>383</v>
      </c>
      <c r="Q25" t="s">
        <v>384</v>
      </c>
      <c r="R25" t="s">
        <v>385</v>
      </c>
      <c r="S25" t="s">
        <v>386</v>
      </c>
      <c r="T25" t="s">
        <v>387</v>
      </c>
      <c r="U25" t="s">
        <v>388</v>
      </c>
      <c r="V25" t="s">
        <v>389</v>
      </c>
      <c r="W25" t="s">
        <v>390</v>
      </c>
      <c r="X25" t="s">
        <v>391</v>
      </c>
      <c r="Y25" t="s">
        <v>392</v>
      </c>
      <c r="Z25" t="s">
        <v>393</v>
      </c>
      <c r="AA25" t="s">
        <v>394</v>
      </c>
    </row>
    <row r="26" spans="1:27" x14ac:dyDescent="0.35">
      <c r="A26" s="1" t="s">
        <v>1306</v>
      </c>
      <c r="B26" t="s">
        <v>177</v>
      </c>
      <c r="C26" t="s">
        <v>177</v>
      </c>
      <c r="D26" t="s">
        <v>177</v>
      </c>
      <c r="E26" t="s">
        <v>177</v>
      </c>
      <c r="F26" t="s">
        <v>177</v>
      </c>
      <c r="G26" t="s">
        <v>177</v>
      </c>
      <c r="H26" t="s">
        <v>177</v>
      </c>
      <c r="I26" t="s">
        <v>177</v>
      </c>
      <c r="J26" t="s">
        <v>177</v>
      </c>
      <c r="K26" t="s">
        <v>177</v>
      </c>
      <c r="L26" t="s">
        <v>177</v>
      </c>
      <c r="M26" t="s">
        <v>177</v>
      </c>
      <c r="N26" t="s">
        <v>177</v>
      </c>
      <c r="O26" t="s">
        <v>177</v>
      </c>
      <c r="P26" t="s">
        <v>177</v>
      </c>
      <c r="Q26" t="s">
        <v>177</v>
      </c>
      <c r="R26" t="s">
        <v>1307</v>
      </c>
      <c r="S26" t="s">
        <v>1308</v>
      </c>
      <c r="T26" t="s">
        <v>1309</v>
      </c>
      <c r="U26" t="s">
        <v>1310</v>
      </c>
      <c r="V26" t="s">
        <v>1311</v>
      </c>
      <c r="W26" t="s">
        <v>1312</v>
      </c>
      <c r="X26" t="s">
        <v>1313</v>
      </c>
      <c r="Y26" t="s">
        <v>177</v>
      </c>
      <c r="Z26" t="s">
        <v>177</v>
      </c>
      <c r="AA26" t="s">
        <v>177</v>
      </c>
    </row>
    <row r="27" spans="1:27" x14ac:dyDescent="0.35">
      <c r="A27" s="1" t="s">
        <v>1314</v>
      </c>
      <c r="B27" t="s">
        <v>177</v>
      </c>
      <c r="C27" t="s">
        <v>177</v>
      </c>
      <c r="D27" t="s">
        <v>177</v>
      </c>
      <c r="E27" t="s">
        <v>177</v>
      </c>
      <c r="F27" t="s">
        <v>177</v>
      </c>
      <c r="G27" t="s">
        <v>177</v>
      </c>
      <c r="H27" t="s">
        <v>177</v>
      </c>
      <c r="I27" t="s">
        <v>177</v>
      </c>
      <c r="J27" t="s">
        <v>177</v>
      </c>
      <c r="K27" t="s">
        <v>177</v>
      </c>
      <c r="L27" t="s">
        <v>1315</v>
      </c>
      <c r="M27" t="s">
        <v>1316</v>
      </c>
      <c r="N27" t="s">
        <v>1317</v>
      </c>
      <c r="O27" t="s">
        <v>300</v>
      </c>
      <c r="P27" t="s">
        <v>1318</v>
      </c>
      <c r="Q27" t="s">
        <v>1319</v>
      </c>
      <c r="R27" t="s">
        <v>1320</v>
      </c>
      <c r="S27" t="s">
        <v>1321</v>
      </c>
      <c r="T27" t="s">
        <v>1322</v>
      </c>
      <c r="U27" t="s">
        <v>887</v>
      </c>
      <c r="V27" t="s">
        <v>1323</v>
      </c>
      <c r="W27" t="s">
        <v>1324</v>
      </c>
      <c r="X27" t="s">
        <v>1325</v>
      </c>
      <c r="Y27" t="s">
        <v>1326</v>
      </c>
      <c r="Z27" t="s">
        <v>1327</v>
      </c>
      <c r="AA27" t="s">
        <v>1328</v>
      </c>
    </row>
    <row r="28" spans="1:27" x14ac:dyDescent="0.35">
      <c r="A28" s="1" t="s">
        <v>1329</v>
      </c>
      <c r="B28" t="s">
        <v>177</v>
      </c>
      <c r="C28" t="s">
        <v>712</v>
      </c>
      <c r="D28" t="s">
        <v>940</v>
      </c>
      <c r="E28" t="s">
        <v>1299</v>
      </c>
      <c r="F28" t="s">
        <v>1300</v>
      </c>
      <c r="G28" t="s">
        <v>1301</v>
      </c>
      <c r="H28" t="s">
        <v>1302</v>
      </c>
      <c r="I28" t="s">
        <v>1303</v>
      </c>
      <c r="J28" t="s">
        <v>1304</v>
      </c>
      <c r="K28" t="s">
        <v>1305</v>
      </c>
      <c r="L28" t="s">
        <v>1330</v>
      </c>
      <c r="M28" t="s">
        <v>1331</v>
      </c>
      <c r="N28" t="s">
        <v>634</v>
      </c>
      <c r="O28" t="s">
        <v>1332</v>
      </c>
      <c r="P28" t="s">
        <v>1333</v>
      </c>
      <c r="Q28" t="s">
        <v>1334</v>
      </c>
      <c r="R28" t="s">
        <v>1335</v>
      </c>
      <c r="S28" t="s">
        <v>1336</v>
      </c>
      <c r="T28" t="s">
        <v>1337</v>
      </c>
      <c r="U28" t="s">
        <v>1338</v>
      </c>
      <c r="V28" t="s">
        <v>1339</v>
      </c>
      <c r="W28" t="s">
        <v>1340</v>
      </c>
      <c r="X28" t="s">
        <v>1341</v>
      </c>
      <c r="Y28" t="s">
        <v>1342</v>
      </c>
      <c r="Z28" t="s">
        <v>1343</v>
      </c>
      <c r="AA28" t="s">
        <v>1344</v>
      </c>
    </row>
    <row r="29" spans="1:27" x14ac:dyDescent="0.35">
      <c r="A29" s="1" t="s">
        <v>1345</v>
      </c>
      <c r="B29" t="s">
        <v>177</v>
      </c>
      <c r="C29" t="s">
        <v>177</v>
      </c>
      <c r="D29" t="s">
        <v>177</v>
      </c>
      <c r="E29" t="s">
        <v>177</v>
      </c>
      <c r="F29" t="s">
        <v>177</v>
      </c>
      <c r="G29" t="s">
        <v>177</v>
      </c>
      <c r="H29" t="s">
        <v>177</v>
      </c>
      <c r="I29" t="s">
        <v>177</v>
      </c>
      <c r="J29" t="s">
        <v>177</v>
      </c>
      <c r="K29" t="s">
        <v>177</v>
      </c>
      <c r="L29" t="s">
        <v>177</v>
      </c>
      <c r="M29" t="s">
        <v>177</v>
      </c>
      <c r="N29" t="s">
        <v>177</v>
      </c>
      <c r="O29" t="s">
        <v>177</v>
      </c>
      <c r="P29" t="s">
        <v>177</v>
      </c>
      <c r="Q29" t="s">
        <v>177</v>
      </c>
      <c r="R29" t="s">
        <v>177</v>
      </c>
      <c r="S29" t="s">
        <v>177</v>
      </c>
      <c r="T29" t="s">
        <v>177</v>
      </c>
      <c r="U29" t="s">
        <v>177</v>
      </c>
      <c r="V29" t="s">
        <v>177</v>
      </c>
      <c r="W29" t="s">
        <v>177</v>
      </c>
      <c r="X29" t="s">
        <v>177</v>
      </c>
      <c r="Y29" t="s">
        <v>177</v>
      </c>
      <c r="Z29" t="s">
        <v>177</v>
      </c>
      <c r="AA29" t="s">
        <v>177</v>
      </c>
    </row>
    <row r="30" spans="1:27" x14ac:dyDescent="0.35">
      <c r="A30" s="1" t="s">
        <v>1346</v>
      </c>
      <c r="B30" t="s">
        <v>177</v>
      </c>
      <c r="C30" t="s">
        <v>177</v>
      </c>
      <c r="D30" t="s">
        <v>177</v>
      </c>
      <c r="E30" t="s">
        <v>177</v>
      </c>
      <c r="F30" t="s">
        <v>177</v>
      </c>
      <c r="G30" t="s">
        <v>177</v>
      </c>
      <c r="H30" t="s">
        <v>177</v>
      </c>
      <c r="I30" t="s">
        <v>177</v>
      </c>
      <c r="J30" t="s">
        <v>177</v>
      </c>
      <c r="K30" t="s">
        <v>177</v>
      </c>
      <c r="L30" t="s">
        <v>177</v>
      </c>
      <c r="M30" t="s">
        <v>177</v>
      </c>
      <c r="N30" t="s">
        <v>177</v>
      </c>
      <c r="O30" t="s">
        <v>177</v>
      </c>
      <c r="P30" t="s">
        <v>177</v>
      </c>
      <c r="Q30" t="s">
        <v>177</v>
      </c>
      <c r="R30" t="s">
        <v>177</v>
      </c>
      <c r="S30" t="s">
        <v>177</v>
      </c>
      <c r="T30" t="s">
        <v>177</v>
      </c>
      <c r="U30" t="s">
        <v>177</v>
      </c>
      <c r="V30" t="s">
        <v>177</v>
      </c>
      <c r="W30" t="s">
        <v>177</v>
      </c>
      <c r="X30" t="s">
        <v>177</v>
      </c>
      <c r="Y30" t="s">
        <v>177</v>
      </c>
      <c r="Z30" t="s">
        <v>177</v>
      </c>
      <c r="AA30" t="s">
        <v>1347</v>
      </c>
    </row>
    <row r="31" spans="1:27" x14ac:dyDescent="0.35">
      <c r="A31" s="1" t="s">
        <v>92</v>
      </c>
      <c r="B31" t="s">
        <v>668</v>
      </c>
      <c r="C31" t="s">
        <v>732</v>
      </c>
      <c r="D31" t="s">
        <v>1348</v>
      </c>
      <c r="E31" t="s">
        <v>1349</v>
      </c>
      <c r="F31" t="s">
        <v>1350</v>
      </c>
      <c r="G31" t="s">
        <v>1351</v>
      </c>
      <c r="H31" t="s">
        <v>1352</v>
      </c>
      <c r="I31" t="s">
        <v>1353</v>
      </c>
      <c r="J31" t="s">
        <v>1354</v>
      </c>
      <c r="K31" t="s">
        <v>1355</v>
      </c>
      <c r="L31" t="s">
        <v>1356</v>
      </c>
      <c r="M31" t="s">
        <v>1357</v>
      </c>
      <c r="N31" t="s">
        <v>1358</v>
      </c>
      <c r="O31" t="s">
        <v>1359</v>
      </c>
      <c r="P31" t="s">
        <v>1360</v>
      </c>
      <c r="Q31" t="s">
        <v>1361</v>
      </c>
      <c r="R31" t="s">
        <v>1362</v>
      </c>
      <c r="S31" t="s">
        <v>1363</v>
      </c>
      <c r="T31" t="s">
        <v>1364</v>
      </c>
      <c r="U31" t="s">
        <v>1365</v>
      </c>
      <c r="V31" t="s">
        <v>1366</v>
      </c>
      <c r="W31" t="s">
        <v>1367</v>
      </c>
      <c r="X31" t="s">
        <v>1368</v>
      </c>
      <c r="Y31" t="s">
        <v>1369</v>
      </c>
      <c r="Z31" t="s">
        <v>1370</v>
      </c>
      <c r="AA31" t="s">
        <v>1371</v>
      </c>
    </row>
    <row r="32" spans="1:27" x14ac:dyDescent="0.35">
      <c r="A32" s="1" t="s">
        <v>94</v>
      </c>
      <c r="B32" t="s">
        <v>177</v>
      </c>
      <c r="C32" t="s">
        <v>177</v>
      </c>
      <c r="D32" t="s">
        <v>177</v>
      </c>
      <c r="E32" t="s">
        <v>177</v>
      </c>
      <c r="F32" t="s">
        <v>177</v>
      </c>
      <c r="G32" t="s">
        <v>177</v>
      </c>
      <c r="H32" t="s">
        <v>177</v>
      </c>
      <c r="I32" t="s">
        <v>177</v>
      </c>
      <c r="J32" t="s">
        <v>177</v>
      </c>
      <c r="K32" t="s">
        <v>177</v>
      </c>
      <c r="L32" t="s">
        <v>177</v>
      </c>
      <c r="M32" t="s">
        <v>177</v>
      </c>
      <c r="N32" t="s">
        <v>177</v>
      </c>
      <c r="O32" t="s">
        <v>177</v>
      </c>
      <c r="P32" t="s">
        <v>177</v>
      </c>
      <c r="Q32" t="s">
        <v>177</v>
      </c>
      <c r="R32" t="s">
        <v>177</v>
      </c>
      <c r="S32" t="s">
        <v>177</v>
      </c>
      <c r="T32" t="s">
        <v>177</v>
      </c>
      <c r="U32" t="s">
        <v>177</v>
      </c>
      <c r="V32" t="s">
        <v>177</v>
      </c>
      <c r="W32" t="s">
        <v>177</v>
      </c>
      <c r="X32" t="s">
        <v>177</v>
      </c>
      <c r="Y32" t="s">
        <v>177</v>
      </c>
      <c r="Z32" t="s">
        <v>177</v>
      </c>
      <c r="AA32" t="s">
        <v>177</v>
      </c>
    </row>
    <row r="33" spans="1:27" x14ac:dyDescent="0.35">
      <c r="A33" s="1" t="s">
        <v>95</v>
      </c>
      <c r="B33" t="s">
        <v>177</v>
      </c>
      <c r="C33" t="s">
        <v>177</v>
      </c>
      <c r="D33" t="s">
        <v>782</v>
      </c>
      <c r="E33" t="s">
        <v>673</v>
      </c>
      <c r="F33" t="s">
        <v>519</v>
      </c>
      <c r="G33" t="s">
        <v>519</v>
      </c>
      <c r="H33" t="s">
        <v>519</v>
      </c>
      <c r="I33" t="s">
        <v>519</v>
      </c>
      <c r="J33" t="s">
        <v>519</v>
      </c>
      <c r="K33" t="s">
        <v>519</v>
      </c>
      <c r="L33" t="s">
        <v>519</v>
      </c>
      <c r="M33" t="s">
        <v>519</v>
      </c>
      <c r="N33" t="s">
        <v>519</v>
      </c>
      <c r="O33" t="s">
        <v>668</v>
      </c>
      <c r="P33" t="s">
        <v>668</v>
      </c>
      <c r="Q33" t="s">
        <v>668</v>
      </c>
      <c r="R33" t="s">
        <v>668</v>
      </c>
      <c r="S33" t="s">
        <v>668</v>
      </c>
      <c r="T33" t="s">
        <v>668</v>
      </c>
      <c r="U33" t="s">
        <v>668</v>
      </c>
      <c r="V33" t="s">
        <v>668</v>
      </c>
      <c r="W33" t="s">
        <v>668</v>
      </c>
      <c r="X33" t="s">
        <v>668</v>
      </c>
      <c r="Y33" t="s">
        <v>668</v>
      </c>
      <c r="Z33" t="s">
        <v>668</v>
      </c>
      <c r="AA33" t="s">
        <v>668</v>
      </c>
    </row>
    <row r="34" spans="1:27" x14ac:dyDescent="0.35">
      <c r="A34" s="1" t="s">
        <v>1372</v>
      </c>
      <c r="B34" t="s">
        <v>734</v>
      </c>
      <c r="C34" t="s">
        <v>1373</v>
      </c>
      <c r="D34" t="s">
        <v>1374</v>
      </c>
      <c r="E34" t="s">
        <v>1375</v>
      </c>
      <c r="F34" t="s">
        <v>1376</v>
      </c>
      <c r="G34" t="s">
        <v>1377</v>
      </c>
      <c r="H34" t="s">
        <v>1378</v>
      </c>
      <c r="I34" t="s">
        <v>1379</v>
      </c>
      <c r="J34" t="s">
        <v>1380</v>
      </c>
      <c r="K34" t="s">
        <v>1381</v>
      </c>
      <c r="L34" t="s">
        <v>1382</v>
      </c>
      <c r="M34" t="s">
        <v>1383</v>
      </c>
      <c r="N34" t="s">
        <v>1384</v>
      </c>
      <c r="O34" t="s">
        <v>1385</v>
      </c>
      <c r="P34" t="s">
        <v>1386</v>
      </c>
      <c r="Q34" t="s">
        <v>1096</v>
      </c>
      <c r="R34" t="s">
        <v>1387</v>
      </c>
      <c r="S34" t="s">
        <v>1388</v>
      </c>
      <c r="T34" t="s">
        <v>1389</v>
      </c>
      <c r="U34" t="s">
        <v>1390</v>
      </c>
      <c r="V34" t="s">
        <v>1391</v>
      </c>
      <c r="W34" t="s">
        <v>1392</v>
      </c>
      <c r="X34" t="s">
        <v>1393</v>
      </c>
      <c r="Y34" t="s">
        <v>1394</v>
      </c>
      <c r="Z34" t="s">
        <v>1395</v>
      </c>
      <c r="AA34" t="s">
        <v>1396</v>
      </c>
    </row>
    <row r="35" spans="1:27" x14ac:dyDescent="0.35">
      <c r="A35" s="1" t="s">
        <v>1397</v>
      </c>
      <c r="B35" t="s">
        <v>1398</v>
      </c>
      <c r="C35" t="s">
        <v>790</v>
      </c>
      <c r="D35" t="s">
        <v>1399</v>
      </c>
      <c r="E35" t="s">
        <v>1400</v>
      </c>
      <c r="F35" t="s">
        <v>1401</v>
      </c>
      <c r="G35" t="s">
        <v>1402</v>
      </c>
      <c r="H35" t="s">
        <v>673</v>
      </c>
      <c r="I35" t="s">
        <v>863</v>
      </c>
      <c r="J35" t="s">
        <v>1008</v>
      </c>
      <c r="K35" t="s">
        <v>914</v>
      </c>
      <c r="L35" t="s">
        <v>1403</v>
      </c>
      <c r="M35" t="s">
        <v>668</v>
      </c>
      <c r="N35" t="s">
        <v>1404</v>
      </c>
      <c r="O35" t="s">
        <v>1405</v>
      </c>
      <c r="P35" t="s">
        <v>1406</v>
      </c>
      <c r="Q35" t="s">
        <v>1407</v>
      </c>
      <c r="R35" t="s">
        <v>797</v>
      </c>
      <c r="S35" t="s">
        <v>1408</v>
      </c>
      <c r="T35" t="s">
        <v>1409</v>
      </c>
      <c r="U35" t="s">
        <v>1410</v>
      </c>
      <c r="V35" t="s">
        <v>1411</v>
      </c>
      <c r="W35" t="s">
        <v>1412</v>
      </c>
      <c r="X35" t="s">
        <v>1413</v>
      </c>
      <c r="Y35" t="s">
        <v>1414</v>
      </c>
      <c r="Z35" t="s">
        <v>1415</v>
      </c>
      <c r="AA35" t="s">
        <v>1416</v>
      </c>
    </row>
    <row r="36" spans="1:27" x14ac:dyDescent="0.35">
      <c r="A36" s="1" t="s">
        <v>1417</v>
      </c>
      <c r="B36" t="s">
        <v>545</v>
      </c>
      <c r="C36" t="s">
        <v>1418</v>
      </c>
      <c r="D36" t="s">
        <v>1419</v>
      </c>
      <c r="E36" t="s">
        <v>1420</v>
      </c>
      <c r="F36" t="s">
        <v>1421</v>
      </c>
      <c r="G36" t="s">
        <v>1422</v>
      </c>
      <c r="H36" t="s">
        <v>1423</v>
      </c>
      <c r="I36" t="s">
        <v>1424</v>
      </c>
      <c r="J36" t="s">
        <v>1425</v>
      </c>
      <c r="K36" t="s">
        <v>1426</v>
      </c>
      <c r="L36" t="s">
        <v>1427</v>
      </c>
      <c r="M36" t="s">
        <v>1428</v>
      </c>
      <c r="N36" t="s">
        <v>1429</v>
      </c>
      <c r="O36" t="s">
        <v>1430</v>
      </c>
      <c r="P36" t="s">
        <v>1431</v>
      </c>
      <c r="Q36" t="s">
        <v>1432</v>
      </c>
      <c r="R36" t="s">
        <v>1433</v>
      </c>
      <c r="S36" t="s">
        <v>1434</v>
      </c>
      <c r="T36" t="s">
        <v>1435</v>
      </c>
      <c r="U36" t="s">
        <v>1436</v>
      </c>
      <c r="V36" t="s">
        <v>1437</v>
      </c>
      <c r="W36" t="s">
        <v>1438</v>
      </c>
      <c r="X36" t="s">
        <v>1439</v>
      </c>
      <c r="Y36" t="s">
        <v>1440</v>
      </c>
      <c r="Z36" t="s">
        <v>1441</v>
      </c>
      <c r="AA36" t="s">
        <v>1442</v>
      </c>
    </row>
    <row r="37" spans="1:27" x14ac:dyDescent="0.35">
      <c r="A37" s="1" t="s">
        <v>1443</v>
      </c>
      <c r="B37" t="s">
        <v>673</v>
      </c>
      <c r="C37" t="s">
        <v>1444</v>
      </c>
      <c r="D37" t="s">
        <v>1113</v>
      </c>
      <c r="E37" t="s">
        <v>1445</v>
      </c>
      <c r="F37" t="s">
        <v>1446</v>
      </c>
      <c r="G37" t="s">
        <v>1447</v>
      </c>
      <c r="H37" t="s">
        <v>1448</v>
      </c>
      <c r="I37" t="s">
        <v>1449</v>
      </c>
      <c r="J37" t="s">
        <v>1450</v>
      </c>
      <c r="K37" t="s">
        <v>296</v>
      </c>
      <c r="L37" t="s">
        <v>397</v>
      </c>
      <c r="M37" t="s">
        <v>398</v>
      </c>
      <c r="N37" t="s">
        <v>399</v>
      </c>
      <c r="O37" t="s">
        <v>400</v>
      </c>
      <c r="P37" t="s">
        <v>401</v>
      </c>
      <c r="Q37" t="s">
        <v>402</v>
      </c>
      <c r="R37" t="s">
        <v>403</v>
      </c>
      <c r="S37" t="s">
        <v>404</v>
      </c>
      <c r="T37" t="s">
        <v>405</v>
      </c>
      <c r="U37" t="s">
        <v>406</v>
      </c>
      <c r="V37" t="s">
        <v>407</v>
      </c>
      <c r="W37" t="s">
        <v>408</v>
      </c>
      <c r="X37" t="s">
        <v>409</v>
      </c>
      <c r="Y37" t="s">
        <v>410</v>
      </c>
      <c r="Z37" t="s">
        <v>411</v>
      </c>
      <c r="AA37" t="s">
        <v>412</v>
      </c>
    </row>
    <row r="38" spans="1:27" x14ac:dyDescent="0.35">
      <c r="A38" s="1" t="s">
        <v>1451</v>
      </c>
      <c r="B38" t="s">
        <v>1148</v>
      </c>
      <c r="C38" t="s">
        <v>599</v>
      </c>
      <c r="D38" t="s">
        <v>1194</v>
      </c>
      <c r="E38" t="s">
        <v>1195</v>
      </c>
      <c r="F38" t="s">
        <v>1196</v>
      </c>
      <c r="G38" t="s">
        <v>1197</v>
      </c>
      <c r="H38" t="s">
        <v>1198</v>
      </c>
      <c r="I38" t="s">
        <v>1199</v>
      </c>
      <c r="J38" t="s">
        <v>1200</v>
      </c>
      <c r="K38" t="s">
        <v>1201</v>
      </c>
      <c r="L38" t="s">
        <v>1202</v>
      </c>
      <c r="M38" t="s">
        <v>1203</v>
      </c>
      <c r="N38" t="s">
        <v>1204</v>
      </c>
      <c r="O38" t="s">
        <v>1205</v>
      </c>
      <c r="P38" t="s">
        <v>1206</v>
      </c>
      <c r="Q38" t="s">
        <v>1207</v>
      </c>
      <c r="R38" t="s">
        <v>1208</v>
      </c>
      <c r="S38" t="s">
        <v>1209</v>
      </c>
      <c r="T38" t="s">
        <v>1210</v>
      </c>
      <c r="U38" t="s">
        <v>1211</v>
      </c>
      <c r="V38" t="s">
        <v>1212</v>
      </c>
      <c r="W38" t="s">
        <v>1213</v>
      </c>
      <c r="X38" t="s">
        <v>1214</v>
      </c>
      <c r="Y38" t="s">
        <v>1215</v>
      </c>
      <c r="Z38" t="s">
        <v>1216</v>
      </c>
      <c r="AA38" t="s">
        <v>1217</v>
      </c>
    </row>
    <row r="39" spans="1:27" x14ac:dyDescent="0.35">
      <c r="A39" s="1" t="s">
        <v>1452</v>
      </c>
      <c r="B39" t="s">
        <v>177</v>
      </c>
      <c r="C39" t="s">
        <v>177</v>
      </c>
      <c r="D39" t="s">
        <v>177</v>
      </c>
      <c r="E39" t="s">
        <v>177</v>
      </c>
      <c r="F39" t="s">
        <v>177</v>
      </c>
      <c r="G39" t="s">
        <v>177</v>
      </c>
      <c r="H39" t="s">
        <v>177</v>
      </c>
      <c r="I39" t="s">
        <v>177</v>
      </c>
      <c r="J39" t="s">
        <v>177</v>
      </c>
      <c r="K39" t="s">
        <v>177</v>
      </c>
      <c r="L39" t="s">
        <v>177</v>
      </c>
      <c r="M39" t="s">
        <v>177</v>
      </c>
      <c r="N39" t="s">
        <v>177</v>
      </c>
      <c r="O39" t="s">
        <v>177</v>
      </c>
      <c r="P39" t="s">
        <v>177</v>
      </c>
      <c r="Q39" t="s">
        <v>177</v>
      </c>
      <c r="R39" t="s">
        <v>177</v>
      </c>
      <c r="S39" t="s">
        <v>177</v>
      </c>
      <c r="T39" t="s">
        <v>177</v>
      </c>
      <c r="U39" t="s">
        <v>177</v>
      </c>
      <c r="V39" t="s">
        <v>177</v>
      </c>
      <c r="W39" t="s">
        <v>177</v>
      </c>
      <c r="X39" t="s">
        <v>177</v>
      </c>
      <c r="Y39" t="s">
        <v>177</v>
      </c>
      <c r="Z39" t="s">
        <v>177</v>
      </c>
      <c r="AA39" t="s">
        <v>177</v>
      </c>
    </row>
    <row r="40" spans="1:27" x14ac:dyDescent="0.35">
      <c r="A40" s="1" t="s">
        <v>1453</v>
      </c>
      <c r="B40" t="s">
        <v>1148</v>
      </c>
      <c r="C40" t="s">
        <v>599</v>
      </c>
      <c r="D40" t="s">
        <v>1194</v>
      </c>
      <c r="E40" t="s">
        <v>1195</v>
      </c>
      <c r="F40" t="s">
        <v>1196</v>
      </c>
      <c r="G40" t="s">
        <v>1197</v>
      </c>
      <c r="H40" t="s">
        <v>1198</v>
      </c>
      <c r="I40" t="s">
        <v>1199</v>
      </c>
      <c r="J40" t="s">
        <v>1200</v>
      </c>
      <c r="K40" t="s">
        <v>1201</v>
      </c>
      <c r="L40" t="s">
        <v>1202</v>
      </c>
      <c r="M40" t="s">
        <v>1203</v>
      </c>
      <c r="N40" t="s">
        <v>1204</v>
      </c>
      <c r="O40" t="s">
        <v>1205</v>
      </c>
      <c r="P40" t="s">
        <v>1206</v>
      </c>
      <c r="Q40" t="s">
        <v>1207</v>
      </c>
      <c r="R40" t="s">
        <v>1208</v>
      </c>
      <c r="S40" t="s">
        <v>1209</v>
      </c>
      <c r="T40" t="s">
        <v>1210</v>
      </c>
      <c r="U40" t="s">
        <v>1211</v>
      </c>
      <c r="V40" t="s">
        <v>1212</v>
      </c>
      <c r="W40" t="s">
        <v>1213</v>
      </c>
      <c r="X40" t="s">
        <v>1214</v>
      </c>
      <c r="Y40" t="s">
        <v>1215</v>
      </c>
      <c r="Z40" t="s">
        <v>1216</v>
      </c>
      <c r="AA40" t="s">
        <v>1217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9"/>
  <sheetViews>
    <sheetView workbookViewId="0"/>
  </sheetViews>
  <sheetFormatPr defaultRowHeight="14.5" x14ac:dyDescent="0.35"/>
  <sheetData>
    <row r="1" spans="1:27" x14ac:dyDescent="0.35">
      <c r="B1" s="1" t="s">
        <v>472</v>
      </c>
      <c r="C1" s="1" t="s">
        <v>473</v>
      </c>
      <c r="D1" s="1" t="s">
        <v>474</v>
      </c>
      <c r="E1" s="1" t="s">
        <v>475</v>
      </c>
      <c r="F1" s="1" t="s">
        <v>476</v>
      </c>
      <c r="G1" s="1" t="s">
        <v>477</v>
      </c>
      <c r="H1" s="1" t="s">
        <v>478</v>
      </c>
      <c r="I1" s="1" t="s">
        <v>479</v>
      </c>
      <c r="J1" s="1" t="s">
        <v>480</v>
      </c>
      <c r="K1" s="1" t="s">
        <v>481</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row>
    <row r="2" spans="1:27" x14ac:dyDescent="0.35">
      <c r="A2" s="1" t="s">
        <v>64</v>
      </c>
      <c r="B2" t="s">
        <v>734</v>
      </c>
      <c r="C2" t="s">
        <v>857</v>
      </c>
      <c r="D2" t="s">
        <v>858</v>
      </c>
      <c r="E2" t="s">
        <v>859</v>
      </c>
      <c r="F2" t="s">
        <v>860</v>
      </c>
      <c r="G2" t="s">
        <v>861</v>
      </c>
      <c r="H2" t="s">
        <v>862</v>
      </c>
      <c r="I2" t="s">
        <v>863</v>
      </c>
      <c r="J2" t="s">
        <v>864</v>
      </c>
      <c r="K2" t="s">
        <v>865</v>
      </c>
      <c r="L2" t="s">
        <v>313</v>
      </c>
      <c r="M2" t="s">
        <v>314</v>
      </c>
      <c r="N2" t="s">
        <v>315</v>
      </c>
      <c r="O2" t="s">
        <v>316</v>
      </c>
      <c r="P2" t="s">
        <v>317</v>
      </c>
      <c r="Q2" t="s">
        <v>318</v>
      </c>
      <c r="R2" t="s">
        <v>319</v>
      </c>
      <c r="S2" t="s">
        <v>320</v>
      </c>
      <c r="T2" t="s">
        <v>321</v>
      </c>
      <c r="U2" t="s">
        <v>322</v>
      </c>
      <c r="V2" t="s">
        <v>323</v>
      </c>
      <c r="W2" t="s">
        <v>324</v>
      </c>
      <c r="X2" t="s">
        <v>325</v>
      </c>
      <c r="Y2" t="s">
        <v>326</v>
      </c>
      <c r="Z2" t="s">
        <v>327</v>
      </c>
      <c r="AA2" t="s">
        <v>328</v>
      </c>
    </row>
    <row r="3" spans="1:27" x14ac:dyDescent="0.35">
      <c r="A3" s="1" t="s">
        <v>726</v>
      </c>
      <c r="B3" t="s">
        <v>667</v>
      </c>
      <c r="C3" t="s">
        <v>668</v>
      </c>
      <c r="D3" t="s">
        <v>493</v>
      </c>
      <c r="E3" t="s">
        <v>727</v>
      </c>
      <c r="F3" t="s">
        <v>728</v>
      </c>
      <c r="G3" t="s">
        <v>729</v>
      </c>
      <c r="H3" t="s">
        <v>730</v>
      </c>
      <c r="I3" t="s">
        <v>711</v>
      </c>
      <c r="J3" t="s">
        <v>731</v>
      </c>
      <c r="K3" t="s">
        <v>732</v>
      </c>
      <c r="L3" t="s">
        <v>295</v>
      </c>
      <c r="M3" t="s">
        <v>296</v>
      </c>
      <c r="N3" t="s">
        <v>297</v>
      </c>
      <c r="O3" t="s">
        <v>298</v>
      </c>
      <c r="P3" t="s">
        <v>299</v>
      </c>
      <c r="Q3" t="s">
        <v>300</v>
      </c>
      <c r="R3" t="s">
        <v>301</v>
      </c>
      <c r="S3" t="s">
        <v>302</v>
      </c>
      <c r="T3" t="s">
        <v>303</v>
      </c>
      <c r="U3" t="s">
        <v>304</v>
      </c>
      <c r="V3" t="s">
        <v>305</v>
      </c>
      <c r="W3" t="s">
        <v>306</v>
      </c>
      <c r="X3" t="s">
        <v>307</v>
      </c>
      <c r="Y3" t="s">
        <v>308</v>
      </c>
      <c r="Z3" t="s">
        <v>309</v>
      </c>
      <c r="AA3" t="s">
        <v>310</v>
      </c>
    </row>
    <row r="4" spans="1:27" x14ac:dyDescent="0.35">
      <c r="A4" s="1" t="s">
        <v>1454</v>
      </c>
      <c r="B4" t="s">
        <v>177</v>
      </c>
      <c r="C4" t="s">
        <v>177</v>
      </c>
      <c r="D4" t="s">
        <v>177</v>
      </c>
      <c r="E4" t="s">
        <v>177</v>
      </c>
      <c r="F4" t="s">
        <v>177</v>
      </c>
      <c r="G4" t="s">
        <v>177</v>
      </c>
      <c r="H4" t="s">
        <v>177</v>
      </c>
      <c r="I4" t="s">
        <v>177</v>
      </c>
      <c r="J4" t="s">
        <v>1455</v>
      </c>
      <c r="K4" t="s">
        <v>1112</v>
      </c>
      <c r="L4" t="s">
        <v>684</v>
      </c>
      <c r="M4" t="s">
        <v>1456</v>
      </c>
      <c r="N4" t="s">
        <v>1457</v>
      </c>
      <c r="O4" t="s">
        <v>1038</v>
      </c>
      <c r="P4" t="s">
        <v>519</v>
      </c>
      <c r="Q4" t="s">
        <v>1458</v>
      </c>
      <c r="R4" t="s">
        <v>1459</v>
      </c>
      <c r="S4" t="s">
        <v>1460</v>
      </c>
      <c r="T4" t="s">
        <v>1407</v>
      </c>
      <c r="U4" t="s">
        <v>1038</v>
      </c>
      <c r="V4" t="s">
        <v>1461</v>
      </c>
      <c r="W4" t="s">
        <v>759</v>
      </c>
      <c r="X4" t="s">
        <v>1462</v>
      </c>
      <c r="Y4" t="s">
        <v>1463</v>
      </c>
      <c r="Z4" t="s">
        <v>1464</v>
      </c>
      <c r="AA4" t="s">
        <v>1465</v>
      </c>
    </row>
    <row r="5" spans="1:27" x14ac:dyDescent="0.35">
      <c r="A5" s="1" t="s">
        <v>1466</v>
      </c>
      <c r="B5" t="s">
        <v>177</v>
      </c>
      <c r="C5" t="s">
        <v>177</v>
      </c>
      <c r="D5" t="s">
        <v>177</v>
      </c>
      <c r="E5" t="s">
        <v>177</v>
      </c>
      <c r="F5" t="s">
        <v>177</v>
      </c>
      <c r="G5" t="s">
        <v>177</v>
      </c>
      <c r="H5" t="s">
        <v>177</v>
      </c>
      <c r="I5" t="s">
        <v>177</v>
      </c>
      <c r="J5" t="s">
        <v>177</v>
      </c>
      <c r="K5" t="s">
        <v>177</v>
      </c>
      <c r="L5" t="s">
        <v>624</v>
      </c>
      <c r="M5" t="s">
        <v>1467</v>
      </c>
      <c r="N5" t="s">
        <v>1468</v>
      </c>
      <c r="O5" t="s">
        <v>1174</v>
      </c>
      <c r="P5" t="s">
        <v>1049</v>
      </c>
      <c r="Q5" t="s">
        <v>1469</v>
      </c>
      <c r="R5" t="s">
        <v>1470</v>
      </c>
      <c r="S5" t="s">
        <v>1471</v>
      </c>
      <c r="T5" t="s">
        <v>812</v>
      </c>
      <c r="U5" t="s">
        <v>1472</v>
      </c>
      <c r="V5" t="s">
        <v>1473</v>
      </c>
      <c r="W5" t="s">
        <v>1474</v>
      </c>
      <c r="X5" t="s">
        <v>1475</v>
      </c>
      <c r="Y5" t="s">
        <v>401</v>
      </c>
      <c r="Z5" t="s">
        <v>1476</v>
      </c>
      <c r="AA5" t="s">
        <v>1477</v>
      </c>
    </row>
    <row r="6" spans="1:27" x14ac:dyDescent="0.35">
      <c r="A6" s="1" t="s">
        <v>1478</v>
      </c>
      <c r="B6" t="s">
        <v>519</v>
      </c>
      <c r="C6" t="s">
        <v>916</v>
      </c>
      <c r="D6" t="s">
        <v>795</v>
      </c>
      <c r="E6" t="s">
        <v>1479</v>
      </c>
      <c r="F6" t="s">
        <v>1480</v>
      </c>
      <c r="G6" t="s">
        <v>676</v>
      </c>
      <c r="H6" t="s">
        <v>1481</v>
      </c>
      <c r="I6" t="s">
        <v>1482</v>
      </c>
      <c r="J6" t="s">
        <v>1483</v>
      </c>
      <c r="K6" t="s">
        <v>1315</v>
      </c>
      <c r="L6" t="s">
        <v>1484</v>
      </c>
      <c r="M6" t="s">
        <v>1485</v>
      </c>
      <c r="N6" t="s">
        <v>1486</v>
      </c>
      <c r="O6" t="s">
        <v>1487</v>
      </c>
      <c r="P6" t="s">
        <v>1488</v>
      </c>
      <c r="Q6" t="s">
        <v>1489</v>
      </c>
      <c r="R6" t="s">
        <v>1490</v>
      </c>
      <c r="S6" t="s">
        <v>1176</v>
      </c>
      <c r="T6" t="s">
        <v>1491</v>
      </c>
      <c r="U6" t="s">
        <v>1492</v>
      </c>
      <c r="V6" t="s">
        <v>1493</v>
      </c>
      <c r="W6" t="s">
        <v>1494</v>
      </c>
      <c r="X6" t="s">
        <v>1495</v>
      </c>
      <c r="Y6" t="s">
        <v>1496</v>
      </c>
      <c r="Z6" t="s">
        <v>1497</v>
      </c>
      <c r="AA6" t="s">
        <v>1498</v>
      </c>
    </row>
    <row r="7" spans="1:27" x14ac:dyDescent="0.35">
      <c r="A7" s="1" t="s">
        <v>1499</v>
      </c>
      <c r="B7" t="s">
        <v>177</v>
      </c>
      <c r="C7" t="s">
        <v>177</v>
      </c>
      <c r="D7" t="s">
        <v>177</v>
      </c>
      <c r="E7" t="s">
        <v>177</v>
      </c>
      <c r="F7" t="s">
        <v>177</v>
      </c>
      <c r="G7" t="s">
        <v>177</v>
      </c>
      <c r="H7" t="s">
        <v>177</v>
      </c>
      <c r="I7" t="s">
        <v>177</v>
      </c>
      <c r="J7" t="s">
        <v>177</v>
      </c>
      <c r="K7" t="s">
        <v>177</v>
      </c>
      <c r="L7" t="s">
        <v>1500</v>
      </c>
      <c r="M7" t="s">
        <v>1501</v>
      </c>
      <c r="N7" t="s">
        <v>1502</v>
      </c>
      <c r="O7" t="s">
        <v>1503</v>
      </c>
      <c r="P7" t="s">
        <v>1504</v>
      </c>
      <c r="Q7" t="s">
        <v>1505</v>
      </c>
      <c r="R7" t="s">
        <v>1506</v>
      </c>
      <c r="S7" t="s">
        <v>1507</v>
      </c>
      <c r="T7" t="s">
        <v>1508</v>
      </c>
      <c r="U7" t="s">
        <v>1509</v>
      </c>
      <c r="V7" t="s">
        <v>1510</v>
      </c>
      <c r="W7" t="s">
        <v>1511</v>
      </c>
      <c r="X7" t="s">
        <v>1512</v>
      </c>
      <c r="Y7" t="s">
        <v>1513</v>
      </c>
      <c r="Z7" t="s">
        <v>1514</v>
      </c>
      <c r="AA7" t="s">
        <v>1515</v>
      </c>
    </row>
    <row r="8" spans="1:27" x14ac:dyDescent="0.35">
      <c r="A8" s="1" t="s">
        <v>1006</v>
      </c>
      <c r="B8" t="s">
        <v>1403</v>
      </c>
      <c r="C8" t="s">
        <v>674</v>
      </c>
      <c r="D8" t="s">
        <v>1516</v>
      </c>
      <c r="E8" t="s">
        <v>1517</v>
      </c>
      <c r="F8" t="s">
        <v>598</v>
      </c>
      <c r="G8" t="s">
        <v>1518</v>
      </c>
      <c r="H8" t="s">
        <v>1519</v>
      </c>
      <c r="I8" t="s">
        <v>1520</v>
      </c>
      <c r="J8" t="s">
        <v>1521</v>
      </c>
      <c r="K8" t="s">
        <v>1522</v>
      </c>
      <c r="L8" t="s">
        <v>1523</v>
      </c>
      <c r="M8" t="s">
        <v>1524</v>
      </c>
      <c r="N8" t="s">
        <v>1525</v>
      </c>
      <c r="O8" t="s">
        <v>1526</v>
      </c>
      <c r="P8" t="s">
        <v>1527</v>
      </c>
      <c r="Q8" t="s">
        <v>1528</v>
      </c>
      <c r="R8" t="s">
        <v>1529</v>
      </c>
      <c r="S8" t="s">
        <v>1530</v>
      </c>
      <c r="T8" t="s">
        <v>1531</v>
      </c>
      <c r="U8" t="s">
        <v>1532</v>
      </c>
      <c r="V8" t="s">
        <v>1533</v>
      </c>
      <c r="W8" t="s">
        <v>1534</v>
      </c>
      <c r="X8" t="s">
        <v>1535</v>
      </c>
      <c r="Y8" t="s">
        <v>1536</v>
      </c>
      <c r="Z8" t="s">
        <v>1537</v>
      </c>
      <c r="AA8" t="s">
        <v>1538</v>
      </c>
    </row>
    <row r="9" spans="1:27" x14ac:dyDescent="0.35">
      <c r="A9" s="1" t="s">
        <v>1218</v>
      </c>
      <c r="B9" t="s">
        <v>177</v>
      </c>
      <c r="C9" t="s">
        <v>177</v>
      </c>
      <c r="D9" t="s">
        <v>177</v>
      </c>
      <c r="E9" t="s">
        <v>177</v>
      </c>
      <c r="F9" t="s">
        <v>177</v>
      </c>
      <c r="G9" t="s">
        <v>177</v>
      </c>
      <c r="H9" t="s">
        <v>177</v>
      </c>
      <c r="I9" t="s">
        <v>177</v>
      </c>
      <c r="J9" t="s">
        <v>177</v>
      </c>
      <c r="K9" t="s">
        <v>177</v>
      </c>
      <c r="L9" t="s">
        <v>1539</v>
      </c>
      <c r="M9" t="s">
        <v>1540</v>
      </c>
      <c r="N9" t="s">
        <v>1541</v>
      </c>
      <c r="O9" t="s">
        <v>1542</v>
      </c>
      <c r="P9" t="s">
        <v>1543</v>
      </c>
      <c r="Q9" t="s">
        <v>1544</v>
      </c>
      <c r="R9" t="s">
        <v>748</v>
      </c>
      <c r="S9" t="s">
        <v>1545</v>
      </c>
      <c r="T9" t="s">
        <v>1261</v>
      </c>
      <c r="U9" t="s">
        <v>1546</v>
      </c>
      <c r="V9" t="s">
        <v>1547</v>
      </c>
      <c r="W9" t="s">
        <v>1548</v>
      </c>
      <c r="X9" t="s">
        <v>1549</v>
      </c>
      <c r="Y9" t="s">
        <v>1550</v>
      </c>
      <c r="Z9" t="s">
        <v>1551</v>
      </c>
      <c r="AA9" t="s">
        <v>1552</v>
      </c>
    </row>
    <row r="10" spans="1:27" x14ac:dyDescent="0.35">
      <c r="A10" s="1" t="s">
        <v>1553</v>
      </c>
      <c r="B10" t="s">
        <v>782</v>
      </c>
      <c r="C10" t="s">
        <v>782</v>
      </c>
      <c r="D10" t="s">
        <v>625</v>
      </c>
      <c r="E10" t="s">
        <v>651</v>
      </c>
      <c r="F10" t="s">
        <v>1554</v>
      </c>
      <c r="G10" t="s">
        <v>1555</v>
      </c>
      <c r="H10" t="s">
        <v>297</v>
      </c>
      <c r="I10" t="s">
        <v>1556</v>
      </c>
      <c r="J10" t="s">
        <v>299</v>
      </c>
      <c r="K10" t="s">
        <v>1259</v>
      </c>
      <c r="L10" t="s">
        <v>916</v>
      </c>
      <c r="M10" t="s">
        <v>1219</v>
      </c>
      <c r="N10" t="s">
        <v>1557</v>
      </c>
      <c r="O10" t="s">
        <v>1558</v>
      </c>
      <c r="P10" t="s">
        <v>1502</v>
      </c>
      <c r="Q10" t="s">
        <v>1481</v>
      </c>
      <c r="R10" t="s">
        <v>1468</v>
      </c>
      <c r="S10" t="s">
        <v>991</v>
      </c>
      <c r="T10" t="s">
        <v>1159</v>
      </c>
      <c r="U10" t="s">
        <v>1559</v>
      </c>
      <c r="V10" t="s">
        <v>1096</v>
      </c>
      <c r="W10" t="s">
        <v>919</v>
      </c>
      <c r="X10" t="s">
        <v>1560</v>
      </c>
      <c r="Y10" t="s">
        <v>1561</v>
      </c>
      <c r="Z10" t="s">
        <v>1562</v>
      </c>
      <c r="AA10" t="s">
        <v>372</v>
      </c>
    </row>
    <row r="11" spans="1:27" x14ac:dyDescent="0.35">
      <c r="A11" s="1" t="s">
        <v>1563</v>
      </c>
      <c r="B11" t="s">
        <v>667</v>
      </c>
      <c r="C11" t="s">
        <v>667</v>
      </c>
      <c r="D11" t="s">
        <v>713</v>
      </c>
      <c r="E11" t="s">
        <v>917</v>
      </c>
      <c r="F11" t="s">
        <v>1564</v>
      </c>
      <c r="G11" t="s">
        <v>1565</v>
      </c>
      <c r="H11" t="s">
        <v>1566</v>
      </c>
      <c r="I11" t="s">
        <v>1009</v>
      </c>
      <c r="J11" t="s">
        <v>1567</v>
      </c>
      <c r="K11" t="s">
        <v>1008</v>
      </c>
      <c r="L11" t="s">
        <v>1568</v>
      </c>
      <c r="M11" t="s">
        <v>1569</v>
      </c>
      <c r="N11" t="s">
        <v>1570</v>
      </c>
      <c r="O11" t="s">
        <v>1516</v>
      </c>
      <c r="P11" t="s">
        <v>1571</v>
      </c>
      <c r="Q11" t="s">
        <v>793</v>
      </c>
      <c r="R11" t="s">
        <v>1572</v>
      </c>
      <c r="S11" t="s">
        <v>1573</v>
      </c>
      <c r="T11" t="s">
        <v>1574</v>
      </c>
      <c r="U11" t="s">
        <v>1480</v>
      </c>
      <c r="V11" t="s">
        <v>1575</v>
      </c>
      <c r="W11" t="s">
        <v>1576</v>
      </c>
      <c r="X11" t="s">
        <v>1577</v>
      </c>
      <c r="Y11" t="s">
        <v>789</v>
      </c>
      <c r="Z11" t="s">
        <v>1578</v>
      </c>
      <c r="AA11" t="s">
        <v>1579</v>
      </c>
    </row>
    <row r="12" spans="1:27" x14ac:dyDescent="0.35">
      <c r="A12" s="1" t="s">
        <v>1580</v>
      </c>
      <c r="B12" t="s">
        <v>1581</v>
      </c>
      <c r="C12" t="s">
        <v>519</v>
      </c>
      <c r="D12" t="s">
        <v>1518</v>
      </c>
      <c r="E12" t="s">
        <v>1582</v>
      </c>
      <c r="F12" t="s">
        <v>1583</v>
      </c>
      <c r="G12" t="s">
        <v>1584</v>
      </c>
      <c r="H12" t="s">
        <v>1585</v>
      </c>
      <c r="I12" t="s">
        <v>1586</v>
      </c>
      <c r="J12" t="s">
        <v>1114</v>
      </c>
      <c r="K12" t="s">
        <v>1587</v>
      </c>
      <c r="L12" t="s">
        <v>1158</v>
      </c>
      <c r="M12" t="s">
        <v>1588</v>
      </c>
      <c r="N12" t="s">
        <v>1589</v>
      </c>
      <c r="O12" t="s">
        <v>1590</v>
      </c>
      <c r="P12" t="s">
        <v>1591</v>
      </c>
      <c r="Q12" t="s">
        <v>1592</v>
      </c>
      <c r="R12" t="s">
        <v>1593</v>
      </c>
      <c r="S12" t="s">
        <v>1594</v>
      </c>
      <c r="T12" t="s">
        <v>1595</v>
      </c>
      <c r="U12" t="s">
        <v>1596</v>
      </c>
      <c r="V12" t="s">
        <v>1597</v>
      </c>
      <c r="W12" t="s">
        <v>1598</v>
      </c>
      <c r="X12" t="s">
        <v>1599</v>
      </c>
      <c r="Y12" t="s">
        <v>1600</v>
      </c>
      <c r="Z12" t="s">
        <v>1601</v>
      </c>
      <c r="AA12" t="s">
        <v>1602</v>
      </c>
    </row>
    <row r="13" spans="1:27" x14ac:dyDescent="0.35">
      <c r="A13" s="1" t="s">
        <v>1603</v>
      </c>
      <c r="B13" t="s">
        <v>1403</v>
      </c>
      <c r="C13" t="s">
        <v>1604</v>
      </c>
      <c r="D13" t="s">
        <v>857</v>
      </c>
      <c r="E13" t="s">
        <v>1605</v>
      </c>
      <c r="F13" t="s">
        <v>1606</v>
      </c>
      <c r="G13" t="s">
        <v>783</v>
      </c>
      <c r="H13" t="s">
        <v>319</v>
      </c>
      <c r="I13" t="s">
        <v>1607</v>
      </c>
      <c r="J13" t="s">
        <v>1608</v>
      </c>
      <c r="K13" t="s">
        <v>1609</v>
      </c>
      <c r="L13" t="s">
        <v>786</v>
      </c>
      <c r="M13" t="s">
        <v>1610</v>
      </c>
      <c r="N13" t="s">
        <v>1611</v>
      </c>
      <c r="O13" t="s">
        <v>1612</v>
      </c>
      <c r="P13" t="s">
        <v>1613</v>
      </c>
      <c r="Q13" t="s">
        <v>1614</v>
      </c>
      <c r="R13" t="s">
        <v>1615</v>
      </c>
      <c r="S13" t="s">
        <v>1616</v>
      </c>
      <c r="T13" t="s">
        <v>1617</v>
      </c>
      <c r="U13" t="s">
        <v>1618</v>
      </c>
      <c r="V13" t="s">
        <v>1619</v>
      </c>
      <c r="W13" t="s">
        <v>1620</v>
      </c>
      <c r="X13" t="s">
        <v>1621</v>
      </c>
      <c r="Y13" t="s">
        <v>1622</v>
      </c>
      <c r="Z13" t="s">
        <v>1623</v>
      </c>
      <c r="AA13" t="s">
        <v>1624</v>
      </c>
    </row>
    <row r="14" spans="1:27" x14ac:dyDescent="0.35">
      <c r="A14" s="1" t="s">
        <v>1625</v>
      </c>
      <c r="B14" t="s">
        <v>177</v>
      </c>
      <c r="C14" t="s">
        <v>177</v>
      </c>
      <c r="D14" t="s">
        <v>1626</v>
      </c>
      <c r="E14" t="s">
        <v>1627</v>
      </c>
      <c r="F14" t="s">
        <v>177</v>
      </c>
      <c r="G14" t="s">
        <v>177</v>
      </c>
      <c r="H14" t="s">
        <v>177</v>
      </c>
      <c r="I14" t="s">
        <v>177</v>
      </c>
      <c r="J14" t="s">
        <v>1628</v>
      </c>
      <c r="K14" t="s">
        <v>1629</v>
      </c>
      <c r="L14" t="s">
        <v>1630</v>
      </c>
      <c r="M14" t="s">
        <v>681</v>
      </c>
      <c r="N14" t="s">
        <v>1631</v>
      </c>
      <c r="O14" t="s">
        <v>1632</v>
      </c>
      <c r="P14" t="s">
        <v>1633</v>
      </c>
      <c r="Q14" t="s">
        <v>1634</v>
      </c>
      <c r="R14" t="s">
        <v>1635</v>
      </c>
      <c r="S14" t="s">
        <v>1636</v>
      </c>
      <c r="T14" t="s">
        <v>1613</v>
      </c>
      <c r="U14" t="s">
        <v>1637</v>
      </c>
      <c r="V14" t="s">
        <v>1638</v>
      </c>
      <c r="W14" t="s">
        <v>1639</v>
      </c>
      <c r="X14" t="s">
        <v>1640</v>
      </c>
      <c r="Y14" t="s">
        <v>1641</v>
      </c>
      <c r="Z14" t="s">
        <v>1642</v>
      </c>
      <c r="AA14" t="s">
        <v>1643</v>
      </c>
    </row>
    <row r="15" spans="1:27" x14ac:dyDescent="0.35">
      <c r="A15" s="1" t="s">
        <v>1644</v>
      </c>
      <c r="B15" t="s">
        <v>177</v>
      </c>
      <c r="C15" t="s">
        <v>1516</v>
      </c>
      <c r="D15" t="s">
        <v>1645</v>
      </c>
      <c r="E15" t="s">
        <v>1646</v>
      </c>
      <c r="F15" t="s">
        <v>1647</v>
      </c>
      <c r="G15" t="s">
        <v>861</v>
      </c>
      <c r="H15" t="s">
        <v>1648</v>
      </c>
      <c r="I15" t="s">
        <v>1649</v>
      </c>
      <c r="J15" t="s">
        <v>1650</v>
      </c>
      <c r="K15" t="s">
        <v>1651</v>
      </c>
      <c r="L15" t="s">
        <v>1652</v>
      </c>
      <c r="M15" t="s">
        <v>1653</v>
      </c>
      <c r="N15" t="s">
        <v>1654</v>
      </c>
      <c r="O15" t="s">
        <v>1655</v>
      </c>
      <c r="P15" t="s">
        <v>1656</v>
      </c>
      <c r="Q15" t="s">
        <v>1657</v>
      </c>
      <c r="R15" t="s">
        <v>1658</v>
      </c>
      <c r="S15" t="s">
        <v>1659</v>
      </c>
      <c r="T15" t="s">
        <v>1660</v>
      </c>
      <c r="U15" t="s">
        <v>1661</v>
      </c>
      <c r="V15" t="s">
        <v>1662</v>
      </c>
      <c r="W15" t="s">
        <v>1663</v>
      </c>
      <c r="X15" t="s">
        <v>1664</v>
      </c>
      <c r="Y15" t="s">
        <v>1665</v>
      </c>
      <c r="Z15" t="s">
        <v>1666</v>
      </c>
      <c r="AA15" t="s">
        <v>1667</v>
      </c>
    </row>
    <row r="16" spans="1:27" x14ac:dyDescent="0.35">
      <c r="A16" s="1" t="s">
        <v>1668</v>
      </c>
      <c r="B16" t="s">
        <v>177</v>
      </c>
      <c r="C16" t="s">
        <v>668</v>
      </c>
      <c r="D16" t="s">
        <v>1669</v>
      </c>
      <c r="E16" t="s">
        <v>1670</v>
      </c>
      <c r="F16" t="s">
        <v>1671</v>
      </c>
      <c r="G16" t="s">
        <v>1672</v>
      </c>
      <c r="H16" t="s">
        <v>1673</v>
      </c>
      <c r="I16" t="s">
        <v>1674</v>
      </c>
      <c r="J16" t="s">
        <v>1675</v>
      </c>
      <c r="K16" t="s">
        <v>1676</v>
      </c>
      <c r="L16" t="s">
        <v>1677</v>
      </c>
      <c r="M16" t="s">
        <v>1678</v>
      </c>
      <c r="N16" t="s">
        <v>1679</v>
      </c>
      <c r="O16" t="s">
        <v>1680</v>
      </c>
      <c r="P16" t="s">
        <v>1681</v>
      </c>
      <c r="Q16" t="s">
        <v>1682</v>
      </c>
      <c r="R16" t="s">
        <v>1683</v>
      </c>
      <c r="S16" t="s">
        <v>1684</v>
      </c>
      <c r="T16" t="s">
        <v>1685</v>
      </c>
      <c r="U16" t="s">
        <v>1686</v>
      </c>
      <c r="V16" t="s">
        <v>1687</v>
      </c>
      <c r="W16" t="s">
        <v>1688</v>
      </c>
      <c r="X16" t="s">
        <v>889</v>
      </c>
      <c r="Y16" t="s">
        <v>1689</v>
      </c>
      <c r="Z16" t="s">
        <v>1690</v>
      </c>
      <c r="AA16" t="s">
        <v>1691</v>
      </c>
    </row>
    <row r="17" spans="1:27" x14ac:dyDescent="0.35">
      <c r="A17" s="1" t="s">
        <v>1692</v>
      </c>
      <c r="B17" t="s">
        <v>177</v>
      </c>
      <c r="C17" t="s">
        <v>177</v>
      </c>
      <c r="D17" t="s">
        <v>177</v>
      </c>
      <c r="E17" t="s">
        <v>177</v>
      </c>
      <c r="F17" t="s">
        <v>1693</v>
      </c>
      <c r="G17" t="s">
        <v>734</v>
      </c>
      <c r="H17" t="s">
        <v>177</v>
      </c>
      <c r="I17" t="s">
        <v>668</v>
      </c>
      <c r="J17" t="s">
        <v>177</v>
      </c>
      <c r="K17" t="s">
        <v>177</v>
      </c>
      <c r="L17" t="s">
        <v>177</v>
      </c>
      <c r="M17" t="s">
        <v>177</v>
      </c>
      <c r="N17" t="s">
        <v>177</v>
      </c>
      <c r="O17" t="s">
        <v>177</v>
      </c>
      <c r="P17" t="s">
        <v>177</v>
      </c>
      <c r="Q17" t="s">
        <v>177</v>
      </c>
      <c r="R17" t="s">
        <v>177</v>
      </c>
      <c r="S17" t="s">
        <v>177</v>
      </c>
      <c r="T17" t="s">
        <v>177</v>
      </c>
      <c r="U17" t="s">
        <v>177</v>
      </c>
      <c r="V17" t="s">
        <v>177</v>
      </c>
      <c r="W17" t="s">
        <v>1694</v>
      </c>
      <c r="X17" t="s">
        <v>1695</v>
      </c>
      <c r="Y17" t="s">
        <v>1696</v>
      </c>
      <c r="Z17" t="s">
        <v>1697</v>
      </c>
      <c r="AA17" t="s">
        <v>1698</v>
      </c>
    </row>
    <row r="18" spans="1:27" x14ac:dyDescent="0.35">
      <c r="A18" s="1" t="s">
        <v>1699</v>
      </c>
      <c r="B18" t="s">
        <v>1403</v>
      </c>
      <c r="C18" t="s">
        <v>735</v>
      </c>
      <c r="D18" t="s">
        <v>1700</v>
      </c>
      <c r="E18" t="s">
        <v>1701</v>
      </c>
      <c r="F18" t="s">
        <v>1702</v>
      </c>
      <c r="G18" t="s">
        <v>1703</v>
      </c>
      <c r="H18" t="s">
        <v>1704</v>
      </c>
      <c r="I18" t="s">
        <v>1705</v>
      </c>
      <c r="J18" t="s">
        <v>1706</v>
      </c>
      <c r="K18" t="s">
        <v>1707</v>
      </c>
      <c r="L18" t="s">
        <v>1611</v>
      </c>
      <c r="M18" t="s">
        <v>1152</v>
      </c>
      <c r="N18" t="s">
        <v>1708</v>
      </c>
      <c r="O18" t="s">
        <v>1709</v>
      </c>
      <c r="P18" t="s">
        <v>1710</v>
      </c>
      <c r="Q18" t="s">
        <v>1652</v>
      </c>
      <c r="R18" t="s">
        <v>1711</v>
      </c>
      <c r="S18" t="s">
        <v>1712</v>
      </c>
      <c r="T18" t="s">
        <v>1713</v>
      </c>
      <c r="U18" t="s">
        <v>1714</v>
      </c>
      <c r="V18" t="s">
        <v>1715</v>
      </c>
      <c r="W18" t="s">
        <v>1716</v>
      </c>
      <c r="X18" t="s">
        <v>1717</v>
      </c>
      <c r="Y18" t="s">
        <v>1718</v>
      </c>
      <c r="Z18" t="s">
        <v>1719</v>
      </c>
      <c r="AA18" t="s">
        <v>1720</v>
      </c>
    </row>
    <row r="19" spans="1:27" x14ac:dyDescent="0.35">
      <c r="A19" s="1" t="s">
        <v>1721</v>
      </c>
      <c r="B19" t="s">
        <v>177</v>
      </c>
      <c r="C19" t="s">
        <v>177</v>
      </c>
      <c r="D19" t="s">
        <v>177</v>
      </c>
      <c r="E19" t="s">
        <v>177</v>
      </c>
      <c r="F19" t="s">
        <v>177</v>
      </c>
      <c r="G19" t="s">
        <v>177</v>
      </c>
      <c r="H19" t="s">
        <v>177</v>
      </c>
      <c r="I19" t="s">
        <v>177</v>
      </c>
      <c r="J19" t="s">
        <v>177</v>
      </c>
      <c r="K19" t="s">
        <v>177</v>
      </c>
      <c r="L19" t="s">
        <v>1722</v>
      </c>
      <c r="M19" t="s">
        <v>1723</v>
      </c>
      <c r="N19" t="s">
        <v>1724</v>
      </c>
      <c r="O19" t="s">
        <v>1725</v>
      </c>
      <c r="P19" t="s">
        <v>1726</v>
      </c>
      <c r="Q19" t="s">
        <v>1727</v>
      </c>
      <c r="R19" t="s">
        <v>1728</v>
      </c>
      <c r="S19" t="s">
        <v>1729</v>
      </c>
      <c r="T19" t="s">
        <v>1730</v>
      </c>
      <c r="U19" t="s">
        <v>1731</v>
      </c>
      <c r="V19" t="s">
        <v>1732</v>
      </c>
      <c r="W19" t="s">
        <v>1733</v>
      </c>
      <c r="X19" t="s">
        <v>1734</v>
      </c>
      <c r="Y19" t="s">
        <v>1735</v>
      </c>
      <c r="Z19" t="s">
        <v>1736</v>
      </c>
      <c r="AA19" t="s">
        <v>1737</v>
      </c>
    </row>
    <row r="20" spans="1:27" x14ac:dyDescent="0.35">
      <c r="A20" s="1" t="s">
        <v>1738</v>
      </c>
      <c r="B20" t="s">
        <v>1148</v>
      </c>
      <c r="C20" t="s">
        <v>669</v>
      </c>
      <c r="D20" t="s">
        <v>1245</v>
      </c>
      <c r="E20" t="s">
        <v>763</v>
      </c>
      <c r="F20" t="s">
        <v>1739</v>
      </c>
      <c r="G20" t="s">
        <v>1740</v>
      </c>
      <c r="H20" t="s">
        <v>1741</v>
      </c>
      <c r="I20" t="s">
        <v>1742</v>
      </c>
      <c r="J20" t="s">
        <v>1743</v>
      </c>
      <c r="K20" t="s">
        <v>1418</v>
      </c>
      <c r="L20" t="s">
        <v>177</v>
      </c>
      <c r="M20" t="s">
        <v>177</v>
      </c>
      <c r="N20" t="s">
        <v>177</v>
      </c>
      <c r="O20" t="s">
        <v>177</v>
      </c>
      <c r="P20" t="s">
        <v>177</v>
      </c>
      <c r="Q20" t="s">
        <v>177</v>
      </c>
      <c r="R20" t="s">
        <v>177</v>
      </c>
      <c r="S20" t="s">
        <v>177</v>
      </c>
      <c r="T20" t="s">
        <v>177</v>
      </c>
      <c r="U20" t="s">
        <v>177</v>
      </c>
      <c r="V20" t="s">
        <v>177</v>
      </c>
      <c r="W20" t="s">
        <v>177</v>
      </c>
      <c r="X20" t="s">
        <v>177</v>
      </c>
      <c r="Y20" t="s">
        <v>177</v>
      </c>
      <c r="Z20" t="s">
        <v>177</v>
      </c>
      <c r="AA20" t="s">
        <v>177</v>
      </c>
    </row>
    <row r="21" spans="1:27" x14ac:dyDescent="0.35">
      <c r="A21" s="1" t="s">
        <v>1744</v>
      </c>
      <c r="B21" t="s">
        <v>177</v>
      </c>
      <c r="C21" t="s">
        <v>177</v>
      </c>
      <c r="D21" t="s">
        <v>177</v>
      </c>
      <c r="E21" t="s">
        <v>177</v>
      </c>
      <c r="F21" t="s">
        <v>177</v>
      </c>
      <c r="G21" t="s">
        <v>177</v>
      </c>
      <c r="H21" t="s">
        <v>177</v>
      </c>
      <c r="I21" t="s">
        <v>177</v>
      </c>
      <c r="J21" t="s">
        <v>177</v>
      </c>
      <c r="K21" t="s">
        <v>177</v>
      </c>
      <c r="L21" t="s">
        <v>1745</v>
      </c>
      <c r="M21" t="s">
        <v>1746</v>
      </c>
      <c r="N21" t="s">
        <v>1568</v>
      </c>
      <c r="O21" t="s">
        <v>177</v>
      </c>
      <c r="P21" t="s">
        <v>177</v>
      </c>
      <c r="Q21" t="s">
        <v>1747</v>
      </c>
      <c r="R21" t="s">
        <v>1748</v>
      </c>
      <c r="S21" t="s">
        <v>177</v>
      </c>
      <c r="T21" t="s">
        <v>177</v>
      </c>
      <c r="U21" t="s">
        <v>177</v>
      </c>
      <c r="V21" t="s">
        <v>177</v>
      </c>
      <c r="W21" t="s">
        <v>177</v>
      </c>
      <c r="X21" t="s">
        <v>177</v>
      </c>
      <c r="Y21" t="s">
        <v>177</v>
      </c>
      <c r="Z21" t="s">
        <v>177</v>
      </c>
      <c r="AA21" t="s">
        <v>177</v>
      </c>
    </row>
    <row r="22" spans="1:27" x14ac:dyDescent="0.35">
      <c r="A22" s="1" t="s">
        <v>1749</v>
      </c>
      <c r="B22" t="s">
        <v>177</v>
      </c>
      <c r="C22" t="s">
        <v>177</v>
      </c>
      <c r="D22" t="s">
        <v>177</v>
      </c>
      <c r="E22" t="s">
        <v>177</v>
      </c>
      <c r="F22" t="s">
        <v>177</v>
      </c>
      <c r="G22" t="s">
        <v>177</v>
      </c>
      <c r="H22" t="s">
        <v>177</v>
      </c>
      <c r="I22" t="s">
        <v>177</v>
      </c>
      <c r="J22" t="s">
        <v>177</v>
      </c>
      <c r="K22" t="s">
        <v>177</v>
      </c>
      <c r="L22" t="s">
        <v>177</v>
      </c>
      <c r="M22" t="s">
        <v>177</v>
      </c>
      <c r="N22" t="s">
        <v>177</v>
      </c>
      <c r="O22" t="s">
        <v>177</v>
      </c>
      <c r="P22" t="s">
        <v>177</v>
      </c>
      <c r="Q22" t="s">
        <v>177</v>
      </c>
      <c r="R22" t="s">
        <v>177</v>
      </c>
      <c r="S22" t="s">
        <v>177</v>
      </c>
      <c r="T22" t="s">
        <v>177</v>
      </c>
      <c r="U22" t="s">
        <v>177</v>
      </c>
      <c r="V22" t="s">
        <v>177</v>
      </c>
      <c r="W22" t="s">
        <v>177</v>
      </c>
      <c r="X22" t="s">
        <v>177</v>
      </c>
      <c r="Y22" t="s">
        <v>177</v>
      </c>
      <c r="Z22" t="s">
        <v>177</v>
      </c>
      <c r="AA22" t="s">
        <v>177</v>
      </c>
    </row>
    <row r="23" spans="1:27" x14ac:dyDescent="0.35">
      <c r="A23" s="1" t="s">
        <v>1750</v>
      </c>
      <c r="B23" t="s">
        <v>177</v>
      </c>
      <c r="C23" t="s">
        <v>1089</v>
      </c>
      <c r="D23" t="s">
        <v>1751</v>
      </c>
      <c r="E23" t="s">
        <v>1752</v>
      </c>
      <c r="F23" t="s">
        <v>1194</v>
      </c>
      <c r="G23" t="s">
        <v>1753</v>
      </c>
      <c r="H23" t="s">
        <v>1754</v>
      </c>
      <c r="I23" t="s">
        <v>1755</v>
      </c>
      <c r="J23" t="s">
        <v>1756</v>
      </c>
      <c r="K23" t="s">
        <v>1757</v>
      </c>
      <c r="L23" t="s">
        <v>1758</v>
      </c>
      <c r="M23" t="s">
        <v>1759</v>
      </c>
      <c r="N23" t="s">
        <v>1760</v>
      </c>
      <c r="O23" t="s">
        <v>1761</v>
      </c>
      <c r="P23" t="s">
        <v>1539</v>
      </c>
      <c r="Q23" t="s">
        <v>1074</v>
      </c>
      <c r="R23" t="s">
        <v>1762</v>
      </c>
      <c r="S23" t="s">
        <v>1763</v>
      </c>
      <c r="T23" t="s">
        <v>1764</v>
      </c>
      <c r="U23" t="s">
        <v>1763</v>
      </c>
      <c r="V23" t="s">
        <v>362</v>
      </c>
      <c r="W23" t="s">
        <v>1765</v>
      </c>
      <c r="X23" t="s">
        <v>1766</v>
      </c>
      <c r="Y23" t="s">
        <v>1767</v>
      </c>
      <c r="Z23" t="s">
        <v>1768</v>
      </c>
      <c r="AA23" t="s">
        <v>1769</v>
      </c>
    </row>
    <row r="24" spans="1:27" x14ac:dyDescent="0.35">
      <c r="A24" s="1" t="s">
        <v>1770</v>
      </c>
      <c r="B24" t="s">
        <v>1148</v>
      </c>
      <c r="C24" t="s">
        <v>650</v>
      </c>
      <c r="D24" t="s">
        <v>1771</v>
      </c>
      <c r="E24" t="s">
        <v>1772</v>
      </c>
      <c r="F24" t="s">
        <v>1773</v>
      </c>
      <c r="G24" t="s">
        <v>1774</v>
      </c>
      <c r="H24" t="s">
        <v>1774</v>
      </c>
      <c r="I24" t="s">
        <v>1775</v>
      </c>
      <c r="J24" t="s">
        <v>1776</v>
      </c>
      <c r="K24" t="s">
        <v>1777</v>
      </c>
      <c r="L24" t="s">
        <v>1778</v>
      </c>
      <c r="M24" t="s">
        <v>669</v>
      </c>
      <c r="N24" t="s">
        <v>1779</v>
      </c>
      <c r="O24" t="s">
        <v>1780</v>
      </c>
      <c r="P24" t="s">
        <v>672</v>
      </c>
      <c r="Q24" t="s">
        <v>1781</v>
      </c>
      <c r="R24" t="s">
        <v>1782</v>
      </c>
      <c r="S24" t="s">
        <v>1783</v>
      </c>
      <c r="T24" t="s">
        <v>1784</v>
      </c>
      <c r="U24" t="s">
        <v>1785</v>
      </c>
      <c r="V24" t="s">
        <v>1786</v>
      </c>
      <c r="W24" t="s">
        <v>904</v>
      </c>
      <c r="X24" t="s">
        <v>1787</v>
      </c>
      <c r="Y24" t="s">
        <v>1788</v>
      </c>
      <c r="Z24" t="s">
        <v>1789</v>
      </c>
      <c r="AA24" t="s">
        <v>1790</v>
      </c>
    </row>
    <row r="25" spans="1:27" x14ac:dyDescent="0.35">
      <c r="A25" s="1" t="s">
        <v>1791</v>
      </c>
      <c r="B25" t="s">
        <v>177</v>
      </c>
      <c r="C25" t="s">
        <v>177</v>
      </c>
      <c r="D25" t="s">
        <v>1398</v>
      </c>
      <c r="E25" t="s">
        <v>667</v>
      </c>
      <c r="F25" t="s">
        <v>1792</v>
      </c>
      <c r="G25" t="s">
        <v>1793</v>
      </c>
      <c r="H25" t="s">
        <v>1794</v>
      </c>
      <c r="I25" t="s">
        <v>1795</v>
      </c>
      <c r="J25" t="s">
        <v>1796</v>
      </c>
      <c r="K25" t="s">
        <v>1797</v>
      </c>
      <c r="L25" t="s">
        <v>1798</v>
      </c>
      <c r="M25" t="s">
        <v>1799</v>
      </c>
      <c r="N25" t="s">
        <v>1800</v>
      </c>
      <c r="O25" t="s">
        <v>1403</v>
      </c>
      <c r="P25" t="s">
        <v>1246</v>
      </c>
      <c r="Q25" t="s">
        <v>1007</v>
      </c>
      <c r="R25" t="s">
        <v>759</v>
      </c>
      <c r="S25" t="s">
        <v>1801</v>
      </c>
      <c r="T25" t="s">
        <v>1465</v>
      </c>
      <c r="U25" t="s">
        <v>1802</v>
      </c>
      <c r="V25" t="s">
        <v>1803</v>
      </c>
      <c r="W25" t="s">
        <v>1804</v>
      </c>
      <c r="X25" t="s">
        <v>1805</v>
      </c>
      <c r="Y25" t="s">
        <v>1112</v>
      </c>
      <c r="Z25" t="s">
        <v>1224</v>
      </c>
      <c r="AA25" t="s">
        <v>1806</v>
      </c>
    </row>
    <row r="26" spans="1:27" x14ac:dyDescent="0.35">
      <c r="A26" s="1" t="s">
        <v>1807</v>
      </c>
      <c r="B26" t="s">
        <v>1148</v>
      </c>
      <c r="C26" t="s">
        <v>650</v>
      </c>
      <c r="D26" t="s">
        <v>1808</v>
      </c>
      <c r="E26" t="s">
        <v>794</v>
      </c>
      <c r="F26" t="s">
        <v>1809</v>
      </c>
      <c r="G26" t="s">
        <v>1523</v>
      </c>
      <c r="H26" t="s">
        <v>1810</v>
      </c>
      <c r="I26" t="s">
        <v>1811</v>
      </c>
      <c r="J26" t="s">
        <v>1812</v>
      </c>
      <c r="K26" t="s">
        <v>1813</v>
      </c>
      <c r="L26" t="s">
        <v>597</v>
      </c>
      <c r="M26" t="s">
        <v>1814</v>
      </c>
      <c r="N26" t="s">
        <v>1479</v>
      </c>
      <c r="O26" t="s">
        <v>1815</v>
      </c>
      <c r="P26" t="s">
        <v>1816</v>
      </c>
      <c r="Q26" t="s">
        <v>1817</v>
      </c>
      <c r="R26" t="s">
        <v>1818</v>
      </c>
      <c r="S26" t="s">
        <v>1819</v>
      </c>
      <c r="T26" t="s">
        <v>1820</v>
      </c>
      <c r="U26" t="s">
        <v>1821</v>
      </c>
      <c r="V26" t="s">
        <v>926</v>
      </c>
      <c r="W26" t="s">
        <v>1822</v>
      </c>
      <c r="X26" t="s">
        <v>1823</v>
      </c>
      <c r="Y26" t="s">
        <v>1683</v>
      </c>
      <c r="Z26" t="s">
        <v>1824</v>
      </c>
      <c r="AA26" t="s">
        <v>1825</v>
      </c>
    </row>
    <row r="27" spans="1:27" x14ac:dyDescent="0.35">
      <c r="A27" s="1" t="s">
        <v>1826</v>
      </c>
      <c r="B27" t="s">
        <v>177</v>
      </c>
      <c r="C27" t="s">
        <v>177</v>
      </c>
      <c r="D27" t="s">
        <v>916</v>
      </c>
      <c r="E27" t="s">
        <v>917</v>
      </c>
      <c r="F27" t="s">
        <v>918</v>
      </c>
      <c r="G27" t="s">
        <v>626</v>
      </c>
      <c r="H27" t="s">
        <v>919</v>
      </c>
      <c r="I27" t="s">
        <v>920</v>
      </c>
      <c r="J27" t="s">
        <v>921</v>
      </c>
      <c r="K27" t="s">
        <v>922</v>
      </c>
      <c r="L27" t="s">
        <v>923</v>
      </c>
      <c r="M27" t="s">
        <v>924</v>
      </c>
      <c r="N27" t="s">
        <v>925</v>
      </c>
      <c r="O27" t="s">
        <v>926</v>
      </c>
      <c r="P27" t="s">
        <v>927</v>
      </c>
      <c r="Q27" t="s">
        <v>928</v>
      </c>
      <c r="R27" t="s">
        <v>929</v>
      </c>
      <c r="S27" t="s">
        <v>930</v>
      </c>
      <c r="T27" t="s">
        <v>931</v>
      </c>
      <c r="U27" t="s">
        <v>932</v>
      </c>
      <c r="V27" t="s">
        <v>933</v>
      </c>
      <c r="W27" t="s">
        <v>934</v>
      </c>
      <c r="X27" t="s">
        <v>1827</v>
      </c>
      <c r="Y27" t="s">
        <v>1828</v>
      </c>
      <c r="Z27" t="s">
        <v>1829</v>
      </c>
      <c r="AA27" t="s">
        <v>1830</v>
      </c>
    </row>
    <row r="28" spans="1:27" x14ac:dyDescent="0.35">
      <c r="A28" s="1" t="s">
        <v>1831</v>
      </c>
      <c r="B28" t="s">
        <v>1007</v>
      </c>
      <c r="C28" t="s">
        <v>914</v>
      </c>
      <c r="D28" t="s">
        <v>782</v>
      </c>
      <c r="E28" t="s">
        <v>916</v>
      </c>
      <c r="F28" t="s">
        <v>645</v>
      </c>
      <c r="G28" t="s">
        <v>918</v>
      </c>
      <c r="H28" t="s">
        <v>626</v>
      </c>
      <c r="I28" t="s">
        <v>919</v>
      </c>
      <c r="J28" t="s">
        <v>920</v>
      </c>
      <c r="K28" t="s">
        <v>921</v>
      </c>
      <c r="L28" t="s">
        <v>922</v>
      </c>
      <c r="M28" t="s">
        <v>923</v>
      </c>
      <c r="N28" t="s">
        <v>924</v>
      </c>
      <c r="O28" t="s">
        <v>925</v>
      </c>
      <c r="P28" t="s">
        <v>926</v>
      </c>
      <c r="Q28" t="s">
        <v>927</v>
      </c>
      <c r="R28" t="s">
        <v>928</v>
      </c>
      <c r="S28" t="s">
        <v>929</v>
      </c>
      <c r="T28" t="s">
        <v>930</v>
      </c>
      <c r="U28" t="s">
        <v>931</v>
      </c>
      <c r="V28" t="s">
        <v>932</v>
      </c>
      <c r="W28" t="s">
        <v>933</v>
      </c>
      <c r="X28" t="s">
        <v>1832</v>
      </c>
      <c r="Y28" t="s">
        <v>1827</v>
      </c>
      <c r="Z28" t="s">
        <v>1828</v>
      </c>
      <c r="AA28" t="s">
        <v>1829</v>
      </c>
    </row>
    <row r="29" spans="1:27" x14ac:dyDescent="0.35">
      <c r="A29" s="1" t="s">
        <v>1833</v>
      </c>
      <c r="B29" t="s">
        <v>1834</v>
      </c>
      <c r="C29" t="s">
        <v>790</v>
      </c>
      <c r="D29" t="s">
        <v>673</v>
      </c>
      <c r="E29" t="s">
        <v>1835</v>
      </c>
      <c r="F29" t="s">
        <v>1459</v>
      </c>
      <c r="G29" t="s">
        <v>1836</v>
      </c>
      <c r="H29" t="s">
        <v>1837</v>
      </c>
      <c r="I29" t="s">
        <v>1838</v>
      </c>
      <c r="J29" t="s">
        <v>946</v>
      </c>
      <c r="K29" t="s">
        <v>1839</v>
      </c>
      <c r="L29" t="s">
        <v>1840</v>
      </c>
      <c r="M29" t="s">
        <v>1841</v>
      </c>
      <c r="N29" t="s">
        <v>1842</v>
      </c>
      <c r="O29" t="s">
        <v>1843</v>
      </c>
      <c r="P29" t="s">
        <v>1844</v>
      </c>
      <c r="Q29" t="s">
        <v>1845</v>
      </c>
      <c r="R29" t="s">
        <v>1846</v>
      </c>
      <c r="S29" t="s">
        <v>1847</v>
      </c>
      <c r="T29" t="s">
        <v>1389</v>
      </c>
      <c r="U29" t="s">
        <v>1848</v>
      </c>
      <c r="V29" t="s">
        <v>1849</v>
      </c>
      <c r="W29" t="s">
        <v>1850</v>
      </c>
      <c r="X29" t="s">
        <v>1851</v>
      </c>
      <c r="Y29" t="s">
        <v>1852</v>
      </c>
      <c r="Z29" t="s">
        <v>1853</v>
      </c>
      <c r="AA29" t="s">
        <v>1854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William Kruta</cp:lastModifiedBy>
  <cp:revision/>
  <dcterms:created xsi:type="dcterms:W3CDTF">2022-08-17T19:15:34Z</dcterms:created>
  <dcterms:modified xsi:type="dcterms:W3CDTF">2023-03-06T22:47:54Z</dcterms:modified>
  <cp:category/>
  <cp:contentStatus/>
</cp:coreProperties>
</file>