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Company-Models\RKLB\"/>
    </mc:Choice>
  </mc:AlternateContent>
  <xr:revisionPtr revIDLastSave="0" documentId="13_ncr:1_{B292DCEF-53E9-4140-A9B1-2F3D9461E1DF}" xr6:coauthVersionLast="47" xr6:coauthVersionMax="47" xr10:uidLastSave="{00000000-0000-0000-0000-000000000000}"/>
  <bookViews>
    <workbookView xWindow="-110" yWindow="-110" windowWidth="38620" windowHeight="21220" activeTab="3" xr2:uid="{00000000-000D-0000-FFFF-FFFF00000000}"/>
  </bookViews>
  <sheets>
    <sheet name="Main" sheetId="7" r:id="rId1"/>
    <sheet name="Info" sheetId="6" r:id="rId2"/>
    <sheet name="Model" sheetId="5" r:id="rId3"/>
    <sheet name="Missions" sheetId="8" r:id="rId4"/>
    <sheet name="Summary" sheetId="1" r:id="rId5"/>
    <sheet name="Income Statement" sheetId="2" r:id="rId6"/>
    <sheet name="Balance Sheet" sheetId="3" r:id="rId7"/>
    <sheet name="Cash Flow" sheetId="4"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162" i="5" l="1"/>
  <c r="S163" i="5"/>
  <c r="S164" i="5"/>
  <c r="S165" i="5"/>
  <c r="S166" i="5"/>
  <c r="S167" i="5"/>
  <c r="X155" i="5"/>
  <c r="Y155" i="5"/>
  <c r="X156" i="5"/>
  <c r="Y156" i="5"/>
  <c r="W156" i="5"/>
  <c r="W155" i="5"/>
  <c r="D155" i="5"/>
  <c r="E155" i="5"/>
  <c r="F155" i="5"/>
  <c r="G155" i="5"/>
  <c r="H155" i="5"/>
  <c r="I155" i="5"/>
  <c r="J155" i="5"/>
  <c r="D156" i="5"/>
  <c r="E156" i="5"/>
  <c r="F156" i="5"/>
  <c r="G156" i="5"/>
  <c r="H156" i="5"/>
  <c r="I156" i="5"/>
  <c r="J156" i="5"/>
  <c r="C156" i="5"/>
  <c r="C155" i="5"/>
  <c r="K156" i="5"/>
  <c r="D141" i="5"/>
  <c r="D140" i="5"/>
  <c r="L139" i="5"/>
  <c r="L138" i="5"/>
  <c r="L137" i="5"/>
  <c r="L136" i="5"/>
  <c r="L135" i="5"/>
  <c r="L134" i="5"/>
  <c r="L133" i="5"/>
  <c r="L132" i="5"/>
  <c r="L131" i="5"/>
  <c r="L130" i="5"/>
  <c r="L126" i="5"/>
  <c r="L125" i="5"/>
  <c r="L123" i="5"/>
  <c r="L122" i="5"/>
  <c r="L121" i="5"/>
  <c r="L120" i="5"/>
  <c r="L116" i="5"/>
  <c r="L115" i="5"/>
  <c r="L114" i="5"/>
  <c r="L113" i="5"/>
  <c r="L112" i="5"/>
  <c r="L111" i="5"/>
  <c r="L108" i="5"/>
  <c r="L107" i="5"/>
  <c r="L106" i="5"/>
  <c r="L105" i="5"/>
  <c r="L104" i="5"/>
  <c r="L103" i="5"/>
  <c r="L102" i="5"/>
  <c r="L101" i="5"/>
  <c r="L100" i="5"/>
  <c r="L99" i="5"/>
  <c r="L98" i="5"/>
  <c r="L95" i="5"/>
  <c r="L94" i="5"/>
  <c r="L93" i="5"/>
  <c r="L92" i="5"/>
  <c r="L91" i="5"/>
  <c r="L90" i="5"/>
  <c r="K155" i="5"/>
  <c r="Z3" i="5"/>
  <c r="AA3" i="5" s="1"/>
  <c r="AB3" i="5" s="1"/>
  <c r="AC3" i="5" s="1"/>
  <c r="AD3" i="5" s="1"/>
  <c r="AE3" i="5" s="1"/>
  <c r="AF3" i="5" s="1"/>
  <c r="AG3" i="5" s="1"/>
  <c r="AH3" i="5" s="1"/>
  <c r="V3" i="5"/>
  <c r="U3" i="5" s="1"/>
  <c r="T3" i="5" s="1"/>
  <c r="S3" i="5" s="1"/>
  <c r="R3" i="5" s="1"/>
  <c r="Q3" i="5" s="1"/>
  <c r="P3" i="5" s="1"/>
  <c r="O3" i="5" s="1"/>
  <c r="M96" i="5"/>
  <c r="M109" i="5" s="1"/>
  <c r="N96" i="5"/>
  <c r="N109" i="5" s="1"/>
  <c r="O96" i="5"/>
  <c r="O109" i="5" s="1"/>
  <c r="P96" i="5"/>
  <c r="P109" i="5" s="1"/>
  <c r="Q96" i="5"/>
  <c r="Q109" i="5" s="1"/>
  <c r="R96" i="5"/>
  <c r="R109" i="5" s="1"/>
  <c r="S96" i="5"/>
  <c r="S109" i="5" s="1"/>
  <c r="D39" i="5"/>
  <c r="D40" i="5"/>
  <c r="C40" i="5"/>
  <c r="C39" i="5"/>
  <c r="Z39" i="5"/>
  <c r="Z41" i="5" s="1"/>
  <c r="AA39" i="5"/>
  <c r="AA41" i="5" s="1"/>
  <c r="AB39" i="5"/>
  <c r="AB41" i="5" s="1"/>
  <c r="AC39" i="5"/>
  <c r="AC41" i="5" s="1"/>
  <c r="AD39" i="5"/>
  <c r="AD41" i="5" s="1"/>
  <c r="AE39" i="5"/>
  <c r="AE41" i="5" s="1"/>
  <c r="AF39" i="5"/>
  <c r="AF41" i="5" s="1"/>
  <c r="AG39" i="5"/>
  <c r="AG41" i="5" s="1"/>
  <c r="AH39" i="5"/>
  <c r="AH41" i="5" s="1"/>
  <c r="Z40" i="5"/>
  <c r="AA40" i="5"/>
  <c r="AB40" i="5"/>
  <c r="AC40" i="5"/>
  <c r="AD40" i="5"/>
  <c r="AE40" i="5"/>
  <c r="AF40" i="5"/>
  <c r="AG40" i="5"/>
  <c r="AH40" i="5"/>
  <c r="X35" i="5"/>
  <c r="X34" i="5"/>
  <c r="W35" i="5"/>
  <c r="W34" i="5"/>
  <c r="Y35" i="5"/>
  <c r="Y34" i="5"/>
  <c r="Y36" i="5" s="1"/>
  <c r="AH44" i="5"/>
  <c r="X29" i="5"/>
  <c r="X40" i="5" s="1"/>
  <c r="W29" i="5"/>
  <c r="W40" i="5" s="1"/>
  <c r="F29" i="5"/>
  <c r="F39" i="5" s="1"/>
  <c r="G29" i="5"/>
  <c r="G39" i="5" s="1"/>
  <c r="I29" i="5"/>
  <c r="I39" i="5" s="1"/>
  <c r="J29" i="5"/>
  <c r="J39" i="5" s="1"/>
  <c r="K29" i="5"/>
  <c r="K40" i="5" s="1"/>
  <c r="E29" i="5"/>
  <c r="E39" i="5" s="1"/>
  <c r="Y25" i="5"/>
  <c r="Y27" i="5" s="1"/>
  <c r="Y28" i="5" s="1"/>
  <c r="Y18" i="5"/>
  <c r="L18" i="5" s="1"/>
  <c r="L34" i="5" s="1"/>
  <c r="M39" i="5"/>
  <c r="M41" i="5" s="1"/>
  <c r="N39" i="5"/>
  <c r="N41" i="5" s="1"/>
  <c r="O39" i="5"/>
  <c r="M40" i="5"/>
  <c r="N40" i="5"/>
  <c r="O40" i="5"/>
  <c r="O41" i="5"/>
  <c r="M34" i="5"/>
  <c r="N34" i="5"/>
  <c r="O34" i="5"/>
  <c r="M35" i="5"/>
  <c r="N35" i="5"/>
  <c r="O35" i="5"/>
  <c r="M27" i="5"/>
  <c r="M28" i="5" s="1"/>
  <c r="N27" i="5"/>
  <c r="N28" i="5" s="1"/>
  <c r="O27" i="5"/>
  <c r="O28" i="5" s="1"/>
  <c r="L26" i="5"/>
  <c r="M20" i="5"/>
  <c r="M21" i="5" s="1"/>
  <c r="N20" i="5"/>
  <c r="N21" i="5" s="1"/>
  <c r="O20" i="5"/>
  <c r="O21" i="5" s="1"/>
  <c r="L19" i="5"/>
  <c r="X20" i="5"/>
  <c r="X21" i="5" s="1"/>
  <c r="Z20" i="5"/>
  <c r="Z21" i="5" s="1"/>
  <c r="AA20" i="5"/>
  <c r="AA21" i="5" s="1"/>
  <c r="AB20" i="5"/>
  <c r="AB21" i="5" s="1"/>
  <c r="AC20" i="5"/>
  <c r="AC21" i="5" s="1"/>
  <c r="AD20" i="5"/>
  <c r="AD21" i="5" s="1"/>
  <c r="AE20" i="5"/>
  <c r="AE21" i="5" s="1"/>
  <c r="AF20" i="5"/>
  <c r="AF21" i="5" s="1"/>
  <c r="AG20" i="5"/>
  <c r="AG21" i="5" s="1"/>
  <c r="AH20" i="5"/>
  <c r="AH21" i="5" s="1"/>
  <c r="Z27" i="5"/>
  <c r="Z28" i="5" s="1"/>
  <c r="AA27" i="5"/>
  <c r="AA28" i="5" s="1"/>
  <c r="AB27" i="5"/>
  <c r="AB28" i="5" s="1"/>
  <c r="AC27" i="5"/>
  <c r="AC28" i="5" s="1"/>
  <c r="AD27" i="5"/>
  <c r="AD28" i="5" s="1"/>
  <c r="AE27" i="5"/>
  <c r="AE28" i="5" s="1"/>
  <c r="AF27" i="5"/>
  <c r="AF28" i="5" s="1"/>
  <c r="AG27" i="5"/>
  <c r="AG28" i="5" s="1"/>
  <c r="AH27" i="5"/>
  <c r="AH28" i="5" s="1"/>
  <c r="Z36" i="5"/>
  <c r="Z44" i="5" s="1"/>
  <c r="AA36" i="5"/>
  <c r="AA44" i="5" s="1"/>
  <c r="AB36" i="5"/>
  <c r="AB44" i="5" s="1"/>
  <c r="AC36" i="5"/>
  <c r="AC43" i="5" s="1"/>
  <c r="AC45" i="5" s="1"/>
  <c r="AD36" i="5"/>
  <c r="AD44" i="5" s="1"/>
  <c r="AE36" i="5"/>
  <c r="AE44" i="5" s="1"/>
  <c r="AF36" i="5"/>
  <c r="AF44" i="5" s="1"/>
  <c r="AG36" i="5"/>
  <c r="AG43" i="5" s="1"/>
  <c r="AG45" i="5" s="1"/>
  <c r="AH36" i="5"/>
  <c r="AH43" i="5" s="1"/>
  <c r="AH45" i="5" s="1"/>
  <c r="Y140" i="5"/>
  <c r="X127" i="5"/>
  <c r="Y127" i="5"/>
  <c r="W127" i="5"/>
  <c r="D127" i="5"/>
  <c r="E127" i="5"/>
  <c r="F127" i="5"/>
  <c r="G127" i="5"/>
  <c r="H127" i="5"/>
  <c r="I127" i="5"/>
  <c r="J127" i="5"/>
  <c r="C127" i="5"/>
  <c r="K127" i="5"/>
  <c r="Y117" i="5"/>
  <c r="Y96" i="5"/>
  <c r="Y109" i="5" s="1"/>
  <c r="Z96" i="5"/>
  <c r="AA96" i="5"/>
  <c r="AB96" i="5"/>
  <c r="AC96" i="5"/>
  <c r="AD96" i="5"/>
  <c r="L64" i="5"/>
  <c r="L63" i="5"/>
  <c r="L61" i="5"/>
  <c r="L59" i="5"/>
  <c r="L58" i="5"/>
  <c r="L57" i="5"/>
  <c r="L56" i="5"/>
  <c r="L53" i="5"/>
  <c r="L52" i="5"/>
  <c r="E54" i="5"/>
  <c r="F54" i="5"/>
  <c r="G54" i="5"/>
  <c r="I54" i="5"/>
  <c r="J54" i="5"/>
  <c r="K54" i="5"/>
  <c r="M54" i="5"/>
  <c r="N54" i="5"/>
  <c r="O54" i="5"/>
  <c r="E50" i="5"/>
  <c r="E70" i="5" s="1"/>
  <c r="F50" i="5"/>
  <c r="F71" i="5" s="1"/>
  <c r="G50" i="5"/>
  <c r="G71" i="5" s="1"/>
  <c r="I50" i="5"/>
  <c r="J50" i="5"/>
  <c r="K50" i="5"/>
  <c r="M50" i="5"/>
  <c r="N50" i="5"/>
  <c r="O50" i="5"/>
  <c r="L49" i="5"/>
  <c r="L48" i="5"/>
  <c r="Y54" i="5"/>
  <c r="Y148" i="5"/>
  <c r="B6" i="7"/>
  <c r="B5" i="7"/>
  <c r="X80" i="5"/>
  <c r="C140" i="5"/>
  <c r="H26" i="5"/>
  <c r="H25" i="5"/>
  <c r="H35" i="5" s="1"/>
  <c r="H19" i="5"/>
  <c r="H18" i="5"/>
  <c r="H34" i="5" s="1"/>
  <c r="C34" i="5"/>
  <c r="D34" i="5"/>
  <c r="E34" i="5"/>
  <c r="C35" i="5"/>
  <c r="D35" i="5"/>
  <c r="E35" i="5"/>
  <c r="G34" i="5"/>
  <c r="I34" i="5"/>
  <c r="J34" i="5"/>
  <c r="K34" i="5"/>
  <c r="G35" i="5"/>
  <c r="I35" i="5"/>
  <c r="J35" i="5"/>
  <c r="K35" i="5"/>
  <c r="F35" i="5"/>
  <c r="F34" i="5"/>
  <c r="C27" i="5"/>
  <c r="C28" i="5" s="1"/>
  <c r="D27" i="5"/>
  <c r="D28" i="5" s="1"/>
  <c r="E27" i="5"/>
  <c r="E28" i="5" s="1"/>
  <c r="F27" i="5"/>
  <c r="F28" i="5" s="1"/>
  <c r="G27" i="5"/>
  <c r="G28" i="5" s="1"/>
  <c r="I27" i="5"/>
  <c r="I28" i="5" s="1"/>
  <c r="J27" i="5"/>
  <c r="J28" i="5" s="1"/>
  <c r="K27" i="5"/>
  <c r="K28" i="5" s="1"/>
  <c r="C20" i="5"/>
  <c r="C21" i="5" s="1"/>
  <c r="D20" i="5"/>
  <c r="D21" i="5" s="1"/>
  <c r="E20" i="5"/>
  <c r="E21" i="5" s="1"/>
  <c r="F20" i="5"/>
  <c r="F21" i="5" s="1"/>
  <c r="G20" i="5"/>
  <c r="G21" i="5" s="1"/>
  <c r="I20" i="5"/>
  <c r="I21" i="5" s="1"/>
  <c r="J20" i="5"/>
  <c r="J21" i="5" s="1"/>
  <c r="K20" i="5"/>
  <c r="K21" i="5" s="1"/>
  <c r="X27" i="5"/>
  <c r="W27" i="5"/>
  <c r="W28" i="5" s="1"/>
  <c r="W20" i="5"/>
  <c r="W21" i="5" s="1"/>
  <c r="X12" i="5"/>
  <c r="B3" i="7" a="1"/>
  <c r="B3" i="7" s="1"/>
  <c r="B2" i="7" a="1"/>
  <c r="B2" i="7" s="1"/>
  <c r="L117" i="5" l="1"/>
  <c r="L140" i="5"/>
  <c r="L127" i="5"/>
  <c r="J40" i="5"/>
  <c r="I40" i="5"/>
  <c r="G40" i="5"/>
  <c r="F40" i="5"/>
  <c r="L96" i="5"/>
  <c r="X39" i="5"/>
  <c r="W39" i="5"/>
  <c r="AF43" i="5"/>
  <c r="AF45" i="5" s="1"/>
  <c r="AE43" i="5"/>
  <c r="AE45" i="5" s="1"/>
  <c r="AD43" i="5"/>
  <c r="AD45" i="5" s="1"/>
  <c r="AB43" i="5"/>
  <c r="AB45" i="5" s="1"/>
  <c r="AA43" i="5"/>
  <c r="AA45" i="5" s="1"/>
  <c r="K39" i="5"/>
  <c r="AG44" i="5"/>
  <c r="H29" i="5"/>
  <c r="Z43" i="5"/>
  <c r="Z45" i="5" s="1"/>
  <c r="E40" i="5"/>
  <c r="AC44" i="5"/>
  <c r="Y29" i="5"/>
  <c r="Y43" i="5"/>
  <c r="Y44" i="5"/>
  <c r="L25" i="5"/>
  <c r="Y20" i="5"/>
  <c r="Y21" i="5" s="1"/>
  <c r="N55" i="5"/>
  <c r="N60" i="5" s="1"/>
  <c r="N62" i="5" s="1"/>
  <c r="N65" i="5" s="1"/>
  <c r="N66" i="5" s="1"/>
  <c r="M55" i="5"/>
  <c r="M60" i="5" s="1"/>
  <c r="M62" i="5" s="1"/>
  <c r="M65" i="5" s="1"/>
  <c r="M66" i="5" s="1"/>
  <c r="K55" i="5"/>
  <c r="K60" i="5" s="1"/>
  <c r="K62" i="5" s="1"/>
  <c r="K65" i="5" s="1"/>
  <c r="L50" i="5"/>
  <c r="L76" i="5" s="1"/>
  <c r="I55" i="5"/>
  <c r="I60" i="5" s="1"/>
  <c r="I62" i="5" s="1"/>
  <c r="I65" i="5" s="1"/>
  <c r="L80" i="5"/>
  <c r="J55" i="5"/>
  <c r="J60" i="5" s="1"/>
  <c r="J62" i="5" s="1"/>
  <c r="J65" i="5" s="1"/>
  <c r="O36" i="5"/>
  <c r="O44" i="5" s="1"/>
  <c r="N36" i="5"/>
  <c r="N43" i="5" s="1"/>
  <c r="N45" i="5" s="1"/>
  <c r="M36" i="5"/>
  <c r="M44" i="5" s="1"/>
  <c r="N44" i="5"/>
  <c r="M43" i="5"/>
  <c r="M45" i="5" s="1"/>
  <c r="Y143" i="5"/>
  <c r="O55" i="5"/>
  <c r="O60" i="5" s="1"/>
  <c r="O62" i="5" s="1"/>
  <c r="O65" i="5" s="1"/>
  <c r="O66" i="5" s="1"/>
  <c r="Y128" i="5"/>
  <c r="Y141" i="5" s="1"/>
  <c r="K71" i="5"/>
  <c r="J71" i="5"/>
  <c r="J70" i="5"/>
  <c r="L20" i="5"/>
  <c r="L21" i="5" s="1"/>
  <c r="K70" i="5"/>
  <c r="E71" i="5"/>
  <c r="L54" i="5"/>
  <c r="L55" i="5" s="1"/>
  <c r="L60" i="5" s="1"/>
  <c r="L62" i="5" s="1"/>
  <c r="G70" i="5"/>
  <c r="E55" i="5"/>
  <c r="E60" i="5" s="1"/>
  <c r="E62" i="5" s="1"/>
  <c r="E65" i="5" s="1"/>
  <c r="I70" i="5"/>
  <c r="G55" i="5"/>
  <c r="G60" i="5" s="1"/>
  <c r="G62" i="5" s="1"/>
  <c r="G65" i="5" s="1"/>
  <c r="F70" i="5"/>
  <c r="F55" i="5"/>
  <c r="F60" i="5" s="1"/>
  <c r="F62" i="5" s="1"/>
  <c r="F65" i="5" s="1"/>
  <c r="I71" i="5"/>
  <c r="F36" i="5"/>
  <c r="F44" i="5" s="1"/>
  <c r="C36" i="5"/>
  <c r="C44" i="5" s="1"/>
  <c r="D36" i="5"/>
  <c r="D43" i="5" s="1"/>
  <c r="D45" i="5" s="1"/>
  <c r="K36" i="5"/>
  <c r="K43" i="5" s="1"/>
  <c r="H27" i="5"/>
  <c r="H28" i="5" s="1"/>
  <c r="J36" i="5"/>
  <c r="J44" i="5" s="1"/>
  <c r="H20" i="5"/>
  <c r="H21" i="5" s="1"/>
  <c r="E36" i="5"/>
  <c r="E44" i="5" s="1"/>
  <c r="X28" i="5"/>
  <c r="G36" i="5"/>
  <c r="G44" i="5" s="1"/>
  <c r="H36" i="5"/>
  <c r="H44" i="5" s="1"/>
  <c r="I36" i="5"/>
  <c r="I44" i="5" s="1"/>
  <c r="W36" i="5"/>
  <c r="W44" i="5" s="1"/>
  <c r="X36" i="5"/>
  <c r="X44" i="5" s="1"/>
  <c r="B4" i="7"/>
  <c r="B7" i="7" s="1"/>
  <c r="B9" i="7" s="1"/>
  <c r="L143" i="5" l="1"/>
  <c r="L128" i="5"/>
  <c r="L141" i="5" s="1"/>
  <c r="L70" i="5"/>
  <c r="L109" i="5"/>
  <c r="L35" i="5"/>
  <c r="L36" i="5" s="1"/>
  <c r="L44" i="5" s="1"/>
  <c r="L29" i="5"/>
  <c r="H39" i="5"/>
  <c r="H40" i="5"/>
  <c r="Y45" i="5"/>
  <c r="Y40" i="5"/>
  <c r="Y39" i="5"/>
  <c r="L27" i="5"/>
  <c r="L28" i="5" s="1"/>
  <c r="L71" i="5"/>
  <c r="O43" i="5"/>
  <c r="O45" i="5" s="1"/>
  <c r="L65" i="5"/>
  <c r="L66" i="5" s="1"/>
  <c r="L77" i="5"/>
  <c r="L81" i="5"/>
  <c r="J43" i="5"/>
  <c r="J45" i="5" s="1"/>
  <c r="K44" i="5"/>
  <c r="K45" i="5" s="1"/>
  <c r="D44" i="5"/>
  <c r="F43" i="5"/>
  <c r="F45" i="5" s="1"/>
  <c r="C43" i="5"/>
  <c r="C45" i="5" s="1"/>
  <c r="I43" i="5"/>
  <c r="I45" i="5" s="1"/>
  <c r="H43" i="5"/>
  <c r="H45" i="5" s="1"/>
  <c r="E43" i="5"/>
  <c r="E45" i="5" s="1"/>
  <c r="G43" i="5"/>
  <c r="G45" i="5" s="1"/>
  <c r="W43" i="5"/>
  <c r="W45" i="5" s="1"/>
  <c r="X43" i="5"/>
  <c r="X45" i="5" s="1"/>
  <c r="L43" i="5" l="1"/>
  <c r="L45" i="5" s="1"/>
  <c r="Y41" i="5"/>
  <c r="L40" i="5"/>
  <c r="L39" i="5"/>
  <c r="L41" i="5" s="1"/>
  <c r="F80" i="5"/>
  <c r="G80" i="5"/>
  <c r="J80" i="5"/>
  <c r="K80" i="5"/>
  <c r="D61" i="5"/>
  <c r="D59" i="5"/>
  <c r="D58" i="5"/>
  <c r="D57" i="5"/>
  <c r="D56" i="5"/>
  <c r="D53" i="5"/>
  <c r="D52" i="5"/>
  <c r="D49" i="5"/>
  <c r="D48" i="5"/>
  <c r="D11" i="5"/>
  <c r="D117" i="5"/>
  <c r="D128" i="5" s="1"/>
  <c r="D96" i="5"/>
  <c r="H47" i="5"/>
  <c r="H48" i="5"/>
  <c r="H49" i="5"/>
  <c r="H52" i="5"/>
  <c r="H53" i="5"/>
  <c r="H56" i="5"/>
  <c r="H57" i="5"/>
  <c r="H58" i="5"/>
  <c r="H59" i="5"/>
  <c r="H61" i="5"/>
  <c r="H63" i="5"/>
  <c r="H64" i="5"/>
  <c r="H67" i="5"/>
  <c r="C13" i="5"/>
  <c r="E13" i="5"/>
  <c r="F13" i="5"/>
  <c r="G13" i="5"/>
  <c r="I13" i="5"/>
  <c r="J13" i="5"/>
  <c r="K13" i="5"/>
  <c r="C54" i="5"/>
  <c r="C50" i="5"/>
  <c r="E76" i="5"/>
  <c r="F76" i="5"/>
  <c r="G76" i="5"/>
  <c r="I76" i="5"/>
  <c r="J76" i="5"/>
  <c r="K76" i="5"/>
  <c r="H140" i="5"/>
  <c r="H117" i="5"/>
  <c r="H96" i="5"/>
  <c r="C148" i="5"/>
  <c r="D148" i="5"/>
  <c r="E148" i="5"/>
  <c r="F148" i="5"/>
  <c r="G148" i="5"/>
  <c r="H148" i="5"/>
  <c r="I148" i="5"/>
  <c r="J148" i="5"/>
  <c r="K148" i="5"/>
  <c r="C117" i="5"/>
  <c r="E117" i="5"/>
  <c r="F117" i="5"/>
  <c r="G117" i="5"/>
  <c r="I117" i="5"/>
  <c r="J117" i="5"/>
  <c r="E140" i="5"/>
  <c r="F140" i="5"/>
  <c r="G140" i="5"/>
  <c r="I140" i="5"/>
  <c r="J140" i="5"/>
  <c r="K140" i="5"/>
  <c r="K117" i="5"/>
  <c r="K128" i="5" s="1"/>
  <c r="C96" i="5"/>
  <c r="E96" i="5"/>
  <c r="F96" i="5"/>
  <c r="G96" i="5"/>
  <c r="I96" i="5"/>
  <c r="J96" i="5"/>
  <c r="K96" i="5"/>
  <c r="K109" i="5" s="1"/>
  <c r="W148" i="5"/>
  <c r="X148" i="5"/>
  <c r="W54" i="5"/>
  <c r="X54" i="5"/>
  <c r="W50" i="5"/>
  <c r="Y50" i="5"/>
  <c r="X50" i="5"/>
  <c r="H128" i="5" l="1"/>
  <c r="H141" i="5" s="1"/>
  <c r="G128" i="5"/>
  <c r="G141" i="5" s="1"/>
  <c r="C128" i="5"/>
  <c r="C141" i="5" s="1"/>
  <c r="F128" i="5"/>
  <c r="F141" i="5" s="1"/>
  <c r="E128" i="5"/>
  <c r="E141" i="5" s="1"/>
  <c r="J128" i="5"/>
  <c r="J141" i="5" s="1"/>
  <c r="I128" i="5"/>
  <c r="I141" i="5" s="1"/>
  <c r="D54" i="5"/>
  <c r="X70" i="5"/>
  <c r="X71" i="5"/>
  <c r="H54" i="5"/>
  <c r="Y55" i="5"/>
  <c r="Y60" i="5" s="1"/>
  <c r="Y62" i="5" s="1"/>
  <c r="Y65" i="5" s="1"/>
  <c r="Y66" i="5" s="1"/>
  <c r="Y71" i="5"/>
  <c r="Y70" i="5"/>
  <c r="D80" i="5"/>
  <c r="D50" i="5"/>
  <c r="W71" i="5"/>
  <c r="W70" i="5"/>
  <c r="C76" i="5"/>
  <c r="C70" i="5"/>
  <c r="C71" i="5"/>
  <c r="I80" i="5"/>
  <c r="H50" i="5"/>
  <c r="H70" i="5" s="1"/>
  <c r="E109" i="5"/>
  <c r="E143" i="5"/>
  <c r="C109" i="5"/>
  <c r="C143" i="5"/>
  <c r="H109" i="5"/>
  <c r="H143" i="5"/>
  <c r="K143" i="5"/>
  <c r="J109" i="5"/>
  <c r="J143" i="5"/>
  <c r="I109" i="5"/>
  <c r="I143" i="5"/>
  <c r="D109" i="5"/>
  <c r="D143" i="5"/>
  <c r="F109" i="5"/>
  <c r="F143" i="5"/>
  <c r="G109" i="5"/>
  <c r="G143" i="5"/>
  <c r="W55" i="5"/>
  <c r="W60" i="5" s="1"/>
  <c r="W62" i="5" s="1"/>
  <c r="W65" i="5" s="1"/>
  <c r="W66" i="5" s="1"/>
  <c r="D13" i="5"/>
  <c r="G41" i="5"/>
  <c r="H80" i="5"/>
  <c r="E80" i="5"/>
  <c r="C55" i="5"/>
  <c r="C60" i="5" s="1"/>
  <c r="C62" i="5" s="1"/>
  <c r="F81" i="5"/>
  <c r="X55" i="5"/>
  <c r="H76" i="5" l="1"/>
  <c r="H71" i="5"/>
  <c r="D70" i="5"/>
  <c r="D55" i="5"/>
  <c r="D60" i="5" s="1"/>
  <c r="D62" i="5" s="1"/>
  <c r="D65" i="5" s="1"/>
  <c r="D66" i="5" s="1"/>
  <c r="D76" i="5"/>
  <c r="H55" i="5"/>
  <c r="H60" i="5" s="1"/>
  <c r="H62" i="5" s="1"/>
  <c r="H65" i="5" s="1"/>
  <c r="H66" i="5" s="1"/>
  <c r="D71" i="5"/>
  <c r="I41" i="5"/>
  <c r="C41" i="5"/>
  <c r="D41" i="5"/>
  <c r="E41" i="5"/>
  <c r="K41" i="5"/>
  <c r="J41" i="5"/>
  <c r="G81" i="5"/>
  <c r="F41" i="5"/>
  <c r="J81" i="5"/>
  <c r="K66" i="5"/>
  <c r="K81" i="5"/>
  <c r="K77" i="5"/>
  <c r="G66" i="5"/>
  <c r="G77" i="5"/>
  <c r="D77" i="5"/>
  <c r="J66" i="5"/>
  <c r="J77" i="5"/>
  <c r="E66" i="5"/>
  <c r="E77" i="5"/>
  <c r="F66" i="5"/>
  <c r="F77" i="5"/>
  <c r="I66" i="5"/>
  <c r="I77" i="5"/>
  <c r="C65" i="5"/>
  <c r="C66" i="5" s="1"/>
  <c r="C77" i="5"/>
  <c r="X60" i="5"/>
  <c r="K141" i="5"/>
  <c r="W140" i="5"/>
  <c r="X140" i="5"/>
  <c r="W135" i="5"/>
  <c r="W96" i="5"/>
  <c r="W117" i="5"/>
  <c r="W128" i="5" s="1"/>
  <c r="X117" i="5"/>
  <c r="X96" i="5"/>
  <c r="W12" i="5"/>
  <c r="W11" i="5"/>
  <c r="H12" i="5"/>
  <c r="X11" i="5"/>
  <c r="B31" i="2"/>
  <c r="X128" i="5" l="1"/>
  <c r="X141" i="5" s="1"/>
  <c r="D81" i="5"/>
  <c r="E81" i="5"/>
  <c r="X109" i="5"/>
  <c r="X143" i="5"/>
  <c r="W109" i="5"/>
  <c r="W143" i="5"/>
  <c r="W141" i="5"/>
  <c r="X13" i="5"/>
  <c r="H11" i="5"/>
  <c r="X62" i="5"/>
  <c r="X81" i="5" s="1"/>
  <c r="W13" i="5"/>
  <c r="H13" i="5" l="1"/>
  <c r="W41" i="5"/>
  <c r="X65" i="5"/>
  <c r="X41" i="5" l="1"/>
  <c r="H41" i="5"/>
  <c r="H77" i="5"/>
  <c r="H81" i="5"/>
  <c r="I81" i="5"/>
  <c r="X6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7" authorId="0" shapeId="0" xr:uid="{D2CB1D0E-B954-4F51-ABB2-12F36F12A2D3}">
      <text>
        <r>
          <rPr>
            <b/>
            <sz val="9"/>
            <color indexed="81"/>
            <rFont val="Tahoma"/>
            <family val="2"/>
          </rPr>
          <t>William:</t>
        </r>
        <r>
          <rPr>
            <sz val="9"/>
            <color indexed="81"/>
            <rFont val="Tahoma"/>
            <family val="2"/>
          </rPr>
          <t xml:space="preserve">
"Point-in-time": Cash payments initially accrued to the balance sheet as "deferred revenue" as contractual milestones are accomplished and then recognized as revnue once the final contractual obligation is completed.</t>
        </r>
      </text>
    </comment>
    <comment ref="B8" authorId="0" shapeId="0" xr:uid="{6CC2FA6A-E21A-4830-8E6A-8483322637DB}">
      <text>
        <r>
          <rPr>
            <b/>
            <sz val="9"/>
            <color indexed="81"/>
            <rFont val="Tahoma"/>
            <family val="2"/>
          </rPr>
          <t>William:</t>
        </r>
        <r>
          <rPr>
            <sz val="9"/>
            <color indexed="81"/>
            <rFont val="Tahoma"/>
            <family val="2"/>
          </rPr>
          <t xml:space="preserve">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15" authorId="0" shapeId="0" xr:uid="{ACFC848B-258B-4439-B917-12D27C6AB2CF}">
      <text>
        <r>
          <rPr>
            <b/>
            <sz val="9"/>
            <color indexed="81"/>
            <rFont val="Tahoma"/>
            <family val="2"/>
          </rPr>
          <t>William:</t>
        </r>
        <r>
          <rPr>
            <sz val="9"/>
            <color indexed="81"/>
            <rFont val="Tahoma"/>
            <family val="2"/>
          </rPr>
          <t xml:space="preserve">
Launch Services provides launch services to cusomerts on a dedicated mission or ride share basis.</t>
        </r>
      </text>
    </comment>
    <comment ref="B22" authorId="0" shapeId="0" xr:uid="{2410F45C-9345-4B4B-B39A-6B5E6EFD7347}">
      <text>
        <r>
          <rPr>
            <b/>
            <sz val="9"/>
            <color indexed="81"/>
            <rFont val="Tahoma"/>
            <family val="2"/>
          </rPr>
          <t>William:</t>
        </r>
        <r>
          <rPr>
            <sz val="9"/>
            <color indexed="81"/>
            <rFont val="Tahoma"/>
            <family val="2"/>
          </rPr>
          <t xml:space="preserve">
Space Systems is comprised of:
- space engineering 
- program management 
- spacecraft components 
- spacecraft manufacturing 
- mission operations</t>
        </r>
      </text>
    </comment>
    <comment ref="B67" authorId="0" shapeId="0" xr:uid="{E929AA25-31BF-4ADC-86A0-3E49387F5C0E}">
      <text>
        <r>
          <rPr>
            <b/>
            <sz val="9"/>
            <color indexed="81"/>
            <rFont val="Tahoma"/>
            <family val="2"/>
          </rPr>
          <t>William:</t>
        </r>
        <r>
          <rPr>
            <sz val="9"/>
            <color indexed="81"/>
            <rFont val="Tahoma"/>
            <family val="2"/>
          </rPr>
          <t xml:space="preserve">
In thousands.
Ex: 209,895 = 209 million shares</t>
        </r>
      </text>
    </comment>
    <comment ref="B146" authorId="0" shapeId="0" xr:uid="{BF8AAA1A-F812-48F1-95EC-EE410D7097DA}">
      <text>
        <r>
          <rPr>
            <b/>
            <sz val="9"/>
            <color indexed="81"/>
            <rFont val="Tahoma"/>
            <family val="2"/>
          </rPr>
          <t>William:</t>
        </r>
        <r>
          <rPr>
            <sz val="9"/>
            <color indexed="81"/>
            <rFont val="Tahoma"/>
            <family val="2"/>
          </rPr>
          <t xml:space="preserve">
"CASH FLOWS FROM INVESTING ACTIVITIES"</t>
        </r>
      </text>
    </comment>
    <comment ref="B147" authorId="0" shapeId="0" xr:uid="{141F7D1F-36CB-4EBF-A039-64214DD617A6}">
      <text>
        <r>
          <rPr>
            <b/>
            <sz val="9"/>
            <color indexed="81"/>
            <rFont val="Tahoma"/>
            <family val="2"/>
          </rPr>
          <t>William:</t>
        </r>
        <r>
          <rPr>
            <sz val="9"/>
            <color indexed="81"/>
            <rFont val="Tahoma"/>
            <family val="2"/>
          </rPr>
          <t xml:space="preserve">
"Purchases of property, equipment, and software"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<sst xmlns="http://schemas.openxmlformats.org/spreadsheetml/2006/main" count="1119" uniqueCount="446">
  <si>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</si>
  <si>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</si>
  <si>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</si>
  <si>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</si>
  <si>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</si>
  <si>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</si>
  <si>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</si>
  <si>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</si>
  <si>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</si>
  <si>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</si>
  <si>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</si>
  <si>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</si>
  <si>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</si>
  <si>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</si>
  <si>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</si>
  <si>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</si>
  <si>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</si>
  <si>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</si>
  <si>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</si>
  <si>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</si>
  <si>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</si>
  <si>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</si>
  <si>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</si>
  <si>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</si>
  <si>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 -</t>
  </si>
  <si>
    <t>0.13</t>
  </si>
  <si>
    <t>(0.25)</t>
  </si>
  <si>
    <t>(0.21)</t>
  </si>
  <si>
    <t>0.06</t>
  </si>
  <si>
    <t>1.50</t>
  </si>
  <si>
    <t>465</t>
  </si>
  <si>
    <t>(53.1)</t>
  </si>
  <si>
    <t>(1.8)</t>
  </si>
  <si>
    <t>62</t>
  </si>
  <si>
    <t>(164.0)%</t>
  </si>
  <si>
    <t>11</t>
  </si>
  <si>
    <t>(117)</t>
  </si>
  <si>
    <t>(6.0)%</t>
  </si>
  <si>
    <t>(188.5)%</t>
  </si>
  <si>
    <t>678</t>
  </si>
  <si>
    <t>698</t>
  </si>
  <si>
    <t>(12.4)%</t>
  </si>
  <si>
    <t>(10.6)%</t>
  </si>
  <si>
    <t>(16.8)%</t>
  </si>
  <si>
    <t>100.0%</t>
  </si>
  <si>
    <t>0.43</t>
  </si>
  <si>
    <t>(0.60)</t>
  </si>
  <si>
    <t>(0.53)</t>
  </si>
  <si>
    <t>2.05</t>
  </si>
  <si>
    <t>344</t>
  </si>
  <si>
    <t>(19.5)</t>
  </si>
  <si>
    <t>(0.9)</t>
  </si>
  <si>
    <t>148</t>
  </si>
  <si>
    <t>(295.5)%</t>
  </si>
  <si>
    <t>25</t>
  </si>
  <si>
    <t>(169)</t>
  </si>
  <si>
    <t>(17.6)%</t>
  </si>
  <si>
    <t>(458.3)%</t>
  </si>
  <si>
    <t>562</t>
  </si>
  <si>
    <t>46</t>
  </si>
  <si>
    <t>713</t>
  </si>
  <si>
    <t>(20.3)%</t>
  </si>
  <si>
    <t>(14.8)%</t>
  </si>
  <si>
    <t>(23.7)%</t>
  </si>
  <si>
    <t>2021</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</si>
  <si>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</si>
  <si>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</si>
  <si>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</si>
  <si>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</si>
  <si>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</si>
  <si>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</si>
  <si>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</si>
  <si>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</si>
  <si>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</si>
  <si>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</si>
  <si>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</si>
  <si>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</si>
  <si>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</si>
  <si>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</si>
  <si>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</si>
  <si>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</si>
  <si>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</si>
  <si>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</si>
  <si>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</si>
  <si>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</si>
  <si>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</si>
  <si>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</si>
  <si>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</si>
  <si>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</si>
  <si>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</si>
  <si>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</si>
  <si>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</si>
  <si>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</si>
  <si>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64</t>
  </si>
  <si>
    <t>(2)</t>
  </si>
  <si>
    <t>(3.04)%</t>
  </si>
  <si>
    <t>100</t>
  </si>
  <si>
    <t>42</t>
  </si>
  <si>
    <t>58</t>
  </si>
  <si>
    <t>164</t>
  </si>
  <si>
    <t>6</t>
  </si>
  <si>
    <t>(93)</t>
  </si>
  <si>
    <t>(149.14)%</t>
  </si>
  <si>
    <t>(102)</t>
  </si>
  <si>
    <t>(163.97)%</t>
  </si>
  <si>
    <t>(23)</t>
  </si>
  <si>
    <t>(125)</t>
  </si>
  <si>
    <t>(200.59)%</t>
  </si>
  <si>
    <t>8</t>
  </si>
  <si>
    <t>(188.51)%</t>
  </si>
  <si>
    <t>(0.00)</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</si>
  <si>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</si>
  <si>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</si>
  <si>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</si>
  <si>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</si>
  <si>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</si>
  <si>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</si>
  <si>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</si>
  <si>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</si>
  <si>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</si>
  <si>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</si>
  <si>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</si>
  <si>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</si>
  <si>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</si>
  <si>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</si>
  <si>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</si>
  <si>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</si>
  <si>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</si>
  <si>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</si>
  <si>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</si>
  <si>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</si>
  <si>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</si>
  <si>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</si>
  <si>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</si>
  <si>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</si>
  <si>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</si>
  <si>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</si>
  <si>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</si>
  <si>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</si>
  <si>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</si>
  <si>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</si>
  <si>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</si>
  <si>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</si>
  <si>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</si>
  <si>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</si>
  <si>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</si>
  <si>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</si>
  <si>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</si>
  <si>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</si>
  <si>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</si>
  <si>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691</t>
  </si>
  <si>
    <t>14</t>
  </si>
  <si>
    <t>48</t>
  </si>
  <si>
    <t>22</t>
  </si>
  <si>
    <t>775</t>
  </si>
  <si>
    <t>94</t>
  </si>
  <si>
    <t>43</t>
  </si>
  <si>
    <t>57</t>
  </si>
  <si>
    <t>101</t>
  </si>
  <si>
    <t>206</t>
  </si>
  <si>
    <t>981</t>
  </si>
  <si>
    <t>3</t>
  </si>
  <si>
    <t>90</t>
  </si>
  <si>
    <t>96</t>
  </si>
  <si>
    <t>0</t>
  </si>
  <si>
    <t>186</t>
  </si>
  <si>
    <t>282</t>
  </si>
  <si>
    <t>(305)</t>
  </si>
  <si>
    <t>1</t>
  </si>
  <si>
    <t>1,002</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</si>
  <si>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</si>
  <si>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</si>
  <si>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</si>
  <si>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</si>
  <si>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</si>
  <si>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</si>
  <si>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</si>
  <si>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</si>
  <si>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</si>
  <si>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</si>
  <si>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</si>
  <si>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</si>
  <si>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</si>
  <si>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</si>
  <si>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</si>
  <si>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</si>
  <si>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</si>
  <si>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</si>
  <si>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</si>
  <si>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</si>
  <si>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</si>
  <si>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</si>
  <si>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</si>
  <si>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</si>
  <si>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(10)</t>
  </si>
  <si>
    <t>33</t>
  </si>
  <si>
    <t>(8)</t>
  </si>
  <si>
    <t>(13)</t>
  </si>
  <si>
    <t>28</t>
  </si>
  <si>
    <t>20</t>
  </si>
  <si>
    <t>(72)</t>
  </si>
  <si>
    <t>(26)</t>
  </si>
  <si>
    <t>(66)</t>
  </si>
  <si>
    <t>(92)</t>
  </si>
  <si>
    <t>797</t>
  </si>
  <si>
    <t>800</t>
  </si>
  <si>
    <t>2</t>
  </si>
  <si>
    <t>638</t>
  </si>
  <si>
    <t>692</t>
  </si>
  <si>
    <t>(97)</t>
  </si>
  <si>
    <t>Gross Margin</t>
  </si>
  <si>
    <t>Period of Report</t>
  </si>
  <si>
    <t>Quarter</t>
  </si>
  <si>
    <t>Filing Date</t>
  </si>
  <si>
    <t>Income Statement</t>
  </si>
  <si>
    <t>Cash Flow</t>
  </si>
  <si>
    <t>COGs</t>
  </si>
  <si>
    <t>R&amp;D</t>
  </si>
  <si>
    <t>SG&amp;A</t>
  </si>
  <si>
    <t>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</si>
  <si>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</si>
  <si>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</si>
  <si>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</si>
  <si>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</si>
  <si>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</si>
  <si>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</si>
  <si>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</si>
  <si>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Foregin currency translation income</t>
  </si>
  <si>
    <t>Comprehensive income</t>
  </si>
  <si>
    <t>Shares</t>
  </si>
  <si>
    <t>Cash and cash equiv</t>
  </si>
  <si>
    <t>AR</t>
  </si>
  <si>
    <t>Contract assets</t>
  </si>
  <si>
    <t>Inventories</t>
  </si>
  <si>
    <t>Prepaids and other current assets</t>
  </si>
  <si>
    <t>Total current assets</t>
  </si>
  <si>
    <t>Intangible assets</t>
  </si>
  <si>
    <t>Right-of-use assets - operating lease</t>
  </si>
  <si>
    <t>Restricted cash</t>
  </si>
  <si>
    <t>Deferred income tax assets</t>
  </si>
  <si>
    <t>Other non-current assets</t>
  </si>
  <si>
    <t>Total assets</t>
  </si>
  <si>
    <t>Trade payables</t>
  </si>
  <si>
    <t>Accrued expenses</t>
  </si>
  <si>
    <t>Employee benefits payable</t>
  </si>
  <si>
    <t>Contract liabilities</t>
  </si>
  <si>
    <t>Current installment of long-term borrowings</t>
  </si>
  <si>
    <t>Other current liabilities</t>
  </si>
  <si>
    <t>Total current liabilities</t>
  </si>
  <si>
    <t>Long-term borrowings, excluding current installments</t>
  </si>
  <si>
    <t>Non-current lease liabilities</t>
  </si>
  <si>
    <t>Deferred tax liabilities</t>
  </si>
  <si>
    <t>Public and private warrant liabilities</t>
  </si>
  <si>
    <t>Other non-current liabilities</t>
  </si>
  <si>
    <t>Total liabilities</t>
  </si>
  <si>
    <t>Series A</t>
  </si>
  <si>
    <t>Series B</t>
  </si>
  <si>
    <t>Seried C</t>
  </si>
  <si>
    <t>Series D</t>
  </si>
  <si>
    <t>Additional paid-in capital</t>
  </si>
  <si>
    <t>Accumulated deficit</t>
  </si>
  <si>
    <t>Accumulated other comprehensive income</t>
  </si>
  <si>
    <t>Total stockholders' equity (deficit)</t>
  </si>
  <si>
    <t>Total liabilities and stockholder equity</t>
  </si>
  <si>
    <t>Revenue Breakdown</t>
  </si>
  <si>
    <t>Launch Services - Point-in-time</t>
  </si>
  <si>
    <t>Launch Services - Over-time</t>
  </si>
  <si>
    <t>Space Systems - Point-in-time</t>
  </si>
  <si>
    <t>Space Systems - Over-time</t>
  </si>
  <si>
    <t>Total - Point-in-time</t>
  </si>
  <si>
    <t>Total - Over-time</t>
  </si>
  <si>
    <t>Total</t>
  </si>
  <si>
    <t>Series E &amp; E-1</t>
  </si>
  <si>
    <t>Operating Cash Flow</t>
  </si>
  <si>
    <t>CapEx</t>
  </si>
  <si>
    <t>FCF</t>
  </si>
  <si>
    <t>Marketable securities</t>
  </si>
  <si>
    <t>Right-of-use assets - finance lease</t>
  </si>
  <si>
    <t>Non-current finance lease liabilities</t>
  </si>
  <si>
    <t>-</t>
  </si>
  <si>
    <t>Unrealized loss on available-for-sale marketable securities</t>
  </si>
  <si>
    <t>Ratios</t>
  </si>
  <si>
    <t>Gross Profit Margin</t>
  </si>
  <si>
    <t>Net Profit Margin</t>
  </si>
  <si>
    <t>Investments held in trust accounts</t>
  </si>
  <si>
    <t>Warrant liabilities</t>
  </si>
  <si>
    <t>Deferred underwriting fee payable</t>
  </si>
  <si>
    <t>R&amp;D y/y</t>
  </si>
  <si>
    <t>Revenue y/y</t>
  </si>
  <si>
    <t>Net income y/y</t>
  </si>
  <si>
    <t>Q322</t>
  </si>
  <si>
    <t>Q222</t>
  </si>
  <si>
    <t>Q122</t>
  </si>
  <si>
    <t>Q421</t>
  </si>
  <si>
    <t>Q321</t>
  </si>
  <si>
    <t>Q221</t>
  </si>
  <si>
    <t>Q121</t>
  </si>
  <si>
    <t>Q420</t>
  </si>
  <si>
    <t>Q320</t>
  </si>
  <si>
    <t xml:space="preserve">  </t>
  </si>
  <si>
    <t>RKLB</t>
  </si>
  <si>
    <t>Price</t>
  </si>
  <si>
    <t>MC</t>
  </si>
  <si>
    <t>Cash</t>
  </si>
  <si>
    <t>Debt</t>
  </si>
  <si>
    <t>EV</t>
  </si>
  <si>
    <t>Company Name</t>
  </si>
  <si>
    <t>Ticker</t>
  </si>
  <si>
    <t>Country</t>
  </si>
  <si>
    <t>Sector</t>
  </si>
  <si>
    <t>Industry</t>
  </si>
  <si>
    <t>Industrials</t>
  </si>
  <si>
    <t>Aerospace &amp; Defense</t>
  </si>
  <si>
    <t>USA</t>
  </si>
  <si>
    <t xml:space="preserve">Rocket Lab USA, Inc. </t>
  </si>
  <si>
    <t>Acquisitions</t>
  </si>
  <si>
    <t xml:space="preserve"> </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</si>
  <si>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</si>
  <si>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Notable Mentions</t>
  </si>
  <si>
    <t>32 launches with electron rocket, 3 failures</t>
  </si>
  <si>
    <t>152 satelites deployed for customers such as NASA, Space Force, DARPA, Blacksky, Canon, and more</t>
  </si>
  <si>
    <t>Varda Space Industries is using Rocketlab's Photon spacecraft for their "in-space" manufacturing.</t>
  </si>
  <si>
    <t>Space Systems</t>
  </si>
  <si>
    <t>SOLIS</t>
  </si>
  <si>
    <t>Max Flight Software</t>
  </si>
  <si>
    <t>Max Ground Data System</t>
  </si>
  <si>
    <t>Rocketlab's space software has been used for an accumulative 176 years, 251 days. ( as of 2022-12-22)</t>
  </si>
  <si>
    <t>Revenue Mix</t>
  </si>
  <si>
    <t>Launch Services</t>
  </si>
  <si>
    <t>% Mix</t>
  </si>
  <si>
    <t>Point-in-time</t>
  </si>
  <si>
    <t>Over-time</t>
  </si>
  <si>
    <t>Cost of Revenue</t>
  </si>
  <si>
    <t>Margin</t>
  </si>
  <si>
    <t>*Cash held in trust account</t>
  </si>
  <si>
    <t>Class A shares possible to redemption</t>
  </si>
  <si>
    <t>Leading space solar power provider</t>
  </si>
  <si>
    <t xml:space="preserve">Lightband Separtion Systems enable customers to lower their mission costs and streamline payload integration from days to just minutes. Over 20 years of service with 100% success rate. </t>
  </si>
  <si>
    <t>Planetary Systems Corporation (Payload separation)</t>
  </si>
  <si>
    <t>SolAero (Solar cells)</t>
  </si>
  <si>
    <t>Advanced Solutions, Inc. (Flight software for spacecraft)</t>
  </si>
  <si>
    <t>Sinclair Interplanetary (Space hardware)</t>
  </si>
  <si>
    <t>Electron</t>
  </si>
  <si>
    <t>Launches (1/8/2022)</t>
  </si>
  <si>
    <t>Satellites deployed</t>
  </si>
  <si>
    <t>Rockets   (As of 1/8/2022)</t>
  </si>
  <si>
    <t>Payload to LEO</t>
  </si>
  <si>
    <t>300kg / 661lb</t>
  </si>
  <si>
    <t xml:space="preserve">Neutron </t>
  </si>
  <si>
    <t>13000kg</t>
  </si>
  <si>
    <t>Acquisition Date</t>
  </si>
  <si>
    <t>Description</t>
  </si>
  <si>
    <t>Balance Sheet *in thousands</t>
  </si>
  <si>
    <t>Current Ratio</t>
  </si>
  <si>
    <t>EV/Share</t>
  </si>
  <si>
    <t>Current Liabilities</t>
  </si>
  <si>
    <t>Non-current Liabilities</t>
  </si>
  <si>
    <t>Equity</t>
  </si>
  <si>
    <t>Total Operating expenses</t>
  </si>
  <si>
    <t>Operating Expenses/Gross Profit</t>
  </si>
  <si>
    <t>R&amp;D / Gross Profit</t>
  </si>
  <si>
    <t>SG&amp;A / Gross Profit</t>
  </si>
  <si>
    <t>Total Non-current Liabilities</t>
  </si>
  <si>
    <t>Over-time Contract</t>
  </si>
  <si>
    <t>Point-in-time Contract</t>
  </si>
  <si>
    <t>Total Revenues</t>
  </si>
  <si>
    <t>Space Systems Gross profit (loss)</t>
  </si>
  <si>
    <t>Launch Services Gross profit (loss)</t>
  </si>
  <si>
    <t>Launch Services Revenue</t>
  </si>
  <si>
    <t>Space Systems Revenue</t>
  </si>
  <si>
    <t>Market Price</t>
  </si>
  <si>
    <t>Stock Statistics</t>
  </si>
  <si>
    <t>Cash/sh</t>
  </si>
  <si>
    <t>Debt/sh</t>
  </si>
  <si>
    <t>Market Cap</t>
  </si>
  <si>
    <t>Launch Sites</t>
  </si>
  <si>
    <t>Launch Complex 1</t>
  </si>
  <si>
    <t>Location</t>
  </si>
  <si>
    <t>New Zealand</t>
  </si>
  <si>
    <t>Region</t>
  </si>
  <si>
    <t>North Island - Māhia Peninsula</t>
  </si>
  <si>
    <t>Date est.</t>
  </si>
  <si>
    <t>Launch Complex 2</t>
  </si>
  <si>
    <t>Virginia</t>
  </si>
  <si>
    <t xml:space="preserve">Missions </t>
  </si>
  <si>
    <t>Launch Site</t>
  </si>
  <si>
    <t>Neutron Debut Flight - Neutron</t>
  </si>
  <si>
    <t>Date</t>
  </si>
  <si>
    <t>Q223</t>
  </si>
  <si>
    <t>"The Beat Goes On" - Electron</t>
  </si>
  <si>
    <t>TROPICS Flight 2 - Electron</t>
  </si>
  <si>
    <t>TROPICS Flight 3 - Electron</t>
  </si>
  <si>
    <r>
      <t>2023-03-11,</t>
    </r>
    <r>
      <rPr>
        <sz val="7"/>
        <color rgb="FFC792EA"/>
        <rFont val="Consolas"/>
        <family val="3"/>
      </rPr>
      <t>05:50:05,</t>
    </r>
    <r>
      <rPr>
        <sz val="7"/>
        <color rgb="FF82AAFF"/>
        <rFont val="Consolas"/>
        <family val="3"/>
      </rPr>
      <t>5056970476,</t>
    </r>
    <r>
      <rPr>
        <i/>
        <sz val="7"/>
        <color rgb="FF676E95"/>
        <rFont val="Consolas"/>
        <family val="3"/>
      </rPr>
      <t>2,</t>
    </r>
    <r>
      <rPr>
        <sz val="7"/>
        <color rgb="FFC3E88D"/>
        <rFont val="Consolas"/>
        <family val="3"/>
      </rPr>
      <t>71378188,</t>
    </r>
    <r>
      <rPr>
        <sz val="7"/>
        <color rgb="FFFF5370"/>
        <rFont val="Consolas"/>
        <family val="3"/>
      </rPr>
      <t>1</t>
    </r>
  </si>
  <si>
    <r>
      <t>2023-03-11,</t>
    </r>
    <r>
      <rPr>
        <sz val="7"/>
        <color rgb="FFC792EA"/>
        <rFont val="Consolas"/>
        <family val="3"/>
      </rPr>
      <t>05:55:05,</t>
    </r>
    <r>
      <rPr>
        <sz val="7"/>
        <color rgb="FF82AAFF"/>
        <rFont val="Consolas"/>
        <family val="3"/>
      </rPr>
      <t>5056971406,</t>
    </r>
    <r>
      <rPr>
        <i/>
        <sz val="7"/>
        <color rgb="FF676E95"/>
        <rFont val="Consolas"/>
        <family val="3"/>
      </rPr>
      <t>2,</t>
    </r>
    <r>
      <rPr>
        <sz val="7"/>
        <color rgb="FFC3E88D"/>
        <rFont val="Consolas"/>
        <family val="3"/>
      </rPr>
      <t>71378876,</t>
    </r>
    <r>
      <rPr>
        <sz val="7"/>
        <color rgb="FFFF5370"/>
        <rFont val="Consolas"/>
        <family val="3"/>
      </rPr>
      <t>2</t>
    </r>
  </si>
  <si>
    <r>
      <t>2023-03-11,</t>
    </r>
    <r>
      <rPr>
        <sz val="7"/>
        <color rgb="FFC792EA"/>
        <rFont val="Consolas"/>
        <family val="3"/>
      </rPr>
      <t>06:00:05,</t>
    </r>
    <r>
      <rPr>
        <sz val="7"/>
        <color rgb="FF82AAFF"/>
        <rFont val="Consolas"/>
        <family val="3"/>
      </rPr>
      <t>5056972117,</t>
    </r>
    <r>
      <rPr>
        <i/>
        <sz val="7"/>
        <color rgb="FF676E95"/>
        <rFont val="Consolas"/>
        <family val="3"/>
      </rPr>
      <t>3,</t>
    </r>
    <r>
      <rPr>
        <sz val="7"/>
        <color rgb="FFC3E88D"/>
        <rFont val="Consolas"/>
        <family val="3"/>
      </rPr>
      <t>71379503,</t>
    </r>
    <r>
      <rPr>
        <sz val="7"/>
        <color rgb="FFFF5370"/>
        <rFont val="Consolas"/>
        <family val="3"/>
      </rPr>
      <t>1</t>
    </r>
  </si>
  <si>
    <r>
      <t>2023-03-11,</t>
    </r>
    <r>
      <rPr>
        <sz val="7"/>
        <color rgb="FFC792EA"/>
        <rFont val="Consolas"/>
        <family val="3"/>
      </rPr>
      <t>06:05:05,</t>
    </r>
    <r>
      <rPr>
        <sz val="7"/>
        <color rgb="FF82AAFF"/>
        <rFont val="Consolas"/>
        <family val="3"/>
      </rPr>
      <t>5056973939,</t>
    </r>
    <r>
      <rPr>
        <i/>
        <sz val="7"/>
        <color rgb="FF676E95"/>
        <rFont val="Consolas"/>
        <family val="3"/>
      </rPr>
      <t>9,</t>
    </r>
    <r>
      <rPr>
        <sz val="7"/>
        <color rgb="FFC3E88D"/>
        <rFont val="Consolas"/>
        <family val="3"/>
      </rPr>
      <t>71380203,</t>
    </r>
    <r>
      <rPr>
        <sz val="7"/>
        <color rgb="FFFF5370"/>
        <rFont val="Consolas"/>
        <family val="3"/>
      </rPr>
      <t>2</t>
    </r>
  </si>
  <si>
    <t>Launches</t>
  </si>
  <si>
    <t>Time (UTC)</t>
  </si>
  <si>
    <t>Date (UTC)</t>
  </si>
  <si>
    <t>Vehicle</t>
  </si>
  <si>
    <t>Payload</t>
  </si>
  <si>
    <t>Payload Mass</t>
  </si>
  <si>
    <t>Destination</t>
  </si>
  <si>
    <t>Customers</t>
  </si>
  <si>
    <t>Outcome</t>
  </si>
  <si>
    <t>Boost Recovery</t>
  </si>
  <si>
    <t>"It's a Test"</t>
  </si>
  <si>
    <t>None</t>
  </si>
  <si>
    <t>LEO, 500 km, 85 deg</t>
  </si>
  <si>
    <t xml:space="preserve">LEO  </t>
  </si>
  <si>
    <t>Rocket Lab (Flight test)</t>
  </si>
  <si>
    <t>Planet Labs, Spire Global</t>
  </si>
  <si>
    <t>Spire Global, GeoOptics, Irvine CubeSat STEM Program, High Performance Space Structure Systems, Fleet Space Technologies</t>
  </si>
  <si>
    <t>Failure</t>
  </si>
  <si>
    <t>Success</t>
  </si>
  <si>
    <t>Number of Customers</t>
  </si>
  <si>
    <t>"Still Testing"</t>
  </si>
  <si>
    <t>"It's Business Time"</t>
  </si>
  <si>
    <t>"This One's For Pickering"</t>
  </si>
  <si>
    <t>LC1A</t>
  </si>
  <si>
    <t>Dove Pioneer:Planet Labs, Lemur-2 x 2:Spire Global, Humanity Star:RocketLab</t>
  </si>
  <si>
    <t>Lemur-2 x 2:Spire Global, CICERO:GeoOptics, IRVINE01:Irvine CubeSat STEM Program,NABEO:HPS, Proxima x 2:Fleet Space Technologies</t>
  </si>
  <si>
    <t>ALBus:NASA,CeREs:NASA,CHOMPTT:NASA,CubeSail:NASA,DaVinci:NASA,ISX:NASA,NMTSat:NASA,RSat-P:NASA,Shields-1:NASA,STF-1:NASA,SHFT 2:NASA,TOMSat:NASA,EagleScout:NASA,TOMSat R3:NASA</t>
  </si>
  <si>
    <t>NASA</t>
  </si>
  <si>
    <t>Notes</t>
  </si>
  <si>
    <t xml:space="preserve">NASA's ELaNa-19 mission included the launch of many nano-satellites. </t>
  </si>
  <si>
    <t>Missions</t>
  </si>
  <si>
    <t>Sources</t>
  </si>
  <si>
    <t>LEO, 500 km</t>
  </si>
  <si>
    <t>RocketLab</t>
  </si>
  <si>
    <t>Flight Test</t>
  </si>
  <si>
    <t xml:space="preserve">LEO   </t>
  </si>
  <si>
    <t>"Its's a Test"</t>
  </si>
  <si>
    <t>"Two Thumbs Up"</t>
  </si>
  <si>
    <t>DARPA</t>
  </si>
  <si>
    <t>"That's a Funny Looking Cactus"</t>
  </si>
  <si>
    <t>R3D2:DARPA</t>
  </si>
  <si>
    <t>SPARC-1:US Air Force, Falcon ODE:US Air Force, Harbringer:US Air Force</t>
  </si>
  <si>
    <t>LEO, 425 km, 39.5 deg</t>
  </si>
  <si>
    <t>LEO, 500 km, 40 deg</t>
  </si>
  <si>
    <t>Payload Mass (kg)</t>
  </si>
  <si>
    <t>US Air Force</t>
  </si>
  <si>
    <t>"Make it Rain</t>
  </si>
  <si>
    <t>LEO</t>
  </si>
  <si>
    <t>BlackSky via Spaceflight Inc., USSSOCOM, Melbourne Space Program,</t>
  </si>
  <si>
    <t>BlackSky Global 3:BlackSky, ACRUX-1:Melbourne Space Agency, Prometheus:USSOCOM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</si>
</sst>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h:mm;@"/>
  </numFmts>
  <fonts count="16"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7"/>
      <color rgb="FFC3E88D"/>
      <name val="Consolas"/>
      <family val="3"/>
    </font>
    <font>
      <sz val="7"/>
      <color rgb="FFC792EA"/>
      <name val="Consolas"/>
      <family val="3"/>
    </font>
    <font>
      <sz val="7"/>
      <color rgb="FF82AAFF"/>
      <name val="Consolas"/>
      <family val="3"/>
    </font>
    <font>
      <i/>
      <sz val="7"/>
      <color rgb="FF676E95"/>
      <name val="Consolas"/>
      <family val="3"/>
    </font>
    <font>
      <sz val="7"/>
      <color rgb="FFFF5370"/>
      <name val="Consolas"/>
      <family val="3"/>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1" fillId="0" borderId="1" xfId="0" applyFont="1" applyBorder="1" applyAlignment="1">
      <alignment horizontal="center" vertical="top"/>
    </xf>
    <xf numFmtId="9" fontId="0" fillId="0" borderId="0" xfId="0" applyNumberFormat="1"/>
    <xf numFmtId="0" fontId="1" fillId="0" borderId="0" xfId="0" applyFont="1" applyAlignment="1">
      <alignment horizontal="center" vertical="top"/>
    </xf>
    <xf numFmtId="0" fontId="0" fillId="0" borderId="2" xfId="0" applyBorder="1"/>
    <xf numFmtId="14" fontId="0" fillId="0" borderId="0" xfId="0" applyNumberFormat="1"/>
    <xf numFmtId="0" fontId="2" fillId="2" borderId="0" xfId="0" applyFont="1" applyFill="1"/>
    <xf numFmtId="3" fontId="0" fillId="0" borderId="0" xfId="0" applyNumberFormat="1"/>
    <xf numFmtId="3" fontId="0" fillId="0" borderId="2"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4" xfId="0" applyFont="1" applyBorder="1"/>
    <xf numFmtId="0" fontId="1" fillId="0" borderId="5" xfId="0" applyFont="1" applyBorder="1"/>
    <xf numFmtId="0" fontId="1" fillId="0" borderId="6" xfId="0" applyFont="1" applyBorder="1"/>
    <xf numFmtId="164" fontId="0" fillId="0" borderId="0" xfId="0" applyNumberFormat="1"/>
    <xf numFmtId="0" fontId="6"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2" xfId="0" applyNumberFormat="1" applyBorder="1"/>
    <xf numFmtId="9" fontId="0" fillId="0" borderId="2" xfId="0" applyNumberFormat="1" applyBorder="1"/>
    <xf numFmtId="0" fontId="1" fillId="3" borderId="0" xfId="0" applyFont="1" applyFill="1"/>
    <xf numFmtId="3" fontId="1" fillId="0" borderId="0" xfId="0" applyNumberFormat="1" applyFont="1"/>
    <xf numFmtId="2" fontId="0" fillId="0" borderId="0" xfId="0" applyNumberFormat="1"/>
    <xf numFmtId="0" fontId="7" fillId="3" borderId="0" xfId="0" applyFont="1" applyFill="1"/>
    <xf numFmtId="3" fontId="7" fillId="3" borderId="0" xfId="0" applyNumberFormat="1" applyFont="1" applyFill="1"/>
    <xf numFmtId="0" fontId="8" fillId="3" borderId="0" xfId="0" applyFont="1" applyFill="1"/>
    <xf numFmtId="3" fontId="8" fillId="3" borderId="0" xfId="0" applyNumberFormat="1" applyFont="1" applyFill="1"/>
    <xf numFmtId="0" fontId="9" fillId="3" borderId="0" xfId="0" applyFont="1" applyFill="1"/>
    <xf numFmtId="3" fontId="9" fillId="3" borderId="0" xfId="0" applyNumberFormat="1" applyFont="1" applyFill="1"/>
    <xf numFmtId="0" fontId="1" fillId="0" borderId="3" xfId="0" applyFont="1" applyBorder="1"/>
    <xf numFmtId="3" fontId="1" fillId="0" borderId="3" xfId="0" applyNumberFormat="1" applyFont="1" applyBorder="1"/>
    <xf numFmtId="0" fontId="0" fillId="0" borderId="7" xfId="0" applyBorder="1"/>
    <xf numFmtId="14" fontId="0" fillId="0" borderId="7" xfId="0" applyNumberFormat="1" applyBorder="1"/>
    <xf numFmtId="3" fontId="3" fillId="2" borderId="7" xfId="0" applyNumberFormat="1" applyFont="1" applyFill="1" applyBorder="1"/>
    <xf numFmtId="3" fontId="0" fillId="0" borderId="7" xfId="0" applyNumberFormat="1" applyBorder="1"/>
    <xf numFmtId="3" fontId="0" fillId="0" borderId="8" xfId="0" applyNumberFormat="1" applyBorder="1"/>
    <xf numFmtId="3" fontId="0" fillId="3" borderId="7" xfId="0" applyNumberFormat="1" applyFill="1" applyBorder="1"/>
    <xf numFmtId="3" fontId="1" fillId="0" borderId="7" xfId="0" applyNumberFormat="1" applyFont="1" applyBorder="1"/>
    <xf numFmtId="9" fontId="0" fillId="0" borderId="7" xfId="0" applyNumberFormat="1" applyBorder="1"/>
    <xf numFmtId="10" fontId="0" fillId="0" borderId="7" xfId="0" applyNumberFormat="1" applyBorder="1"/>
    <xf numFmtId="10" fontId="0" fillId="0" borderId="8" xfId="0" applyNumberFormat="1" applyBorder="1"/>
    <xf numFmtId="9" fontId="0" fillId="0" borderId="8" xfId="0" applyNumberFormat="1" applyBorder="1"/>
    <xf numFmtId="3" fontId="2" fillId="2" borderId="7" xfId="0" applyNumberFormat="1" applyFont="1" applyFill="1" applyBorder="1"/>
    <xf numFmtId="3" fontId="1" fillId="0" borderId="9" xfId="0" applyNumberFormat="1" applyFont="1" applyBorder="1"/>
    <xf numFmtId="4" fontId="0" fillId="0" borderId="7" xfId="0" applyNumberFormat="1" applyBorder="1"/>
    <xf numFmtId="3" fontId="8" fillId="3" borderId="7" xfId="0" applyNumberFormat="1" applyFont="1" applyFill="1" applyBorder="1"/>
    <xf numFmtId="3" fontId="9" fillId="3" borderId="7" xfId="0" applyNumberFormat="1" applyFont="1" applyFill="1" applyBorder="1"/>
    <xf numFmtId="3" fontId="7" fillId="3" borderId="7" xfId="0" applyNumberFormat="1" applyFont="1" applyFill="1" applyBorder="1"/>
    <xf numFmtId="2" fontId="0" fillId="0" borderId="7" xfId="0" applyNumberFormat="1" applyBorder="1"/>
    <xf numFmtId="0" fontId="3" fillId="2" borderId="7" xfId="0" applyFont="1" applyFill="1" applyBorder="1"/>
    <xf numFmtId="165" fontId="0" fillId="0" borderId="2" xfId="0" applyNumberFormat="1" applyBorder="1"/>
    <xf numFmtId="165" fontId="0" fillId="0" borderId="8" xfId="0" applyNumberFormat="1" applyBorder="1"/>
    <xf numFmtId="0" fontId="2" fillId="2" borderId="7" xfId="0" applyFont="1" applyFill="1" applyBorder="1"/>
    <xf numFmtId="166" fontId="0" fillId="0" borderId="7" xfId="0" applyNumberFormat="1" applyBorder="1"/>
    <xf numFmtId="0" fontId="11" fillId="0" borderId="0" xfId="0" applyFont="1" applyAlignment="1">
      <alignment vertical="center"/>
    </xf>
    <xf numFmtId="0" fontId="10" fillId="0" borderId="0" xfId="0" applyFont="1" applyAlignment="1">
      <alignment vertical="center"/>
    </xf>
    <xf numFmtId="17" fontId="0" fillId="0" borderId="0" xfId="0" applyNumberFormat="1"/>
    <xf numFmtId="14" fontId="2" fillId="2" borderId="0" xfId="0" applyNumberFormat="1" applyFont="1" applyFill="1"/>
    <xf numFmtId="20" fontId="0" fillId="0" borderId="0" xfId="0" applyNumberFormat="1"/>
    <xf numFmtId="0" fontId="6" fillId="2" borderId="0" xfId="1" applyFill="1"/>
    <xf numFmtId="0" fontId="6" fillId="0" borderId="0" xfId="1" applyFill="1"/>
    <xf numFmtId="0" fontId="0" fillId="0" borderId="0" xfId="0" applyAlignment="1">
      <alignment horizontal="left"/>
    </xf>
    <xf numFmtId="0" fontId="2" fillId="2" borderId="0" xfId="0" applyFont="1" applyFill="1" applyAlignment="1">
      <alignment horizontal="left"/>
    </xf>
    <xf numFmtId="0" fontId="8" fillId="3" borderId="0" xfId="0" applyFont="1" applyFill="1" applyAlignment="1">
      <alignment horizontal="left"/>
    </xf>
    <xf numFmtId="14" fontId="0" fillId="0" borderId="0" xfId="0" applyNumberFormat="1" applyAlignment="1">
      <alignment horizontal="left"/>
    </xf>
    <xf numFmtId="20" fontId="0" fillId="0" borderId="0" xfId="0" applyNumberFormat="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en-US</v>
    <v>bwtkp2</v>
    <v>268435456</v>
    <v>1</v>
    <v>Powered by Refinitiv</v>
    <v>0</v>
    <v>ROCKET LAB USA, INC. (XNAS:RKLB)</v>
    <v>2</v>
    <v>3</v>
    <v>Finance</v>
    <v>4</v>
    <v>9.49</v>
    <v>3.48</v>
    <v>1.8839999999999999</v>
    <v>-0.17</v>
    <v>-4.1666999999999996E-2</v>
    <v>USD</v>
    <v>Rocket Lab USA, Inc. is an end-to-end space company. The Company designs and manufactures small and medium-class rockets, spacecraft and spacecraft components to support the space economy. The Company delivers reliable launch services, spacecraft design services, spacecraft components, spacecraft manufacturing, and other spacecraft and on-orbit management solutions that make it easier to access space. It operates through two segments: Launch Services and Space Systems. Its Launch Services segment provides launch services to customers on a dedicated mission or ride share basis. Its Space Systems segment is comprised of space engineering, program management, spacecraft components, spacecraft manufacturing and mission operations. Its spacecraft component solutions are used to build spacecrafts, which include reaction wheels, star trackers, magnetic torque rods, solar panels, radios, separation systems, command and control spacecraft software, separation systems, and power solutions.</v>
    <v>1400</v>
    <v>Nasdaq Stock Market</v>
    <v>XNAS</v>
    <v>XNAS</v>
    <v>3881 Mcgowen Street, LONG BEACH, CA, 90808 US</v>
    <v>4.07</v>
    <v>Aerospace &amp; Defense</v>
    <v>Stock</v>
    <v>44995.984170046097</v>
    <v>0</v>
    <v>3.78</v>
    <v>1867609000</v>
    <v>ROCKET LAB USA, INC.</v>
    <v>ROCKET LAB USA, INC.</v>
    <v>4.05</v>
    <v>4.08</v>
    <v>3.91</v>
    <v>477649300</v>
    <v>RKLB</v>
    <v>ROCKET LAB USA, INC. (XNAS:RKLB)</v>
    <v>96518</v>
    <v>3783596</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rocketlabusa.com/space-systems/space-software/max-flight-software/" TargetMode="External"/><Relationship Id="rId3" Type="http://schemas.openxmlformats.org/officeDocument/2006/relationships/hyperlink" Target="https://www.rocketlabusa.com/launch/neutron/" TargetMode="External"/><Relationship Id="rId7" Type="http://schemas.openxmlformats.org/officeDocument/2006/relationships/hyperlink" Target="https://www.rocketlabusa.com/space-systems/space-software/solis/" TargetMode="External"/><Relationship Id="rId2" Type="http://schemas.openxmlformats.org/officeDocument/2006/relationships/hyperlink" Target="https://www.rocketlabusa.com/launch/electron/" TargetMode="External"/><Relationship Id="rId1" Type="http://schemas.openxmlformats.org/officeDocument/2006/relationships/hyperlink" Target="https://www.rocketlabusa.com/space-systems/space-software/" TargetMode="External"/><Relationship Id="rId6" Type="http://schemas.openxmlformats.org/officeDocument/2006/relationships/hyperlink" Target="https://www.rocketlabusa.com/space-systems/space-software/" TargetMode="External"/><Relationship Id="rId11" Type="http://schemas.openxmlformats.org/officeDocument/2006/relationships/printerSettings" Target="../printerSettings/printerSettings2.bin"/><Relationship Id="rId5" Type="http://schemas.openxmlformats.org/officeDocument/2006/relationships/hyperlink" Target="https://www.rocketlabusa.com/space-systems/solar/" TargetMode="External"/><Relationship Id="rId10" Type="http://schemas.openxmlformats.org/officeDocument/2006/relationships/hyperlink" Target="https://en.wikipedia.org/wiki/List_of_Electron_launches" TargetMode="External"/><Relationship Id="rId4" Type="http://schemas.openxmlformats.org/officeDocument/2006/relationships/hyperlink" Target="https://www.rocketlabusa.com/space-systems/separation-systems/" TargetMode="External"/><Relationship Id="rId9" Type="http://schemas.openxmlformats.org/officeDocument/2006/relationships/hyperlink" Target="https://www.rocketlabusa.com/space-systems/space-software/max-ground-data-system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List_of_Electron_launch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679CD-3EBC-4E4F-8EE3-9E353B57F643}">
  <dimension ref="A1:B9"/>
  <sheetViews>
    <sheetView workbookViewId="0">
      <selection activeCell="B11" sqref="B11"/>
    </sheetView>
  </sheetViews>
  <sheetFormatPr defaultRowHeight="14.5" x14ac:dyDescent="0.35"/>
  <cols>
    <col min="2" max="2" width="10.7265625" bestFit="1" customWidth="1"/>
  </cols>
  <sheetData>
    <row r="1" spans="1:2" ht="15" thickBot="1" x14ac:dyDescent="0.4">
      <c r="A1" t="e" vm="1">
        <v>#VALUE!</v>
      </c>
    </row>
    <row r="2" spans="1:2" x14ac:dyDescent="0.35">
      <c r="A2" s="15" t="s">
        <v>301</v>
      </c>
      <c r="B2" s="18" cm="1">
        <f t="array" ref="B2">_FV(A1,"Price")</f>
        <v>3.91</v>
      </c>
    </row>
    <row r="3" spans="1:2" x14ac:dyDescent="0.35">
      <c r="A3" s="16" t="s">
        <v>229</v>
      </c>
      <c r="B3" s="7" cm="1">
        <f t="array" ref="B3">_FV(A1,"Shares outstanding",TRUE)/1000000</f>
        <v>477.64929999999998</v>
      </c>
    </row>
    <row r="4" spans="1:2" x14ac:dyDescent="0.35">
      <c r="A4" s="16" t="s">
        <v>302</v>
      </c>
      <c r="B4" s="18">
        <f>B2*B3</f>
        <v>1867.608763</v>
      </c>
    </row>
    <row r="5" spans="1:2" x14ac:dyDescent="0.35">
      <c r="A5" s="16" t="s">
        <v>303</v>
      </c>
      <c r="B5" s="7">
        <f>(Model!K90+Model!K91)/1000</f>
        <v>502.70699999999999</v>
      </c>
    </row>
    <row r="6" spans="1:2" x14ac:dyDescent="0.35">
      <c r="A6" s="16" t="s">
        <v>304</v>
      </c>
      <c r="B6" s="7">
        <f>(Model!K114+Model!K121)/1000</f>
        <v>144.23699999999999</v>
      </c>
    </row>
    <row r="7" spans="1:2" ht="15" thickBot="1" x14ac:dyDescent="0.4">
      <c r="A7" s="17" t="s">
        <v>305</v>
      </c>
      <c r="B7" s="18">
        <f>B4-B5+B6</f>
        <v>1509.1387629999999</v>
      </c>
    </row>
    <row r="9" spans="1:2" x14ac:dyDescent="0.35">
      <c r="A9" s="14" t="s">
        <v>354</v>
      </c>
      <c r="B9" s="18">
        <f>B7/B3</f>
        <v>3.1595121420674124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0AF4-E88D-45C6-BD68-9606C269A01E}">
  <dimension ref="A4:M130"/>
  <sheetViews>
    <sheetView topLeftCell="A19" workbookViewId="0">
      <selection activeCell="B50" sqref="B50"/>
    </sheetView>
  </sheetViews>
  <sheetFormatPr defaultRowHeight="14.5" x14ac:dyDescent="0.35"/>
  <cols>
    <col min="1" max="1" width="44.90625" customWidth="1"/>
    <col min="2" max="2" width="10.6328125" customWidth="1"/>
    <col min="3" max="3" width="13.6328125" customWidth="1"/>
    <col min="4" max="5" width="10.6328125" customWidth="1"/>
    <col min="7" max="7" width="11.26953125" customWidth="1"/>
    <col min="8" max="8" width="17" customWidth="1"/>
    <col min="9" max="9" width="15.6328125" customWidth="1"/>
  </cols>
  <sheetData>
    <row r="4" spans="1:5" x14ac:dyDescent="0.35">
      <c r="A4" t="s">
        <v>306</v>
      </c>
      <c r="C4" t="s">
        <v>314</v>
      </c>
    </row>
    <row r="5" spans="1:5" x14ac:dyDescent="0.35">
      <c r="A5" t="s">
        <v>307</v>
      </c>
      <c r="C5" t="s">
        <v>300</v>
      </c>
    </row>
    <row r="6" spans="1:5" x14ac:dyDescent="0.35">
      <c r="A6" t="s">
        <v>308</v>
      </c>
      <c r="C6" t="s">
        <v>313</v>
      </c>
    </row>
    <row r="7" spans="1:5" x14ac:dyDescent="0.35">
      <c r="A7" t="s">
        <v>309</v>
      </c>
      <c r="C7" t="s">
        <v>311</v>
      </c>
    </row>
    <row r="8" spans="1:5" x14ac:dyDescent="0.35">
      <c r="A8" t="s">
        <v>310</v>
      </c>
      <c r="C8" t="s">
        <v>312</v>
      </c>
    </row>
    <row r="12" spans="1:5" s="10" customFormat="1" x14ac:dyDescent="0.35">
      <c r="A12" s="6" t="s">
        <v>315</v>
      </c>
      <c r="B12" s="6"/>
      <c r="C12" s="10" t="s">
        <v>351</v>
      </c>
      <c r="E12" s="10" t="s">
        <v>350</v>
      </c>
    </row>
    <row r="13" spans="1:5" x14ac:dyDescent="0.35">
      <c r="A13" t="s">
        <v>316</v>
      </c>
    </row>
    <row r="14" spans="1:5" x14ac:dyDescent="0.35">
      <c r="A14" t="s">
        <v>341</v>
      </c>
      <c r="C14" t="s">
        <v>317</v>
      </c>
      <c r="E14" s="5">
        <v>43951</v>
      </c>
    </row>
    <row r="15" spans="1:5" x14ac:dyDescent="0.35">
      <c r="A15" s="19" t="s">
        <v>339</v>
      </c>
      <c r="B15" s="19"/>
      <c r="C15" t="s">
        <v>336</v>
      </c>
      <c r="E15" s="5">
        <v>44579</v>
      </c>
    </row>
    <row r="16" spans="1:5" x14ac:dyDescent="0.35">
      <c r="A16" s="19" t="s">
        <v>338</v>
      </c>
      <c r="B16" s="19"/>
      <c r="C16" t="s">
        <v>337</v>
      </c>
      <c r="E16" s="5">
        <v>44515</v>
      </c>
    </row>
    <row r="17" spans="1:5" x14ac:dyDescent="0.35">
      <c r="A17" s="19" t="s">
        <v>340</v>
      </c>
      <c r="B17" s="19"/>
      <c r="E17" s="5">
        <v>44481</v>
      </c>
    </row>
    <row r="20" spans="1:5" x14ac:dyDescent="0.35">
      <c r="A20" s="6" t="s">
        <v>318</v>
      </c>
      <c r="B20" s="6"/>
    </row>
    <row r="21" spans="1:5" x14ac:dyDescent="0.35">
      <c r="A21" t="s">
        <v>319</v>
      </c>
    </row>
    <row r="22" spans="1:5" x14ac:dyDescent="0.35">
      <c r="A22" t="s">
        <v>320</v>
      </c>
    </row>
    <row r="23" spans="1:5" x14ac:dyDescent="0.35">
      <c r="A23" s="19" t="s">
        <v>326</v>
      </c>
      <c r="B23" s="19"/>
    </row>
    <row r="25" spans="1:5" x14ac:dyDescent="0.35">
      <c r="A25" t="s">
        <v>321</v>
      </c>
    </row>
    <row r="28" spans="1:5" x14ac:dyDescent="0.35">
      <c r="A28" s="6" t="s">
        <v>322</v>
      </c>
      <c r="B28" s="6"/>
    </row>
    <row r="29" spans="1:5" x14ac:dyDescent="0.35">
      <c r="A29" s="19" t="s">
        <v>323</v>
      </c>
      <c r="B29" s="19"/>
    </row>
    <row r="30" spans="1:5" x14ac:dyDescent="0.35">
      <c r="A30" s="19" t="s">
        <v>324</v>
      </c>
      <c r="B30" s="19"/>
    </row>
    <row r="31" spans="1:5" x14ac:dyDescent="0.35">
      <c r="A31" s="19" t="s">
        <v>325</v>
      </c>
      <c r="B31" s="19"/>
    </row>
    <row r="33" spans="1:13" s="6" customFormat="1" x14ac:dyDescent="0.35">
      <c r="A33" s="6" t="s">
        <v>345</v>
      </c>
      <c r="C33" s="6" t="s">
        <v>343</v>
      </c>
      <c r="D33" s="6" t="s">
        <v>344</v>
      </c>
      <c r="F33" s="6" t="s">
        <v>346</v>
      </c>
    </row>
    <row r="34" spans="1:13" x14ac:dyDescent="0.35">
      <c r="A34" s="19" t="s">
        <v>342</v>
      </c>
      <c r="B34" s="19"/>
      <c r="C34">
        <v>32</v>
      </c>
      <c r="D34">
        <v>152</v>
      </c>
      <c r="F34" t="s">
        <v>347</v>
      </c>
    </row>
    <row r="35" spans="1:13" x14ac:dyDescent="0.35">
      <c r="A35" s="19" t="s">
        <v>348</v>
      </c>
      <c r="B35" s="19"/>
      <c r="F35" t="s">
        <v>349</v>
      </c>
    </row>
    <row r="38" spans="1:13" s="6" customFormat="1" x14ac:dyDescent="0.35">
      <c r="A38" s="6" t="s">
        <v>375</v>
      </c>
      <c r="C38" s="6" t="s">
        <v>377</v>
      </c>
      <c r="D38" s="6" t="s">
        <v>379</v>
      </c>
      <c r="E38" s="6" t="s">
        <v>381</v>
      </c>
    </row>
    <row r="39" spans="1:13" x14ac:dyDescent="0.35">
      <c r="A39" t="s">
        <v>376</v>
      </c>
      <c r="C39" t="s">
        <v>378</v>
      </c>
      <c r="D39" t="s">
        <v>380</v>
      </c>
      <c r="E39" s="5">
        <v>42639</v>
      </c>
    </row>
    <row r="40" spans="1:13" x14ac:dyDescent="0.35">
      <c r="A40" t="s">
        <v>382</v>
      </c>
      <c r="C40" t="s">
        <v>313</v>
      </c>
      <c r="D40" t="s">
        <v>383</v>
      </c>
      <c r="E40" s="5">
        <v>43739</v>
      </c>
    </row>
    <row r="41" spans="1:13" x14ac:dyDescent="0.35">
      <c r="E41" s="5"/>
    </row>
    <row r="42" spans="1:13" x14ac:dyDescent="0.35">
      <c r="E42" s="5"/>
    </row>
    <row r="43" spans="1:13" s="6" customFormat="1" x14ac:dyDescent="0.35">
      <c r="A43" s="64" t="s">
        <v>396</v>
      </c>
      <c r="B43" s="6" t="s">
        <v>398</v>
      </c>
      <c r="C43" s="6" t="s">
        <v>397</v>
      </c>
      <c r="D43" s="6" t="s">
        <v>399</v>
      </c>
      <c r="E43" s="62" t="s">
        <v>385</v>
      </c>
      <c r="F43" s="6" t="s">
        <v>400</v>
      </c>
      <c r="G43" s="6" t="s">
        <v>401</v>
      </c>
      <c r="H43" s="6" t="s">
        <v>402</v>
      </c>
      <c r="I43" s="6" t="s">
        <v>404</v>
      </c>
      <c r="J43" s="6" t="s">
        <v>405</v>
      </c>
      <c r="K43" s="6" t="s">
        <v>415</v>
      </c>
      <c r="L43" s="6" t="s">
        <v>403</v>
      </c>
      <c r="M43" s="6" t="s">
        <v>424</v>
      </c>
    </row>
    <row r="44" spans="1:13" x14ac:dyDescent="0.35">
      <c r="A44" t="s">
        <v>406</v>
      </c>
      <c r="B44" s="5">
        <v>42880</v>
      </c>
      <c r="C44" s="63">
        <v>0.18055555555555555</v>
      </c>
      <c r="D44" t="s">
        <v>342</v>
      </c>
      <c r="E44" s="5" t="s">
        <v>419</v>
      </c>
      <c r="F44" t="s">
        <v>407</v>
      </c>
      <c r="G44">
        <v>0</v>
      </c>
      <c r="H44" t="s">
        <v>408</v>
      </c>
      <c r="I44" t="s">
        <v>413</v>
      </c>
      <c r="J44" t="b">
        <v>0</v>
      </c>
      <c r="K44">
        <v>1</v>
      </c>
      <c r="L44" t="s">
        <v>410</v>
      </c>
    </row>
    <row r="45" spans="1:13" x14ac:dyDescent="0.35">
      <c r="A45" t="s">
        <v>416</v>
      </c>
      <c r="B45" s="5">
        <v>43121</v>
      </c>
      <c r="C45" s="63">
        <v>7.1527777777777787E-2</v>
      </c>
      <c r="D45" t="s">
        <v>342</v>
      </c>
      <c r="E45" s="5" t="s">
        <v>419</v>
      </c>
      <c r="F45" t="s">
        <v>420</v>
      </c>
      <c r="G45">
        <v>13</v>
      </c>
      <c r="H45" t="s">
        <v>409</v>
      </c>
      <c r="I45" t="s">
        <v>414</v>
      </c>
      <c r="J45" t="b">
        <v>0</v>
      </c>
      <c r="K45">
        <v>2</v>
      </c>
      <c r="L45" t="s">
        <v>411</v>
      </c>
    </row>
    <row r="46" spans="1:13" x14ac:dyDescent="0.35">
      <c r="A46" t="s">
        <v>417</v>
      </c>
      <c r="B46" s="5">
        <v>43415</v>
      </c>
      <c r="C46" s="63">
        <v>0.15972222222222224</v>
      </c>
      <c r="D46" t="s">
        <v>342</v>
      </c>
      <c r="E46" s="5" t="s">
        <v>419</v>
      </c>
      <c r="F46" t="s">
        <v>421</v>
      </c>
      <c r="G46">
        <v>45</v>
      </c>
      <c r="H46" t="s">
        <v>408</v>
      </c>
      <c r="I46" t="s">
        <v>414</v>
      </c>
      <c r="J46" t="b">
        <v>0</v>
      </c>
      <c r="K46">
        <v>4</v>
      </c>
      <c r="L46" t="s">
        <v>412</v>
      </c>
    </row>
    <row r="47" spans="1:13" x14ac:dyDescent="0.35">
      <c r="A47" t="s">
        <v>418</v>
      </c>
      <c r="B47" s="5">
        <v>43450</v>
      </c>
      <c r="C47" s="63">
        <v>0.27291666666666664</v>
      </c>
      <c r="D47" t="s">
        <v>342</v>
      </c>
      <c r="E47" s="5" t="s">
        <v>419</v>
      </c>
      <c r="F47" t="s">
        <v>422</v>
      </c>
      <c r="G47">
        <v>78</v>
      </c>
      <c r="H47" t="s">
        <v>408</v>
      </c>
      <c r="I47" t="s">
        <v>414</v>
      </c>
      <c r="J47" t="b">
        <v>0</v>
      </c>
      <c r="K47">
        <v>1</v>
      </c>
      <c r="L47" t="s">
        <v>423</v>
      </c>
      <c r="M47" t="s">
        <v>425</v>
      </c>
    </row>
    <row r="48" spans="1:13" x14ac:dyDescent="0.35">
      <c r="D48" t="s">
        <v>342</v>
      </c>
      <c r="E48" s="5"/>
    </row>
    <row r="49" spans="4:5" x14ac:dyDescent="0.35">
      <c r="D49" t="s">
        <v>342</v>
      </c>
      <c r="E49" s="5"/>
    </row>
    <row r="50" spans="4:5" x14ac:dyDescent="0.35">
      <c r="D50" t="s">
        <v>342</v>
      </c>
      <c r="E50" s="5"/>
    </row>
    <row r="51" spans="4:5" x14ac:dyDescent="0.35">
      <c r="E51" s="5"/>
    </row>
    <row r="52" spans="4:5" x14ac:dyDescent="0.35">
      <c r="E52" s="5"/>
    </row>
    <row r="53" spans="4:5" x14ac:dyDescent="0.35">
      <c r="E53" s="5"/>
    </row>
    <row r="54" spans="4:5" x14ac:dyDescent="0.35">
      <c r="E54" s="5"/>
    </row>
    <row r="55" spans="4:5" x14ac:dyDescent="0.35">
      <c r="E55" s="5"/>
    </row>
    <row r="56" spans="4:5" x14ac:dyDescent="0.35">
      <c r="E56" s="5"/>
    </row>
    <row r="57" spans="4:5" x14ac:dyDescent="0.35">
      <c r="E57" s="5"/>
    </row>
    <row r="58" spans="4:5" x14ac:dyDescent="0.35">
      <c r="E58" s="5"/>
    </row>
    <row r="59" spans="4:5" x14ac:dyDescent="0.35">
      <c r="E59" s="5"/>
    </row>
    <row r="60" spans="4:5" x14ac:dyDescent="0.35">
      <c r="E60" s="5"/>
    </row>
    <row r="61" spans="4:5" x14ac:dyDescent="0.35">
      <c r="E61" s="5"/>
    </row>
    <row r="62" spans="4:5" x14ac:dyDescent="0.35">
      <c r="E62" s="5"/>
    </row>
    <row r="63" spans="4:5" x14ac:dyDescent="0.35">
      <c r="E63" s="5"/>
    </row>
    <row r="64" spans="4:5" x14ac:dyDescent="0.35">
      <c r="E64" s="5"/>
    </row>
    <row r="68" spans="1:3" s="6" customFormat="1" x14ac:dyDescent="0.35">
      <c r="A68" s="6" t="s">
        <v>384</v>
      </c>
      <c r="B68" s="6" t="s">
        <v>387</v>
      </c>
      <c r="C68" s="6" t="s">
        <v>385</v>
      </c>
    </row>
    <row r="69" spans="1:3" x14ac:dyDescent="0.35">
      <c r="A69" t="s">
        <v>386</v>
      </c>
      <c r="B69">
        <v>2024</v>
      </c>
      <c r="C69" t="s">
        <v>383</v>
      </c>
    </row>
    <row r="70" spans="1:3" x14ac:dyDescent="0.35">
      <c r="A70" t="s">
        <v>391</v>
      </c>
      <c r="B70" t="s">
        <v>388</v>
      </c>
      <c r="C70" t="s">
        <v>383</v>
      </c>
    </row>
    <row r="71" spans="1:3" x14ac:dyDescent="0.35">
      <c r="A71" t="s">
        <v>390</v>
      </c>
      <c r="B71" s="61">
        <v>45047</v>
      </c>
      <c r="C71" t="s">
        <v>383</v>
      </c>
    </row>
    <row r="72" spans="1:3" x14ac:dyDescent="0.35">
      <c r="A72" t="s">
        <v>389</v>
      </c>
      <c r="B72" s="61">
        <v>44986</v>
      </c>
      <c r="C72" t="s">
        <v>378</v>
      </c>
    </row>
    <row r="127" spans="4:4" x14ac:dyDescent="0.35">
      <c r="D127" s="60" t="s">
        <v>392</v>
      </c>
    </row>
    <row r="128" spans="4:4" x14ac:dyDescent="0.35">
      <c r="D128" s="60" t="s">
        <v>393</v>
      </c>
    </row>
    <row r="129" spans="4:4" x14ac:dyDescent="0.35">
      <c r="D129" s="60" t="s">
        <v>394</v>
      </c>
    </row>
    <row r="130" spans="4:4" x14ac:dyDescent="0.35">
      <c r="D130" s="60" t="s">
        <v>395</v>
      </c>
    </row>
  </sheetData>
  <hyperlinks>
    <hyperlink ref="A23" r:id="rId1" display="Rocketlab's space software has been used for an accumulative 176 years, 251 days. (2022-12-22)" xr:uid="{F5FFB923-9218-4EA8-AF25-1BBF9704E540}"/>
    <hyperlink ref="A34" r:id="rId2" xr:uid="{72A8EBDD-BEC2-4F8E-A5AF-EF1A17F97DDA}"/>
    <hyperlink ref="A35" r:id="rId3" xr:uid="{31B28F3D-1A6C-4B6A-BDDF-0415AAC7131C}"/>
    <hyperlink ref="A16" r:id="rId4" xr:uid="{A94A0B3D-86AC-49AD-A540-326D0AD3B931}"/>
    <hyperlink ref="A15" r:id="rId5" xr:uid="{6FD01764-4F85-4C7E-8DBA-B0F98B43EF8C}"/>
    <hyperlink ref="A17" r:id="rId6" xr:uid="{4BD230D6-043E-477D-AEC7-E2E0CEFF8439}"/>
    <hyperlink ref="A29" r:id="rId7" xr:uid="{124B2E87-3899-4264-855B-87FB8A447E27}"/>
    <hyperlink ref="A30" r:id="rId8" xr:uid="{264F864B-6EAC-465D-94AB-64C0D56E8F93}"/>
    <hyperlink ref="A31" r:id="rId9" xr:uid="{99D02C08-F5AB-4CC6-9A70-04D1A1A0F2E4}"/>
    <hyperlink ref="A43" r:id="rId10" xr:uid="{EDE71A85-8166-4F5E-9C4C-F7156E900263}"/>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C2E47-AA62-4330-8BCA-EED9F876111B}">
  <dimension ref="B1:AH168"/>
  <sheetViews>
    <sheetView zoomScale="40" zoomScaleNormal="40" workbookViewId="0">
      <pane xSplit="2" ySplit="4" topLeftCell="L5" activePane="bottomRight" state="frozen"/>
      <selection pane="topRight" activeCell="C1" sqref="C1"/>
      <selection pane="bottomLeft" activeCell="A4" sqref="A4"/>
      <selection pane="bottomRight" activeCell="S185" sqref="S185"/>
    </sheetView>
  </sheetViews>
  <sheetFormatPr defaultRowHeight="14.5" x14ac:dyDescent="0.35"/>
  <cols>
    <col min="2" max="2" width="19.08984375" customWidth="1"/>
    <col min="3" max="4" width="15.6328125" customWidth="1"/>
    <col min="5" max="5" width="15.6328125" style="36" customWidth="1"/>
    <col min="6" max="8" width="15.6328125" customWidth="1"/>
    <col min="9" max="9" width="15.6328125" style="36" customWidth="1"/>
    <col min="10" max="12" width="15.6328125" customWidth="1"/>
    <col min="13" max="13" width="15.6328125" style="36" customWidth="1"/>
    <col min="14" max="34" width="15.6328125" customWidth="1"/>
  </cols>
  <sheetData>
    <row r="1" spans="2:34" x14ac:dyDescent="0.35">
      <c r="B1" t="s">
        <v>212</v>
      </c>
      <c r="C1" t="s">
        <v>298</v>
      </c>
      <c r="D1" t="s">
        <v>297</v>
      </c>
      <c r="E1" s="36" t="s">
        <v>296</v>
      </c>
      <c r="F1" t="s">
        <v>295</v>
      </c>
      <c r="G1" t="s">
        <v>294</v>
      </c>
      <c r="H1" t="s">
        <v>293</v>
      </c>
      <c r="I1" s="36" t="s">
        <v>292</v>
      </c>
      <c r="J1" t="s">
        <v>291</v>
      </c>
      <c r="K1" t="s">
        <v>290</v>
      </c>
    </row>
    <row r="2" spans="2:34" x14ac:dyDescent="0.35">
      <c r="B2" t="s">
        <v>213</v>
      </c>
      <c r="C2" s="5">
        <v>44151</v>
      </c>
      <c r="D2" s="5">
        <v>43921</v>
      </c>
      <c r="E2" s="37">
        <v>44340</v>
      </c>
      <c r="F2" s="5">
        <v>44411</v>
      </c>
      <c r="G2" s="5">
        <v>44515</v>
      </c>
      <c r="H2" s="5">
        <v>44644</v>
      </c>
      <c r="I2" s="37">
        <v>44697</v>
      </c>
      <c r="J2" s="5">
        <v>44784</v>
      </c>
      <c r="K2" s="5">
        <v>44874</v>
      </c>
      <c r="W2" s="5">
        <v>44286</v>
      </c>
      <c r="X2" s="5">
        <v>44644</v>
      </c>
    </row>
    <row r="3" spans="2:34" x14ac:dyDescent="0.35">
      <c r="B3" t="s">
        <v>211</v>
      </c>
      <c r="C3" s="5">
        <v>44104</v>
      </c>
      <c r="D3" s="5">
        <v>44196</v>
      </c>
      <c r="E3" s="5">
        <v>44286</v>
      </c>
      <c r="F3" s="5">
        <v>44377</v>
      </c>
      <c r="G3" s="5">
        <v>44469</v>
      </c>
      <c r="H3" s="5">
        <v>44561</v>
      </c>
      <c r="I3" s="5">
        <v>44651</v>
      </c>
      <c r="J3" s="5">
        <v>44742</v>
      </c>
      <c r="K3" s="5">
        <v>44834</v>
      </c>
      <c r="L3" s="5">
        <v>44926</v>
      </c>
      <c r="M3"/>
      <c r="O3">
        <f>P3-1</f>
        <v>2012</v>
      </c>
      <c r="P3">
        <f t="shared" ref="P3" si="0">Q3-1</f>
        <v>2013</v>
      </c>
      <c r="Q3">
        <f t="shared" ref="Q3" si="1">R3-1</f>
        <v>2014</v>
      </c>
      <c r="R3">
        <f t="shared" ref="R3" si="2">S3-1</f>
        <v>2015</v>
      </c>
      <c r="S3">
        <f t="shared" ref="S3" si="3">T3-1</f>
        <v>2016</v>
      </c>
      <c r="T3">
        <f t="shared" ref="T3" si="4">U3-1</f>
        <v>2017</v>
      </c>
      <c r="U3">
        <f t="shared" ref="U3" si="5">V3-1</f>
        <v>2018</v>
      </c>
      <c r="V3">
        <f>W3-1</f>
        <v>2019</v>
      </c>
      <c r="W3">
        <v>2020</v>
      </c>
      <c r="X3">
        <v>2021</v>
      </c>
      <c r="Y3">
        <v>2022</v>
      </c>
      <c r="Z3">
        <f>Y3+1</f>
        <v>2023</v>
      </c>
      <c r="AA3">
        <f t="shared" ref="AA3" si="6">Z3+1</f>
        <v>2024</v>
      </c>
      <c r="AB3">
        <f t="shared" ref="AB3" si="7">AA3+1</f>
        <v>2025</v>
      </c>
      <c r="AC3">
        <f t="shared" ref="AC3" si="8">AB3+1</f>
        <v>2026</v>
      </c>
      <c r="AD3">
        <f t="shared" ref="AD3" si="9">AC3+1</f>
        <v>2027</v>
      </c>
      <c r="AE3">
        <f t="shared" ref="AE3" si="10">AD3+1</f>
        <v>2028</v>
      </c>
      <c r="AF3">
        <f t="shared" ref="AF3" si="11">AE3+1</f>
        <v>2029</v>
      </c>
      <c r="AG3">
        <f t="shared" ref="AG3" si="12">AF3+1</f>
        <v>2030</v>
      </c>
      <c r="AH3">
        <f t="shared" ref="AH3" si="13">AG3+1</f>
        <v>2031</v>
      </c>
    </row>
    <row r="4" spans="2:34" s="55" customFormat="1" x14ac:dyDescent="0.35">
      <c r="B4" s="55" t="s">
        <v>370</v>
      </c>
      <c r="E4" s="56">
        <v>10.46</v>
      </c>
      <c r="F4" s="55">
        <v>10.17</v>
      </c>
      <c r="G4" s="55">
        <v>14.05</v>
      </c>
      <c r="H4" s="55">
        <v>9.0399999999999991</v>
      </c>
      <c r="I4" s="56">
        <v>7.38</v>
      </c>
      <c r="J4" s="55">
        <v>4.67</v>
      </c>
      <c r="K4" s="55">
        <v>5.09</v>
      </c>
      <c r="L4" s="55">
        <v>4.97</v>
      </c>
      <c r="M4" s="56"/>
    </row>
    <row r="5" spans="2:34" x14ac:dyDescent="0.35">
      <c r="C5" s="5"/>
      <c r="D5" s="5"/>
      <c r="E5" s="37"/>
      <c r="F5" s="5"/>
      <c r="G5" s="5"/>
      <c r="H5" s="5"/>
      <c r="I5" s="37"/>
      <c r="J5" s="5"/>
      <c r="K5" s="5"/>
    </row>
    <row r="6" spans="2:34" s="10" customFormat="1" x14ac:dyDescent="0.35">
      <c r="B6" s="10" t="s">
        <v>264</v>
      </c>
      <c r="E6" s="38"/>
      <c r="F6" s="20"/>
      <c r="G6" s="20"/>
      <c r="H6" s="20"/>
      <c r="I6" s="38"/>
      <c r="J6" s="20"/>
      <c r="K6" s="20"/>
      <c r="L6" s="20"/>
      <c r="M6" s="38"/>
      <c r="N6" s="20"/>
      <c r="O6" s="20"/>
      <c r="P6" s="20"/>
      <c r="Q6" s="20"/>
      <c r="R6" s="20"/>
      <c r="S6" s="20"/>
      <c r="T6" s="20"/>
      <c r="U6" s="20"/>
      <c r="V6" s="20"/>
      <c r="W6" s="20"/>
      <c r="X6" s="20"/>
      <c r="Y6" s="20"/>
      <c r="Z6" s="20"/>
      <c r="AA6" s="20"/>
    </row>
    <row r="7" spans="2:34" x14ac:dyDescent="0.35">
      <c r="B7" t="s">
        <v>265</v>
      </c>
      <c r="D7" t="s">
        <v>299</v>
      </c>
      <c r="E7" s="39"/>
      <c r="F7" s="7"/>
      <c r="G7" s="7"/>
      <c r="H7" s="7"/>
      <c r="I7" s="39"/>
      <c r="J7" s="7"/>
      <c r="K7" s="7"/>
      <c r="L7" s="7"/>
      <c r="M7" s="39"/>
      <c r="N7" s="7"/>
      <c r="O7" s="7"/>
      <c r="P7" s="7"/>
      <c r="Q7" s="7"/>
      <c r="R7" s="7"/>
      <c r="S7" s="7"/>
      <c r="T7" s="7"/>
      <c r="U7" s="7"/>
      <c r="V7" s="7"/>
      <c r="W7" s="7">
        <v>31993</v>
      </c>
      <c r="X7" s="7">
        <v>36576</v>
      </c>
      <c r="Y7" s="7">
        <v>60200</v>
      </c>
      <c r="Z7" s="7"/>
      <c r="AA7" s="7"/>
    </row>
    <row r="8" spans="2:34" x14ac:dyDescent="0.35">
      <c r="B8" t="s">
        <v>266</v>
      </c>
      <c r="E8" s="39"/>
      <c r="F8" s="7"/>
      <c r="G8" s="7"/>
      <c r="H8" s="7"/>
      <c r="I8" s="39"/>
      <c r="J8" s="7"/>
      <c r="K8" s="7"/>
      <c r="L8" s="7"/>
      <c r="M8" s="39"/>
      <c r="N8" s="7"/>
      <c r="O8" s="7"/>
      <c r="P8" s="7"/>
      <c r="Q8" s="7"/>
      <c r="R8" s="7"/>
      <c r="S8" s="7"/>
      <c r="T8" s="7"/>
      <c r="U8" s="7"/>
      <c r="V8" s="7"/>
      <c r="W8" s="7">
        <v>1092</v>
      </c>
      <c r="X8" s="7">
        <v>2395</v>
      </c>
      <c r="Y8" s="7">
        <v>485</v>
      </c>
      <c r="Z8" s="7"/>
      <c r="AA8" s="7"/>
    </row>
    <row r="9" spans="2:34" x14ac:dyDescent="0.35">
      <c r="B9" t="s">
        <v>267</v>
      </c>
      <c r="E9" s="39"/>
      <c r="F9" s="7"/>
      <c r="G9" s="7"/>
      <c r="H9" s="7"/>
      <c r="I9" s="39"/>
      <c r="J9" s="7"/>
      <c r="K9" s="7"/>
      <c r="L9" s="7"/>
      <c r="M9" s="39"/>
      <c r="N9" s="7"/>
      <c r="O9" s="7"/>
      <c r="P9" s="7"/>
      <c r="Q9" s="7"/>
      <c r="R9" s="7"/>
      <c r="S9" s="7"/>
      <c r="T9" s="7"/>
      <c r="U9" s="7"/>
      <c r="V9" s="7"/>
      <c r="W9" s="7">
        <v>1910</v>
      </c>
      <c r="X9" s="7">
        <v>12578</v>
      </c>
      <c r="Y9" s="7">
        <v>61141</v>
      </c>
      <c r="Z9" s="7"/>
      <c r="AA9" s="7"/>
    </row>
    <row r="10" spans="2:34" s="4" customFormat="1" x14ac:dyDescent="0.35">
      <c r="B10" s="4" t="s">
        <v>268</v>
      </c>
      <c r="E10" s="40"/>
      <c r="F10" s="8"/>
      <c r="G10" s="8"/>
      <c r="H10" s="8"/>
      <c r="I10" s="40"/>
      <c r="J10" s="8"/>
      <c r="K10" s="8"/>
      <c r="L10" s="8"/>
      <c r="M10" s="40"/>
      <c r="N10" s="8"/>
      <c r="O10" s="8"/>
      <c r="P10" s="8"/>
      <c r="Q10" s="8"/>
      <c r="R10" s="8"/>
      <c r="S10" s="8"/>
      <c r="T10" s="8"/>
      <c r="U10" s="8"/>
      <c r="V10" s="8"/>
      <c r="W10" s="8">
        <v>165</v>
      </c>
      <c r="X10" s="8">
        <v>10688</v>
      </c>
      <c r="Y10" s="8">
        <v>89170</v>
      </c>
      <c r="Z10" s="8"/>
      <c r="AA10" s="8"/>
    </row>
    <row r="11" spans="2:34" x14ac:dyDescent="0.35">
      <c r="B11" t="s">
        <v>269</v>
      </c>
      <c r="C11">
        <v>10670</v>
      </c>
      <c r="D11" s="7">
        <f>33903-C11</f>
        <v>23233</v>
      </c>
      <c r="E11" s="39">
        <v>17035</v>
      </c>
      <c r="F11" s="7">
        <v>9780</v>
      </c>
      <c r="G11" s="7">
        <v>1988</v>
      </c>
      <c r="H11" s="7">
        <f>X11-G11-F11-E11</f>
        <v>20351</v>
      </c>
      <c r="I11" s="39">
        <v>28237</v>
      </c>
      <c r="J11" s="7">
        <v>37107</v>
      </c>
      <c r="K11" s="7">
        <v>31312</v>
      </c>
      <c r="L11" s="7"/>
      <c r="M11" s="39"/>
      <c r="N11" s="7"/>
      <c r="O11" s="7"/>
      <c r="P11" s="7"/>
      <c r="Q11" s="7"/>
      <c r="R11" s="7"/>
      <c r="S11" s="7"/>
      <c r="T11" s="7"/>
      <c r="U11" s="7"/>
      <c r="V11" s="7"/>
      <c r="W11" s="7">
        <f>+W9+W7</f>
        <v>33903</v>
      </c>
      <c r="X11" s="7">
        <f>+X9+X7</f>
        <v>49154</v>
      </c>
      <c r="Y11" s="7"/>
      <c r="Z11" s="7"/>
      <c r="AA11" s="7"/>
    </row>
    <row r="12" spans="2:34" s="4" customFormat="1" x14ac:dyDescent="0.35">
      <c r="B12" s="4" t="s">
        <v>270</v>
      </c>
      <c r="C12" s="4">
        <v>0</v>
      </c>
      <c r="D12" s="8">
        <v>1257</v>
      </c>
      <c r="E12" s="40">
        <v>1157</v>
      </c>
      <c r="F12" s="8">
        <v>1500</v>
      </c>
      <c r="G12" s="8">
        <v>3299</v>
      </c>
      <c r="H12" s="8">
        <f t="shared" ref="H12:H67" si="14">X12-G12-F12-E12</f>
        <v>7127</v>
      </c>
      <c r="I12" s="40">
        <v>12466</v>
      </c>
      <c r="J12" s="8">
        <v>18367</v>
      </c>
      <c r="K12" s="8">
        <v>31745</v>
      </c>
      <c r="L12" s="8"/>
      <c r="M12" s="40"/>
      <c r="N12" s="8"/>
      <c r="O12" s="8"/>
      <c r="P12" s="8"/>
      <c r="Q12" s="8"/>
      <c r="R12" s="8"/>
      <c r="S12" s="8"/>
      <c r="T12" s="8"/>
      <c r="U12" s="8"/>
      <c r="V12" s="8"/>
      <c r="W12" s="8">
        <f>+W10+W8</f>
        <v>1257</v>
      </c>
      <c r="X12" s="8">
        <f>+X10+X8</f>
        <v>13083</v>
      </c>
      <c r="Y12" s="8"/>
      <c r="Z12" s="8"/>
      <c r="AA12" s="8"/>
    </row>
    <row r="13" spans="2:34" x14ac:dyDescent="0.35">
      <c r="B13" t="s">
        <v>271</v>
      </c>
      <c r="C13" s="7">
        <f t="shared" ref="C13:J13" si="15">SUM(C11:C12)</f>
        <v>10670</v>
      </c>
      <c r="D13" s="7">
        <f>D11+D12</f>
        <v>24490</v>
      </c>
      <c r="E13" s="39">
        <f t="shared" si="15"/>
        <v>18192</v>
      </c>
      <c r="F13" s="7">
        <f t="shared" si="15"/>
        <v>11280</v>
      </c>
      <c r="G13" s="7">
        <f t="shared" si="15"/>
        <v>5287</v>
      </c>
      <c r="H13" s="7">
        <f t="shared" si="14"/>
        <v>27478</v>
      </c>
      <c r="I13" s="39">
        <f t="shared" si="15"/>
        <v>40703</v>
      </c>
      <c r="J13" s="7">
        <f t="shared" si="15"/>
        <v>55474</v>
      </c>
      <c r="K13" s="7">
        <f>SUM(K11:K12)</f>
        <v>63057</v>
      </c>
      <c r="L13" s="7"/>
      <c r="M13" s="39"/>
      <c r="N13" s="7"/>
      <c r="O13" s="7"/>
      <c r="P13" s="7"/>
      <c r="Q13" s="7"/>
      <c r="R13" s="7"/>
      <c r="S13" s="7"/>
      <c r="T13" s="7"/>
      <c r="U13" s="7"/>
      <c r="V13" s="7"/>
      <c r="W13" s="7">
        <f>W11+W12</f>
        <v>35160</v>
      </c>
      <c r="X13" s="7">
        <f>X11+X12</f>
        <v>62237</v>
      </c>
      <c r="Y13" s="7"/>
      <c r="Z13" s="7"/>
      <c r="AA13" s="7"/>
    </row>
    <row r="14" spans="2:34" x14ac:dyDescent="0.35">
      <c r="C14" s="7"/>
      <c r="D14" s="7"/>
      <c r="E14" s="39"/>
      <c r="F14" s="7"/>
      <c r="G14" s="7"/>
      <c r="H14" s="7"/>
      <c r="I14" s="39"/>
      <c r="J14" s="7"/>
      <c r="K14" s="7"/>
      <c r="L14" s="7"/>
      <c r="M14" s="39"/>
      <c r="N14" s="7"/>
      <c r="O14" s="7"/>
      <c r="P14" s="7"/>
      <c r="Q14" s="7"/>
      <c r="R14" s="7"/>
      <c r="S14" s="7"/>
      <c r="T14" s="7"/>
      <c r="U14" s="7"/>
      <c r="V14" s="7"/>
      <c r="W14" s="7"/>
      <c r="X14" s="7"/>
      <c r="Y14" s="7"/>
      <c r="Z14" s="7"/>
      <c r="AA14" s="7"/>
    </row>
    <row r="15" spans="2:34" s="30" customFormat="1" x14ac:dyDescent="0.35">
      <c r="B15" s="30" t="s">
        <v>328</v>
      </c>
      <c r="C15" s="31"/>
      <c r="D15" s="31"/>
      <c r="E15" s="50"/>
      <c r="F15" s="31"/>
      <c r="G15" s="31"/>
      <c r="H15" s="31"/>
      <c r="I15" s="50"/>
      <c r="J15" s="31"/>
      <c r="K15" s="31"/>
      <c r="L15" s="31"/>
      <c r="M15" s="50"/>
      <c r="N15" s="31"/>
      <c r="O15" s="31"/>
      <c r="P15" s="31"/>
      <c r="Q15" s="31"/>
      <c r="R15" s="31"/>
      <c r="S15" s="31"/>
      <c r="T15" s="31"/>
      <c r="U15" s="31"/>
      <c r="V15" s="31"/>
      <c r="W15" s="31"/>
      <c r="X15" s="31"/>
      <c r="Y15" s="31"/>
      <c r="Z15" s="31"/>
      <c r="AA15" s="31"/>
    </row>
    <row r="16" spans="2:34" x14ac:dyDescent="0.35">
      <c r="B16" t="s">
        <v>364</v>
      </c>
      <c r="C16" s="7"/>
      <c r="D16" s="7"/>
      <c r="E16" s="39"/>
      <c r="F16" s="7"/>
      <c r="G16" s="7"/>
      <c r="H16" s="7"/>
      <c r="I16" s="39"/>
      <c r="J16" s="7"/>
      <c r="K16" s="7"/>
      <c r="L16" s="7"/>
      <c r="M16" s="39"/>
      <c r="N16" s="7"/>
      <c r="O16" s="7"/>
      <c r="P16" s="7"/>
      <c r="Q16" s="7"/>
      <c r="R16" s="7"/>
      <c r="S16" s="7"/>
      <c r="T16" s="7"/>
      <c r="U16" s="7"/>
      <c r="V16" s="7"/>
      <c r="W16" s="7">
        <v>31993</v>
      </c>
      <c r="X16" s="7">
        <v>36576</v>
      </c>
      <c r="Y16" s="7">
        <v>60200</v>
      </c>
      <c r="Z16" s="7"/>
      <c r="AA16" s="7"/>
    </row>
    <row r="17" spans="2:34" s="4" customFormat="1" x14ac:dyDescent="0.35">
      <c r="B17" s="4" t="s">
        <v>363</v>
      </c>
      <c r="C17" s="8"/>
      <c r="D17" s="8"/>
      <c r="E17" s="40"/>
      <c r="F17" s="8"/>
      <c r="G17" s="8"/>
      <c r="H17" s="8"/>
      <c r="I17" s="40"/>
      <c r="J17" s="8"/>
      <c r="K17" s="8"/>
      <c r="L17" s="8"/>
      <c r="M17" s="40"/>
      <c r="N17" s="8"/>
      <c r="O17" s="8"/>
      <c r="P17" s="8"/>
      <c r="Q17" s="8"/>
      <c r="R17" s="8"/>
      <c r="S17" s="8"/>
      <c r="T17" s="8"/>
      <c r="U17" s="8"/>
      <c r="V17" s="8"/>
      <c r="W17" s="8">
        <v>1092</v>
      </c>
      <c r="X17" s="8">
        <v>2395</v>
      </c>
      <c r="Y17" s="8">
        <v>485</v>
      </c>
      <c r="Z17" s="8"/>
      <c r="AA17" s="8"/>
    </row>
    <row r="18" spans="2:34" s="14" customFormat="1" x14ac:dyDescent="0.35">
      <c r="B18" s="14" t="s">
        <v>368</v>
      </c>
      <c r="C18" s="26"/>
      <c r="D18" s="26"/>
      <c r="E18" s="42">
        <v>16462</v>
      </c>
      <c r="F18" s="26">
        <v>7618</v>
      </c>
      <c r="G18" s="26">
        <v>1123</v>
      </c>
      <c r="H18" s="26">
        <f>X18-G18-F18-E18</f>
        <v>13768</v>
      </c>
      <c r="I18" s="42">
        <v>6576</v>
      </c>
      <c r="J18" s="26">
        <v>19109</v>
      </c>
      <c r="K18" s="26">
        <v>22983</v>
      </c>
      <c r="L18" s="26">
        <f>Y18-K18-J18-I18</f>
        <v>12017</v>
      </c>
      <c r="M18" s="42"/>
      <c r="N18" s="26"/>
      <c r="O18" s="26"/>
      <c r="P18" s="26"/>
      <c r="Q18" s="26"/>
      <c r="R18" s="26"/>
      <c r="S18" s="26"/>
      <c r="T18" s="26"/>
      <c r="U18" s="26"/>
      <c r="V18" s="26"/>
      <c r="W18" s="26">
        <v>33085</v>
      </c>
      <c r="X18" s="26">
        <v>38971</v>
      </c>
      <c r="Y18" s="26">
        <f>SUM(Y16:Y17)</f>
        <v>60685</v>
      </c>
      <c r="Z18" s="26"/>
      <c r="AA18" s="26"/>
    </row>
    <row r="19" spans="2:34" s="4" customFormat="1" x14ac:dyDescent="0.35">
      <c r="B19" s="4" t="s">
        <v>332</v>
      </c>
      <c r="C19" s="8"/>
      <c r="D19" s="8"/>
      <c r="E19" s="40">
        <v>15866</v>
      </c>
      <c r="F19" s="8">
        <v>7829</v>
      </c>
      <c r="G19" s="8">
        <v>16521</v>
      </c>
      <c r="H19" s="8">
        <f t="shared" ref="H19:H20" si="16">X19-G19-F19-E19</f>
        <v>13611</v>
      </c>
      <c r="I19" s="40">
        <v>7344</v>
      </c>
      <c r="J19" s="8">
        <v>21421</v>
      </c>
      <c r="K19" s="8">
        <v>23818</v>
      </c>
      <c r="L19" s="8">
        <f>Y19-K19-J19-I19</f>
        <v>15057</v>
      </c>
      <c r="M19" s="40"/>
      <c r="N19" s="8"/>
      <c r="O19" s="8"/>
      <c r="P19" s="8"/>
      <c r="Q19" s="8"/>
      <c r="R19" s="8"/>
      <c r="S19" s="8"/>
      <c r="T19" s="8"/>
      <c r="U19" s="8"/>
      <c r="V19" s="8"/>
      <c r="W19" s="8">
        <v>45872</v>
      </c>
      <c r="X19" s="8">
        <v>53827</v>
      </c>
      <c r="Y19" s="8">
        <v>67640</v>
      </c>
      <c r="Z19" s="8"/>
      <c r="AA19" s="8"/>
    </row>
    <row r="20" spans="2:34" s="14" customFormat="1" x14ac:dyDescent="0.35">
      <c r="B20" s="14" t="s">
        <v>367</v>
      </c>
      <c r="C20" s="26">
        <f t="shared" ref="C20:J20" si="17">C18-C19</f>
        <v>0</v>
      </c>
      <c r="D20" s="26">
        <f t="shared" si="17"/>
        <v>0</v>
      </c>
      <c r="E20" s="42">
        <f t="shared" si="17"/>
        <v>596</v>
      </c>
      <c r="F20" s="26">
        <f t="shared" si="17"/>
        <v>-211</v>
      </c>
      <c r="G20" s="26">
        <f t="shared" si="17"/>
        <v>-15398</v>
      </c>
      <c r="H20" s="7">
        <f t="shared" si="16"/>
        <v>157</v>
      </c>
      <c r="I20" s="42">
        <f t="shared" si="17"/>
        <v>-768</v>
      </c>
      <c r="J20" s="26">
        <f t="shared" si="17"/>
        <v>-2312</v>
      </c>
      <c r="K20" s="26">
        <f>K18-K19</f>
        <v>-835</v>
      </c>
      <c r="L20" s="26">
        <f t="shared" ref="L20:O20" si="18">L18-L19</f>
        <v>-3040</v>
      </c>
      <c r="M20" s="42">
        <f t="shared" si="18"/>
        <v>0</v>
      </c>
      <c r="N20" s="26">
        <f t="shared" si="18"/>
        <v>0</v>
      </c>
      <c r="O20" s="26">
        <f t="shared" si="18"/>
        <v>0</v>
      </c>
      <c r="P20" s="26"/>
      <c r="Q20" s="26"/>
      <c r="R20" s="26"/>
      <c r="S20" s="26"/>
      <c r="T20" s="26"/>
      <c r="U20" s="26"/>
      <c r="V20" s="26"/>
      <c r="W20" s="26">
        <f>W18-W19</f>
        <v>-12787</v>
      </c>
      <c r="X20" s="26">
        <f t="shared" ref="X20:AH20" si="19">X18-X19</f>
        <v>-14856</v>
      </c>
      <c r="Y20" s="26">
        <f t="shared" si="19"/>
        <v>-6955</v>
      </c>
      <c r="Z20" s="26">
        <f t="shared" si="19"/>
        <v>0</v>
      </c>
      <c r="AA20" s="26">
        <f t="shared" si="19"/>
        <v>0</v>
      </c>
      <c r="AB20" s="26">
        <f t="shared" si="19"/>
        <v>0</v>
      </c>
      <c r="AC20" s="26">
        <f t="shared" si="19"/>
        <v>0</v>
      </c>
      <c r="AD20" s="26">
        <f t="shared" si="19"/>
        <v>0</v>
      </c>
      <c r="AE20" s="26">
        <f t="shared" si="19"/>
        <v>0</v>
      </c>
      <c r="AF20" s="26">
        <f t="shared" si="19"/>
        <v>0</v>
      </c>
      <c r="AG20" s="26">
        <f t="shared" si="19"/>
        <v>0</v>
      </c>
      <c r="AH20" s="26">
        <f t="shared" si="19"/>
        <v>0</v>
      </c>
    </row>
    <row r="21" spans="2:34" x14ac:dyDescent="0.35">
      <c r="B21" t="s">
        <v>333</v>
      </c>
      <c r="C21" s="2" t="e">
        <f t="shared" ref="C21:J21" si="20">C20/C18</f>
        <v>#DIV/0!</v>
      </c>
      <c r="D21" s="2" t="e">
        <f t="shared" si="20"/>
        <v>#DIV/0!</v>
      </c>
      <c r="E21" s="43">
        <f t="shared" si="20"/>
        <v>3.6204592394605759E-2</v>
      </c>
      <c r="F21" s="2">
        <f t="shared" si="20"/>
        <v>-2.7697558414281963E-2</v>
      </c>
      <c r="G21" s="2">
        <f t="shared" si="20"/>
        <v>-13.711487088156723</v>
      </c>
      <c r="H21" s="2">
        <f t="shared" si="20"/>
        <v>1.1403253922138291E-2</v>
      </c>
      <c r="I21" s="43">
        <f t="shared" si="20"/>
        <v>-0.11678832116788321</v>
      </c>
      <c r="J21" s="2">
        <f t="shared" si="20"/>
        <v>-0.12099010937254696</v>
      </c>
      <c r="K21" s="2">
        <f>K20/K18</f>
        <v>-3.6331201322716791E-2</v>
      </c>
      <c r="L21" s="2">
        <f t="shared" ref="L21:O21" si="21">L20/L18</f>
        <v>-0.25297495215111926</v>
      </c>
      <c r="M21" s="43" t="e">
        <f t="shared" si="21"/>
        <v>#DIV/0!</v>
      </c>
      <c r="N21" s="2" t="e">
        <f t="shared" si="21"/>
        <v>#DIV/0!</v>
      </c>
      <c r="O21" s="2" t="e">
        <f t="shared" si="21"/>
        <v>#DIV/0!</v>
      </c>
      <c r="P21" s="7"/>
      <c r="Q21" s="7"/>
      <c r="R21" s="7"/>
      <c r="S21" s="7"/>
      <c r="T21" s="7"/>
      <c r="U21" s="7"/>
      <c r="V21" s="7"/>
      <c r="W21" s="2">
        <f>W20/W18</f>
        <v>-0.38648934562490556</v>
      </c>
      <c r="X21" s="2">
        <f t="shared" ref="X21:AH21" si="22">X20/X18</f>
        <v>-0.38120653819506811</v>
      </c>
      <c r="Y21" s="2">
        <f t="shared" si="22"/>
        <v>-0.11460822278981626</v>
      </c>
      <c r="Z21" s="2" t="e">
        <f t="shared" si="22"/>
        <v>#DIV/0!</v>
      </c>
      <c r="AA21" s="2" t="e">
        <f t="shared" si="22"/>
        <v>#DIV/0!</v>
      </c>
      <c r="AB21" s="2" t="e">
        <f t="shared" si="22"/>
        <v>#DIV/0!</v>
      </c>
      <c r="AC21" s="2" t="e">
        <f t="shared" si="22"/>
        <v>#DIV/0!</v>
      </c>
      <c r="AD21" s="2" t="e">
        <f t="shared" si="22"/>
        <v>#DIV/0!</v>
      </c>
      <c r="AE21" s="2" t="e">
        <f t="shared" si="22"/>
        <v>#DIV/0!</v>
      </c>
      <c r="AF21" s="2" t="e">
        <f t="shared" si="22"/>
        <v>#DIV/0!</v>
      </c>
      <c r="AG21" s="2" t="e">
        <f t="shared" si="22"/>
        <v>#DIV/0!</v>
      </c>
      <c r="AH21" s="2" t="e">
        <f t="shared" si="22"/>
        <v>#DIV/0!</v>
      </c>
    </row>
    <row r="22" spans="2:34" s="30" customFormat="1" x14ac:dyDescent="0.35">
      <c r="B22" s="30" t="s">
        <v>322</v>
      </c>
      <c r="C22" s="31"/>
      <c r="D22" s="31"/>
      <c r="E22" s="50"/>
      <c r="F22" s="31"/>
      <c r="G22" s="31"/>
      <c r="H22" s="31"/>
      <c r="I22" s="50"/>
      <c r="J22" s="31"/>
      <c r="K22" s="31"/>
      <c r="L22" s="31"/>
      <c r="M22" s="50"/>
      <c r="N22" s="31"/>
      <c r="O22" s="31"/>
      <c r="P22" s="31"/>
      <c r="Q22" s="31"/>
      <c r="R22" s="31"/>
      <c r="S22" s="31"/>
      <c r="T22" s="31"/>
      <c r="U22" s="31"/>
      <c r="V22" s="31"/>
      <c r="W22" s="31"/>
      <c r="X22" s="31"/>
      <c r="Y22" s="31"/>
      <c r="Z22" s="31"/>
      <c r="AA22" s="31"/>
    </row>
    <row r="23" spans="2:34" x14ac:dyDescent="0.35">
      <c r="B23" t="s">
        <v>364</v>
      </c>
      <c r="C23" s="7"/>
      <c r="D23" s="7"/>
      <c r="E23" s="39"/>
      <c r="F23" s="7"/>
      <c r="G23" s="7"/>
      <c r="H23" s="7"/>
      <c r="I23" s="39"/>
      <c r="J23" s="7"/>
      <c r="K23" s="7"/>
      <c r="L23" s="7"/>
      <c r="M23" s="39"/>
      <c r="N23" s="7"/>
      <c r="O23" s="7"/>
      <c r="P23" s="7"/>
      <c r="Q23" s="7"/>
      <c r="R23" s="7"/>
      <c r="S23" s="7"/>
      <c r="T23" s="7"/>
      <c r="U23" s="7"/>
      <c r="V23" s="7"/>
      <c r="W23" s="7">
        <v>1910</v>
      </c>
      <c r="X23" s="7">
        <v>12578</v>
      </c>
      <c r="Y23" s="7">
        <v>61141</v>
      </c>
      <c r="Z23" s="7"/>
      <c r="AA23" s="7"/>
    </row>
    <row r="24" spans="2:34" s="4" customFormat="1" x14ac:dyDescent="0.35">
      <c r="B24" s="4" t="s">
        <v>363</v>
      </c>
      <c r="C24" s="8"/>
      <c r="D24" s="8"/>
      <c r="E24" s="40"/>
      <c r="F24" s="8"/>
      <c r="G24" s="8"/>
      <c r="H24" s="8"/>
      <c r="I24" s="40"/>
      <c r="J24" s="8"/>
      <c r="K24" s="8"/>
      <c r="L24" s="8"/>
      <c r="M24" s="40"/>
      <c r="N24" s="8"/>
      <c r="O24" s="8"/>
      <c r="P24" s="8"/>
      <c r="Q24" s="8"/>
      <c r="R24" s="8"/>
      <c r="S24" s="8"/>
      <c r="T24" s="8"/>
      <c r="U24" s="8"/>
      <c r="V24" s="8"/>
      <c r="W24" s="8">
        <v>165</v>
      </c>
      <c r="X24" s="8">
        <v>10688</v>
      </c>
      <c r="Y24" s="8">
        <v>89170</v>
      </c>
      <c r="Z24" s="8"/>
      <c r="AA24" s="8"/>
    </row>
    <row r="25" spans="2:34" s="14" customFormat="1" x14ac:dyDescent="0.35">
      <c r="B25" s="14" t="s">
        <v>369</v>
      </c>
      <c r="C25" s="26"/>
      <c r="D25" s="26"/>
      <c r="E25" s="42">
        <v>1730</v>
      </c>
      <c r="F25" s="26">
        <v>3662</v>
      </c>
      <c r="G25" s="26">
        <v>4164</v>
      </c>
      <c r="H25" s="26">
        <f>+X25-G25-F25-E25</f>
        <v>13710</v>
      </c>
      <c r="I25" s="42">
        <v>34127</v>
      </c>
      <c r="J25" s="26">
        <v>36365</v>
      </c>
      <c r="K25" s="26">
        <v>40074</v>
      </c>
      <c r="L25" s="26">
        <f>Y25-K25-J25-I25</f>
        <v>39745</v>
      </c>
      <c r="M25" s="42"/>
      <c r="N25" s="26"/>
      <c r="O25" s="26"/>
      <c r="P25" s="26"/>
      <c r="Q25" s="26"/>
      <c r="R25" s="26"/>
      <c r="S25" s="26"/>
      <c r="T25" s="26"/>
      <c r="U25" s="26"/>
      <c r="V25" s="26"/>
      <c r="W25" s="26">
        <v>2075</v>
      </c>
      <c r="X25" s="26">
        <v>23266</v>
      </c>
      <c r="Y25" s="26">
        <f>SUM(Y23:Y24)</f>
        <v>150311</v>
      </c>
      <c r="Z25" s="26"/>
      <c r="AA25" s="26"/>
    </row>
    <row r="26" spans="2:34" s="4" customFormat="1" x14ac:dyDescent="0.35">
      <c r="B26" s="4" t="s">
        <v>332</v>
      </c>
      <c r="C26" s="8"/>
      <c r="D26" s="8"/>
      <c r="E26" s="40">
        <v>915</v>
      </c>
      <c r="F26" s="8">
        <v>988</v>
      </c>
      <c r="G26" s="8">
        <v>1217</v>
      </c>
      <c r="H26" s="8">
        <f t="shared" ref="H26:H27" si="23">+X26-G26-F26-E26</f>
        <v>7183</v>
      </c>
      <c r="I26" s="40">
        <v>29624</v>
      </c>
      <c r="J26" s="8">
        <v>29095</v>
      </c>
      <c r="K26" s="8">
        <v>30772</v>
      </c>
      <c r="L26" s="8">
        <f>Y26-K26-J26-I26</f>
        <v>34875</v>
      </c>
      <c r="M26" s="40"/>
      <c r="N26" s="8"/>
      <c r="O26" s="8"/>
      <c r="P26" s="8"/>
      <c r="Q26" s="8"/>
      <c r="R26" s="8"/>
      <c r="S26" s="8"/>
      <c r="T26" s="8"/>
      <c r="U26" s="8"/>
      <c r="V26" s="8"/>
      <c r="W26" s="8">
        <v>1105</v>
      </c>
      <c r="X26" s="8">
        <v>10303</v>
      </c>
      <c r="Y26" s="8">
        <v>124366</v>
      </c>
      <c r="Z26" s="8"/>
      <c r="AA26" s="8"/>
    </row>
    <row r="27" spans="2:34" s="14" customFormat="1" x14ac:dyDescent="0.35">
      <c r="B27" s="14" t="s">
        <v>366</v>
      </c>
      <c r="C27" s="26">
        <f t="shared" ref="C27:J27" si="24">C25-C26</f>
        <v>0</v>
      </c>
      <c r="D27" s="26">
        <f t="shared" si="24"/>
        <v>0</v>
      </c>
      <c r="E27" s="42">
        <f t="shared" si="24"/>
        <v>815</v>
      </c>
      <c r="F27" s="26">
        <f t="shared" si="24"/>
        <v>2674</v>
      </c>
      <c r="G27" s="26">
        <f t="shared" si="24"/>
        <v>2947</v>
      </c>
      <c r="H27" s="7">
        <f t="shared" si="23"/>
        <v>6527</v>
      </c>
      <c r="I27" s="42">
        <f t="shared" si="24"/>
        <v>4503</v>
      </c>
      <c r="J27" s="26">
        <f t="shared" si="24"/>
        <v>7270</v>
      </c>
      <c r="K27" s="26">
        <f>K25-K26</f>
        <v>9302</v>
      </c>
      <c r="L27" s="26">
        <f t="shared" ref="L27:O27" si="25">L25-L26</f>
        <v>4870</v>
      </c>
      <c r="M27" s="42">
        <f t="shared" si="25"/>
        <v>0</v>
      </c>
      <c r="N27" s="26">
        <f t="shared" si="25"/>
        <v>0</v>
      </c>
      <c r="O27" s="26">
        <f t="shared" si="25"/>
        <v>0</v>
      </c>
      <c r="P27" s="26"/>
      <c r="Q27" s="26"/>
      <c r="R27" s="26"/>
      <c r="S27" s="26"/>
      <c r="T27" s="26"/>
      <c r="U27" s="26"/>
      <c r="V27" s="26"/>
      <c r="W27" s="26">
        <f>W25-W26</f>
        <v>970</v>
      </c>
      <c r="X27" s="26">
        <f>X25-X26</f>
        <v>12963</v>
      </c>
      <c r="Y27" s="26">
        <f t="shared" ref="Y27:AH27" si="26">Y25-Y26</f>
        <v>25945</v>
      </c>
      <c r="Z27" s="26">
        <f t="shared" si="26"/>
        <v>0</v>
      </c>
      <c r="AA27" s="26">
        <f t="shared" si="26"/>
        <v>0</v>
      </c>
      <c r="AB27" s="26">
        <f t="shared" si="26"/>
        <v>0</v>
      </c>
      <c r="AC27" s="26">
        <f t="shared" si="26"/>
        <v>0</v>
      </c>
      <c r="AD27" s="26">
        <f t="shared" si="26"/>
        <v>0</v>
      </c>
      <c r="AE27" s="26">
        <f t="shared" si="26"/>
        <v>0</v>
      </c>
      <c r="AF27" s="26">
        <f t="shared" si="26"/>
        <v>0</v>
      </c>
      <c r="AG27" s="26">
        <f t="shared" si="26"/>
        <v>0</v>
      </c>
      <c r="AH27" s="26">
        <f t="shared" si="26"/>
        <v>0</v>
      </c>
    </row>
    <row r="28" spans="2:34" s="4" customFormat="1" x14ac:dyDescent="0.35">
      <c r="B28" s="4" t="s">
        <v>333</v>
      </c>
      <c r="C28" s="24" t="e">
        <f t="shared" ref="C28:J28" si="27">C27/C25</f>
        <v>#DIV/0!</v>
      </c>
      <c r="D28" s="24" t="e">
        <f t="shared" si="27"/>
        <v>#DIV/0!</v>
      </c>
      <c r="E28" s="46">
        <f t="shared" si="27"/>
        <v>0.47109826589595377</v>
      </c>
      <c r="F28" s="24">
        <f t="shared" si="27"/>
        <v>0.730202075368651</v>
      </c>
      <c r="G28" s="24">
        <f t="shared" si="27"/>
        <v>0.70773294908741591</v>
      </c>
      <c r="H28" s="24">
        <f t="shared" si="27"/>
        <v>0.4760758570386579</v>
      </c>
      <c r="I28" s="46">
        <f t="shared" si="27"/>
        <v>0.13194831072171595</v>
      </c>
      <c r="J28" s="24">
        <f t="shared" si="27"/>
        <v>0.19991750309363399</v>
      </c>
      <c r="K28" s="24">
        <f>K27/K25</f>
        <v>0.23212057693267454</v>
      </c>
      <c r="L28" s="24">
        <f t="shared" ref="L28:O28" si="28">L27/L25</f>
        <v>0.12253113599194868</v>
      </c>
      <c r="M28" s="46" t="e">
        <f t="shared" si="28"/>
        <v>#DIV/0!</v>
      </c>
      <c r="N28" s="24" t="e">
        <f t="shared" si="28"/>
        <v>#DIV/0!</v>
      </c>
      <c r="O28" s="24" t="e">
        <f t="shared" si="28"/>
        <v>#DIV/0!</v>
      </c>
      <c r="P28" s="8"/>
      <c r="Q28" s="8"/>
      <c r="R28" s="8"/>
      <c r="S28" s="8"/>
      <c r="T28" s="8"/>
      <c r="U28" s="8"/>
      <c r="V28" s="8"/>
      <c r="W28" s="24">
        <f>W27/W25</f>
        <v>0.46746987951807228</v>
      </c>
      <c r="X28" s="24">
        <f>X27/X25</f>
        <v>0.55716496174675489</v>
      </c>
      <c r="Y28" s="24">
        <f t="shared" ref="Y28:AH28" si="29">Y27/Y25</f>
        <v>0.17260879110643931</v>
      </c>
      <c r="Z28" s="24" t="e">
        <f t="shared" si="29"/>
        <v>#DIV/0!</v>
      </c>
      <c r="AA28" s="24" t="e">
        <f t="shared" si="29"/>
        <v>#DIV/0!</v>
      </c>
      <c r="AB28" s="24" t="e">
        <f t="shared" si="29"/>
        <v>#DIV/0!</v>
      </c>
      <c r="AC28" s="24" t="e">
        <f t="shared" si="29"/>
        <v>#DIV/0!</v>
      </c>
      <c r="AD28" s="24" t="e">
        <f t="shared" si="29"/>
        <v>#DIV/0!</v>
      </c>
      <c r="AE28" s="24" t="e">
        <f t="shared" si="29"/>
        <v>#DIV/0!</v>
      </c>
      <c r="AF28" s="24" t="e">
        <f t="shared" si="29"/>
        <v>#DIV/0!</v>
      </c>
      <c r="AG28" s="24" t="e">
        <f t="shared" si="29"/>
        <v>#DIV/0!</v>
      </c>
      <c r="AH28" s="24" t="e">
        <f t="shared" si="29"/>
        <v>#DIV/0!</v>
      </c>
    </row>
    <row r="29" spans="2:34" s="26" customFormat="1" x14ac:dyDescent="0.35">
      <c r="B29" s="26" t="s">
        <v>365</v>
      </c>
      <c r="E29" s="42">
        <f>E25+E18</f>
        <v>18192</v>
      </c>
      <c r="F29" s="26">
        <f t="shared" ref="F29:K29" si="30">F25+F18</f>
        <v>11280</v>
      </c>
      <c r="G29" s="26">
        <f t="shared" si="30"/>
        <v>5287</v>
      </c>
      <c r="H29" s="26">
        <f t="shared" si="30"/>
        <v>27478</v>
      </c>
      <c r="I29" s="26">
        <f t="shared" si="30"/>
        <v>40703</v>
      </c>
      <c r="J29" s="26">
        <f t="shared" si="30"/>
        <v>55474</v>
      </c>
      <c r="K29" s="26">
        <f t="shared" si="30"/>
        <v>63057</v>
      </c>
      <c r="L29" s="26">
        <f>L25+L18</f>
        <v>51762</v>
      </c>
      <c r="M29" s="42"/>
      <c r="W29" s="26">
        <f>W25+W18</f>
        <v>35160</v>
      </c>
      <c r="X29" s="26">
        <f t="shared" ref="X29:Y29" si="31">X25+X18</f>
        <v>62237</v>
      </c>
      <c r="Y29" s="26">
        <f t="shared" si="31"/>
        <v>210996</v>
      </c>
    </row>
    <row r="30" spans="2:34" x14ac:dyDescent="0.35">
      <c r="C30" s="2"/>
      <c r="D30" s="2"/>
      <c r="E30" s="43"/>
      <c r="F30" s="2"/>
      <c r="G30" s="2"/>
      <c r="H30" s="2"/>
      <c r="I30" s="43"/>
      <c r="J30" s="2"/>
      <c r="K30" s="2"/>
      <c r="L30" s="2"/>
      <c r="M30" s="43"/>
      <c r="N30" s="2"/>
      <c r="O30" s="2"/>
      <c r="P30" s="7"/>
      <c r="Q30" s="7"/>
      <c r="R30" s="7"/>
      <c r="S30" s="7"/>
      <c r="T30" s="7"/>
      <c r="U30" s="7"/>
      <c r="V30" s="7"/>
      <c r="W30" s="2"/>
      <c r="X30" s="2"/>
      <c r="Y30" s="2"/>
      <c r="Z30" s="2"/>
      <c r="AA30" s="2"/>
      <c r="AB30" s="2"/>
      <c r="AC30" s="2"/>
      <c r="AD30" s="2"/>
      <c r="AE30" s="2"/>
      <c r="AF30" s="2"/>
      <c r="AG30" s="2"/>
      <c r="AH30" s="2"/>
    </row>
    <row r="31" spans="2:34" x14ac:dyDescent="0.35">
      <c r="C31" s="2"/>
      <c r="D31" s="2"/>
      <c r="E31" s="43"/>
      <c r="F31" s="2"/>
      <c r="G31" s="2"/>
      <c r="H31" s="2"/>
      <c r="I31" s="43"/>
      <c r="J31" s="2"/>
      <c r="K31" s="2"/>
      <c r="L31" s="7"/>
      <c r="M31" s="39"/>
      <c r="N31" s="7"/>
      <c r="O31" s="7"/>
      <c r="P31" s="7"/>
      <c r="Q31" s="7"/>
      <c r="R31" s="7"/>
      <c r="S31" s="7"/>
      <c r="T31" s="7"/>
      <c r="U31" s="7"/>
      <c r="V31" s="7"/>
      <c r="W31" s="2"/>
      <c r="X31" s="2"/>
      <c r="Y31" s="7"/>
      <c r="Z31" s="7"/>
      <c r="AA31" s="7"/>
    </row>
    <row r="32" spans="2:34" x14ac:dyDescent="0.35">
      <c r="C32" s="2"/>
      <c r="D32" s="2"/>
      <c r="E32" s="43"/>
      <c r="F32" s="2"/>
      <c r="G32" s="2"/>
      <c r="H32" s="2"/>
      <c r="I32" s="43"/>
      <c r="J32" s="2"/>
      <c r="K32" s="2"/>
      <c r="L32" s="7"/>
      <c r="M32" s="39"/>
      <c r="N32" s="7"/>
      <c r="O32" s="7"/>
      <c r="P32" s="7"/>
      <c r="Q32" s="7"/>
      <c r="R32" s="7"/>
      <c r="S32" s="7"/>
      <c r="T32" s="7"/>
      <c r="U32" s="7"/>
      <c r="V32" s="7"/>
      <c r="W32" s="2"/>
      <c r="X32" s="2"/>
      <c r="Y32" s="7"/>
      <c r="Z32" s="7"/>
      <c r="AA32" s="7"/>
    </row>
    <row r="33" spans="2:34" s="21" customFormat="1" x14ac:dyDescent="0.35">
      <c r="B33" s="25" t="s">
        <v>327</v>
      </c>
      <c r="C33" s="22"/>
      <c r="D33" s="22"/>
      <c r="E33" s="41"/>
      <c r="F33" s="22"/>
      <c r="G33" s="22"/>
      <c r="H33" s="22"/>
      <c r="I33" s="41"/>
      <c r="J33" s="22"/>
      <c r="K33" s="22"/>
      <c r="L33" s="22"/>
      <c r="M33" s="41"/>
      <c r="N33" s="22"/>
      <c r="O33" s="22"/>
      <c r="P33" s="22"/>
      <c r="Q33" s="22"/>
      <c r="R33" s="22"/>
      <c r="S33" s="22"/>
      <c r="T33" s="22"/>
      <c r="U33" s="22"/>
      <c r="V33" s="22"/>
      <c r="W33" s="22"/>
      <c r="X33" s="22"/>
      <c r="Y33" s="22"/>
      <c r="Z33" s="22"/>
      <c r="AA33" s="22"/>
    </row>
    <row r="34" spans="2:34" x14ac:dyDescent="0.35">
      <c r="B34" t="s">
        <v>328</v>
      </c>
      <c r="C34" s="7">
        <f t="shared" ref="C34:O34" si="32">C18</f>
        <v>0</v>
      </c>
      <c r="D34" s="7">
        <f t="shared" si="32"/>
        <v>0</v>
      </c>
      <c r="E34" s="39">
        <f t="shared" si="32"/>
        <v>16462</v>
      </c>
      <c r="F34" s="7">
        <f t="shared" si="32"/>
        <v>7618</v>
      </c>
      <c r="G34" s="7">
        <f t="shared" si="32"/>
        <v>1123</v>
      </c>
      <c r="H34" s="7">
        <f t="shared" si="32"/>
        <v>13768</v>
      </c>
      <c r="I34" s="39">
        <f t="shared" si="32"/>
        <v>6576</v>
      </c>
      <c r="J34" s="7">
        <f t="shared" si="32"/>
        <v>19109</v>
      </c>
      <c r="K34" s="7">
        <f t="shared" si="32"/>
        <v>22983</v>
      </c>
      <c r="L34" s="7">
        <f t="shared" si="32"/>
        <v>12017</v>
      </c>
      <c r="M34" s="39">
        <f t="shared" si="32"/>
        <v>0</v>
      </c>
      <c r="N34" s="7">
        <f t="shared" si="32"/>
        <v>0</v>
      </c>
      <c r="O34" s="7">
        <f t="shared" si="32"/>
        <v>0</v>
      </c>
      <c r="P34" s="7"/>
      <c r="Q34" s="7"/>
      <c r="R34" s="7"/>
      <c r="S34" s="7"/>
      <c r="T34" s="7"/>
      <c r="U34" s="7"/>
      <c r="V34" s="7"/>
      <c r="W34" s="7">
        <f>SUM(W16:W17)</f>
        <v>33085</v>
      </c>
      <c r="X34" s="7">
        <f>SUM(X16:X17)</f>
        <v>38971</v>
      </c>
      <c r="Y34" s="7">
        <f>SUM(Y16:Y17)</f>
        <v>60685</v>
      </c>
      <c r="Z34" s="7"/>
      <c r="AA34" s="7"/>
    </row>
    <row r="35" spans="2:34" s="4" customFormat="1" x14ac:dyDescent="0.35">
      <c r="B35" s="4" t="s">
        <v>322</v>
      </c>
      <c r="C35" s="8">
        <f t="shared" ref="C35:E35" si="33">C25</f>
        <v>0</v>
      </c>
      <c r="D35" s="8">
        <f t="shared" si="33"/>
        <v>0</v>
      </c>
      <c r="E35" s="40">
        <f t="shared" si="33"/>
        <v>1730</v>
      </c>
      <c r="F35" s="8">
        <f>F25</f>
        <v>3662</v>
      </c>
      <c r="G35" s="8">
        <f t="shared" ref="G35:K35" si="34">G25</f>
        <v>4164</v>
      </c>
      <c r="H35" s="8">
        <f t="shared" si="34"/>
        <v>13710</v>
      </c>
      <c r="I35" s="40">
        <f t="shared" si="34"/>
        <v>34127</v>
      </c>
      <c r="J35" s="8">
        <f t="shared" si="34"/>
        <v>36365</v>
      </c>
      <c r="K35" s="8">
        <f t="shared" si="34"/>
        <v>40074</v>
      </c>
      <c r="L35" s="8">
        <f t="shared" ref="L35:O35" si="35">L25</f>
        <v>39745</v>
      </c>
      <c r="M35" s="40">
        <f t="shared" si="35"/>
        <v>0</v>
      </c>
      <c r="N35" s="8">
        <f t="shared" si="35"/>
        <v>0</v>
      </c>
      <c r="O35" s="8">
        <f t="shared" si="35"/>
        <v>0</v>
      </c>
      <c r="P35" s="8"/>
      <c r="Q35" s="8"/>
      <c r="R35" s="8"/>
      <c r="S35" s="8"/>
      <c r="T35" s="8"/>
      <c r="U35" s="8"/>
      <c r="V35" s="8"/>
      <c r="W35" s="8">
        <f>SUM(W23:W24)</f>
        <v>2075</v>
      </c>
      <c r="X35" s="8">
        <f>SUM(X23:X24)</f>
        <v>23266</v>
      </c>
      <c r="Y35" s="8">
        <f>SUM(Y23:Y24)</f>
        <v>150311</v>
      </c>
      <c r="Z35" s="8"/>
      <c r="AA35" s="8"/>
    </row>
    <row r="36" spans="2:34" s="14" customFormat="1" x14ac:dyDescent="0.35">
      <c r="B36" s="14" t="s">
        <v>271</v>
      </c>
      <c r="C36" s="26">
        <f t="shared" ref="C36:E36" si="36">SUM(C34:C35)</f>
        <v>0</v>
      </c>
      <c r="D36" s="26">
        <f t="shared" si="36"/>
        <v>0</v>
      </c>
      <c r="E36" s="42">
        <f t="shared" si="36"/>
        <v>18192</v>
      </c>
      <c r="F36" s="26">
        <f>SUM(F34:F35)</f>
        <v>11280</v>
      </c>
      <c r="G36" s="26">
        <f t="shared" ref="G36:K36" si="37">SUM(G34:G35)</f>
        <v>5287</v>
      </c>
      <c r="H36" s="26">
        <f t="shared" si="37"/>
        <v>27478</v>
      </c>
      <c r="I36" s="42">
        <f t="shared" si="37"/>
        <v>40703</v>
      </c>
      <c r="J36" s="26">
        <f t="shared" si="37"/>
        <v>55474</v>
      </c>
      <c r="K36" s="26">
        <f t="shared" si="37"/>
        <v>63057</v>
      </c>
      <c r="L36" s="26">
        <f t="shared" ref="L36:O36" si="38">SUM(L34:L35)</f>
        <v>51762</v>
      </c>
      <c r="M36" s="42">
        <f t="shared" si="38"/>
        <v>0</v>
      </c>
      <c r="N36" s="26">
        <f t="shared" si="38"/>
        <v>0</v>
      </c>
      <c r="O36" s="26">
        <f t="shared" si="38"/>
        <v>0</v>
      </c>
      <c r="P36" s="26"/>
      <c r="Q36" s="26"/>
      <c r="R36" s="26"/>
      <c r="S36" s="26"/>
      <c r="T36" s="26"/>
      <c r="U36" s="26"/>
      <c r="V36" s="26"/>
      <c r="W36" s="26">
        <f>SUM(W34:W35)</f>
        <v>35160</v>
      </c>
      <c r="X36" s="26">
        <f>SUM(X34:X35)</f>
        <v>62237</v>
      </c>
      <c r="Y36" s="26">
        <f t="shared" ref="Y36:AH36" si="39">SUM(Y34:Y35)</f>
        <v>210996</v>
      </c>
      <c r="Z36" s="26">
        <f t="shared" si="39"/>
        <v>0</v>
      </c>
      <c r="AA36" s="26">
        <f t="shared" si="39"/>
        <v>0</v>
      </c>
      <c r="AB36" s="26">
        <f t="shared" si="39"/>
        <v>0</v>
      </c>
      <c r="AC36" s="26">
        <f t="shared" si="39"/>
        <v>0</v>
      </c>
      <c r="AD36" s="26">
        <f t="shared" si="39"/>
        <v>0</v>
      </c>
      <c r="AE36" s="26">
        <f t="shared" si="39"/>
        <v>0</v>
      </c>
      <c r="AF36" s="26">
        <f t="shared" si="39"/>
        <v>0</v>
      </c>
      <c r="AG36" s="26">
        <f t="shared" si="39"/>
        <v>0</v>
      </c>
      <c r="AH36" s="26">
        <f t="shared" si="39"/>
        <v>0</v>
      </c>
    </row>
    <row r="37" spans="2:34" x14ac:dyDescent="0.35">
      <c r="D37" s="7"/>
      <c r="E37" s="39"/>
      <c r="F37" s="7"/>
      <c r="G37" s="7"/>
      <c r="H37" s="7"/>
      <c r="I37" s="39"/>
      <c r="J37" s="7"/>
      <c r="K37" s="7"/>
      <c r="L37" s="7"/>
      <c r="M37" s="39"/>
      <c r="N37" s="7"/>
      <c r="O37" s="7"/>
      <c r="P37" s="7"/>
      <c r="Q37" s="7"/>
      <c r="R37" s="7"/>
      <c r="S37" s="7"/>
      <c r="T37" s="7"/>
      <c r="U37" s="7"/>
      <c r="V37" s="7"/>
      <c r="W37" s="7"/>
      <c r="X37" s="7"/>
      <c r="Y37" s="7"/>
      <c r="Z37" s="7"/>
      <c r="AA37" s="7"/>
    </row>
    <row r="38" spans="2:34" x14ac:dyDescent="0.35">
      <c r="B38" t="s">
        <v>329</v>
      </c>
      <c r="D38" s="7"/>
      <c r="E38" s="39"/>
      <c r="F38" s="7"/>
      <c r="G38" s="7"/>
      <c r="H38" s="7"/>
      <c r="I38" s="39"/>
      <c r="J38" s="7"/>
      <c r="K38" s="7"/>
      <c r="L38" s="7"/>
      <c r="M38" s="39"/>
      <c r="N38" s="7"/>
      <c r="O38" s="7"/>
      <c r="P38" s="7"/>
      <c r="Q38" s="7"/>
      <c r="R38" s="7"/>
      <c r="S38" s="7"/>
      <c r="T38" s="7"/>
      <c r="U38" s="7"/>
      <c r="V38" s="7"/>
      <c r="W38" s="7"/>
      <c r="X38" s="7"/>
      <c r="Y38" s="7"/>
      <c r="Z38" s="7"/>
      <c r="AA38" s="7"/>
    </row>
    <row r="39" spans="2:34" x14ac:dyDescent="0.35">
      <c r="B39" t="s">
        <v>330</v>
      </c>
      <c r="C39" s="13" t="e">
        <f>(C16+C23)/C29</f>
        <v>#DIV/0!</v>
      </c>
      <c r="D39" s="13" t="e">
        <f t="shared" ref="D39:K39" si="40">(D16+D23)/D29</f>
        <v>#DIV/0!</v>
      </c>
      <c r="E39" s="44">
        <f t="shared" si="40"/>
        <v>0</v>
      </c>
      <c r="F39" s="13">
        <f t="shared" si="40"/>
        <v>0</v>
      </c>
      <c r="G39" s="13">
        <f t="shared" si="40"/>
        <v>0</v>
      </c>
      <c r="H39" s="13">
        <f t="shared" si="40"/>
        <v>0</v>
      </c>
      <c r="I39" s="13">
        <f t="shared" si="40"/>
        <v>0</v>
      </c>
      <c r="J39" s="13">
        <f t="shared" si="40"/>
        <v>0</v>
      </c>
      <c r="K39" s="13">
        <f t="shared" si="40"/>
        <v>0</v>
      </c>
      <c r="L39" s="13">
        <f>(L16+L23)/L29</f>
        <v>0</v>
      </c>
      <c r="M39" s="44" t="e">
        <f>M11/M13</f>
        <v>#DIV/0!</v>
      </c>
      <c r="N39" s="13" t="e">
        <f>N11/N13</f>
        <v>#DIV/0!</v>
      </c>
      <c r="O39" s="13" t="e">
        <f>O11/O13</f>
        <v>#DIV/0!</v>
      </c>
      <c r="P39" s="7"/>
      <c r="Q39" s="7"/>
      <c r="R39" s="7"/>
      <c r="S39" s="7"/>
      <c r="T39" s="7"/>
      <c r="U39" s="7"/>
      <c r="V39" s="7"/>
      <c r="W39" s="13">
        <f>(W16+W23)/W29</f>
        <v>0.96424914675767914</v>
      </c>
      <c r="X39" s="13">
        <f>(X16+X23)/X29</f>
        <v>0.78978742548644698</v>
      </c>
      <c r="Y39" s="13">
        <f t="shared" ref="Y39:AH39" si="41">(Y16+Y23)/Y29</f>
        <v>0.57508673150201894</v>
      </c>
      <c r="Z39" s="13" t="e">
        <f t="shared" si="41"/>
        <v>#DIV/0!</v>
      </c>
      <c r="AA39" s="13" t="e">
        <f t="shared" si="41"/>
        <v>#DIV/0!</v>
      </c>
      <c r="AB39" s="13" t="e">
        <f t="shared" si="41"/>
        <v>#DIV/0!</v>
      </c>
      <c r="AC39" s="13" t="e">
        <f t="shared" si="41"/>
        <v>#DIV/0!</v>
      </c>
      <c r="AD39" s="13" t="e">
        <f t="shared" si="41"/>
        <v>#DIV/0!</v>
      </c>
      <c r="AE39" s="13" t="e">
        <f t="shared" si="41"/>
        <v>#DIV/0!</v>
      </c>
      <c r="AF39" s="13" t="e">
        <f t="shared" si="41"/>
        <v>#DIV/0!</v>
      </c>
      <c r="AG39" s="13" t="e">
        <f t="shared" si="41"/>
        <v>#DIV/0!</v>
      </c>
      <c r="AH39" s="13" t="e">
        <f t="shared" si="41"/>
        <v>#DIV/0!</v>
      </c>
    </row>
    <row r="40" spans="2:34" s="4" customFormat="1" x14ac:dyDescent="0.35">
      <c r="B40" s="4" t="s">
        <v>331</v>
      </c>
      <c r="C40" s="23" t="e">
        <f>(C17+C24)/C29</f>
        <v>#DIV/0!</v>
      </c>
      <c r="D40" s="23" t="e">
        <f t="shared" ref="D40:K40" si="42">(D17+D24)/D29</f>
        <v>#DIV/0!</v>
      </c>
      <c r="E40" s="45">
        <f t="shared" si="42"/>
        <v>0</v>
      </c>
      <c r="F40" s="23">
        <f t="shared" si="42"/>
        <v>0</v>
      </c>
      <c r="G40" s="23">
        <f t="shared" si="42"/>
        <v>0</v>
      </c>
      <c r="H40" s="23">
        <f t="shared" si="42"/>
        <v>0</v>
      </c>
      <c r="I40" s="23">
        <f t="shared" si="42"/>
        <v>0</v>
      </c>
      <c r="J40" s="23">
        <f t="shared" si="42"/>
        <v>0</v>
      </c>
      <c r="K40" s="23">
        <f t="shared" si="42"/>
        <v>0</v>
      </c>
      <c r="L40" s="23">
        <f>(L17+L24)/L29</f>
        <v>0</v>
      </c>
      <c r="M40" s="45" t="e">
        <f>M12/M13</f>
        <v>#DIV/0!</v>
      </c>
      <c r="N40" s="23" t="e">
        <f>N12/N13</f>
        <v>#DIV/0!</v>
      </c>
      <c r="O40" s="23" t="e">
        <f>O12/O13</f>
        <v>#DIV/0!</v>
      </c>
      <c r="P40" s="8"/>
      <c r="Q40" s="8"/>
      <c r="R40" s="8"/>
      <c r="S40" s="8"/>
      <c r="T40" s="8"/>
      <c r="U40" s="8"/>
      <c r="V40" s="8"/>
      <c r="W40" s="23">
        <f>(W17+W24)/W29</f>
        <v>3.5750853242320822E-2</v>
      </c>
      <c r="X40" s="23">
        <f>(X17+X24)/X29</f>
        <v>0.21021257451355302</v>
      </c>
      <c r="Y40" s="23">
        <f t="shared" ref="Y40:AH40" si="43">(Y17+Y24)/Y29</f>
        <v>0.424913268497981</v>
      </c>
      <c r="Z40" s="23" t="e">
        <f t="shared" si="43"/>
        <v>#DIV/0!</v>
      </c>
      <c r="AA40" s="23" t="e">
        <f t="shared" si="43"/>
        <v>#DIV/0!</v>
      </c>
      <c r="AB40" s="23" t="e">
        <f t="shared" si="43"/>
        <v>#DIV/0!</v>
      </c>
      <c r="AC40" s="23" t="e">
        <f t="shared" si="43"/>
        <v>#DIV/0!</v>
      </c>
      <c r="AD40" s="23" t="e">
        <f t="shared" si="43"/>
        <v>#DIV/0!</v>
      </c>
      <c r="AE40" s="23" t="e">
        <f t="shared" si="43"/>
        <v>#DIV/0!</v>
      </c>
      <c r="AF40" s="23" t="e">
        <f t="shared" si="43"/>
        <v>#DIV/0!</v>
      </c>
      <c r="AG40" s="23" t="e">
        <f t="shared" si="43"/>
        <v>#DIV/0!</v>
      </c>
      <c r="AH40" s="23" t="e">
        <f t="shared" si="43"/>
        <v>#DIV/0!</v>
      </c>
    </row>
    <row r="41" spans="2:34" x14ac:dyDescent="0.35">
      <c r="B41" t="s">
        <v>271</v>
      </c>
      <c r="C41" s="2" t="e">
        <f>SUM(C39:C40)</f>
        <v>#DIV/0!</v>
      </c>
      <c r="D41" s="2" t="e">
        <f t="shared" ref="D41:K41" si="44">SUM(D39:D40)</f>
        <v>#DIV/0!</v>
      </c>
      <c r="E41" s="43">
        <f t="shared" si="44"/>
        <v>0</v>
      </c>
      <c r="F41" s="2">
        <f t="shared" si="44"/>
        <v>0</v>
      </c>
      <c r="G41" s="2">
        <f t="shared" si="44"/>
        <v>0</v>
      </c>
      <c r="H41" s="2">
        <f t="shared" si="44"/>
        <v>0</v>
      </c>
      <c r="I41" s="43">
        <f t="shared" si="44"/>
        <v>0</v>
      </c>
      <c r="J41" s="2">
        <f t="shared" si="44"/>
        <v>0</v>
      </c>
      <c r="K41" s="2">
        <f t="shared" si="44"/>
        <v>0</v>
      </c>
      <c r="L41" s="2">
        <f t="shared" ref="L41:O41" si="45">SUM(L39:L40)</f>
        <v>0</v>
      </c>
      <c r="M41" s="43" t="e">
        <f t="shared" si="45"/>
        <v>#DIV/0!</v>
      </c>
      <c r="N41" s="2" t="e">
        <f t="shared" si="45"/>
        <v>#DIV/0!</v>
      </c>
      <c r="O41" s="2" t="e">
        <f t="shared" si="45"/>
        <v>#DIV/0!</v>
      </c>
      <c r="P41" s="7"/>
      <c r="Q41" s="7"/>
      <c r="R41" s="7"/>
      <c r="S41" s="7"/>
      <c r="T41" s="7"/>
      <c r="U41" s="7"/>
      <c r="V41" s="7"/>
      <c r="W41" s="2">
        <f>SUM(W39:W40)</f>
        <v>1</v>
      </c>
      <c r="X41" s="2">
        <f>SUM(X39:X40)</f>
        <v>1</v>
      </c>
      <c r="Y41" s="2">
        <f t="shared" ref="Y41:AH41" si="46">SUM(Y39:Y40)</f>
        <v>1</v>
      </c>
      <c r="Z41" s="2" t="e">
        <f t="shared" si="46"/>
        <v>#DIV/0!</v>
      </c>
      <c r="AA41" s="2" t="e">
        <f t="shared" si="46"/>
        <v>#DIV/0!</v>
      </c>
      <c r="AB41" s="2" t="e">
        <f t="shared" si="46"/>
        <v>#DIV/0!</v>
      </c>
      <c r="AC41" s="2" t="e">
        <f t="shared" si="46"/>
        <v>#DIV/0!</v>
      </c>
      <c r="AD41" s="2" t="e">
        <f t="shared" si="46"/>
        <v>#DIV/0!</v>
      </c>
      <c r="AE41" s="2" t="e">
        <f t="shared" si="46"/>
        <v>#DIV/0!</v>
      </c>
      <c r="AF41" s="2" t="e">
        <f t="shared" si="46"/>
        <v>#DIV/0!</v>
      </c>
      <c r="AG41" s="2" t="e">
        <f t="shared" si="46"/>
        <v>#DIV/0!</v>
      </c>
      <c r="AH41" s="2" t="e">
        <f t="shared" si="46"/>
        <v>#DIV/0!</v>
      </c>
    </row>
    <row r="42" spans="2:34" x14ac:dyDescent="0.35">
      <c r="C42" s="2"/>
      <c r="D42" s="2"/>
      <c r="E42" s="43"/>
      <c r="F42" s="2"/>
      <c r="G42" s="2"/>
      <c r="H42" s="2"/>
      <c r="I42" s="43"/>
      <c r="J42" s="2"/>
      <c r="K42" s="2"/>
      <c r="L42" s="2"/>
      <c r="M42" s="43"/>
      <c r="N42" s="2"/>
      <c r="O42" s="2"/>
      <c r="P42" s="7"/>
      <c r="Q42" s="7"/>
      <c r="R42" s="7"/>
      <c r="S42" s="7"/>
      <c r="T42" s="7"/>
      <c r="U42" s="7"/>
      <c r="V42" s="7"/>
      <c r="W42" s="2"/>
      <c r="X42" s="2"/>
      <c r="Y42" s="2"/>
      <c r="Z42" s="7"/>
      <c r="AA42" s="7"/>
    </row>
    <row r="43" spans="2:34" x14ac:dyDescent="0.35">
      <c r="B43" t="s">
        <v>328</v>
      </c>
      <c r="C43" s="2" t="e">
        <f t="shared" ref="C43:D43" si="47">C34/C36</f>
        <v>#DIV/0!</v>
      </c>
      <c r="D43" s="2" t="e">
        <f t="shared" si="47"/>
        <v>#DIV/0!</v>
      </c>
      <c r="E43" s="43">
        <f t="shared" ref="E43:F43" si="48">E34/E36</f>
        <v>0.90490325417766049</v>
      </c>
      <c r="F43" s="2">
        <f t="shared" si="48"/>
        <v>0.67535460992907803</v>
      </c>
      <c r="G43" s="2">
        <f>G34/G36</f>
        <v>0.2124077926990732</v>
      </c>
      <c r="H43" s="2">
        <f t="shared" ref="H43:K43" si="49">H34/H36</f>
        <v>0.50105538976635855</v>
      </c>
      <c r="I43" s="43">
        <f t="shared" si="49"/>
        <v>0.16156057293074222</v>
      </c>
      <c r="J43" s="2">
        <f t="shared" si="49"/>
        <v>0.34446767855211452</v>
      </c>
      <c r="K43" s="2">
        <f t="shared" si="49"/>
        <v>0.36447975641086638</v>
      </c>
      <c r="L43" s="2">
        <f t="shared" ref="L43:O43" si="50">L34/L36</f>
        <v>0.23215872647888414</v>
      </c>
      <c r="M43" s="43" t="e">
        <f t="shared" si="50"/>
        <v>#DIV/0!</v>
      </c>
      <c r="N43" s="2" t="e">
        <f t="shared" si="50"/>
        <v>#DIV/0!</v>
      </c>
      <c r="O43" s="2" t="e">
        <f t="shared" si="50"/>
        <v>#DIV/0!</v>
      </c>
      <c r="P43" s="7"/>
      <c r="Q43" s="7"/>
      <c r="R43" s="7"/>
      <c r="S43" s="7"/>
      <c r="T43" s="7"/>
      <c r="U43" s="7"/>
      <c r="V43" s="7"/>
      <c r="W43" s="2">
        <f>W34/W36</f>
        <v>0.9409840728100114</v>
      </c>
      <c r="X43" s="2">
        <f>X34/X36</f>
        <v>0.62617092726191814</v>
      </c>
      <c r="Y43" s="2">
        <f t="shared" ref="Y43:AH43" si="51">Y34/Y36</f>
        <v>0.28761208743293709</v>
      </c>
      <c r="Z43" s="2" t="e">
        <f t="shared" si="51"/>
        <v>#DIV/0!</v>
      </c>
      <c r="AA43" s="2" t="e">
        <f t="shared" si="51"/>
        <v>#DIV/0!</v>
      </c>
      <c r="AB43" s="2" t="e">
        <f t="shared" si="51"/>
        <v>#DIV/0!</v>
      </c>
      <c r="AC43" s="2" t="e">
        <f t="shared" si="51"/>
        <v>#DIV/0!</v>
      </c>
      <c r="AD43" s="2" t="e">
        <f t="shared" si="51"/>
        <v>#DIV/0!</v>
      </c>
      <c r="AE43" s="2" t="e">
        <f t="shared" si="51"/>
        <v>#DIV/0!</v>
      </c>
      <c r="AF43" s="2" t="e">
        <f t="shared" si="51"/>
        <v>#DIV/0!</v>
      </c>
      <c r="AG43" s="2" t="e">
        <f t="shared" si="51"/>
        <v>#DIV/0!</v>
      </c>
      <c r="AH43" s="2" t="e">
        <f t="shared" si="51"/>
        <v>#DIV/0!</v>
      </c>
    </row>
    <row r="44" spans="2:34" s="4" customFormat="1" x14ac:dyDescent="0.35">
      <c r="B44" s="4" t="s">
        <v>322</v>
      </c>
      <c r="C44" s="24" t="e">
        <f t="shared" ref="C44:D44" si="52">C35/C36</f>
        <v>#DIV/0!</v>
      </c>
      <c r="D44" s="24" t="e">
        <f t="shared" si="52"/>
        <v>#DIV/0!</v>
      </c>
      <c r="E44" s="46">
        <f t="shared" ref="E44:F44" si="53">E35/E36</f>
        <v>9.5096745822339485E-2</v>
      </c>
      <c r="F44" s="24">
        <f t="shared" si="53"/>
        <v>0.32464539007092197</v>
      </c>
      <c r="G44" s="24">
        <f>G35/G36</f>
        <v>0.78759220730092683</v>
      </c>
      <c r="H44" s="24">
        <f t="shared" ref="H44:K44" si="54">H35/H36</f>
        <v>0.49894461023364145</v>
      </c>
      <c r="I44" s="46">
        <f t="shared" si="54"/>
        <v>0.83843942706925778</v>
      </c>
      <c r="J44" s="24">
        <f t="shared" si="54"/>
        <v>0.65553232144788554</v>
      </c>
      <c r="K44" s="24">
        <f t="shared" si="54"/>
        <v>0.63552024358913362</v>
      </c>
      <c r="L44" s="24">
        <f t="shared" ref="L44:O44" si="55">L35/L36</f>
        <v>0.76784127352111586</v>
      </c>
      <c r="M44" s="46" t="e">
        <f t="shared" si="55"/>
        <v>#DIV/0!</v>
      </c>
      <c r="N44" s="24" t="e">
        <f t="shared" si="55"/>
        <v>#DIV/0!</v>
      </c>
      <c r="O44" s="24" t="e">
        <f t="shared" si="55"/>
        <v>#DIV/0!</v>
      </c>
      <c r="P44" s="8"/>
      <c r="Q44" s="8"/>
      <c r="R44" s="8"/>
      <c r="S44" s="8"/>
      <c r="T44" s="8"/>
      <c r="U44" s="8"/>
      <c r="V44" s="8"/>
      <c r="W44" s="24">
        <f>W35/W36</f>
        <v>5.9015927189988625E-2</v>
      </c>
      <c r="X44" s="24">
        <f>X35/X36</f>
        <v>0.37382907273808186</v>
      </c>
      <c r="Y44" s="24">
        <f t="shared" ref="Y44:AH44" si="56">Y35/Y36</f>
        <v>0.71238791256706291</v>
      </c>
      <c r="Z44" s="24" t="e">
        <f t="shared" si="56"/>
        <v>#DIV/0!</v>
      </c>
      <c r="AA44" s="24" t="e">
        <f t="shared" si="56"/>
        <v>#DIV/0!</v>
      </c>
      <c r="AB44" s="24" t="e">
        <f t="shared" si="56"/>
        <v>#DIV/0!</v>
      </c>
      <c r="AC44" s="24" t="e">
        <f t="shared" si="56"/>
        <v>#DIV/0!</v>
      </c>
      <c r="AD44" s="24" t="e">
        <f t="shared" si="56"/>
        <v>#DIV/0!</v>
      </c>
      <c r="AE44" s="24" t="e">
        <f t="shared" si="56"/>
        <v>#DIV/0!</v>
      </c>
      <c r="AF44" s="24" t="e">
        <f t="shared" si="56"/>
        <v>#DIV/0!</v>
      </c>
      <c r="AG44" s="24" t="e">
        <f t="shared" si="56"/>
        <v>#DIV/0!</v>
      </c>
      <c r="AH44" s="24" t="e">
        <f t="shared" si="56"/>
        <v>#DIV/0!</v>
      </c>
    </row>
    <row r="45" spans="2:34" x14ac:dyDescent="0.35">
      <c r="B45" t="s">
        <v>271</v>
      </c>
      <c r="C45" s="13" t="e">
        <f t="shared" ref="C45" si="57">SUM(C43:C44)</f>
        <v>#DIV/0!</v>
      </c>
      <c r="D45" s="13" t="e">
        <f t="shared" ref="D45" si="58">SUM(D43:D44)</f>
        <v>#DIV/0!</v>
      </c>
      <c r="E45" s="44">
        <f t="shared" ref="E45:F45" si="59">SUM(E43:E44)</f>
        <v>1</v>
      </c>
      <c r="F45" s="13">
        <f t="shared" si="59"/>
        <v>1</v>
      </c>
      <c r="G45" s="13">
        <f>SUM(G43:G44)</f>
        <v>1</v>
      </c>
      <c r="H45" s="13">
        <f t="shared" ref="H45:K45" si="60">SUM(H43:H44)</f>
        <v>1</v>
      </c>
      <c r="I45" s="44">
        <f t="shared" si="60"/>
        <v>1</v>
      </c>
      <c r="J45" s="13">
        <f t="shared" si="60"/>
        <v>1</v>
      </c>
      <c r="K45" s="13">
        <f t="shared" si="60"/>
        <v>1</v>
      </c>
      <c r="L45" s="13">
        <f t="shared" ref="L45:O45" si="61">SUM(L43:L44)</f>
        <v>1</v>
      </c>
      <c r="M45" s="44" t="e">
        <f t="shared" si="61"/>
        <v>#DIV/0!</v>
      </c>
      <c r="N45" s="13" t="e">
        <f t="shared" si="61"/>
        <v>#DIV/0!</v>
      </c>
      <c r="O45" s="13" t="e">
        <f t="shared" si="61"/>
        <v>#DIV/0!</v>
      </c>
      <c r="P45" s="7"/>
      <c r="Q45" s="7"/>
      <c r="R45" s="7"/>
      <c r="S45" s="7"/>
      <c r="T45" s="7"/>
      <c r="U45" s="7"/>
      <c r="V45" s="7"/>
      <c r="W45" s="13">
        <f>SUM(W43:W44)</f>
        <v>1</v>
      </c>
      <c r="X45" s="13">
        <f>SUM(X43:X44)</f>
        <v>1</v>
      </c>
      <c r="Y45" s="13">
        <f t="shared" ref="Y45:AH45" si="62">SUM(Y43:Y44)</f>
        <v>1</v>
      </c>
      <c r="Z45" s="13" t="e">
        <f t="shared" si="62"/>
        <v>#DIV/0!</v>
      </c>
      <c r="AA45" s="13" t="e">
        <f t="shared" si="62"/>
        <v>#DIV/0!</v>
      </c>
      <c r="AB45" s="13" t="e">
        <f t="shared" si="62"/>
        <v>#DIV/0!</v>
      </c>
      <c r="AC45" s="13" t="e">
        <f t="shared" si="62"/>
        <v>#DIV/0!</v>
      </c>
      <c r="AD45" s="13" t="e">
        <f t="shared" si="62"/>
        <v>#DIV/0!</v>
      </c>
      <c r="AE45" s="13" t="e">
        <f t="shared" si="62"/>
        <v>#DIV/0!</v>
      </c>
      <c r="AF45" s="13" t="e">
        <f t="shared" si="62"/>
        <v>#DIV/0!</v>
      </c>
      <c r="AG45" s="13" t="e">
        <f t="shared" si="62"/>
        <v>#DIV/0!</v>
      </c>
      <c r="AH45" s="13" t="e">
        <f t="shared" si="62"/>
        <v>#DIV/0!</v>
      </c>
    </row>
    <row r="46" spans="2:34" x14ac:dyDescent="0.35">
      <c r="D46" s="7"/>
      <c r="E46" s="39"/>
      <c r="F46" s="7"/>
      <c r="G46" s="7"/>
      <c r="H46" s="7"/>
      <c r="I46" s="39"/>
      <c r="J46" s="7"/>
      <c r="K46" s="7"/>
      <c r="L46" s="7"/>
      <c r="M46" s="39"/>
      <c r="N46" s="7"/>
      <c r="O46" s="7"/>
      <c r="P46" s="7"/>
      <c r="Q46" s="7"/>
      <c r="R46" s="7"/>
      <c r="S46" s="7"/>
      <c r="T46" s="7"/>
      <c r="U46" s="7"/>
      <c r="V46" s="7"/>
      <c r="W46" s="7"/>
      <c r="X46" s="7"/>
      <c r="Y46" s="7"/>
      <c r="Z46" s="7"/>
      <c r="AA46" s="7"/>
    </row>
    <row r="47" spans="2:34" s="6" customFormat="1" x14ac:dyDescent="0.35">
      <c r="B47" s="6" t="s">
        <v>214</v>
      </c>
      <c r="D47" s="9"/>
      <c r="E47" s="47"/>
      <c r="F47" s="9"/>
      <c r="G47" s="9"/>
      <c r="H47" s="12">
        <f t="shared" si="14"/>
        <v>0</v>
      </c>
      <c r="I47" s="47"/>
      <c r="J47" s="9"/>
      <c r="K47" s="9"/>
      <c r="L47" s="9"/>
      <c r="M47" s="47"/>
      <c r="N47" s="9"/>
      <c r="O47" s="9"/>
      <c r="P47" s="9"/>
      <c r="Q47" s="9"/>
      <c r="R47" s="9"/>
      <c r="S47" s="9"/>
      <c r="T47" s="9"/>
      <c r="U47" s="9"/>
      <c r="V47" s="9"/>
      <c r="W47" s="9"/>
      <c r="X47" s="9"/>
      <c r="Y47" s="9"/>
      <c r="Z47" s="9"/>
      <c r="AA47" s="9"/>
    </row>
    <row r="48" spans="2:34" x14ac:dyDescent="0.35">
      <c r="B48" t="s">
        <v>65</v>
      </c>
      <c r="C48">
        <v>10670</v>
      </c>
      <c r="D48" s="7">
        <f>35160-C48</f>
        <v>24490</v>
      </c>
      <c r="E48" s="39">
        <v>18192</v>
      </c>
      <c r="F48" s="7">
        <v>11280</v>
      </c>
      <c r="G48" s="7">
        <v>5287</v>
      </c>
      <c r="H48" s="7">
        <f t="shared" si="14"/>
        <v>27478</v>
      </c>
      <c r="I48" s="39">
        <v>40703</v>
      </c>
      <c r="J48" s="7">
        <v>55474</v>
      </c>
      <c r="K48" s="7">
        <v>63057</v>
      </c>
      <c r="L48" s="7">
        <f>Y48-K48-J48-I48</f>
        <v>51762</v>
      </c>
      <c r="M48" s="39"/>
      <c r="N48" s="7"/>
      <c r="O48" s="7"/>
      <c r="P48" s="7"/>
      <c r="Q48" s="7"/>
      <c r="R48" s="7"/>
      <c r="S48" s="7"/>
      <c r="T48" s="7"/>
      <c r="U48" s="7"/>
      <c r="V48" s="7"/>
      <c r="W48" s="7">
        <v>35160</v>
      </c>
      <c r="X48" s="7">
        <v>62237</v>
      </c>
      <c r="Y48" s="7">
        <v>210996</v>
      </c>
      <c r="Z48" s="7"/>
      <c r="AA48" s="7"/>
    </row>
    <row r="49" spans="2:27" s="4" customFormat="1" x14ac:dyDescent="0.35">
      <c r="B49" s="4" t="s">
        <v>216</v>
      </c>
      <c r="C49" s="4">
        <v>12555</v>
      </c>
      <c r="D49" s="8">
        <f>46977-C49</f>
        <v>34422</v>
      </c>
      <c r="E49" s="40">
        <v>16781</v>
      </c>
      <c r="F49" s="8">
        <v>8817</v>
      </c>
      <c r="G49" s="8">
        <v>17738</v>
      </c>
      <c r="H49" s="8">
        <f t="shared" si="14"/>
        <v>20794</v>
      </c>
      <c r="I49" s="40">
        <v>36968</v>
      </c>
      <c r="J49" s="8">
        <v>50516</v>
      </c>
      <c r="K49" s="8">
        <v>54590</v>
      </c>
      <c r="L49" s="8">
        <f>Y49-K49-J49-I49</f>
        <v>49932</v>
      </c>
      <c r="M49" s="40"/>
      <c r="N49" s="8"/>
      <c r="O49" s="8"/>
      <c r="P49" s="8"/>
      <c r="Q49" s="8"/>
      <c r="R49" s="8"/>
      <c r="S49" s="8"/>
      <c r="T49" s="8"/>
      <c r="U49" s="8"/>
      <c r="V49" s="8"/>
      <c r="W49" s="8">
        <v>46977</v>
      </c>
      <c r="X49" s="8">
        <v>64130</v>
      </c>
      <c r="Y49" s="8">
        <v>192006</v>
      </c>
      <c r="Z49" s="8"/>
      <c r="AA49" s="8"/>
    </row>
    <row r="50" spans="2:27" s="14" customFormat="1" x14ac:dyDescent="0.35">
      <c r="B50" s="14" t="s">
        <v>67</v>
      </c>
      <c r="C50" s="26">
        <f t="shared" ref="C50:O50" si="63">C48-C49</f>
        <v>-1885</v>
      </c>
      <c r="D50" s="26">
        <f t="shared" si="63"/>
        <v>-9932</v>
      </c>
      <c r="E50" s="42">
        <f t="shared" si="63"/>
        <v>1411</v>
      </c>
      <c r="F50" s="26">
        <f t="shared" si="63"/>
        <v>2463</v>
      </c>
      <c r="G50" s="26">
        <f t="shared" si="63"/>
        <v>-12451</v>
      </c>
      <c r="H50" s="26">
        <f t="shared" si="63"/>
        <v>6684</v>
      </c>
      <c r="I50" s="42">
        <f t="shared" si="63"/>
        <v>3735</v>
      </c>
      <c r="J50" s="26">
        <f t="shared" si="63"/>
        <v>4958</v>
      </c>
      <c r="K50" s="26">
        <f t="shared" si="63"/>
        <v>8467</v>
      </c>
      <c r="L50" s="26">
        <f t="shared" si="63"/>
        <v>1830</v>
      </c>
      <c r="M50" s="42">
        <f t="shared" si="63"/>
        <v>0</v>
      </c>
      <c r="N50" s="26">
        <f t="shared" si="63"/>
        <v>0</v>
      </c>
      <c r="O50" s="26">
        <f t="shared" si="63"/>
        <v>0</v>
      </c>
      <c r="P50" s="26"/>
      <c r="Q50" s="26"/>
      <c r="R50" s="26"/>
      <c r="S50" s="26"/>
      <c r="T50" s="26"/>
      <c r="U50" s="26"/>
      <c r="V50" s="26"/>
      <c r="W50" s="26">
        <f>W48-W49</f>
        <v>-11817</v>
      </c>
      <c r="X50" s="26">
        <f>X48-X49</f>
        <v>-1893</v>
      </c>
      <c r="Y50" s="26">
        <f>Y48-Y49</f>
        <v>18990</v>
      </c>
      <c r="Z50" s="26"/>
      <c r="AA50" s="26"/>
    </row>
    <row r="51" spans="2:27" s="21" customFormat="1" x14ac:dyDescent="0.35">
      <c r="B51" s="30" t="s">
        <v>219</v>
      </c>
      <c r="C51" s="22"/>
      <c r="D51" s="22"/>
      <c r="E51" s="41"/>
      <c r="F51" s="22"/>
      <c r="G51" s="22"/>
      <c r="H51" s="22"/>
      <c r="I51" s="41"/>
      <c r="J51" s="22"/>
      <c r="K51" s="22"/>
      <c r="L51" s="22"/>
      <c r="M51" s="41"/>
      <c r="N51" s="22"/>
      <c r="O51" s="22"/>
      <c r="P51" s="22"/>
      <c r="Q51" s="22"/>
      <c r="R51" s="22"/>
      <c r="S51" s="22"/>
      <c r="T51" s="22"/>
      <c r="U51" s="22"/>
      <c r="V51" s="22"/>
      <c r="W51" s="22"/>
      <c r="X51" s="22"/>
      <c r="Y51" s="22"/>
      <c r="Z51" s="22"/>
      <c r="AA51" s="22"/>
    </row>
    <row r="52" spans="2:27" x14ac:dyDescent="0.35">
      <c r="B52" t="s">
        <v>217</v>
      </c>
      <c r="C52">
        <v>4903</v>
      </c>
      <c r="D52" s="7">
        <f>19142-C52</f>
        <v>14239</v>
      </c>
      <c r="E52" s="39">
        <v>7078</v>
      </c>
      <c r="F52" s="7">
        <v>8529</v>
      </c>
      <c r="G52" s="7">
        <v>14189</v>
      </c>
      <c r="H52" s="7">
        <f t="shared" si="14"/>
        <v>11969</v>
      </c>
      <c r="I52" s="39">
        <v>13477</v>
      </c>
      <c r="J52" s="7">
        <v>19165</v>
      </c>
      <c r="K52" s="7">
        <v>17508</v>
      </c>
      <c r="L52" s="7">
        <f>Y52-K52-J52-I52</f>
        <v>15018</v>
      </c>
      <c r="M52" s="39"/>
      <c r="N52" s="7"/>
      <c r="O52" s="7"/>
      <c r="P52" s="7"/>
      <c r="Q52" s="7"/>
      <c r="R52" s="7"/>
      <c r="S52" s="7"/>
      <c r="T52" s="7"/>
      <c r="U52" s="7"/>
      <c r="V52" s="7"/>
      <c r="W52" s="7">
        <v>19142</v>
      </c>
      <c r="X52" s="7">
        <v>41765</v>
      </c>
      <c r="Y52" s="7">
        <v>65168</v>
      </c>
      <c r="Z52" s="7"/>
      <c r="AA52" s="7"/>
    </row>
    <row r="53" spans="2:27" s="4" customFormat="1" x14ac:dyDescent="0.35">
      <c r="B53" s="4" t="s">
        <v>218</v>
      </c>
      <c r="C53" s="4">
        <v>6057</v>
      </c>
      <c r="D53" s="8">
        <f>23993-C53</f>
        <v>17936</v>
      </c>
      <c r="E53" s="40">
        <v>6624</v>
      </c>
      <c r="F53" s="8">
        <v>7068</v>
      </c>
      <c r="G53" s="8">
        <v>25655</v>
      </c>
      <c r="H53" s="8">
        <f t="shared" si="14"/>
        <v>19048</v>
      </c>
      <c r="I53" s="40">
        <v>23078</v>
      </c>
      <c r="J53" s="8">
        <v>18952</v>
      </c>
      <c r="K53" s="8">
        <v>22961</v>
      </c>
      <c r="L53" s="8">
        <f>Y53-K53-J53-I53</f>
        <v>24035</v>
      </c>
      <c r="M53" s="40"/>
      <c r="N53" s="8"/>
      <c r="O53" s="8"/>
      <c r="P53" s="8"/>
      <c r="Q53" s="8"/>
      <c r="R53" s="8"/>
      <c r="S53" s="8"/>
      <c r="T53" s="8"/>
      <c r="U53" s="8"/>
      <c r="V53" s="8"/>
      <c r="W53" s="8">
        <v>23993</v>
      </c>
      <c r="X53" s="8">
        <v>58395</v>
      </c>
      <c r="Y53" s="8">
        <v>89026</v>
      </c>
      <c r="Z53" s="8"/>
      <c r="AA53" s="8"/>
    </row>
    <row r="54" spans="2:27" s="34" customFormat="1" x14ac:dyDescent="0.35">
      <c r="B54" s="34" t="s">
        <v>358</v>
      </c>
      <c r="C54" s="35">
        <f t="shared" ref="C54:O54" si="64">C52+C53</f>
        <v>10960</v>
      </c>
      <c r="D54" s="35">
        <f t="shared" si="64"/>
        <v>32175</v>
      </c>
      <c r="E54" s="48">
        <f t="shared" si="64"/>
        <v>13702</v>
      </c>
      <c r="F54" s="35">
        <f t="shared" si="64"/>
        <v>15597</v>
      </c>
      <c r="G54" s="35">
        <f t="shared" si="64"/>
        <v>39844</v>
      </c>
      <c r="H54" s="35">
        <f t="shared" si="64"/>
        <v>31017</v>
      </c>
      <c r="I54" s="48">
        <f t="shared" si="64"/>
        <v>36555</v>
      </c>
      <c r="J54" s="35">
        <f t="shared" si="64"/>
        <v>38117</v>
      </c>
      <c r="K54" s="35">
        <f t="shared" si="64"/>
        <v>40469</v>
      </c>
      <c r="L54" s="35">
        <f t="shared" si="64"/>
        <v>39053</v>
      </c>
      <c r="M54" s="48">
        <f t="shared" si="64"/>
        <v>0</v>
      </c>
      <c r="N54" s="35">
        <f t="shared" si="64"/>
        <v>0</v>
      </c>
      <c r="O54" s="35">
        <f t="shared" si="64"/>
        <v>0</v>
      </c>
      <c r="P54" s="35"/>
      <c r="Q54" s="35"/>
      <c r="R54" s="35"/>
      <c r="S54" s="35"/>
      <c r="T54" s="35"/>
      <c r="U54" s="35"/>
      <c r="V54" s="35"/>
      <c r="W54" s="35">
        <f>+W52+W53</f>
        <v>43135</v>
      </c>
      <c r="X54" s="35">
        <f>+X52+X53</f>
        <v>100160</v>
      </c>
      <c r="Y54" s="35">
        <f>+Y52+Y53</f>
        <v>154194</v>
      </c>
      <c r="Z54" s="35"/>
      <c r="AA54" s="35"/>
    </row>
    <row r="55" spans="2:27" s="14" customFormat="1" x14ac:dyDescent="0.35">
      <c r="B55" s="14" t="s">
        <v>220</v>
      </c>
      <c r="C55" s="26">
        <f t="shared" ref="C55:O55" si="65">C50-C54</f>
        <v>-12845</v>
      </c>
      <c r="D55" s="26">
        <f t="shared" si="65"/>
        <v>-42107</v>
      </c>
      <c r="E55" s="42">
        <f t="shared" si="65"/>
        <v>-12291</v>
      </c>
      <c r="F55" s="26">
        <f t="shared" si="65"/>
        <v>-13134</v>
      </c>
      <c r="G55" s="26">
        <f t="shared" si="65"/>
        <v>-52295</v>
      </c>
      <c r="H55" s="26">
        <f t="shared" si="65"/>
        <v>-24333</v>
      </c>
      <c r="I55" s="42">
        <f t="shared" si="65"/>
        <v>-32820</v>
      </c>
      <c r="J55" s="26">
        <f t="shared" si="65"/>
        <v>-33159</v>
      </c>
      <c r="K55" s="26">
        <f t="shared" si="65"/>
        <v>-32002</v>
      </c>
      <c r="L55" s="26">
        <f t="shared" si="65"/>
        <v>-37223</v>
      </c>
      <c r="M55" s="42">
        <f t="shared" si="65"/>
        <v>0</v>
      </c>
      <c r="N55" s="26">
        <f t="shared" si="65"/>
        <v>0</v>
      </c>
      <c r="O55" s="26">
        <f t="shared" si="65"/>
        <v>0</v>
      </c>
      <c r="P55" s="26"/>
      <c r="Q55" s="26"/>
      <c r="R55" s="26"/>
      <c r="S55" s="26"/>
      <c r="T55" s="26"/>
      <c r="U55" s="26"/>
      <c r="V55" s="26"/>
      <c r="W55" s="26">
        <f>W50-W54</f>
        <v>-54952</v>
      </c>
      <c r="X55" s="26">
        <f>X50-X54</f>
        <v>-102053</v>
      </c>
      <c r="Y55" s="26">
        <f>Y50-Y54</f>
        <v>-135204</v>
      </c>
      <c r="Z55" s="26"/>
      <c r="AA55" s="26"/>
    </row>
    <row r="56" spans="2:27" x14ac:dyDescent="0.35">
      <c r="B56" t="s">
        <v>221</v>
      </c>
      <c r="C56">
        <v>-29</v>
      </c>
      <c r="D56" s="7">
        <f>224-C56</f>
        <v>253</v>
      </c>
      <c r="E56" s="39">
        <v>-127</v>
      </c>
      <c r="F56" s="7">
        <v>-275</v>
      </c>
      <c r="G56" s="7">
        <v>-2977</v>
      </c>
      <c r="H56" s="7">
        <f t="shared" si="14"/>
        <v>-2749</v>
      </c>
      <c r="I56" s="39">
        <v>-2989</v>
      </c>
      <c r="J56" s="7">
        <v>-2432</v>
      </c>
      <c r="K56" s="7">
        <v>-1486</v>
      </c>
      <c r="L56" s="7">
        <f>Y56-K56-J56-I56</f>
        <v>-892</v>
      </c>
      <c r="M56" s="39"/>
      <c r="N56" s="7"/>
      <c r="O56" s="7"/>
      <c r="P56" s="7"/>
      <c r="Q56" s="7"/>
      <c r="R56" s="7"/>
      <c r="S56" s="7"/>
      <c r="T56" s="7"/>
      <c r="U56" s="7"/>
      <c r="V56" s="7"/>
      <c r="W56" s="7">
        <v>224</v>
      </c>
      <c r="X56" s="7">
        <v>-6128</v>
      </c>
      <c r="Y56" s="7">
        <v>-7799</v>
      </c>
      <c r="Z56" s="7"/>
      <c r="AA56" s="7"/>
    </row>
    <row r="57" spans="2:27" x14ac:dyDescent="0.35">
      <c r="B57" t="s">
        <v>222</v>
      </c>
      <c r="C57">
        <v>-129</v>
      </c>
      <c r="D57" s="7">
        <f>2420-C57</f>
        <v>2549</v>
      </c>
      <c r="E57" s="39">
        <v>-279</v>
      </c>
      <c r="F57" s="7">
        <v>-126</v>
      </c>
      <c r="G57" s="7">
        <v>16</v>
      </c>
      <c r="H57" s="7">
        <f t="shared" si="14"/>
        <v>-178</v>
      </c>
      <c r="I57" s="39">
        <v>-20</v>
      </c>
      <c r="J57" s="7">
        <v>-3876</v>
      </c>
      <c r="K57" s="7">
        <v>-51</v>
      </c>
      <c r="L57" s="7">
        <f>Y57-K57-J57-I57</f>
        <v>-488</v>
      </c>
      <c r="M57" s="39"/>
      <c r="N57" s="7"/>
      <c r="O57" s="7"/>
      <c r="P57" s="7"/>
      <c r="Q57" s="7"/>
      <c r="R57" s="7"/>
      <c r="S57" s="7"/>
      <c r="T57" s="7"/>
      <c r="U57" s="7"/>
      <c r="V57" s="7"/>
      <c r="W57" s="7">
        <v>2420</v>
      </c>
      <c r="X57" s="7">
        <v>-567</v>
      </c>
      <c r="Y57" s="7">
        <v>-4435</v>
      </c>
      <c r="Z57" s="7"/>
      <c r="AA57" s="7"/>
    </row>
    <row r="58" spans="2:27" x14ac:dyDescent="0.35">
      <c r="B58" t="s">
        <v>223</v>
      </c>
      <c r="C58">
        <v>-562</v>
      </c>
      <c r="D58" s="7">
        <f>-2417-C58</f>
        <v>-1855</v>
      </c>
      <c r="E58" s="39">
        <v>-3030</v>
      </c>
      <c r="F58" s="7">
        <v>-2448</v>
      </c>
      <c r="G58" s="7">
        <v>-33947</v>
      </c>
      <c r="H58" s="7">
        <f t="shared" si="14"/>
        <v>24131</v>
      </c>
      <c r="I58" s="39">
        <v>13482</v>
      </c>
      <c r="J58" s="7">
        <v>0</v>
      </c>
      <c r="K58" s="7">
        <v>0</v>
      </c>
      <c r="L58" s="7">
        <f>Y58-K58-J58-I58</f>
        <v>0</v>
      </c>
      <c r="M58" s="39"/>
      <c r="N58" s="7"/>
      <c r="O58" s="7"/>
      <c r="P58" s="7"/>
      <c r="Q58" s="7"/>
      <c r="R58" s="7"/>
      <c r="S58" s="7"/>
      <c r="T58" s="7"/>
      <c r="U58" s="7"/>
      <c r="V58" s="7"/>
      <c r="W58" s="7">
        <v>-2417</v>
      </c>
      <c r="X58" s="7">
        <v>-15294</v>
      </c>
      <c r="Y58" s="7">
        <v>13482</v>
      </c>
      <c r="Z58" s="7"/>
      <c r="AA58" s="7"/>
    </row>
    <row r="59" spans="2:27" s="4" customFormat="1" x14ac:dyDescent="0.35">
      <c r="B59" s="4" t="s">
        <v>224</v>
      </c>
      <c r="C59" s="4">
        <v>-40</v>
      </c>
      <c r="D59" s="8">
        <f>187-C59</f>
        <v>227</v>
      </c>
      <c r="E59" s="40">
        <v>109</v>
      </c>
      <c r="F59" s="8">
        <v>-242</v>
      </c>
      <c r="G59" s="8">
        <v>-450</v>
      </c>
      <c r="H59" s="8">
        <f t="shared" si="14"/>
        <v>-215</v>
      </c>
      <c r="I59" s="40">
        <v>26</v>
      </c>
      <c r="J59" s="8">
        <v>-23</v>
      </c>
      <c r="K59" s="8">
        <v>622</v>
      </c>
      <c r="L59" s="8">
        <f>Y59-K59-J59-I59</f>
        <v>385</v>
      </c>
      <c r="M59" s="40"/>
      <c r="N59" s="8"/>
      <c r="O59" s="8"/>
      <c r="P59" s="8"/>
      <c r="Q59" s="8"/>
      <c r="R59" s="8"/>
      <c r="S59" s="8"/>
      <c r="T59" s="8"/>
      <c r="U59" s="8"/>
      <c r="V59" s="8"/>
      <c r="W59" s="8">
        <v>187</v>
      </c>
      <c r="X59" s="8">
        <v>-798</v>
      </c>
      <c r="Y59" s="8">
        <v>1010</v>
      </c>
      <c r="Z59" s="8"/>
      <c r="AA59" s="8"/>
    </row>
    <row r="60" spans="2:27" s="14" customFormat="1" x14ac:dyDescent="0.35">
      <c r="B60" s="14" t="s">
        <v>225</v>
      </c>
      <c r="C60" s="26">
        <f t="shared" ref="C60:O60" si="66">SUM(C55:C59)</f>
        <v>-13605</v>
      </c>
      <c r="D60" s="26">
        <f t="shared" si="66"/>
        <v>-40933</v>
      </c>
      <c r="E60" s="42">
        <f t="shared" si="66"/>
        <v>-15618</v>
      </c>
      <c r="F60" s="26">
        <f t="shared" si="66"/>
        <v>-16225</v>
      </c>
      <c r="G60" s="26">
        <f t="shared" si="66"/>
        <v>-89653</v>
      </c>
      <c r="H60" s="26">
        <f t="shared" si="66"/>
        <v>-3344</v>
      </c>
      <c r="I60" s="42">
        <f t="shared" si="66"/>
        <v>-22321</v>
      </c>
      <c r="J60" s="26">
        <f t="shared" si="66"/>
        <v>-39490</v>
      </c>
      <c r="K60" s="26">
        <f t="shared" si="66"/>
        <v>-32917</v>
      </c>
      <c r="L60" s="26">
        <f t="shared" si="66"/>
        <v>-38218</v>
      </c>
      <c r="M60" s="42">
        <f t="shared" si="66"/>
        <v>0</v>
      </c>
      <c r="N60" s="26">
        <f t="shared" si="66"/>
        <v>0</v>
      </c>
      <c r="O60" s="26">
        <f t="shared" si="66"/>
        <v>0</v>
      </c>
      <c r="P60" s="26"/>
      <c r="Q60" s="26"/>
      <c r="R60" s="26"/>
      <c r="S60" s="26"/>
      <c r="T60" s="26"/>
      <c r="U60" s="26"/>
      <c r="V60" s="26"/>
      <c r="W60" s="26">
        <f>SUM(W55:W59)</f>
        <v>-54538</v>
      </c>
      <c r="X60" s="26">
        <f>SUM(X55:X59)</f>
        <v>-124840</v>
      </c>
      <c r="Y60" s="26">
        <f>SUM(Y55:Y59)</f>
        <v>-132946</v>
      </c>
      <c r="Z60" s="26"/>
      <c r="AA60" s="26"/>
    </row>
    <row r="61" spans="2:27" s="4" customFormat="1" x14ac:dyDescent="0.35">
      <c r="B61" s="4" t="s">
        <v>226</v>
      </c>
      <c r="C61" s="4">
        <v>1000</v>
      </c>
      <c r="D61" s="8">
        <f>-467-C61</f>
        <v>-1467</v>
      </c>
      <c r="E61" s="40">
        <v>-264</v>
      </c>
      <c r="F61" s="8">
        <v>-440</v>
      </c>
      <c r="G61" s="8">
        <v>1684</v>
      </c>
      <c r="H61" s="8">
        <f t="shared" si="14"/>
        <v>6540</v>
      </c>
      <c r="I61" s="40">
        <v>-4388</v>
      </c>
      <c r="J61" s="8">
        <v>2073</v>
      </c>
      <c r="K61" s="8">
        <v>-1693</v>
      </c>
      <c r="L61" s="8">
        <f>Y61-K61-J61-I61</f>
        <v>1010</v>
      </c>
      <c r="M61" s="40"/>
      <c r="N61" s="8"/>
      <c r="O61" s="8"/>
      <c r="P61" s="8"/>
      <c r="Q61" s="8"/>
      <c r="R61" s="8"/>
      <c r="S61" s="8"/>
      <c r="T61" s="8"/>
      <c r="U61" s="8"/>
      <c r="V61" s="8"/>
      <c r="W61" s="8">
        <v>-467</v>
      </c>
      <c r="X61" s="8">
        <v>7520</v>
      </c>
      <c r="Y61" s="8">
        <v>-2998</v>
      </c>
      <c r="Z61" s="8"/>
      <c r="AA61" s="8"/>
    </row>
    <row r="62" spans="2:27" s="14" customFormat="1" x14ac:dyDescent="0.35">
      <c r="B62" s="14" t="s">
        <v>87</v>
      </c>
      <c r="C62" s="26">
        <f t="shared" ref="C62:O62" si="67">SUM(C60:C61)</f>
        <v>-12605</v>
      </c>
      <c r="D62" s="26">
        <f t="shared" si="67"/>
        <v>-42400</v>
      </c>
      <c r="E62" s="42">
        <f t="shared" si="67"/>
        <v>-15882</v>
      </c>
      <c r="F62" s="26">
        <f t="shared" si="67"/>
        <v>-16665</v>
      </c>
      <c r="G62" s="26">
        <f t="shared" si="67"/>
        <v>-87969</v>
      </c>
      <c r="H62" s="26">
        <f t="shared" si="67"/>
        <v>3196</v>
      </c>
      <c r="I62" s="42">
        <f t="shared" si="67"/>
        <v>-26709</v>
      </c>
      <c r="J62" s="26">
        <f t="shared" si="67"/>
        <v>-37417</v>
      </c>
      <c r="K62" s="26">
        <f t="shared" si="67"/>
        <v>-34610</v>
      </c>
      <c r="L62" s="26">
        <f t="shared" si="67"/>
        <v>-37208</v>
      </c>
      <c r="M62" s="42">
        <f t="shared" si="67"/>
        <v>0</v>
      </c>
      <c r="N62" s="26">
        <f t="shared" si="67"/>
        <v>0</v>
      </c>
      <c r="O62" s="26">
        <f t="shared" si="67"/>
        <v>0</v>
      </c>
      <c r="P62" s="26"/>
      <c r="Q62" s="26"/>
      <c r="R62" s="26"/>
      <c r="S62" s="26"/>
      <c r="T62" s="26"/>
      <c r="U62" s="26"/>
      <c r="V62" s="26"/>
      <c r="W62" s="26">
        <f>W60+W61</f>
        <v>-55005</v>
      </c>
      <c r="X62" s="26">
        <f>X60+X61</f>
        <v>-117320</v>
      </c>
      <c r="Y62" s="26">
        <f>Y60+Y61</f>
        <v>-135944</v>
      </c>
      <c r="Z62" s="26"/>
      <c r="AA62" s="26"/>
    </row>
    <row r="63" spans="2:27" x14ac:dyDescent="0.35">
      <c r="B63" t="s">
        <v>227</v>
      </c>
      <c r="C63">
        <v>0</v>
      </c>
      <c r="D63" s="7">
        <v>1134</v>
      </c>
      <c r="E63" s="39">
        <v>741</v>
      </c>
      <c r="F63" s="7">
        <v>333</v>
      </c>
      <c r="G63" s="7">
        <v>-1008</v>
      </c>
      <c r="H63" s="7">
        <f t="shared" si="14"/>
        <v>187</v>
      </c>
      <c r="I63" s="39">
        <v>876</v>
      </c>
      <c r="J63" s="7">
        <v>-1030</v>
      </c>
      <c r="K63" s="7">
        <v>-4655</v>
      </c>
      <c r="L63" s="7">
        <f>Y63-K63-J63-I63</f>
        <v>5409</v>
      </c>
      <c r="M63" s="39"/>
      <c r="N63" s="7"/>
      <c r="O63" s="7"/>
      <c r="P63" s="7"/>
      <c r="Q63" s="7"/>
      <c r="R63" s="7"/>
      <c r="S63" s="7"/>
      <c r="T63" s="7"/>
      <c r="U63" s="7"/>
      <c r="V63" s="7"/>
      <c r="W63" s="7">
        <v>1134</v>
      </c>
      <c r="X63" s="7">
        <v>253</v>
      </c>
      <c r="Y63" s="7">
        <v>600</v>
      </c>
      <c r="Z63" s="7"/>
      <c r="AA63" s="7"/>
    </row>
    <row r="64" spans="2:27" s="4" customFormat="1" x14ac:dyDescent="0.35">
      <c r="B64" s="4" t="s">
        <v>280</v>
      </c>
      <c r="C64" s="4">
        <v>0</v>
      </c>
      <c r="D64" s="8">
        <v>0</v>
      </c>
      <c r="E64" s="40">
        <v>0</v>
      </c>
      <c r="F64" s="8">
        <v>0</v>
      </c>
      <c r="G64" s="8">
        <v>0</v>
      </c>
      <c r="H64" s="8">
        <f t="shared" si="14"/>
        <v>0</v>
      </c>
      <c r="I64" s="40">
        <v>0</v>
      </c>
      <c r="J64" s="8">
        <v>0</v>
      </c>
      <c r="K64" s="8">
        <v>-855</v>
      </c>
      <c r="L64" s="8">
        <f>Y64-K64-J64-I64</f>
        <v>83</v>
      </c>
      <c r="M64" s="40"/>
      <c r="N64" s="8"/>
      <c r="O64" s="8"/>
      <c r="P64" s="8"/>
      <c r="Q64" s="8"/>
      <c r="R64" s="8"/>
      <c r="S64" s="8"/>
      <c r="T64" s="8"/>
      <c r="U64" s="8"/>
      <c r="V64" s="8"/>
      <c r="W64" s="8">
        <v>0</v>
      </c>
      <c r="X64" s="8">
        <v>0</v>
      </c>
      <c r="Y64" s="8">
        <v>-772</v>
      </c>
      <c r="Z64" s="8"/>
      <c r="AA64" s="8"/>
    </row>
    <row r="65" spans="2:27" s="14" customFormat="1" x14ac:dyDescent="0.35">
      <c r="B65" s="14" t="s">
        <v>228</v>
      </c>
      <c r="C65" s="26">
        <f t="shared" ref="C65:O65" si="68">SUM(C62:C64)</f>
        <v>-12605</v>
      </c>
      <c r="D65" s="26">
        <f t="shared" si="68"/>
        <v>-41266</v>
      </c>
      <c r="E65" s="42">
        <f t="shared" si="68"/>
        <v>-15141</v>
      </c>
      <c r="F65" s="26">
        <f t="shared" si="68"/>
        <v>-16332</v>
      </c>
      <c r="G65" s="26">
        <f t="shared" si="68"/>
        <v>-88977</v>
      </c>
      <c r="H65" s="26">
        <f t="shared" si="68"/>
        <v>3383</v>
      </c>
      <c r="I65" s="42">
        <f t="shared" si="68"/>
        <v>-25833</v>
      </c>
      <c r="J65" s="26">
        <f t="shared" si="68"/>
        <v>-38447</v>
      </c>
      <c r="K65" s="26">
        <f t="shared" si="68"/>
        <v>-40120</v>
      </c>
      <c r="L65" s="26">
        <f t="shared" si="68"/>
        <v>-31716</v>
      </c>
      <c r="M65" s="42">
        <f t="shared" si="68"/>
        <v>0</v>
      </c>
      <c r="N65" s="26">
        <f t="shared" si="68"/>
        <v>0</v>
      </c>
      <c r="O65" s="26">
        <f t="shared" si="68"/>
        <v>0</v>
      </c>
      <c r="P65" s="26"/>
      <c r="Q65" s="26"/>
      <c r="R65" s="26"/>
      <c r="S65" s="26"/>
      <c r="T65" s="26"/>
      <c r="U65" s="26"/>
      <c r="V65" s="26"/>
      <c r="W65" s="26">
        <f>W62+W63</f>
        <v>-53871</v>
      </c>
      <c r="X65" s="26">
        <f>X62+X63</f>
        <v>-117067</v>
      </c>
      <c r="Y65" s="26">
        <f>Y62+Y63</f>
        <v>-135344</v>
      </c>
      <c r="Z65" s="26"/>
      <c r="AA65" s="26"/>
    </row>
    <row r="66" spans="2:27" x14ac:dyDescent="0.35">
      <c r="B66" t="s">
        <v>89</v>
      </c>
      <c r="C66" s="11" t="e">
        <f t="shared" ref="C66:J66" si="69">C65/C67</f>
        <v>#DIV/0!</v>
      </c>
      <c r="D66" s="11">
        <f>D65/D67</f>
        <v>-0.54718638579692647</v>
      </c>
      <c r="E66" s="49">
        <f t="shared" si="69"/>
        <v>-0.19208111021638463</v>
      </c>
      <c r="F66" s="11">
        <f t="shared" si="69"/>
        <v>-0.20683603479870644</v>
      </c>
      <c r="G66" s="11">
        <f t="shared" si="69"/>
        <v>-0.38979413405060442</v>
      </c>
      <c r="H66" s="11">
        <f t="shared" si="69"/>
        <v>-1.9204261463652644E-2</v>
      </c>
      <c r="I66" s="49">
        <f t="shared" si="69"/>
        <v>-5.6589850276833525E-2</v>
      </c>
      <c r="J66" s="11">
        <f t="shared" si="69"/>
        <v>-8.2731550799616679E-2</v>
      </c>
      <c r="K66" s="11">
        <f>K65/K67</f>
        <v>-8.5403714031692057E-2</v>
      </c>
      <c r="L66" s="11">
        <f t="shared" ref="L66:O66" si="70">L65/L67</f>
        <v>-6.8028845122626094E-2</v>
      </c>
      <c r="M66" s="49" t="e">
        <f t="shared" si="70"/>
        <v>#DIV/0!</v>
      </c>
      <c r="N66" s="11" t="e">
        <f t="shared" si="70"/>
        <v>#DIV/0!</v>
      </c>
      <c r="O66" s="11" t="e">
        <f t="shared" si="70"/>
        <v>#DIV/0!</v>
      </c>
      <c r="P66" s="7"/>
      <c r="Q66" s="7"/>
      <c r="R66" s="7"/>
      <c r="S66" s="7"/>
      <c r="T66" s="7"/>
      <c r="U66" s="7"/>
      <c r="V66" s="7"/>
      <c r="W66" s="11">
        <f>W65/W67</f>
        <v>-0.71432844931096362</v>
      </c>
      <c r="X66" s="11">
        <f>X65/X67</f>
        <v>-0.55774077514947951</v>
      </c>
      <c r="Y66" s="11">
        <f>Y65/Y67</f>
        <v>-0.29030439330668456</v>
      </c>
      <c r="Z66" s="7"/>
      <c r="AA66" s="7"/>
    </row>
    <row r="67" spans="2:27" x14ac:dyDescent="0.35">
      <c r="B67" t="s">
        <v>229</v>
      </c>
      <c r="D67" s="7">
        <v>75414.888000000006</v>
      </c>
      <c r="E67" s="39">
        <v>78826.074999999997</v>
      </c>
      <c r="F67" s="7">
        <v>78961.096000000005</v>
      </c>
      <c r="G67" s="7">
        <v>228266.647</v>
      </c>
      <c r="H67" s="7">
        <f t="shared" si="14"/>
        <v>-176158.818</v>
      </c>
      <c r="I67" s="39">
        <v>456495.288</v>
      </c>
      <c r="J67" s="7">
        <v>464719.924</v>
      </c>
      <c r="K67" s="7">
        <v>469768.79700000002</v>
      </c>
      <c r="L67" s="7">
        <v>466214</v>
      </c>
      <c r="M67" s="39"/>
      <c r="N67" s="7"/>
      <c r="O67" s="7"/>
      <c r="P67" s="7"/>
      <c r="Q67" s="7"/>
      <c r="R67" s="7"/>
      <c r="S67" s="7"/>
      <c r="T67" s="7"/>
      <c r="U67" s="7"/>
      <c r="V67" s="7"/>
      <c r="W67" s="7">
        <v>75414.888000000006</v>
      </c>
      <c r="X67" s="7">
        <v>209895</v>
      </c>
      <c r="Y67" s="7">
        <v>466214.09499999997</v>
      </c>
      <c r="Z67" s="7"/>
      <c r="AA67" s="7"/>
    </row>
    <row r="68" spans="2:27" x14ac:dyDescent="0.35">
      <c r="D68" s="7"/>
      <c r="E68" s="39"/>
      <c r="F68" s="7"/>
      <c r="G68" s="7"/>
      <c r="H68" s="7"/>
      <c r="I68" s="39"/>
      <c r="J68" s="7"/>
      <c r="K68" s="7"/>
      <c r="L68" s="7"/>
      <c r="M68" s="39"/>
      <c r="N68" s="7"/>
      <c r="O68" s="7"/>
      <c r="P68" s="7"/>
      <c r="Q68" s="7"/>
      <c r="R68" s="7"/>
      <c r="S68" s="7"/>
      <c r="T68" s="7"/>
      <c r="U68" s="7"/>
      <c r="V68" s="7"/>
      <c r="W68" s="7"/>
      <c r="X68" s="7"/>
      <c r="Y68" s="7"/>
      <c r="Z68" s="7"/>
      <c r="AA68" s="7"/>
    </row>
    <row r="69" spans="2:27" s="30" customFormat="1" x14ac:dyDescent="0.35">
      <c r="B69" s="30" t="s">
        <v>359</v>
      </c>
      <c r="D69" s="31"/>
      <c r="E69" s="50"/>
      <c r="F69" s="31"/>
      <c r="G69" s="31"/>
      <c r="H69" s="31"/>
      <c r="I69" s="50"/>
      <c r="J69" s="31"/>
      <c r="K69" s="31"/>
      <c r="L69" s="31"/>
      <c r="M69" s="50"/>
      <c r="N69" s="31"/>
      <c r="O69" s="31"/>
      <c r="P69" s="31"/>
      <c r="Q69" s="31"/>
      <c r="R69" s="31"/>
      <c r="S69" s="31"/>
      <c r="T69" s="31"/>
      <c r="U69" s="31"/>
      <c r="V69" s="31"/>
      <c r="W69" s="31"/>
      <c r="X69" s="31"/>
      <c r="Y69" s="31"/>
      <c r="Z69" s="31"/>
      <c r="AA69" s="31"/>
    </row>
    <row r="70" spans="2:27" s="2" customFormat="1" x14ac:dyDescent="0.35">
      <c r="B70" s="2" t="s">
        <v>360</v>
      </c>
      <c r="C70" s="2">
        <f>C52/C50</f>
        <v>-2.6010610079575596</v>
      </c>
      <c r="D70" s="2">
        <f t="shared" ref="D70:K70" si="71">D52/D50</f>
        <v>-1.4336488119210633</v>
      </c>
      <c r="E70" s="43">
        <f t="shared" si="71"/>
        <v>5.0163004961020556</v>
      </c>
      <c r="F70" s="2">
        <f t="shared" si="71"/>
        <v>3.4628501827040195</v>
      </c>
      <c r="G70" s="2">
        <f t="shared" si="71"/>
        <v>-1.1395871817524696</v>
      </c>
      <c r="H70" s="2">
        <f t="shared" si="71"/>
        <v>1.7906941950927588</v>
      </c>
      <c r="I70" s="43">
        <f t="shared" si="71"/>
        <v>3.6082998661311914</v>
      </c>
      <c r="J70" s="2">
        <f t="shared" si="71"/>
        <v>3.8654699475594998</v>
      </c>
      <c r="K70" s="2">
        <f t="shared" si="71"/>
        <v>2.0677926065902916</v>
      </c>
      <c r="L70" s="2">
        <f t="shared" ref="L70" si="72">L52/L50</f>
        <v>8.2065573770491795</v>
      </c>
      <c r="M70" s="43"/>
      <c r="W70" s="2">
        <f>W52/W50</f>
        <v>-1.61986967927562</v>
      </c>
      <c r="X70" s="2">
        <f t="shared" ref="X70:Y70" si="73">X52/X50</f>
        <v>-22.062863180137349</v>
      </c>
      <c r="Y70" s="2">
        <f t="shared" si="73"/>
        <v>3.4317008952080044</v>
      </c>
    </row>
    <row r="71" spans="2:27" s="2" customFormat="1" x14ac:dyDescent="0.35">
      <c r="B71" s="2" t="s">
        <v>361</v>
      </c>
      <c r="C71" s="2">
        <f>C53/C50</f>
        <v>-3.2132625994694961</v>
      </c>
      <c r="D71" s="2">
        <f t="shared" ref="D71:K71" si="74">D53/D50</f>
        <v>-1.8058799838904551</v>
      </c>
      <c r="E71" s="43">
        <f t="shared" si="74"/>
        <v>4.6945428773919202</v>
      </c>
      <c r="F71" s="2">
        <f t="shared" si="74"/>
        <v>2.8696711327649207</v>
      </c>
      <c r="G71" s="2">
        <f t="shared" si="74"/>
        <v>-2.06047707011485</v>
      </c>
      <c r="H71" s="2">
        <f t="shared" si="74"/>
        <v>2.8497905445840814</v>
      </c>
      <c r="I71" s="43">
        <f t="shared" si="74"/>
        <v>6.1788487282463187</v>
      </c>
      <c r="J71" s="2">
        <f t="shared" si="74"/>
        <v>3.8225090762404195</v>
      </c>
      <c r="K71" s="2">
        <f t="shared" si="74"/>
        <v>2.711822369198063</v>
      </c>
      <c r="L71" s="2">
        <f t="shared" ref="L71" si="75">L53/L50</f>
        <v>13.133879781420765</v>
      </c>
      <c r="M71" s="43"/>
      <c r="W71" s="2">
        <f>W53/W50</f>
        <v>-2.0303799610730304</v>
      </c>
      <c r="X71" s="2">
        <f t="shared" ref="X71:Y71" si="76">X53/X50</f>
        <v>-30.847860538827259</v>
      </c>
      <c r="Y71" s="2">
        <f t="shared" si="76"/>
        <v>4.6880463401790413</v>
      </c>
    </row>
    <row r="72" spans="2:27" s="2" customFormat="1" x14ac:dyDescent="0.35">
      <c r="E72" s="43"/>
      <c r="I72" s="43"/>
      <c r="M72" s="43"/>
    </row>
    <row r="73" spans="2:27" x14ac:dyDescent="0.35">
      <c r="D73" s="7"/>
      <c r="E73" s="39"/>
      <c r="F73" s="7"/>
      <c r="G73" s="7"/>
      <c r="H73" s="7"/>
      <c r="I73" s="39"/>
      <c r="J73" s="7"/>
      <c r="K73" s="7"/>
      <c r="L73" s="7"/>
      <c r="M73" s="39"/>
      <c r="N73" s="7"/>
      <c r="O73" s="7"/>
      <c r="P73" s="7"/>
      <c r="Q73" s="7"/>
      <c r="R73" s="7"/>
      <c r="S73" s="7"/>
      <c r="T73" s="7"/>
      <c r="U73" s="7"/>
      <c r="V73" s="7"/>
      <c r="W73" s="7"/>
      <c r="X73" s="7"/>
      <c r="Y73" s="7"/>
      <c r="Z73" s="7"/>
      <c r="AA73" s="7"/>
    </row>
    <row r="74" spans="2:27" x14ac:dyDescent="0.35">
      <c r="D74" s="7"/>
      <c r="E74" s="39"/>
      <c r="F74" s="7"/>
      <c r="G74" s="7"/>
      <c r="H74" s="7"/>
      <c r="I74" s="39"/>
      <c r="J74" s="7"/>
      <c r="K74" s="7"/>
      <c r="L74" s="7"/>
      <c r="M74" s="39"/>
      <c r="N74" s="7"/>
      <c r="O74" s="7"/>
      <c r="P74" s="7"/>
      <c r="Q74" s="7"/>
      <c r="R74" s="7"/>
      <c r="S74" s="7"/>
      <c r="T74" s="7"/>
      <c r="U74" s="7"/>
      <c r="V74" s="7"/>
      <c r="W74" s="7"/>
      <c r="X74" s="7"/>
      <c r="Y74" s="7"/>
      <c r="Z74" s="7"/>
      <c r="AA74" s="7"/>
    </row>
    <row r="75" spans="2:27" x14ac:dyDescent="0.35">
      <c r="B75" t="s">
        <v>281</v>
      </c>
      <c r="D75" s="7"/>
      <c r="E75" s="39"/>
      <c r="F75" s="7"/>
      <c r="G75" s="7"/>
      <c r="H75" s="7"/>
      <c r="I75" s="39"/>
      <c r="J75" s="7"/>
      <c r="K75" s="7"/>
      <c r="L75" s="7"/>
      <c r="M75" s="39"/>
      <c r="N75" s="7"/>
      <c r="O75" s="7"/>
      <c r="P75" s="7"/>
      <c r="Q75" s="7"/>
      <c r="R75" s="7"/>
      <c r="S75" s="7"/>
      <c r="T75" s="7"/>
      <c r="U75" s="7"/>
      <c r="V75" s="7"/>
      <c r="W75" s="7"/>
      <c r="X75" s="7"/>
      <c r="Y75" s="7"/>
      <c r="Z75" s="7"/>
      <c r="AA75" s="7"/>
    </row>
    <row r="76" spans="2:27" x14ac:dyDescent="0.35">
      <c r="B76" t="s">
        <v>282</v>
      </c>
      <c r="C76" s="13">
        <f>C50/C48</f>
        <v>-0.17666354264292408</v>
      </c>
      <c r="D76" s="13">
        <f t="shared" ref="D76:K76" si="77">D50/D48</f>
        <v>-0.40555328705594118</v>
      </c>
      <c r="E76" s="44">
        <f t="shared" si="77"/>
        <v>7.7561565523306952E-2</v>
      </c>
      <c r="F76" s="13">
        <f t="shared" si="77"/>
        <v>0.21835106382978722</v>
      </c>
      <c r="G76" s="13">
        <f t="shared" si="77"/>
        <v>-2.3550217514658596</v>
      </c>
      <c r="H76" s="13">
        <f t="shared" si="77"/>
        <v>0.24324914477036175</v>
      </c>
      <c r="I76" s="44">
        <f t="shared" si="77"/>
        <v>9.1762277964769184E-2</v>
      </c>
      <c r="J76" s="13">
        <f t="shared" si="77"/>
        <v>8.937520279770704E-2</v>
      </c>
      <c r="K76" s="13">
        <f t="shared" si="77"/>
        <v>0.13427533818608561</v>
      </c>
      <c r="L76" s="13">
        <f t="shared" ref="L76" si="78">L50/L48</f>
        <v>3.5354120783586414E-2</v>
      </c>
      <c r="M76" s="39"/>
      <c r="N76" s="7"/>
      <c r="O76" s="7"/>
      <c r="P76" s="7"/>
      <c r="Q76" s="7"/>
      <c r="R76" s="7"/>
      <c r="S76" s="7"/>
      <c r="T76" s="7"/>
      <c r="U76" s="7"/>
      <c r="V76" s="7"/>
      <c r="W76" s="7"/>
      <c r="X76" s="7"/>
      <c r="Y76" s="7"/>
      <c r="Z76" s="7"/>
      <c r="AA76" s="7"/>
    </row>
    <row r="77" spans="2:27" x14ac:dyDescent="0.35">
      <c r="B77" t="s">
        <v>283</v>
      </c>
      <c r="C77" s="13">
        <f>C62/C48</f>
        <v>-1.1813495782567947</v>
      </c>
      <c r="D77" s="13">
        <f t="shared" ref="D77:K77" si="79">D62/D48</f>
        <v>-1.7313189056757861</v>
      </c>
      <c r="E77" s="44">
        <f t="shared" si="79"/>
        <v>-0.87302110817941958</v>
      </c>
      <c r="F77" s="13">
        <f t="shared" si="79"/>
        <v>-1.4773936170212767</v>
      </c>
      <c r="G77" s="13">
        <f t="shared" si="79"/>
        <v>-16.638736523548324</v>
      </c>
      <c r="H77" s="13">
        <f t="shared" si="79"/>
        <v>0.11631123080282407</v>
      </c>
      <c r="I77" s="44">
        <f t="shared" si="79"/>
        <v>-0.6561924182492691</v>
      </c>
      <c r="J77" s="13">
        <f t="shared" si="79"/>
        <v>-0.67449616036341353</v>
      </c>
      <c r="K77" s="13">
        <f t="shared" si="79"/>
        <v>-0.54886848406996847</v>
      </c>
      <c r="L77" s="13">
        <f t="shared" ref="L77" si="80">L62/L48</f>
        <v>-0.71882848421622036</v>
      </c>
      <c r="M77" s="39"/>
      <c r="N77" s="7"/>
      <c r="O77" s="7"/>
      <c r="P77" s="7"/>
      <c r="Q77" s="7"/>
      <c r="R77" s="7"/>
      <c r="S77" s="7"/>
      <c r="T77" s="7"/>
      <c r="U77" s="7"/>
      <c r="V77" s="7"/>
      <c r="W77" s="7"/>
      <c r="X77" s="7"/>
      <c r="Y77" s="7"/>
      <c r="Z77" s="7"/>
      <c r="AA77" s="7"/>
    </row>
    <row r="78" spans="2:27" x14ac:dyDescent="0.35">
      <c r="C78" s="13"/>
      <c r="D78" s="13"/>
      <c r="E78" s="44"/>
      <c r="F78" s="13"/>
      <c r="G78" s="13"/>
      <c r="H78" s="13"/>
      <c r="I78" s="44"/>
      <c r="J78" s="13"/>
      <c r="K78" s="13"/>
      <c r="L78" s="13"/>
      <c r="M78" s="39"/>
      <c r="N78" s="7"/>
      <c r="O78" s="7"/>
      <c r="P78" s="7"/>
      <c r="Q78" s="7"/>
      <c r="R78" s="7"/>
      <c r="S78" s="7"/>
      <c r="T78" s="7"/>
      <c r="U78" s="7"/>
      <c r="V78" s="7"/>
      <c r="W78" s="7"/>
      <c r="X78" s="7"/>
      <c r="Y78" s="7"/>
      <c r="Z78" s="7"/>
      <c r="AA78" s="7"/>
    </row>
    <row r="79" spans="2:27" x14ac:dyDescent="0.35">
      <c r="C79" s="13"/>
      <c r="D79" s="13"/>
      <c r="E79" s="44"/>
      <c r="F79" s="13"/>
      <c r="G79" s="13"/>
      <c r="H79" s="13"/>
      <c r="I79" s="44"/>
      <c r="J79" s="13"/>
      <c r="K79" s="13"/>
      <c r="L79" s="13"/>
      <c r="M79" s="39"/>
      <c r="N79" s="7"/>
      <c r="O79" s="7"/>
      <c r="P79" s="7"/>
      <c r="Q79" s="7"/>
      <c r="R79" s="7"/>
      <c r="S79" s="7"/>
      <c r="T79" s="7"/>
      <c r="U79" s="7"/>
      <c r="V79" s="7"/>
      <c r="W79" s="13"/>
      <c r="X79" s="7"/>
      <c r="Y79" s="7"/>
      <c r="Z79" s="7"/>
      <c r="AA79" s="7"/>
    </row>
    <row r="80" spans="2:27" x14ac:dyDescent="0.35">
      <c r="B80" t="s">
        <v>288</v>
      </c>
      <c r="C80" s="13"/>
      <c r="D80" s="13">
        <f>D48/C48-1</f>
        <v>1.2952202436738518</v>
      </c>
      <c r="E80" s="44">
        <f t="shared" ref="E80:L80" si="81">E48/D48-1</f>
        <v>-0.2571661902817477</v>
      </c>
      <c r="F80" s="13">
        <f t="shared" si="81"/>
        <v>-0.37994722955145122</v>
      </c>
      <c r="G80" s="13">
        <f t="shared" si="81"/>
        <v>-0.53129432624113471</v>
      </c>
      <c r="H80" s="13">
        <f t="shared" si="81"/>
        <v>4.1972763381880087</v>
      </c>
      <c r="I80" s="44">
        <f t="shared" si="81"/>
        <v>0.48129412621005896</v>
      </c>
      <c r="J80" s="13">
        <f t="shared" si="81"/>
        <v>0.36289708375304031</v>
      </c>
      <c r="K80" s="13">
        <f t="shared" si="81"/>
        <v>0.13669466777228978</v>
      </c>
      <c r="L80" s="13">
        <f t="shared" si="81"/>
        <v>-0.17912365003092445</v>
      </c>
      <c r="M80" s="39"/>
      <c r="N80" s="7"/>
      <c r="O80" s="7"/>
      <c r="P80" s="7"/>
      <c r="Q80" s="7"/>
      <c r="R80" s="7"/>
      <c r="S80" s="7"/>
      <c r="T80" s="7"/>
      <c r="U80" s="7"/>
      <c r="V80" s="7"/>
      <c r="W80" s="13"/>
      <c r="X80" s="13">
        <f t="shared" ref="X80" si="82">X48/W48-1</f>
        <v>0.77010807736063702</v>
      </c>
      <c r="Y80" s="7"/>
      <c r="Z80" s="7"/>
      <c r="AA80" s="7"/>
    </row>
    <row r="81" spans="2:30" x14ac:dyDescent="0.35">
      <c r="B81" t="s">
        <v>289</v>
      </c>
      <c r="D81" s="13">
        <f>D62/C62-1</f>
        <v>2.3637445458151527</v>
      </c>
      <c r="E81" s="44">
        <f t="shared" ref="E81:L81" si="83">E62/D62-1</f>
        <v>-0.62542452830188677</v>
      </c>
      <c r="F81" s="13">
        <f t="shared" si="83"/>
        <v>4.930109557990181E-2</v>
      </c>
      <c r="G81" s="13">
        <f t="shared" si="83"/>
        <v>4.2786678667866784</v>
      </c>
      <c r="H81" s="13">
        <f t="shared" si="83"/>
        <v>-1.0363309802316725</v>
      </c>
      <c r="I81" s="44">
        <f t="shared" si="83"/>
        <v>-9.3570087609511887</v>
      </c>
      <c r="J81" s="13">
        <f t="shared" si="83"/>
        <v>0.40091354973978799</v>
      </c>
      <c r="K81" s="13">
        <f t="shared" si="83"/>
        <v>-7.5019376219365497E-2</v>
      </c>
      <c r="L81" s="13">
        <f t="shared" si="83"/>
        <v>7.5065010112684183E-2</v>
      </c>
      <c r="M81" s="39"/>
      <c r="N81" s="7"/>
      <c r="O81" s="7"/>
      <c r="P81" s="7"/>
      <c r="Q81" s="7"/>
      <c r="R81" s="7"/>
      <c r="S81" s="7"/>
      <c r="T81" s="7"/>
      <c r="U81" s="7"/>
      <c r="V81" s="7"/>
      <c r="W81" s="7"/>
      <c r="X81" s="13">
        <f t="shared" ref="X81" si="84">X62/W62-1</f>
        <v>1.132897009362785</v>
      </c>
      <c r="Y81" s="7"/>
      <c r="Z81" s="7"/>
      <c r="AA81" s="7"/>
    </row>
    <row r="82" spans="2:30" x14ac:dyDescent="0.35">
      <c r="B82" t="s">
        <v>287</v>
      </c>
      <c r="D82" s="7"/>
      <c r="E82" s="39"/>
      <c r="F82" s="7"/>
      <c r="G82" s="7"/>
      <c r="H82" s="7"/>
      <c r="I82" s="39"/>
      <c r="J82" s="7"/>
      <c r="K82" s="7"/>
      <c r="L82" s="7"/>
      <c r="M82" s="39"/>
      <c r="N82" s="7"/>
      <c r="O82" s="7"/>
      <c r="P82" s="7"/>
      <c r="Q82" s="7"/>
      <c r="R82" s="7"/>
      <c r="S82" s="7"/>
      <c r="T82" s="7"/>
      <c r="U82" s="7"/>
      <c r="V82" s="7"/>
      <c r="W82" s="7"/>
      <c r="X82" s="7"/>
      <c r="Y82" s="7"/>
      <c r="Z82" s="7"/>
      <c r="AA82" s="7"/>
    </row>
    <row r="83" spans="2:30" x14ac:dyDescent="0.35">
      <c r="D83" s="7"/>
      <c r="E83" s="39"/>
      <c r="F83" s="7"/>
      <c r="G83" s="7"/>
      <c r="H83" s="7"/>
      <c r="I83" s="39"/>
      <c r="J83" s="7"/>
      <c r="K83" s="7"/>
      <c r="L83" s="7"/>
      <c r="M83" s="39"/>
      <c r="N83" s="7"/>
      <c r="O83" s="7"/>
      <c r="P83" s="7"/>
      <c r="Q83" s="7"/>
      <c r="R83" s="7"/>
      <c r="S83" s="7"/>
      <c r="T83" s="7"/>
      <c r="U83" s="7"/>
      <c r="V83" s="7"/>
      <c r="W83" s="7"/>
      <c r="X83" s="7"/>
      <c r="Y83" s="7"/>
      <c r="Z83" s="7"/>
      <c r="AA83" s="7"/>
    </row>
    <row r="84" spans="2:30" x14ac:dyDescent="0.35">
      <c r="D84" s="7"/>
      <c r="E84" s="39"/>
      <c r="F84" s="7"/>
      <c r="G84" s="7"/>
      <c r="H84" s="7"/>
      <c r="I84" s="39"/>
      <c r="J84" s="7"/>
      <c r="K84" s="7"/>
      <c r="L84" s="7"/>
      <c r="M84" s="39"/>
      <c r="N84" s="7"/>
      <c r="O84" s="7"/>
      <c r="P84" s="7"/>
      <c r="Q84" s="7"/>
      <c r="R84" s="7"/>
      <c r="S84" s="7"/>
      <c r="T84" s="7"/>
      <c r="U84" s="7"/>
      <c r="V84" s="7"/>
      <c r="W84" s="7"/>
      <c r="X84" s="7"/>
      <c r="Y84" s="7"/>
      <c r="Z84" s="7"/>
      <c r="AA84" s="7"/>
    </row>
    <row r="85" spans="2:30" x14ac:dyDescent="0.35">
      <c r="D85" s="7"/>
      <c r="E85" s="39"/>
      <c r="F85" s="7"/>
      <c r="G85" s="7"/>
      <c r="H85" s="7"/>
      <c r="I85" s="39"/>
      <c r="J85" s="7"/>
      <c r="K85" s="7"/>
      <c r="L85" s="7"/>
      <c r="M85" s="39"/>
      <c r="N85" s="7"/>
      <c r="O85" s="7"/>
      <c r="P85" s="7"/>
      <c r="Q85" s="7"/>
      <c r="R85" s="7"/>
      <c r="S85" s="7"/>
      <c r="T85" s="7"/>
      <c r="U85" s="7"/>
      <c r="V85" s="7"/>
      <c r="W85" s="7"/>
      <c r="X85" s="7"/>
      <c r="Y85" s="7"/>
      <c r="Z85" s="7"/>
      <c r="AA85" s="7"/>
    </row>
    <row r="86" spans="2:30" x14ac:dyDescent="0.35">
      <c r="D86" s="7"/>
      <c r="E86" s="39"/>
      <c r="F86" s="7"/>
      <c r="G86" s="7"/>
      <c r="H86" s="7"/>
      <c r="I86" s="39"/>
      <c r="J86" s="7"/>
      <c r="K86" s="7"/>
      <c r="L86" s="7"/>
      <c r="M86" s="39"/>
      <c r="N86" s="7"/>
      <c r="O86" s="7"/>
      <c r="P86" s="7"/>
      <c r="Q86" s="7"/>
      <c r="R86" s="7"/>
      <c r="S86" s="7"/>
      <c r="T86" s="7"/>
      <c r="U86" s="7"/>
      <c r="V86" s="7"/>
      <c r="W86" s="7"/>
      <c r="X86" s="7"/>
      <c r="Y86" s="7"/>
      <c r="Z86" s="7"/>
      <c r="AA86" s="7"/>
    </row>
    <row r="87" spans="2:30" x14ac:dyDescent="0.35">
      <c r="C87" s="7"/>
      <c r="E87" s="39"/>
      <c r="F87" s="7"/>
      <c r="G87" s="7"/>
      <c r="H87" s="7"/>
      <c r="I87" s="39"/>
      <c r="J87" s="7"/>
      <c r="K87" s="7"/>
      <c r="L87" s="7"/>
      <c r="M87" s="39"/>
      <c r="N87" s="7"/>
      <c r="O87" s="7"/>
      <c r="P87" s="7"/>
      <c r="Q87" s="7"/>
      <c r="R87" s="7"/>
      <c r="S87" s="7"/>
      <c r="T87" s="7"/>
      <c r="U87" s="7"/>
      <c r="V87" s="7"/>
      <c r="W87" s="7"/>
      <c r="X87" s="7"/>
      <c r="Y87" s="7"/>
      <c r="Z87" s="7"/>
      <c r="AA87" s="7"/>
    </row>
    <row r="88" spans="2:30" s="6" customFormat="1" x14ac:dyDescent="0.35">
      <c r="B88" s="6" t="s">
        <v>352</v>
      </c>
      <c r="E88" s="47"/>
      <c r="F88" s="9"/>
      <c r="G88" s="9"/>
      <c r="H88" s="9"/>
      <c r="I88" s="47"/>
      <c r="J88" s="9"/>
      <c r="K88" s="9"/>
      <c r="L88" s="9"/>
      <c r="M88" s="47"/>
      <c r="N88" s="9"/>
      <c r="O88" s="9"/>
      <c r="P88" s="9"/>
      <c r="Q88" s="9"/>
      <c r="R88" s="9"/>
      <c r="S88" s="9"/>
      <c r="T88" s="9"/>
      <c r="U88" s="9"/>
      <c r="V88" s="9"/>
      <c r="W88" s="9"/>
      <c r="X88" s="9"/>
      <c r="Y88" s="9"/>
      <c r="Z88" s="9"/>
      <c r="AA88" s="9"/>
    </row>
    <row r="89" spans="2:30" s="32" customFormat="1" x14ac:dyDescent="0.35">
      <c r="B89" s="30" t="s">
        <v>355</v>
      </c>
      <c r="E89" s="51"/>
      <c r="F89" s="33"/>
      <c r="G89" s="33"/>
      <c r="H89" s="33"/>
      <c r="I89" s="51"/>
      <c r="J89" s="33"/>
      <c r="K89" s="33"/>
      <c r="L89" s="33"/>
      <c r="M89" s="51"/>
      <c r="N89" s="33"/>
      <c r="O89" s="33"/>
      <c r="P89" s="33"/>
      <c r="Q89" s="33"/>
      <c r="R89" s="33"/>
      <c r="S89" s="33"/>
      <c r="T89" s="33"/>
      <c r="U89" s="33"/>
      <c r="V89" s="33"/>
      <c r="W89" s="33"/>
      <c r="X89" s="33"/>
      <c r="Y89" s="33"/>
      <c r="Z89" s="33"/>
      <c r="AA89" s="33"/>
    </row>
    <row r="90" spans="2:30" x14ac:dyDescent="0.35">
      <c r="B90" t="s">
        <v>230</v>
      </c>
      <c r="C90" s="7">
        <v>924370</v>
      </c>
      <c r="D90" s="7">
        <v>865903</v>
      </c>
      <c r="E90" s="39">
        <v>425453</v>
      </c>
      <c r="F90" s="7">
        <v>44846</v>
      </c>
      <c r="G90" s="7">
        <v>792660</v>
      </c>
      <c r="H90" s="7">
        <v>690959</v>
      </c>
      <c r="I90" s="39">
        <v>603144</v>
      </c>
      <c r="J90" s="7">
        <v>542511</v>
      </c>
      <c r="K90" s="7">
        <v>333279</v>
      </c>
      <c r="L90" s="7">
        <f t="shared" ref="L90:L95" si="85">Y90</f>
        <v>242515</v>
      </c>
      <c r="M90" s="39"/>
      <c r="N90" s="7"/>
      <c r="O90" s="7"/>
      <c r="P90" s="7"/>
      <c r="Q90" s="7"/>
      <c r="R90" s="7"/>
      <c r="S90" s="7"/>
      <c r="T90" s="7"/>
      <c r="U90" s="7"/>
      <c r="V90" s="7"/>
      <c r="W90" s="7">
        <v>52792</v>
      </c>
      <c r="X90" s="7">
        <v>690959</v>
      </c>
      <c r="Y90" s="7">
        <v>242515</v>
      </c>
      <c r="Z90" s="7"/>
      <c r="AA90" s="7"/>
    </row>
    <row r="91" spans="2:30" x14ac:dyDescent="0.35">
      <c r="B91" t="s">
        <v>276</v>
      </c>
      <c r="C91" s="7">
        <v>0</v>
      </c>
      <c r="D91" s="7">
        <v>0</v>
      </c>
      <c r="E91" s="39">
        <v>0</v>
      </c>
      <c r="F91" s="7">
        <v>0</v>
      </c>
      <c r="G91" s="7">
        <v>0</v>
      </c>
      <c r="H91" s="7">
        <v>0</v>
      </c>
      <c r="I91" s="39">
        <v>0</v>
      </c>
      <c r="J91" s="7">
        <v>0</v>
      </c>
      <c r="K91" s="7">
        <v>169428</v>
      </c>
      <c r="L91" s="7">
        <f t="shared" si="85"/>
        <v>229276</v>
      </c>
      <c r="M91" s="39"/>
      <c r="N91" s="7"/>
      <c r="O91" s="7"/>
      <c r="P91" s="7"/>
      <c r="Q91" s="7"/>
      <c r="R91" s="7"/>
      <c r="S91" s="7"/>
      <c r="T91" s="7"/>
      <c r="U91" s="7"/>
      <c r="V91" s="7"/>
      <c r="W91" s="7">
        <v>0</v>
      </c>
      <c r="X91" s="7">
        <v>0</v>
      </c>
      <c r="Y91" s="7">
        <v>229276</v>
      </c>
      <c r="Z91" s="7"/>
      <c r="AA91" s="7"/>
    </row>
    <row r="92" spans="2:30" x14ac:dyDescent="0.35">
      <c r="B92" t="s">
        <v>231</v>
      </c>
      <c r="C92" s="7">
        <v>0</v>
      </c>
      <c r="D92" s="7">
        <v>0</v>
      </c>
      <c r="E92" s="39">
        <v>0</v>
      </c>
      <c r="F92" s="7">
        <v>0</v>
      </c>
      <c r="G92" s="7">
        <v>13336</v>
      </c>
      <c r="H92" s="7">
        <v>13957</v>
      </c>
      <c r="I92" s="39">
        <v>32990</v>
      </c>
      <c r="J92" s="7">
        <v>40183</v>
      </c>
      <c r="K92" s="7">
        <v>57732</v>
      </c>
      <c r="L92" s="7">
        <f t="shared" si="85"/>
        <v>36572</v>
      </c>
      <c r="M92" s="39"/>
      <c r="N92" s="7"/>
      <c r="O92" s="7"/>
      <c r="P92" s="7"/>
      <c r="Q92" s="7"/>
      <c r="R92" s="7"/>
      <c r="S92" s="7"/>
      <c r="T92" s="7"/>
      <c r="U92" s="7"/>
      <c r="V92" s="7"/>
      <c r="W92" s="7">
        <v>2730</v>
      </c>
      <c r="X92" s="7">
        <v>13957</v>
      </c>
      <c r="Y92" s="7">
        <v>36572</v>
      </c>
      <c r="Z92" s="7"/>
      <c r="AA92" s="7"/>
    </row>
    <row r="93" spans="2:30" x14ac:dyDescent="0.35">
      <c r="B93" t="s">
        <v>232</v>
      </c>
      <c r="C93" s="7">
        <v>0</v>
      </c>
      <c r="D93" s="7">
        <v>0</v>
      </c>
      <c r="E93" s="39">
        <v>0</v>
      </c>
      <c r="F93" s="7">
        <v>0</v>
      </c>
      <c r="G93" s="7">
        <v>73</v>
      </c>
      <c r="H93" s="7">
        <v>2490</v>
      </c>
      <c r="I93" s="39">
        <v>5853</v>
      </c>
      <c r="J93" s="7">
        <v>4393</v>
      </c>
      <c r="K93" s="7">
        <v>9063</v>
      </c>
      <c r="L93" s="7">
        <f t="shared" si="85"/>
        <v>9451</v>
      </c>
      <c r="M93" s="39"/>
      <c r="N93" s="7"/>
      <c r="O93" s="7"/>
      <c r="P93" s="7"/>
      <c r="Q93" s="7"/>
      <c r="R93" s="7"/>
      <c r="S93" s="7"/>
      <c r="T93" s="7"/>
      <c r="U93" s="7"/>
      <c r="V93" s="7"/>
      <c r="W93" s="7">
        <v>2045</v>
      </c>
      <c r="X93" s="7">
        <v>2490</v>
      </c>
      <c r="Y93" s="7">
        <v>9451</v>
      </c>
      <c r="Z93" s="7"/>
      <c r="AA93" s="7"/>
    </row>
    <row r="94" spans="2:30" x14ac:dyDescent="0.35">
      <c r="B94" t="s">
        <v>233</v>
      </c>
      <c r="C94" s="7">
        <v>0</v>
      </c>
      <c r="D94" s="7">
        <v>0</v>
      </c>
      <c r="E94" s="39">
        <v>0</v>
      </c>
      <c r="F94" s="7">
        <v>0</v>
      </c>
      <c r="G94" s="7">
        <v>38365</v>
      </c>
      <c r="H94" s="7">
        <v>47904</v>
      </c>
      <c r="I94" s="39">
        <v>77888</v>
      </c>
      <c r="J94" s="7">
        <v>85683</v>
      </c>
      <c r="K94" s="7">
        <v>86138</v>
      </c>
      <c r="L94" s="7">
        <f t="shared" si="85"/>
        <v>92279</v>
      </c>
      <c r="M94" s="39"/>
      <c r="N94" s="7"/>
      <c r="O94" s="7"/>
      <c r="P94" s="7"/>
      <c r="Q94" s="7"/>
      <c r="R94" s="7"/>
      <c r="S94" s="7"/>
      <c r="T94" s="7"/>
      <c r="U94" s="7"/>
      <c r="V94" s="7"/>
      <c r="W94" s="7">
        <v>26135</v>
      </c>
      <c r="X94" s="7">
        <v>47904</v>
      </c>
      <c r="Y94" s="7">
        <v>92279</v>
      </c>
      <c r="Z94" s="7"/>
      <c r="AA94" s="7"/>
    </row>
    <row r="95" spans="2:30" s="4" customFormat="1" x14ac:dyDescent="0.35">
      <c r="B95" s="4" t="s">
        <v>234</v>
      </c>
      <c r="C95" s="8">
        <v>428150</v>
      </c>
      <c r="D95" s="8">
        <v>366647</v>
      </c>
      <c r="E95" s="40">
        <v>352250</v>
      </c>
      <c r="F95" s="8">
        <v>284625</v>
      </c>
      <c r="G95" s="8">
        <v>10582</v>
      </c>
      <c r="H95" s="8">
        <v>19454</v>
      </c>
      <c r="I95" s="40">
        <v>26307</v>
      </c>
      <c r="J95" s="8">
        <v>33646</v>
      </c>
      <c r="K95" s="8">
        <v>43810</v>
      </c>
      <c r="L95" s="8">
        <f t="shared" si="85"/>
        <v>52201</v>
      </c>
      <c r="M95" s="40"/>
      <c r="N95" s="8"/>
      <c r="O95" s="8"/>
      <c r="P95" s="8"/>
      <c r="Q95" s="8"/>
      <c r="R95" s="8"/>
      <c r="S95" s="8"/>
      <c r="T95" s="8"/>
      <c r="U95" s="8"/>
      <c r="V95" s="8"/>
      <c r="W95" s="8">
        <v>9412</v>
      </c>
      <c r="X95" s="8">
        <v>19454</v>
      </c>
      <c r="Y95" s="8">
        <v>52201</v>
      </c>
      <c r="Z95" s="8"/>
      <c r="AA95" s="8"/>
    </row>
    <row r="96" spans="2:30" s="14" customFormat="1" x14ac:dyDescent="0.35">
      <c r="B96" s="14" t="s">
        <v>235</v>
      </c>
      <c r="C96" s="26">
        <f t="shared" ref="C96:J96" si="86">SUM(C90:C95)</f>
        <v>1352520</v>
      </c>
      <c r="D96" s="26">
        <f>SUM(D90:D95)</f>
        <v>1232550</v>
      </c>
      <c r="E96" s="42">
        <f t="shared" si="86"/>
        <v>777703</v>
      </c>
      <c r="F96" s="26">
        <f t="shared" si="86"/>
        <v>329471</v>
      </c>
      <c r="G96" s="26">
        <f t="shared" si="86"/>
        <v>855016</v>
      </c>
      <c r="H96" s="26">
        <f>SUM(H90:H95)</f>
        <v>774764</v>
      </c>
      <c r="I96" s="42">
        <f t="shared" si="86"/>
        <v>746182</v>
      </c>
      <c r="J96" s="26">
        <f t="shared" si="86"/>
        <v>706416</v>
      </c>
      <c r="K96" s="26">
        <f>SUM(K90:K95)</f>
        <v>699450</v>
      </c>
      <c r="L96" s="26">
        <f t="shared" ref="L96:S96" si="87">SUM(L90:L95)</f>
        <v>662294</v>
      </c>
      <c r="M96" s="26">
        <f t="shared" si="87"/>
        <v>0</v>
      </c>
      <c r="N96" s="26">
        <f t="shared" si="87"/>
        <v>0</v>
      </c>
      <c r="O96" s="26">
        <f t="shared" si="87"/>
        <v>0</v>
      </c>
      <c r="P96" s="26">
        <f t="shared" si="87"/>
        <v>0</v>
      </c>
      <c r="Q96" s="26">
        <f t="shared" si="87"/>
        <v>0</v>
      </c>
      <c r="R96" s="26">
        <f t="shared" si="87"/>
        <v>0</v>
      </c>
      <c r="S96" s="26">
        <f t="shared" si="87"/>
        <v>0</v>
      </c>
      <c r="T96" s="26"/>
      <c r="U96" s="26"/>
      <c r="V96" s="26"/>
      <c r="W96" s="26">
        <f>SUM(W90:W95)</f>
        <v>93114</v>
      </c>
      <c r="X96" s="26">
        <f>SUM(X90:X95)</f>
        <v>774764</v>
      </c>
      <c r="Y96" s="26">
        <f t="shared" ref="Y96:AD96" si="88">SUM(Y90:Y95)</f>
        <v>662294</v>
      </c>
      <c r="Z96" s="26">
        <f t="shared" si="88"/>
        <v>0</v>
      </c>
      <c r="AA96" s="26">
        <f t="shared" si="88"/>
        <v>0</v>
      </c>
      <c r="AB96" s="26">
        <f t="shared" si="88"/>
        <v>0</v>
      </c>
      <c r="AC96" s="26">
        <f t="shared" si="88"/>
        <v>0</v>
      </c>
      <c r="AD96" s="26">
        <f t="shared" si="88"/>
        <v>0</v>
      </c>
    </row>
    <row r="97" spans="2:27" s="30" customFormat="1" x14ac:dyDescent="0.35">
      <c r="B97" s="30" t="s">
        <v>356</v>
      </c>
      <c r="C97" s="31"/>
      <c r="D97" s="31"/>
      <c r="E97" s="50"/>
      <c r="F97" s="31"/>
      <c r="G97" s="31"/>
      <c r="H97" s="31"/>
      <c r="I97" s="50"/>
      <c r="J97" s="31"/>
      <c r="K97" s="31"/>
      <c r="L97" s="31"/>
      <c r="M97" s="50"/>
      <c r="N97" s="31"/>
      <c r="O97" s="31"/>
      <c r="P97" s="31"/>
      <c r="Q97" s="31"/>
      <c r="R97" s="31"/>
      <c r="S97" s="31"/>
      <c r="T97" s="31"/>
      <c r="U97" s="31"/>
      <c r="V97" s="31"/>
      <c r="W97" s="31"/>
      <c r="X97" s="31"/>
      <c r="Y97" s="31"/>
      <c r="Z97" s="31"/>
      <c r="AA97" s="31"/>
    </row>
    <row r="98" spans="2:27" x14ac:dyDescent="0.35">
      <c r="B98" t="s">
        <v>334</v>
      </c>
      <c r="C98" s="7">
        <v>300000000</v>
      </c>
      <c r="D98" s="7">
        <v>321327396</v>
      </c>
      <c r="E98" s="39">
        <v>3200009656</v>
      </c>
      <c r="F98" s="7">
        <v>0</v>
      </c>
      <c r="G98" s="7">
        <v>0</v>
      </c>
      <c r="H98" s="7">
        <v>0</v>
      </c>
      <c r="I98" s="39">
        <v>0</v>
      </c>
      <c r="J98" s="7">
        <v>0</v>
      </c>
      <c r="K98" s="7">
        <v>0</v>
      </c>
      <c r="L98" s="7">
        <f t="shared" ref="L98:L108" si="89">Y98</f>
        <v>0</v>
      </c>
      <c r="M98" s="39"/>
      <c r="N98" s="7"/>
      <c r="O98" s="7"/>
      <c r="P98" s="7"/>
      <c r="Q98" s="7"/>
      <c r="R98" s="7"/>
      <c r="S98" s="7"/>
      <c r="T98" s="7"/>
      <c r="U98" s="7"/>
      <c r="V98" s="7"/>
      <c r="W98" s="7">
        <v>0</v>
      </c>
      <c r="X98" s="7">
        <v>0</v>
      </c>
      <c r="Y98" s="7">
        <v>0</v>
      </c>
      <c r="Z98" s="7"/>
      <c r="AA98" s="7"/>
    </row>
    <row r="99" spans="2:27" x14ac:dyDescent="0.35">
      <c r="B99" t="s">
        <v>118</v>
      </c>
      <c r="C99" s="7">
        <v>0</v>
      </c>
      <c r="D99" s="7">
        <v>0</v>
      </c>
      <c r="E99" s="39">
        <v>0</v>
      </c>
      <c r="F99" s="7">
        <v>0</v>
      </c>
      <c r="G99" s="7">
        <v>54859</v>
      </c>
      <c r="H99" s="7">
        <v>65339</v>
      </c>
      <c r="I99" s="39">
        <v>99554</v>
      </c>
      <c r="J99" s="7">
        <v>97031</v>
      </c>
      <c r="K99" s="7">
        <v>93547</v>
      </c>
      <c r="L99" s="7">
        <f t="shared" si="89"/>
        <v>101514</v>
      </c>
      <c r="M99" s="39"/>
      <c r="N99" s="7"/>
      <c r="O99" s="7"/>
      <c r="P99" s="7"/>
      <c r="Q99" s="7"/>
      <c r="R99" s="7"/>
      <c r="S99" s="7"/>
      <c r="T99" s="7"/>
      <c r="U99" s="7"/>
      <c r="V99" s="7"/>
      <c r="W99" s="7">
        <v>49832</v>
      </c>
      <c r="X99" s="7">
        <v>65339</v>
      </c>
      <c r="Y99" s="7">
        <v>101514</v>
      </c>
      <c r="Z99" s="7"/>
      <c r="AA99" s="7"/>
    </row>
    <row r="100" spans="2:27" x14ac:dyDescent="0.35">
      <c r="B100" t="s">
        <v>236</v>
      </c>
      <c r="C100" s="7">
        <v>0</v>
      </c>
      <c r="D100" s="7">
        <v>0</v>
      </c>
      <c r="E100" s="39">
        <v>0</v>
      </c>
      <c r="F100" s="7">
        <v>0</v>
      </c>
      <c r="G100" s="7">
        <v>9892</v>
      </c>
      <c r="H100" s="7">
        <v>57487</v>
      </c>
      <c r="I100" s="39">
        <v>87617</v>
      </c>
      <c r="J100" s="7">
        <v>84503</v>
      </c>
      <c r="K100" s="7">
        <v>82980</v>
      </c>
      <c r="L100" s="7">
        <f t="shared" si="89"/>
        <v>79692</v>
      </c>
      <c r="M100" s="39"/>
      <c r="N100" s="7"/>
      <c r="O100" s="7"/>
      <c r="P100" s="7"/>
      <c r="Q100" s="7"/>
      <c r="R100" s="7"/>
      <c r="S100" s="7"/>
      <c r="T100" s="7"/>
      <c r="U100" s="7"/>
      <c r="V100" s="7"/>
      <c r="W100" s="7">
        <v>11349</v>
      </c>
      <c r="X100" s="7">
        <v>57487</v>
      </c>
      <c r="Y100" s="7">
        <v>79692</v>
      </c>
      <c r="Z100" s="7"/>
      <c r="AA100" s="7"/>
    </row>
    <row r="101" spans="2:27" x14ac:dyDescent="0.35">
      <c r="B101" t="s">
        <v>119</v>
      </c>
      <c r="C101" s="7">
        <v>0</v>
      </c>
      <c r="D101" s="7">
        <v>0</v>
      </c>
      <c r="E101" s="39">
        <v>0</v>
      </c>
      <c r="F101" s="7">
        <v>0</v>
      </c>
      <c r="G101" s="7">
        <v>3195</v>
      </c>
      <c r="H101" s="7">
        <v>43308</v>
      </c>
      <c r="I101" s="39">
        <v>58767</v>
      </c>
      <c r="J101" s="7">
        <v>58281</v>
      </c>
      <c r="K101" s="7">
        <v>59929</v>
      </c>
      <c r="L101" s="7">
        <f t="shared" si="89"/>
        <v>71020</v>
      </c>
      <c r="M101" s="39"/>
      <c r="N101" s="7"/>
      <c r="O101" s="7"/>
      <c r="P101" s="7"/>
      <c r="Q101" s="7"/>
      <c r="R101" s="7"/>
      <c r="S101" s="7"/>
      <c r="T101" s="7"/>
      <c r="U101" s="7"/>
      <c r="V101" s="7"/>
      <c r="W101" s="7">
        <v>3133</v>
      </c>
      <c r="X101" s="7">
        <v>43308</v>
      </c>
      <c r="Y101" s="7">
        <v>71020</v>
      </c>
      <c r="Z101" s="7"/>
      <c r="AA101" s="7"/>
    </row>
    <row r="102" spans="2:27" x14ac:dyDescent="0.35">
      <c r="B102" t="s">
        <v>237</v>
      </c>
      <c r="C102" s="7">
        <v>0</v>
      </c>
      <c r="D102" s="7">
        <v>0</v>
      </c>
      <c r="E102" s="39">
        <v>0</v>
      </c>
      <c r="F102" s="7">
        <v>0</v>
      </c>
      <c r="G102" s="7">
        <v>25379</v>
      </c>
      <c r="H102" s="7">
        <v>28424</v>
      </c>
      <c r="I102" s="39">
        <v>33448</v>
      </c>
      <c r="J102" s="7">
        <v>31365</v>
      </c>
      <c r="K102" s="7">
        <v>32214</v>
      </c>
      <c r="L102" s="7">
        <f t="shared" si="89"/>
        <v>35239</v>
      </c>
      <c r="M102" s="39"/>
      <c r="N102" s="7"/>
      <c r="O102" s="7"/>
      <c r="P102" s="7"/>
      <c r="Q102" s="7"/>
      <c r="R102" s="7"/>
      <c r="S102" s="7"/>
      <c r="T102" s="7"/>
      <c r="U102" s="7"/>
      <c r="V102" s="7"/>
      <c r="W102" s="7">
        <v>26902</v>
      </c>
      <c r="X102" s="7">
        <v>28424</v>
      </c>
      <c r="Y102" s="7">
        <v>35239</v>
      </c>
      <c r="Z102" s="7"/>
      <c r="AA102" s="7"/>
    </row>
    <row r="103" spans="2:27" x14ac:dyDescent="0.35">
      <c r="B103" t="s">
        <v>277</v>
      </c>
      <c r="C103" s="7">
        <v>0</v>
      </c>
      <c r="D103" s="7">
        <v>0</v>
      </c>
      <c r="E103" s="39">
        <v>0</v>
      </c>
      <c r="F103" s="7">
        <v>0</v>
      </c>
      <c r="G103" s="7">
        <v>0</v>
      </c>
      <c r="H103" s="7"/>
      <c r="I103" s="39">
        <v>16073</v>
      </c>
      <c r="J103" s="7">
        <v>15921</v>
      </c>
      <c r="K103" s="7">
        <v>15768</v>
      </c>
      <c r="L103" s="7">
        <f t="shared" si="89"/>
        <v>15614</v>
      </c>
      <c r="M103" s="39"/>
      <c r="N103" s="7"/>
      <c r="O103" s="7"/>
      <c r="P103" s="7"/>
      <c r="Q103" s="7"/>
      <c r="R103" s="7"/>
      <c r="S103" s="7"/>
      <c r="T103" s="7"/>
      <c r="U103" s="7"/>
      <c r="V103" s="7"/>
      <c r="W103" s="7"/>
      <c r="X103" s="7"/>
      <c r="Y103" s="7">
        <v>15614</v>
      </c>
      <c r="Z103" s="7"/>
      <c r="AA103" s="7"/>
    </row>
    <row r="104" spans="2:27" x14ac:dyDescent="0.35">
      <c r="B104" t="s">
        <v>276</v>
      </c>
      <c r="C104" s="7">
        <v>0</v>
      </c>
      <c r="D104" s="7">
        <v>0</v>
      </c>
      <c r="E104" s="39">
        <v>0</v>
      </c>
      <c r="F104" s="7">
        <v>0</v>
      </c>
      <c r="G104" s="7">
        <v>0</v>
      </c>
      <c r="H104" s="7"/>
      <c r="I104" s="39">
        <v>0</v>
      </c>
      <c r="J104" s="7">
        <v>0</v>
      </c>
      <c r="K104" s="7">
        <v>9751</v>
      </c>
      <c r="L104" s="7">
        <f t="shared" si="89"/>
        <v>9193</v>
      </c>
      <c r="M104" s="39"/>
      <c r="N104" s="7"/>
      <c r="O104" s="7"/>
      <c r="P104" s="7"/>
      <c r="Q104" s="7"/>
      <c r="R104" s="7"/>
      <c r="S104" s="7"/>
      <c r="T104" s="7"/>
      <c r="U104" s="7"/>
      <c r="V104" s="7"/>
      <c r="W104" s="7"/>
      <c r="X104" s="7"/>
      <c r="Y104" s="7">
        <v>9193</v>
      </c>
      <c r="Z104" s="7"/>
      <c r="AA104" s="7"/>
    </row>
    <row r="105" spans="2:27" x14ac:dyDescent="0.35">
      <c r="B105" t="s">
        <v>238</v>
      </c>
      <c r="C105" s="7">
        <v>0</v>
      </c>
      <c r="D105" s="7">
        <v>0</v>
      </c>
      <c r="E105" s="39">
        <v>0</v>
      </c>
      <c r="F105" s="7">
        <v>0</v>
      </c>
      <c r="G105" s="7">
        <v>1129</v>
      </c>
      <c r="H105" s="7">
        <v>1116</v>
      </c>
      <c r="I105" s="39">
        <v>4632</v>
      </c>
      <c r="J105" s="7">
        <v>4118</v>
      </c>
      <c r="K105" s="7">
        <v>3008</v>
      </c>
      <c r="L105" s="7">
        <f t="shared" si="89"/>
        <v>3356</v>
      </c>
      <c r="M105" s="39"/>
      <c r="N105" s="7"/>
      <c r="O105" s="7"/>
      <c r="P105" s="7"/>
      <c r="Q105" s="7"/>
      <c r="R105" s="7"/>
      <c r="S105" s="7"/>
      <c r="T105" s="7"/>
      <c r="U105" s="7"/>
      <c r="V105" s="7"/>
      <c r="W105" s="7">
        <v>1141</v>
      </c>
      <c r="X105" s="7">
        <v>1116</v>
      </c>
      <c r="Y105" s="7">
        <v>3356</v>
      </c>
      <c r="Z105" s="7"/>
      <c r="AA105" s="7"/>
    </row>
    <row r="106" spans="2:27" x14ac:dyDescent="0.35">
      <c r="B106" t="s">
        <v>239</v>
      </c>
      <c r="C106" s="7">
        <v>0</v>
      </c>
      <c r="D106" s="7">
        <v>0</v>
      </c>
      <c r="E106" s="39">
        <v>0</v>
      </c>
      <c r="F106" s="7">
        <v>0</v>
      </c>
      <c r="G106" s="7">
        <v>5907</v>
      </c>
      <c r="H106" s="7">
        <v>5859</v>
      </c>
      <c r="I106" s="39">
        <v>7221</v>
      </c>
      <c r="J106" s="7">
        <v>4447</v>
      </c>
      <c r="K106" s="7">
        <v>3243</v>
      </c>
      <c r="L106" s="7">
        <f t="shared" si="89"/>
        <v>3898</v>
      </c>
      <c r="M106" s="39"/>
      <c r="N106" s="7"/>
      <c r="O106" s="7"/>
      <c r="P106" s="7"/>
      <c r="Q106" s="7"/>
      <c r="R106" s="7"/>
      <c r="S106" s="7"/>
      <c r="T106" s="7"/>
      <c r="U106" s="7"/>
      <c r="V106" s="7"/>
      <c r="W106" s="7">
        <v>2398</v>
      </c>
      <c r="X106" s="7">
        <v>5859</v>
      </c>
      <c r="Y106" s="7">
        <v>3898</v>
      </c>
      <c r="Z106" s="7"/>
      <c r="AA106" s="7"/>
    </row>
    <row r="107" spans="2:27" x14ac:dyDescent="0.35">
      <c r="B107" t="s">
        <v>284</v>
      </c>
      <c r="C107" s="7">
        <v>0</v>
      </c>
      <c r="D107" s="7">
        <v>0</v>
      </c>
      <c r="E107" s="39">
        <v>0</v>
      </c>
      <c r="F107" s="7">
        <v>320014519</v>
      </c>
      <c r="G107" s="7"/>
      <c r="H107" s="7"/>
      <c r="I107" s="39"/>
      <c r="J107" s="7"/>
      <c r="K107" s="7"/>
      <c r="L107" s="7">
        <f t="shared" si="89"/>
        <v>0</v>
      </c>
      <c r="M107" s="39"/>
      <c r="N107" s="7"/>
      <c r="O107" s="7"/>
      <c r="P107" s="7"/>
      <c r="Q107" s="7"/>
      <c r="R107" s="7"/>
      <c r="S107" s="7"/>
      <c r="T107" s="7"/>
      <c r="U107" s="7"/>
      <c r="V107" s="7"/>
      <c r="W107" s="7"/>
      <c r="X107" s="7"/>
      <c r="Y107" s="7">
        <v>0</v>
      </c>
      <c r="Z107" s="7"/>
      <c r="AA107" s="7"/>
    </row>
    <row r="108" spans="2:27" s="4" customFormat="1" x14ac:dyDescent="0.35">
      <c r="B108" s="4" t="s">
        <v>240</v>
      </c>
      <c r="C108" s="8">
        <v>0</v>
      </c>
      <c r="D108" s="8">
        <v>0</v>
      </c>
      <c r="E108" s="40">
        <v>0</v>
      </c>
      <c r="F108" s="8">
        <v>0</v>
      </c>
      <c r="G108" s="8">
        <v>0</v>
      </c>
      <c r="H108" s="8">
        <v>4550</v>
      </c>
      <c r="I108" s="40">
        <v>3990</v>
      </c>
      <c r="J108" s="8">
        <v>2670</v>
      </c>
      <c r="K108" s="8">
        <v>1472</v>
      </c>
      <c r="L108" s="8">
        <f t="shared" si="89"/>
        <v>7303</v>
      </c>
      <c r="M108" s="40"/>
      <c r="N108" s="8"/>
      <c r="O108" s="8"/>
      <c r="P108" s="8"/>
      <c r="Q108" s="8"/>
      <c r="R108" s="8"/>
      <c r="S108" s="8"/>
      <c r="T108" s="8"/>
      <c r="U108" s="8"/>
      <c r="V108" s="8"/>
      <c r="W108" s="8">
        <v>0</v>
      </c>
      <c r="X108" s="8">
        <v>4550</v>
      </c>
      <c r="Y108" s="8">
        <v>7303</v>
      </c>
      <c r="Z108" s="8"/>
      <c r="AA108" s="8"/>
    </row>
    <row r="109" spans="2:27" s="14" customFormat="1" x14ac:dyDescent="0.35">
      <c r="B109" s="14" t="s">
        <v>241</v>
      </c>
      <c r="C109" s="26">
        <f t="shared" ref="C109:S109" si="90">SUM(C96:C108)</f>
        <v>301352520</v>
      </c>
      <c r="D109" s="26">
        <f>SUM(D96:D108)</f>
        <v>322559946</v>
      </c>
      <c r="E109" s="42">
        <f t="shared" si="90"/>
        <v>3200787359</v>
      </c>
      <c r="F109" s="26">
        <f t="shared" si="90"/>
        <v>320343990</v>
      </c>
      <c r="G109" s="26">
        <f t="shared" si="90"/>
        <v>955377</v>
      </c>
      <c r="H109" s="26">
        <f>SUM(H96:H108)</f>
        <v>980847</v>
      </c>
      <c r="I109" s="42">
        <f t="shared" si="90"/>
        <v>1057484</v>
      </c>
      <c r="J109" s="26">
        <f t="shared" si="90"/>
        <v>1004752</v>
      </c>
      <c r="K109" s="26">
        <f t="shared" si="90"/>
        <v>1001362</v>
      </c>
      <c r="L109" s="26">
        <f t="shared" si="90"/>
        <v>989123</v>
      </c>
      <c r="M109" s="26">
        <f t="shared" si="90"/>
        <v>0</v>
      </c>
      <c r="N109" s="26">
        <f t="shared" si="90"/>
        <v>0</v>
      </c>
      <c r="O109" s="26">
        <f t="shared" si="90"/>
        <v>0</v>
      </c>
      <c r="P109" s="26">
        <f t="shared" si="90"/>
        <v>0</v>
      </c>
      <c r="Q109" s="26">
        <f t="shared" si="90"/>
        <v>0</v>
      </c>
      <c r="R109" s="26">
        <f t="shared" si="90"/>
        <v>0</v>
      </c>
      <c r="S109" s="26">
        <f t="shared" si="90"/>
        <v>0</v>
      </c>
      <c r="T109" s="26"/>
      <c r="U109" s="26"/>
      <c r="V109" s="26"/>
      <c r="W109" s="26">
        <f>SUM(W96:W108)</f>
        <v>187869</v>
      </c>
      <c r="X109" s="26">
        <f>SUM(X96:X108)</f>
        <v>980847</v>
      </c>
      <c r="Y109" s="26">
        <f>SUM(Y96:Y108)</f>
        <v>989123</v>
      </c>
      <c r="Z109" s="26"/>
      <c r="AA109" s="26"/>
    </row>
    <row r="110" spans="2:27" s="28" customFormat="1" x14ac:dyDescent="0.35">
      <c r="B110" s="30" t="s">
        <v>355</v>
      </c>
      <c r="C110" s="29"/>
      <c r="D110" s="29"/>
      <c r="E110" s="52"/>
      <c r="F110" s="29"/>
      <c r="G110" s="29"/>
      <c r="H110" s="29"/>
      <c r="I110" s="52"/>
      <c r="J110" s="29"/>
      <c r="K110" s="29"/>
      <c r="L110" s="29"/>
      <c r="M110" s="52"/>
      <c r="N110" s="29"/>
      <c r="O110" s="29"/>
      <c r="P110" s="29"/>
      <c r="Q110" s="29"/>
      <c r="R110" s="29"/>
      <c r="S110" s="29"/>
      <c r="T110" s="29"/>
      <c r="U110" s="29"/>
      <c r="V110" s="29"/>
      <c r="W110" s="29"/>
      <c r="X110" s="29"/>
      <c r="Y110" s="29"/>
      <c r="Z110" s="29"/>
      <c r="AA110" s="29"/>
    </row>
    <row r="111" spans="2:27" x14ac:dyDescent="0.35">
      <c r="B111" t="s">
        <v>242</v>
      </c>
      <c r="C111" s="7">
        <v>0</v>
      </c>
      <c r="D111" s="7">
        <v>0</v>
      </c>
      <c r="E111" s="39">
        <v>0</v>
      </c>
      <c r="F111" s="7">
        <v>0</v>
      </c>
      <c r="G111" s="7">
        <v>2205</v>
      </c>
      <c r="H111" s="7">
        <v>3489</v>
      </c>
      <c r="I111" s="39">
        <v>15106</v>
      </c>
      <c r="J111" s="7">
        <v>14156</v>
      </c>
      <c r="K111" s="7">
        <v>13266</v>
      </c>
      <c r="L111" s="7">
        <f t="shared" ref="L111:L116" si="91">Y111</f>
        <v>12084</v>
      </c>
      <c r="M111" s="39"/>
      <c r="N111" s="7"/>
      <c r="O111" s="7"/>
      <c r="P111" s="7"/>
      <c r="Q111" s="7"/>
      <c r="R111" s="7"/>
      <c r="S111" s="7"/>
      <c r="T111" s="7"/>
      <c r="U111" s="7"/>
      <c r="V111" s="7"/>
      <c r="W111" s="7">
        <v>3368</v>
      </c>
      <c r="X111" s="7">
        <v>3489</v>
      </c>
      <c r="Y111" s="7">
        <v>12084</v>
      </c>
      <c r="Z111" s="7"/>
      <c r="AA111" s="7"/>
    </row>
    <row r="112" spans="2:27" x14ac:dyDescent="0.35">
      <c r="B112" t="s">
        <v>243</v>
      </c>
      <c r="C112" s="7">
        <v>600</v>
      </c>
      <c r="D112" s="7">
        <v>217395</v>
      </c>
      <c r="E112" s="39">
        <v>1692954</v>
      </c>
      <c r="F112" s="7">
        <v>2390.0120000000002</v>
      </c>
      <c r="G112" s="7">
        <v>7219</v>
      </c>
      <c r="H112" s="7">
        <v>10977</v>
      </c>
      <c r="I112" s="39">
        <v>17051</v>
      </c>
      <c r="J112" s="7">
        <v>11468</v>
      </c>
      <c r="K112" s="7">
        <v>9586</v>
      </c>
      <c r="L112" s="7">
        <f t="shared" si="91"/>
        <v>8723</v>
      </c>
      <c r="M112" s="39"/>
      <c r="N112" s="7"/>
      <c r="O112" s="7"/>
      <c r="P112" s="7"/>
      <c r="Q112" s="7"/>
      <c r="R112" s="7"/>
      <c r="S112" s="7"/>
      <c r="T112" s="7"/>
      <c r="U112" s="7"/>
      <c r="V112" s="7"/>
      <c r="W112" s="7">
        <v>6571</v>
      </c>
      <c r="X112" s="7">
        <v>10977</v>
      </c>
      <c r="Y112" s="7">
        <v>8723</v>
      </c>
      <c r="Z112" s="7"/>
      <c r="AA112" s="7"/>
    </row>
    <row r="113" spans="2:27" x14ac:dyDescent="0.35">
      <c r="B113" t="s">
        <v>244</v>
      </c>
      <c r="C113" s="7">
        <v>0</v>
      </c>
      <c r="D113" s="7">
        <v>0</v>
      </c>
      <c r="E113" s="39">
        <v>0</v>
      </c>
      <c r="F113" s="7">
        <v>0</v>
      </c>
      <c r="G113" s="7">
        <v>5652</v>
      </c>
      <c r="H113" s="7">
        <v>8266</v>
      </c>
      <c r="I113" s="39">
        <v>22958</v>
      </c>
      <c r="J113" s="7">
        <v>13632</v>
      </c>
      <c r="K113" s="7">
        <v>8560</v>
      </c>
      <c r="L113" s="7">
        <f t="shared" si="91"/>
        <v>8634</v>
      </c>
      <c r="M113" s="39"/>
      <c r="N113" s="7"/>
      <c r="O113" s="7"/>
      <c r="P113" s="7"/>
      <c r="Q113" s="7"/>
      <c r="R113" s="7"/>
      <c r="S113" s="7"/>
      <c r="T113" s="7"/>
      <c r="U113" s="7"/>
      <c r="V113" s="7"/>
      <c r="W113" s="7">
        <v>4582</v>
      </c>
      <c r="X113" s="7">
        <v>8266</v>
      </c>
      <c r="Y113" s="7">
        <v>8634</v>
      </c>
      <c r="Z113" s="7"/>
      <c r="AA113" s="7"/>
    </row>
    <row r="114" spans="2:27" x14ac:dyDescent="0.35">
      <c r="B114" t="s">
        <v>245</v>
      </c>
      <c r="C114" s="7">
        <v>0</v>
      </c>
      <c r="D114" s="7">
        <v>0</v>
      </c>
      <c r="E114" s="39">
        <v>0</v>
      </c>
      <c r="F114" s="7">
        <v>0</v>
      </c>
      <c r="G114" s="7">
        <v>51163</v>
      </c>
      <c r="H114" s="7">
        <v>59749</v>
      </c>
      <c r="I114" s="39">
        <v>97116</v>
      </c>
      <c r="J114" s="7">
        <v>90659</v>
      </c>
      <c r="K114" s="7">
        <v>112649</v>
      </c>
      <c r="L114" s="7">
        <f t="shared" si="91"/>
        <v>108344</v>
      </c>
      <c r="M114" s="39"/>
      <c r="N114" s="7"/>
      <c r="O114" s="7"/>
      <c r="P114" s="7"/>
      <c r="Q114" s="7"/>
      <c r="R114" s="7"/>
      <c r="S114" s="7"/>
      <c r="T114" s="7"/>
      <c r="U114" s="7"/>
      <c r="V114" s="7"/>
      <c r="W114" s="7">
        <v>26132</v>
      </c>
      <c r="X114" s="7">
        <v>59749</v>
      </c>
      <c r="Y114" s="7">
        <v>108344</v>
      </c>
      <c r="Z114" s="7"/>
      <c r="AA114" s="7"/>
    </row>
    <row r="115" spans="2:27" x14ac:dyDescent="0.35">
      <c r="B115" t="s">
        <v>246</v>
      </c>
      <c r="C115" s="7">
        <v>0</v>
      </c>
      <c r="D115" s="7">
        <v>0</v>
      </c>
      <c r="E115" s="39">
        <v>0</v>
      </c>
      <c r="F115" s="7">
        <v>0</v>
      </c>
      <c r="G115" s="7">
        <v>2807</v>
      </c>
      <c r="H115" s="7">
        <v>2827</v>
      </c>
      <c r="I115" s="39">
        <v>2846</v>
      </c>
      <c r="J115" s="7">
        <v>2866</v>
      </c>
      <c r="K115" s="7">
        <v>2886</v>
      </c>
      <c r="L115" s="7">
        <f t="shared" si="91"/>
        <v>2906</v>
      </c>
      <c r="M115" s="39"/>
      <c r="N115" s="7"/>
      <c r="O115" s="7"/>
      <c r="P115" s="7"/>
      <c r="Q115" s="7"/>
      <c r="R115" s="7"/>
      <c r="S115" s="7"/>
      <c r="T115" s="7"/>
      <c r="U115" s="7"/>
      <c r="V115" s="7"/>
      <c r="W115" s="7">
        <v>0</v>
      </c>
      <c r="X115" s="7">
        <v>2827</v>
      </c>
      <c r="Y115" s="7">
        <v>2906</v>
      </c>
      <c r="Z115" s="7"/>
      <c r="AA115" s="7"/>
    </row>
    <row r="116" spans="2:27" s="4" customFormat="1" x14ac:dyDescent="0.35">
      <c r="B116" s="4" t="s">
        <v>247</v>
      </c>
      <c r="C116" s="8">
        <v>0</v>
      </c>
      <c r="D116" s="8">
        <v>0</v>
      </c>
      <c r="E116" s="40">
        <v>0</v>
      </c>
      <c r="F116" s="8">
        <v>0</v>
      </c>
      <c r="G116" s="8">
        <v>7698</v>
      </c>
      <c r="H116" s="8">
        <v>10999</v>
      </c>
      <c r="I116" s="40">
        <v>18307</v>
      </c>
      <c r="J116" s="8">
        <v>11320</v>
      </c>
      <c r="K116" s="8">
        <v>14393</v>
      </c>
      <c r="L116" s="8">
        <f t="shared" si="91"/>
        <v>22249</v>
      </c>
      <c r="M116" s="40"/>
      <c r="N116" s="8"/>
      <c r="O116" s="8"/>
      <c r="P116" s="8"/>
      <c r="Q116" s="8"/>
      <c r="R116" s="8"/>
      <c r="S116" s="8"/>
      <c r="T116" s="8"/>
      <c r="U116" s="8"/>
      <c r="V116" s="8"/>
      <c r="W116" s="8">
        <v>7766</v>
      </c>
      <c r="X116" s="8">
        <v>10999</v>
      </c>
      <c r="Y116" s="8">
        <v>22249</v>
      </c>
      <c r="Z116" s="8"/>
      <c r="AA116" s="8"/>
    </row>
    <row r="117" spans="2:27" s="14" customFormat="1" x14ac:dyDescent="0.35">
      <c r="B117" s="14" t="s">
        <v>248</v>
      </c>
      <c r="C117" s="26">
        <f t="shared" ref="C117:J117" si="92">SUM(C111:C116)</f>
        <v>600</v>
      </c>
      <c r="D117" s="26">
        <f>SUM(D111:D116)</f>
        <v>217395</v>
      </c>
      <c r="E117" s="42">
        <f t="shared" si="92"/>
        <v>1692954</v>
      </c>
      <c r="F117" s="26">
        <f t="shared" si="92"/>
        <v>2390.0120000000002</v>
      </c>
      <c r="G117" s="26">
        <f t="shared" si="92"/>
        <v>76744</v>
      </c>
      <c r="H117" s="26">
        <f>SUM(H111:H116)</f>
        <v>96307</v>
      </c>
      <c r="I117" s="42">
        <f t="shared" si="92"/>
        <v>173384</v>
      </c>
      <c r="J117" s="26">
        <f t="shared" si="92"/>
        <v>144101</v>
      </c>
      <c r="K117" s="26">
        <f>SUM(K111:K116)</f>
        <v>161340</v>
      </c>
      <c r="L117" s="26">
        <f>SUM(L111:L116)</f>
        <v>162940</v>
      </c>
      <c r="M117" s="42"/>
      <c r="N117" s="26"/>
      <c r="O117" s="26"/>
      <c r="P117" s="26"/>
      <c r="Q117" s="26"/>
      <c r="R117" s="26"/>
      <c r="S117" s="26"/>
      <c r="T117" s="26"/>
      <c r="U117" s="26"/>
      <c r="V117" s="26"/>
      <c r="W117" s="26">
        <f>SUM(W111:W116)</f>
        <v>48419</v>
      </c>
      <c r="X117" s="26">
        <f>SUM(X111:X116)</f>
        <v>96307</v>
      </c>
      <c r="Y117" s="26">
        <f>SUM(Y111:Y116)</f>
        <v>162940</v>
      </c>
      <c r="Z117" s="26"/>
      <c r="AA117" s="26"/>
    </row>
    <row r="118" spans="2:27" s="30" customFormat="1" x14ac:dyDescent="0.35">
      <c r="B118" s="30" t="s">
        <v>356</v>
      </c>
      <c r="C118" s="31"/>
      <c r="D118" s="31"/>
      <c r="E118" s="50"/>
      <c r="F118" s="31"/>
      <c r="G118" s="31"/>
      <c r="H118" s="31"/>
      <c r="I118" s="50"/>
      <c r="J118" s="31"/>
      <c r="K118" s="31"/>
      <c r="L118" s="31"/>
      <c r="M118" s="50"/>
      <c r="N118" s="31"/>
      <c r="O118" s="31"/>
      <c r="P118" s="31"/>
      <c r="Q118" s="31"/>
      <c r="R118" s="31"/>
      <c r="S118" s="31"/>
      <c r="T118" s="31"/>
      <c r="U118" s="31"/>
      <c r="V118" s="31"/>
      <c r="W118" s="31"/>
      <c r="X118" s="31"/>
      <c r="Y118" s="31"/>
      <c r="Z118" s="31"/>
      <c r="AA118" s="31"/>
    </row>
    <row r="119" spans="2:27" x14ac:dyDescent="0.35">
      <c r="B119" t="s">
        <v>285</v>
      </c>
      <c r="C119" s="7">
        <v>0</v>
      </c>
      <c r="D119" s="7">
        <v>24562667</v>
      </c>
      <c r="E119" s="39">
        <v>46197334</v>
      </c>
      <c r="F119" s="7">
        <v>46116001</v>
      </c>
      <c r="G119" s="7">
        <v>0</v>
      </c>
      <c r="H119" s="7">
        <v>0</v>
      </c>
      <c r="I119" s="39">
        <v>0</v>
      </c>
      <c r="J119" s="7">
        <v>0</v>
      </c>
      <c r="K119" s="7">
        <v>0</v>
      </c>
      <c r="L119" s="7">
        <v>0</v>
      </c>
      <c r="M119" s="39"/>
      <c r="N119" s="7"/>
      <c r="O119" s="7"/>
      <c r="P119" s="7"/>
      <c r="Q119" s="7"/>
      <c r="R119" s="7"/>
      <c r="S119" s="7"/>
      <c r="T119" s="7"/>
      <c r="U119" s="7"/>
      <c r="V119" s="7"/>
      <c r="W119" s="7"/>
      <c r="X119" s="7"/>
      <c r="Y119" s="7">
        <v>0</v>
      </c>
      <c r="Z119" s="7"/>
      <c r="AA119" s="7"/>
    </row>
    <row r="120" spans="2:27" x14ac:dyDescent="0.35">
      <c r="B120" t="s">
        <v>249</v>
      </c>
      <c r="C120" s="7">
        <v>0</v>
      </c>
      <c r="D120" s="7">
        <v>0</v>
      </c>
      <c r="E120" s="39">
        <v>0</v>
      </c>
      <c r="F120" s="7">
        <v>0</v>
      </c>
      <c r="G120" s="7">
        <v>96616</v>
      </c>
      <c r="H120" s="7">
        <v>97297</v>
      </c>
      <c r="I120" s="39">
        <v>97967</v>
      </c>
      <c r="J120" s="7">
        <v>98649</v>
      </c>
      <c r="K120" s="7">
        <v>99344</v>
      </c>
      <c r="L120" s="7">
        <f>Y120</f>
        <v>100043</v>
      </c>
      <c r="M120" s="39"/>
      <c r="N120" s="7"/>
      <c r="O120" s="7"/>
      <c r="P120" s="7"/>
      <c r="Q120" s="7"/>
      <c r="R120" s="7"/>
      <c r="S120" s="7"/>
      <c r="T120" s="7"/>
      <c r="U120" s="7"/>
      <c r="V120" s="7"/>
      <c r="W120" s="7">
        <v>0</v>
      </c>
      <c r="X120" s="7">
        <v>97297</v>
      </c>
      <c r="Y120" s="7">
        <v>100043</v>
      </c>
      <c r="Z120" s="7"/>
      <c r="AA120" s="7"/>
    </row>
    <row r="121" spans="2:27" x14ac:dyDescent="0.35">
      <c r="B121" t="s">
        <v>250</v>
      </c>
      <c r="C121" s="7">
        <v>0</v>
      </c>
      <c r="D121" s="7">
        <v>0</v>
      </c>
      <c r="E121" s="39">
        <v>0</v>
      </c>
      <c r="F121" s="7">
        <v>0</v>
      </c>
      <c r="G121" s="7">
        <v>25915</v>
      </c>
      <c r="H121" s="7">
        <v>28302</v>
      </c>
      <c r="I121" s="39">
        <v>32303</v>
      </c>
      <c r="J121" s="7">
        <v>30370</v>
      </c>
      <c r="K121" s="7">
        <v>31588</v>
      </c>
      <c r="L121" s="7">
        <f>Y121</f>
        <v>34266</v>
      </c>
      <c r="M121" s="39"/>
      <c r="N121" s="7"/>
      <c r="O121" s="7"/>
      <c r="P121" s="7"/>
      <c r="Q121" s="7"/>
      <c r="R121" s="7"/>
      <c r="S121" s="7"/>
      <c r="T121" s="7"/>
      <c r="U121" s="7"/>
      <c r="V121" s="7"/>
      <c r="W121" s="7">
        <v>27299</v>
      </c>
      <c r="X121" s="7">
        <v>28302</v>
      </c>
      <c r="Y121" s="7">
        <v>34266</v>
      </c>
      <c r="Z121" s="7"/>
      <c r="AA121" s="7"/>
    </row>
    <row r="122" spans="2:27" x14ac:dyDescent="0.35">
      <c r="B122" t="s">
        <v>278</v>
      </c>
      <c r="C122" s="7">
        <v>0</v>
      </c>
      <c r="D122" s="7">
        <v>0</v>
      </c>
      <c r="E122" s="39">
        <v>0</v>
      </c>
      <c r="F122" s="7">
        <v>0</v>
      </c>
      <c r="G122" s="7">
        <v>0</v>
      </c>
      <c r="H122" s="7"/>
      <c r="I122" s="39">
        <v>15825</v>
      </c>
      <c r="J122" s="7">
        <v>15744</v>
      </c>
      <c r="K122" s="7">
        <v>15656</v>
      </c>
      <c r="L122" s="7">
        <f>Y122</f>
        <v>15568</v>
      </c>
      <c r="M122" s="39"/>
      <c r="N122" s="7"/>
      <c r="O122" s="7"/>
      <c r="P122" s="7"/>
      <c r="Q122" s="7"/>
      <c r="R122" s="7"/>
      <c r="S122" s="7"/>
      <c r="T122" s="7"/>
      <c r="U122" s="7"/>
      <c r="V122" s="7"/>
      <c r="W122" s="7"/>
      <c r="X122" s="7"/>
      <c r="Y122" s="7">
        <v>15568</v>
      </c>
      <c r="Z122" s="7"/>
      <c r="AA122" s="7"/>
    </row>
    <row r="123" spans="2:27" x14ac:dyDescent="0.35">
      <c r="B123" t="s">
        <v>251</v>
      </c>
      <c r="C123" s="7">
        <v>0</v>
      </c>
      <c r="D123" s="7">
        <v>0</v>
      </c>
      <c r="E123" s="39">
        <v>0</v>
      </c>
      <c r="F123" s="7">
        <v>0</v>
      </c>
      <c r="G123" s="7">
        <v>0</v>
      </c>
      <c r="H123" s="7">
        <v>466</v>
      </c>
      <c r="I123" s="39">
        <v>509</v>
      </c>
      <c r="J123" s="7">
        <v>17</v>
      </c>
      <c r="K123" s="7">
        <v>22</v>
      </c>
      <c r="L123" s="7">
        <f>Y123</f>
        <v>95</v>
      </c>
      <c r="M123" s="39"/>
      <c r="N123" s="7"/>
      <c r="O123" s="7"/>
      <c r="P123" s="7"/>
      <c r="Q123" s="7"/>
      <c r="R123" s="7"/>
      <c r="S123" s="7"/>
      <c r="T123" s="7"/>
      <c r="U123" s="7"/>
      <c r="V123" s="7"/>
      <c r="W123" s="7">
        <v>0</v>
      </c>
      <c r="X123" s="7">
        <v>466</v>
      </c>
      <c r="Y123" s="7">
        <v>95</v>
      </c>
      <c r="Z123" s="7"/>
      <c r="AA123" s="7"/>
    </row>
    <row r="124" spans="2:27" x14ac:dyDescent="0.35">
      <c r="B124" t="s">
        <v>286</v>
      </c>
      <c r="C124" s="7">
        <v>10500000</v>
      </c>
      <c r="D124" s="7">
        <v>11200000</v>
      </c>
      <c r="E124" s="39">
        <v>11200000</v>
      </c>
      <c r="F124" s="7">
        <v>11200000</v>
      </c>
      <c r="G124" s="7">
        <v>0</v>
      </c>
      <c r="H124" s="7">
        <v>0</v>
      </c>
      <c r="I124" s="39">
        <v>0</v>
      </c>
      <c r="J124" s="7">
        <v>0</v>
      </c>
      <c r="K124" s="7">
        <v>0</v>
      </c>
      <c r="L124" s="7">
        <v>0</v>
      </c>
      <c r="M124" s="39"/>
      <c r="N124" s="7"/>
      <c r="O124" s="7"/>
      <c r="P124" s="7"/>
      <c r="Q124" s="7"/>
      <c r="R124" s="7"/>
      <c r="S124" s="7"/>
      <c r="T124" s="7"/>
      <c r="U124" s="7"/>
      <c r="V124" s="7"/>
      <c r="W124" s="7"/>
      <c r="X124" s="7"/>
      <c r="Y124" s="7">
        <v>0</v>
      </c>
      <c r="Z124" s="7"/>
      <c r="AA124" s="7"/>
    </row>
    <row r="125" spans="2:27" x14ac:dyDescent="0.35">
      <c r="B125" t="s">
        <v>252</v>
      </c>
      <c r="C125" s="7">
        <v>0</v>
      </c>
      <c r="D125" s="7">
        <v>0</v>
      </c>
      <c r="E125" s="39">
        <v>0</v>
      </c>
      <c r="F125" s="7">
        <v>0</v>
      </c>
      <c r="G125" s="7">
        <v>81984</v>
      </c>
      <c r="H125" s="7">
        <v>58227</v>
      </c>
      <c r="I125" s="39">
        <v>0</v>
      </c>
      <c r="J125" s="7">
        <v>0</v>
      </c>
      <c r="K125" s="7">
        <v>0</v>
      </c>
      <c r="L125" s="7">
        <f>Y125</f>
        <v>0</v>
      </c>
      <c r="M125" s="39"/>
      <c r="N125" s="7"/>
      <c r="O125" s="7"/>
      <c r="P125" s="7"/>
      <c r="Q125" s="7"/>
      <c r="R125" s="7"/>
      <c r="S125" s="7"/>
      <c r="T125" s="7"/>
      <c r="U125" s="7"/>
      <c r="V125" s="7"/>
      <c r="W125" s="7">
        <v>0</v>
      </c>
      <c r="X125" s="7">
        <v>58227</v>
      </c>
      <c r="Y125" s="7">
        <v>0</v>
      </c>
      <c r="Z125" s="7"/>
      <c r="AA125" s="7"/>
    </row>
    <row r="126" spans="2:27" s="4" customFormat="1" x14ac:dyDescent="0.35">
      <c r="B126" s="4" t="s">
        <v>253</v>
      </c>
      <c r="C126" s="8">
        <v>0</v>
      </c>
      <c r="D126" s="8">
        <v>0</v>
      </c>
      <c r="E126" s="40">
        <v>0</v>
      </c>
      <c r="F126" s="8">
        <v>0</v>
      </c>
      <c r="G126" s="8">
        <v>0</v>
      </c>
      <c r="H126" s="8">
        <v>1800</v>
      </c>
      <c r="I126" s="40">
        <v>4901</v>
      </c>
      <c r="J126" s="8">
        <v>2417</v>
      </c>
      <c r="K126" s="8">
        <v>2576</v>
      </c>
      <c r="L126" s="7">
        <f>Y126</f>
        <v>3005</v>
      </c>
      <c r="M126" s="40"/>
      <c r="N126" s="8"/>
      <c r="O126" s="8"/>
      <c r="P126" s="8"/>
      <c r="Q126" s="8"/>
      <c r="R126" s="8"/>
      <c r="S126" s="8"/>
      <c r="T126" s="8"/>
      <c r="U126" s="8"/>
      <c r="V126" s="8"/>
      <c r="W126" s="8">
        <v>3899</v>
      </c>
      <c r="X126" s="8">
        <v>1800</v>
      </c>
      <c r="Y126" s="8">
        <v>3005</v>
      </c>
      <c r="Z126" s="8"/>
      <c r="AA126" s="8"/>
    </row>
    <row r="127" spans="2:27" s="34" customFormat="1" x14ac:dyDescent="0.35">
      <c r="B127" s="34" t="s">
        <v>362</v>
      </c>
      <c r="C127" s="35">
        <f>SUM(C119:C126)</f>
        <v>10500000</v>
      </c>
      <c r="D127" s="35">
        <f t="shared" ref="D127:J127" si="93">SUM(D119:D126)</f>
        <v>35762667</v>
      </c>
      <c r="E127" s="48">
        <f t="shared" si="93"/>
        <v>57397334</v>
      </c>
      <c r="F127" s="35">
        <f t="shared" si="93"/>
        <v>57316001</v>
      </c>
      <c r="G127" s="35">
        <f t="shared" si="93"/>
        <v>204515</v>
      </c>
      <c r="H127" s="35">
        <f t="shared" si="93"/>
        <v>186092</v>
      </c>
      <c r="I127" s="35">
        <f t="shared" si="93"/>
        <v>151505</v>
      </c>
      <c r="J127" s="35">
        <f t="shared" si="93"/>
        <v>147197</v>
      </c>
      <c r="K127" s="35">
        <f>SUM(K119:K126)</f>
        <v>149186</v>
      </c>
      <c r="L127" s="35">
        <f>SUM(L119:L126)</f>
        <v>152977</v>
      </c>
      <c r="M127" s="48"/>
      <c r="N127" s="35"/>
      <c r="O127" s="35"/>
      <c r="P127" s="35"/>
      <c r="Q127" s="35"/>
      <c r="R127" s="35"/>
      <c r="S127" s="35"/>
      <c r="T127" s="35"/>
      <c r="U127" s="35"/>
      <c r="V127" s="35"/>
      <c r="W127" s="35">
        <f>SUM(W119:W126)</f>
        <v>31198</v>
      </c>
      <c r="X127" s="35">
        <f t="shared" ref="X127:Y127" si="94">SUM(X119:X126)</f>
        <v>186092</v>
      </c>
      <c r="Y127" s="35">
        <f t="shared" si="94"/>
        <v>152977</v>
      </c>
      <c r="Z127" s="35"/>
      <c r="AA127" s="35"/>
    </row>
    <row r="128" spans="2:27" s="14" customFormat="1" x14ac:dyDescent="0.35">
      <c r="B128" s="14" t="s">
        <v>254</v>
      </c>
      <c r="C128" s="26">
        <f>C127+C117</f>
        <v>10500600</v>
      </c>
      <c r="D128" s="26">
        <f t="shared" ref="D128:J128" si="95">D127+D117</f>
        <v>35980062</v>
      </c>
      <c r="E128" s="42">
        <f t="shared" si="95"/>
        <v>59090288</v>
      </c>
      <c r="F128" s="26">
        <f t="shared" si="95"/>
        <v>57318391.012000002</v>
      </c>
      <c r="G128" s="26">
        <f t="shared" si="95"/>
        <v>281259</v>
      </c>
      <c r="H128" s="26">
        <f t="shared" si="95"/>
        <v>282399</v>
      </c>
      <c r="I128" s="26">
        <f t="shared" si="95"/>
        <v>324889</v>
      </c>
      <c r="J128" s="26">
        <f t="shared" si="95"/>
        <v>291298</v>
      </c>
      <c r="K128" s="26">
        <f>K127+K117</f>
        <v>310526</v>
      </c>
      <c r="L128" s="26">
        <f>L127+L117</f>
        <v>315917</v>
      </c>
      <c r="M128" s="42"/>
      <c r="N128" s="26"/>
      <c r="O128" s="26"/>
      <c r="P128" s="26"/>
      <c r="Q128" s="26"/>
      <c r="R128" s="26"/>
      <c r="S128" s="26"/>
      <c r="T128" s="26"/>
      <c r="U128" s="26"/>
      <c r="V128" s="26"/>
      <c r="W128" s="26">
        <f>W127+W117</f>
        <v>79617</v>
      </c>
      <c r="X128" s="26">
        <f t="shared" ref="X128:Y128" si="96">X127+X117</f>
        <v>282399</v>
      </c>
      <c r="Y128" s="26">
        <f t="shared" si="96"/>
        <v>315917</v>
      </c>
      <c r="Z128" s="26"/>
      <c r="AA128" s="26"/>
    </row>
    <row r="129" spans="2:27" s="30" customFormat="1" x14ac:dyDescent="0.35">
      <c r="B129" s="30" t="s">
        <v>357</v>
      </c>
      <c r="C129" s="31"/>
      <c r="D129" s="31"/>
      <c r="E129" s="50"/>
      <c r="F129" s="31"/>
      <c r="G129" s="31"/>
      <c r="H129" s="31"/>
      <c r="I129" s="50"/>
      <c r="J129" s="31"/>
      <c r="K129" s="31"/>
      <c r="L129" s="31"/>
      <c r="M129" s="50"/>
      <c r="N129" s="31"/>
      <c r="O129" s="31"/>
      <c r="P129" s="31"/>
      <c r="Q129" s="31"/>
      <c r="R129" s="31"/>
      <c r="S129" s="31"/>
      <c r="T129" s="31"/>
      <c r="U129" s="31"/>
      <c r="V129" s="31"/>
      <c r="W129" s="31"/>
      <c r="X129" s="31"/>
      <c r="Y129" s="31"/>
      <c r="Z129" s="31"/>
      <c r="AA129" s="31"/>
    </row>
    <row r="130" spans="2:27" x14ac:dyDescent="0.35">
      <c r="B130" t="s">
        <v>335</v>
      </c>
      <c r="C130" s="7">
        <v>285851910</v>
      </c>
      <c r="D130" s="7">
        <v>280257330</v>
      </c>
      <c r="E130" s="39">
        <v>0</v>
      </c>
      <c r="F130" s="7">
        <v>0</v>
      </c>
      <c r="G130" s="7">
        <v>0</v>
      </c>
      <c r="H130" s="7">
        <v>0</v>
      </c>
      <c r="I130" s="39">
        <v>0</v>
      </c>
      <c r="J130" s="7">
        <v>0</v>
      </c>
      <c r="K130" s="7">
        <v>0</v>
      </c>
      <c r="L130" s="7">
        <f t="shared" ref="L130:L139" si="97">Y130</f>
        <v>0</v>
      </c>
      <c r="M130" s="39"/>
      <c r="N130" s="7"/>
      <c r="O130" s="7"/>
      <c r="P130" s="7"/>
      <c r="Q130" s="7"/>
      <c r="R130" s="7"/>
      <c r="S130" s="7"/>
      <c r="T130" s="7"/>
      <c r="U130" s="7"/>
      <c r="V130" s="7"/>
      <c r="W130" s="7">
        <v>0</v>
      </c>
      <c r="X130" s="7">
        <v>0</v>
      </c>
      <c r="Y130" s="7">
        <v>0</v>
      </c>
      <c r="Z130" s="7"/>
      <c r="AA130" s="7"/>
    </row>
    <row r="131" spans="2:27" x14ac:dyDescent="0.35">
      <c r="B131" t="s">
        <v>255</v>
      </c>
      <c r="C131" s="7">
        <v>141</v>
      </c>
      <c r="D131" s="7">
        <v>397</v>
      </c>
      <c r="E131" s="39"/>
      <c r="F131" s="7">
        <v>320000000</v>
      </c>
      <c r="G131" s="7" t="s">
        <v>279</v>
      </c>
      <c r="H131" s="7" t="s">
        <v>279</v>
      </c>
      <c r="I131" s="39" t="s">
        <v>279</v>
      </c>
      <c r="J131" s="7" t="s">
        <v>279</v>
      </c>
      <c r="K131" s="7" t="s">
        <v>279</v>
      </c>
      <c r="L131" s="7">
        <f t="shared" si="97"/>
        <v>0</v>
      </c>
      <c r="M131" s="39"/>
      <c r="N131" s="7"/>
      <c r="O131" s="7"/>
      <c r="P131" s="7"/>
      <c r="Q131" s="7"/>
      <c r="R131" s="7"/>
      <c r="S131" s="7"/>
      <c r="T131" s="7"/>
      <c r="U131" s="7"/>
      <c r="V131" s="7"/>
      <c r="W131" s="7">
        <v>5500</v>
      </c>
      <c r="X131" s="7">
        <v>0</v>
      </c>
      <c r="Y131" s="7">
        <v>0</v>
      </c>
      <c r="Z131" s="7"/>
      <c r="AA131" s="7"/>
    </row>
    <row r="132" spans="2:27" x14ac:dyDescent="0.35">
      <c r="B132" t="s">
        <v>256</v>
      </c>
      <c r="C132" s="7">
        <v>863</v>
      </c>
      <c r="D132" s="7">
        <v>800</v>
      </c>
      <c r="E132" s="39"/>
      <c r="F132" s="7">
        <v>800</v>
      </c>
      <c r="G132" s="7" t="s">
        <v>279</v>
      </c>
      <c r="H132" s="7" t="s">
        <v>279</v>
      </c>
      <c r="I132" s="39" t="s">
        <v>279</v>
      </c>
      <c r="J132" s="7" t="s">
        <v>279</v>
      </c>
      <c r="K132" s="7" t="s">
        <v>279</v>
      </c>
      <c r="L132" s="7">
        <f t="shared" si="97"/>
        <v>0</v>
      </c>
      <c r="M132" s="39"/>
      <c r="N132" s="7"/>
      <c r="O132" s="7"/>
      <c r="P132" s="7"/>
      <c r="Q132" s="7"/>
      <c r="R132" s="7"/>
      <c r="S132" s="7"/>
      <c r="T132" s="7"/>
      <c r="U132" s="7"/>
      <c r="V132" s="7"/>
      <c r="W132" s="7">
        <v>21503</v>
      </c>
      <c r="X132" s="7">
        <v>0</v>
      </c>
      <c r="Y132" s="7">
        <v>0</v>
      </c>
      <c r="Z132" s="7"/>
      <c r="AA132" s="7"/>
    </row>
    <row r="133" spans="2:27" x14ac:dyDescent="0.35">
      <c r="B133" t="s">
        <v>257</v>
      </c>
      <c r="C133" s="7">
        <v>0</v>
      </c>
      <c r="D133" s="7">
        <v>0</v>
      </c>
      <c r="E133" s="39"/>
      <c r="F133" s="7" t="s">
        <v>279</v>
      </c>
      <c r="G133" s="7" t="s">
        <v>279</v>
      </c>
      <c r="H133" s="7" t="s">
        <v>279</v>
      </c>
      <c r="I133" s="39" t="s">
        <v>279</v>
      </c>
      <c r="J133" s="7" t="s">
        <v>279</v>
      </c>
      <c r="K133" s="7" t="s">
        <v>279</v>
      </c>
      <c r="L133" s="7">
        <f t="shared" si="97"/>
        <v>0</v>
      </c>
      <c r="M133" s="39"/>
      <c r="N133" s="7"/>
      <c r="O133" s="7"/>
      <c r="P133" s="7"/>
      <c r="Q133" s="7"/>
      <c r="R133" s="7"/>
      <c r="S133" s="7"/>
      <c r="T133" s="7"/>
      <c r="U133" s="7"/>
      <c r="V133" s="7"/>
      <c r="W133" s="7">
        <v>16471</v>
      </c>
      <c r="X133" s="7">
        <v>0</v>
      </c>
      <c r="Y133" s="7">
        <v>0</v>
      </c>
      <c r="Z133" s="7"/>
      <c r="AA133" s="7"/>
    </row>
    <row r="134" spans="2:27" x14ac:dyDescent="0.35">
      <c r="B134" t="s">
        <v>258</v>
      </c>
      <c r="C134" s="7">
        <v>0</v>
      </c>
      <c r="D134" s="7">
        <v>0</v>
      </c>
      <c r="E134" s="39"/>
      <c r="F134" s="7" t="s">
        <v>279</v>
      </c>
      <c r="G134" s="7" t="s">
        <v>279</v>
      </c>
      <c r="H134" s="7" t="s">
        <v>279</v>
      </c>
      <c r="I134" s="39" t="s">
        <v>279</v>
      </c>
      <c r="J134" s="7" t="s">
        <v>279</v>
      </c>
      <c r="K134" s="7" t="s">
        <v>279</v>
      </c>
      <c r="L134" s="7">
        <f t="shared" si="97"/>
        <v>0</v>
      </c>
      <c r="M134" s="39"/>
      <c r="N134" s="7"/>
      <c r="O134" s="7"/>
      <c r="P134" s="7"/>
      <c r="Q134" s="7"/>
      <c r="R134" s="7"/>
      <c r="S134" s="7"/>
      <c r="T134" s="7"/>
      <c r="U134" s="7"/>
      <c r="V134" s="7"/>
      <c r="W134" s="7">
        <v>73364</v>
      </c>
      <c r="X134" s="7">
        <v>0</v>
      </c>
      <c r="Y134" s="7">
        <v>0</v>
      </c>
      <c r="Z134" s="7"/>
      <c r="AA134" s="7"/>
    </row>
    <row r="135" spans="2:27" x14ac:dyDescent="0.35">
      <c r="B135" t="s">
        <v>272</v>
      </c>
      <c r="C135" s="7">
        <v>0</v>
      </c>
      <c r="D135" s="7">
        <v>0</v>
      </c>
      <c r="E135" s="39"/>
      <c r="F135" s="7">
        <v>0</v>
      </c>
      <c r="G135" s="7" t="s">
        <v>279</v>
      </c>
      <c r="H135" s="7" t="s">
        <v>279</v>
      </c>
      <c r="I135" s="39" t="s">
        <v>279</v>
      </c>
      <c r="J135" s="7" t="s">
        <v>279</v>
      </c>
      <c r="K135" s="7" t="s">
        <v>279</v>
      </c>
      <c r="L135" s="7">
        <f t="shared" si="97"/>
        <v>0</v>
      </c>
      <c r="M135" s="39"/>
      <c r="N135" s="7"/>
      <c r="O135" s="7"/>
      <c r="P135" s="7"/>
      <c r="Q135" s="7"/>
      <c r="R135" s="7"/>
      <c r="S135" s="7"/>
      <c r="T135" s="7"/>
      <c r="U135" s="7"/>
      <c r="V135" s="7"/>
      <c r="W135" s="7">
        <f>137622+20500</f>
        <v>158122</v>
      </c>
      <c r="X135" s="7">
        <v>0</v>
      </c>
      <c r="Y135" s="7">
        <v>0</v>
      </c>
      <c r="Z135" s="7"/>
      <c r="AA135" s="7"/>
    </row>
    <row r="136" spans="2:27" x14ac:dyDescent="0.35">
      <c r="B136" t="s">
        <v>142</v>
      </c>
      <c r="C136" s="7">
        <v>0</v>
      </c>
      <c r="D136" s="7">
        <v>0</v>
      </c>
      <c r="E136" s="39"/>
      <c r="F136" s="7">
        <v>0</v>
      </c>
      <c r="G136" s="7">
        <v>45</v>
      </c>
      <c r="H136" s="7">
        <v>45</v>
      </c>
      <c r="I136" s="39">
        <v>46</v>
      </c>
      <c r="J136" s="7">
        <v>47</v>
      </c>
      <c r="K136" s="7">
        <v>45</v>
      </c>
      <c r="L136" s="7">
        <f t="shared" si="97"/>
        <v>48</v>
      </c>
      <c r="M136" s="39"/>
      <c r="N136" s="7"/>
      <c r="O136" s="7"/>
      <c r="P136" s="7"/>
      <c r="Q136" s="7"/>
      <c r="R136" s="7"/>
      <c r="S136" s="7"/>
      <c r="T136" s="7"/>
      <c r="U136" s="7"/>
      <c r="V136" s="7"/>
      <c r="W136" s="7">
        <v>8</v>
      </c>
      <c r="X136" s="7">
        <v>45</v>
      </c>
      <c r="Y136" s="7">
        <v>48</v>
      </c>
      <c r="Z136" s="7"/>
      <c r="AA136" s="7"/>
    </row>
    <row r="137" spans="2:27" x14ac:dyDescent="0.35">
      <c r="B137" t="s">
        <v>259</v>
      </c>
      <c r="C137" s="7">
        <v>5019704</v>
      </c>
      <c r="D137" s="7">
        <v>17340758</v>
      </c>
      <c r="E137" s="39"/>
      <c r="F137" s="7">
        <v>0</v>
      </c>
      <c r="G137" s="7">
        <v>981159</v>
      </c>
      <c r="H137" s="7">
        <v>1002106</v>
      </c>
      <c r="I137" s="39">
        <v>1062085</v>
      </c>
      <c r="J137" s="7">
        <v>1081390</v>
      </c>
      <c r="K137" s="7">
        <v>1098892</v>
      </c>
      <c r="L137" s="7">
        <f t="shared" si="97"/>
        <v>1112977</v>
      </c>
      <c r="M137" s="39"/>
      <c r="N137" s="7"/>
      <c r="O137" s="7"/>
      <c r="P137" s="7"/>
      <c r="Q137" s="7"/>
      <c r="R137" s="7"/>
      <c r="S137" s="7"/>
      <c r="T137" s="7"/>
      <c r="U137" s="7"/>
      <c r="V137" s="7"/>
      <c r="W137" s="7">
        <v>19920</v>
      </c>
      <c r="X137" s="7">
        <v>1002106</v>
      </c>
      <c r="Y137" s="7">
        <v>1112977</v>
      </c>
      <c r="Z137" s="7"/>
      <c r="AA137" s="7"/>
    </row>
    <row r="138" spans="2:27" x14ac:dyDescent="0.35">
      <c r="B138" t="s">
        <v>260</v>
      </c>
      <c r="C138" s="7">
        <v>-20698</v>
      </c>
      <c r="D138" s="7">
        <v>-12341951</v>
      </c>
      <c r="E138" s="39"/>
      <c r="F138" s="7">
        <v>-59362823</v>
      </c>
      <c r="G138" s="7">
        <v>-308207</v>
      </c>
      <c r="H138" s="7">
        <v>-305011</v>
      </c>
      <c r="I138" s="39">
        <v>-331720</v>
      </c>
      <c r="J138" s="7">
        <v>-369137</v>
      </c>
      <c r="K138" s="7">
        <v>-403747</v>
      </c>
      <c r="L138" s="7">
        <f t="shared" si="97"/>
        <v>-440955</v>
      </c>
      <c r="M138" s="39"/>
      <c r="N138" s="7"/>
      <c r="O138" s="7"/>
      <c r="P138" s="7"/>
      <c r="Q138" s="7"/>
      <c r="R138" s="7"/>
      <c r="S138" s="7"/>
      <c r="T138" s="7"/>
      <c r="U138" s="7"/>
      <c r="V138" s="7"/>
      <c r="W138" s="7">
        <v>-187691</v>
      </c>
      <c r="X138" s="7">
        <v>-305011</v>
      </c>
      <c r="Y138" s="7">
        <v>-440955</v>
      </c>
      <c r="Z138" s="7"/>
      <c r="AA138" s="7"/>
    </row>
    <row r="139" spans="2:27" s="4" customFormat="1" x14ac:dyDescent="0.35">
      <c r="B139" s="4" t="s">
        <v>261</v>
      </c>
      <c r="C139" s="8">
        <v>0</v>
      </c>
      <c r="D139" s="8">
        <v>0</v>
      </c>
      <c r="E139" s="40"/>
      <c r="F139" s="8">
        <v>0</v>
      </c>
      <c r="G139" s="8">
        <v>1121</v>
      </c>
      <c r="H139" s="8">
        <v>1308</v>
      </c>
      <c r="I139" s="40">
        <v>2184</v>
      </c>
      <c r="J139" s="8">
        <v>1154</v>
      </c>
      <c r="K139" s="8">
        <v>-4356</v>
      </c>
      <c r="L139" s="7">
        <f t="shared" si="97"/>
        <v>1136</v>
      </c>
      <c r="M139" s="40"/>
      <c r="N139" s="8"/>
      <c r="O139" s="8"/>
      <c r="P139" s="8"/>
      <c r="Q139" s="8"/>
      <c r="R139" s="8"/>
      <c r="S139" s="8"/>
      <c r="T139" s="8"/>
      <c r="U139" s="8"/>
      <c r="V139" s="8"/>
      <c r="W139" s="8">
        <v>1055</v>
      </c>
      <c r="X139" s="8">
        <v>1308</v>
      </c>
      <c r="Y139" s="8">
        <v>1136</v>
      </c>
      <c r="Z139" s="8"/>
      <c r="AA139" s="8"/>
    </row>
    <row r="140" spans="2:27" s="34" customFormat="1" x14ac:dyDescent="0.35">
      <c r="B140" s="34" t="s">
        <v>262</v>
      </c>
      <c r="C140" s="35">
        <f>SUM(C131:C139)</f>
        <v>5000010</v>
      </c>
      <c r="D140" s="35">
        <f>SUM(D131:D139)</f>
        <v>5000004</v>
      </c>
      <c r="E140" s="48">
        <f t="shared" ref="E140:J140" si="98">SUM(E136:E139)</f>
        <v>0</v>
      </c>
      <c r="F140" s="35">
        <f t="shared" si="98"/>
        <v>-59362823</v>
      </c>
      <c r="G140" s="35">
        <f t="shared" si="98"/>
        <v>674118</v>
      </c>
      <c r="H140" s="35">
        <f>SUM(H136:H139)</f>
        <v>698448</v>
      </c>
      <c r="I140" s="48">
        <f t="shared" si="98"/>
        <v>732595</v>
      </c>
      <c r="J140" s="35">
        <f t="shared" si="98"/>
        <v>713454</v>
      </c>
      <c r="K140" s="35">
        <f>SUM(K136:K139)</f>
        <v>690834</v>
      </c>
      <c r="L140" s="35">
        <f>SUM(L136:L139)</f>
        <v>673206</v>
      </c>
      <c r="M140" s="48"/>
      <c r="N140" s="35"/>
      <c r="O140" s="35"/>
      <c r="P140" s="35"/>
      <c r="Q140" s="35"/>
      <c r="R140" s="35"/>
      <c r="S140" s="35"/>
      <c r="T140" s="35"/>
      <c r="U140" s="35"/>
      <c r="V140" s="35"/>
      <c r="W140" s="35">
        <f>SUM(W136:W139)</f>
        <v>-166708</v>
      </c>
      <c r="X140" s="35">
        <f>SUM(X136:X139)</f>
        <v>698448</v>
      </c>
      <c r="Y140" s="35">
        <f>SUM(Y136:Y139)</f>
        <v>673206</v>
      </c>
      <c r="Z140" s="35"/>
      <c r="AA140" s="35"/>
    </row>
    <row r="141" spans="2:27" s="14" customFormat="1" x14ac:dyDescent="0.35">
      <c r="B141" s="14" t="s">
        <v>263</v>
      </c>
      <c r="C141" s="26">
        <f t="shared" ref="C141:J141" si="99">SUM(C128:C139)</f>
        <v>301352520</v>
      </c>
      <c r="D141" s="26">
        <f>D140+D128+D130</f>
        <v>321237396</v>
      </c>
      <c r="E141" s="42">
        <f t="shared" si="99"/>
        <v>59090288</v>
      </c>
      <c r="F141" s="26">
        <f t="shared" si="99"/>
        <v>317956368.01200002</v>
      </c>
      <c r="G141" s="26">
        <f t="shared" si="99"/>
        <v>955377</v>
      </c>
      <c r="H141" s="26">
        <f>SUM(H128:H139)</f>
        <v>980847</v>
      </c>
      <c r="I141" s="42">
        <f t="shared" si="99"/>
        <v>1057484</v>
      </c>
      <c r="J141" s="26">
        <f t="shared" si="99"/>
        <v>1004752</v>
      </c>
      <c r="K141" s="26">
        <f>SUM(K128:K139)</f>
        <v>1001360</v>
      </c>
      <c r="L141" s="26">
        <f>SUM(L128:L139)</f>
        <v>989123</v>
      </c>
      <c r="M141" s="42"/>
      <c r="N141" s="26"/>
      <c r="O141" s="26"/>
      <c r="P141" s="26"/>
      <c r="Q141" s="26"/>
      <c r="R141" s="26"/>
      <c r="S141" s="26"/>
      <c r="T141" s="26"/>
      <c r="U141" s="26"/>
      <c r="V141" s="26"/>
      <c r="W141" s="26">
        <f>SUM(W128:W139)</f>
        <v>187869</v>
      </c>
      <c r="X141" s="26">
        <f>SUM(X128:X139)</f>
        <v>980847</v>
      </c>
      <c r="Y141" s="26">
        <f>SUM(Y128:Y139)</f>
        <v>989123</v>
      </c>
      <c r="Z141" s="26"/>
      <c r="AA141" s="26"/>
    </row>
    <row r="142" spans="2:27" x14ac:dyDescent="0.35">
      <c r="E142" s="39"/>
      <c r="F142" s="7"/>
      <c r="G142" s="7"/>
      <c r="H142" s="7"/>
      <c r="I142" s="39"/>
      <c r="J142" s="7"/>
      <c r="K142" s="7"/>
      <c r="L142" s="7"/>
      <c r="M142" s="39"/>
      <c r="N142" s="7"/>
      <c r="O142" s="7"/>
      <c r="P142" s="7"/>
      <c r="Q142" s="7"/>
      <c r="R142" s="7"/>
      <c r="S142" s="7"/>
      <c r="T142" s="7"/>
      <c r="U142" s="7"/>
      <c r="V142" s="7"/>
      <c r="W142" s="7"/>
      <c r="X142" s="7"/>
      <c r="Y142" s="7"/>
      <c r="Z142" s="7"/>
      <c r="AA142" s="7"/>
    </row>
    <row r="143" spans="2:27" x14ac:dyDescent="0.35">
      <c r="B143" t="s">
        <v>353</v>
      </c>
      <c r="C143" s="27">
        <f t="shared" ref="C143:J143" si="100">C96/C117</f>
        <v>2254.1999999999998</v>
      </c>
      <c r="D143" s="27">
        <f t="shared" si="100"/>
        <v>5.6696336162285244</v>
      </c>
      <c r="E143" s="53">
        <f t="shared" si="100"/>
        <v>0.45937633272965478</v>
      </c>
      <c r="F143" s="27">
        <f t="shared" si="100"/>
        <v>137.85328274502388</v>
      </c>
      <c r="G143" s="27">
        <f t="shared" si="100"/>
        <v>11.141144584592933</v>
      </c>
      <c r="H143" s="27">
        <f t="shared" si="100"/>
        <v>8.0447319509485293</v>
      </c>
      <c r="I143" s="53">
        <f t="shared" si="100"/>
        <v>4.3036381673049418</v>
      </c>
      <c r="J143" s="27">
        <f t="shared" si="100"/>
        <v>4.9022282982075076</v>
      </c>
      <c r="K143" s="27">
        <f>K96/K117</f>
        <v>4.3352547415396057</v>
      </c>
      <c r="L143" s="27">
        <f>L96/L117</f>
        <v>4.0646495642567819</v>
      </c>
      <c r="M143" s="39"/>
      <c r="N143" s="7"/>
      <c r="O143" s="7"/>
      <c r="P143" s="7"/>
      <c r="Q143" s="7"/>
      <c r="R143" s="7"/>
      <c r="S143" s="7"/>
      <c r="T143" s="7"/>
      <c r="U143" s="7"/>
      <c r="V143" s="7"/>
      <c r="W143" s="27">
        <f>W96/W117</f>
        <v>1.9230880439496891</v>
      </c>
      <c r="X143" s="27">
        <f>X96/X117</f>
        <v>8.0447319509485293</v>
      </c>
      <c r="Y143" s="27">
        <f>Y96/Y117</f>
        <v>4.0646495642567819</v>
      </c>
      <c r="Z143" s="7"/>
      <c r="AA143" s="7"/>
    </row>
    <row r="145" spans="2:25" s="10" customFormat="1" x14ac:dyDescent="0.35">
      <c r="B145" s="6" t="s">
        <v>215</v>
      </c>
      <c r="C145" s="6"/>
      <c r="D145" s="6"/>
      <c r="E145" s="54"/>
      <c r="I145" s="54"/>
      <c r="M145" s="54"/>
    </row>
    <row r="146" spans="2:25" s="7" customFormat="1" x14ac:dyDescent="0.35">
      <c r="B146" s="7" t="s">
        <v>273</v>
      </c>
      <c r="E146" s="39"/>
      <c r="G146" s="7">
        <v>-49877</v>
      </c>
      <c r="H146" s="7">
        <v>-21914</v>
      </c>
      <c r="I146" s="39">
        <v>-26339</v>
      </c>
      <c r="J146" s="7">
        <v>-38256</v>
      </c>
      <c r="K146" s="7">
        <v>-22997</v>
      </c>
      <c r="M146" s="39"/>
      <c r="W146" s="7">
        <v>-27757</v>
      </c>
      <c r="X146" s="7">
        <v>-71791</v>
      </c>
      <c r="Y146" s="7">
        <v>-106538</v>
      </c>
    </row>
    <row r="147" spans="2:25" s="8" customFormat="1" x14ac:dyDescent="0.35">
      <c r="B147" s="8" t="s">
        <v>274</v>
      </c>
      <c r="E147" s="40"/>
      <c r="G147" s="8">
        <v>-11447</v>
      </c>
      <c r="H147" s="8">
        <v>-14252</v>
      </c>
      <c r="I147" s="40">
        <v>-6242</v>
      </c>
      <c r="J147" s="8">
        <v>-12828</v>
      </c>
      <c r="K147" s="8">
        <v>-8349</v>
      </c>
      <c r="M147" s="40"/>
      <c r="W147" s="8">
        <v>-25121</v>
      </c>
      <c r="X147" s="8">
        <v>-25699</v>
      </c>
      <c r="Y147" s="8">
        <v>-42412</v>
      </c>
    </row>
    <row r="148" spans="2:25" s="7" customFormat="1" x14ac:dyDescent="0.35">
      <c r="B148" s="7" t="s">
        <v>275</v>
      </c>
      <c r="C148" s="7">
        <f t="shared" ref="C148:J148" si="101">C146+C147</f>
        <v>0</v>
      </c>
      <c r="D148" s="7">
        <f t="shared" si="101"/>
        <v>0</v>
      </c>
      <c r="E148" s="39">
        <f t="shared" si="101"/>
        <v>0</v>
      </c>
      <c r="F148" s="7">
        <f t="shared" si="101"/>
        <v>0</v>
      </c>
      <c r="G148" s="7">
        <f t="shared" si="101"/>
        <v>-61324</v>
      </c>
      <c r="H148" s="7">
        <f t="shared" si="101"/>
        <v>-36166</v>
      </c>
      <c r="I148" s="39">
        <f t="shared" si="101"/>
        <v>-32581</v>
      </c>
      <c r="J148" s="7">
        <f t="shared" si="101"/>
        <v>-51084</v>
      </c>
      <c r="K148" s="7">
        <f>K146+K147</f>
        <v>-31346</v>
      </c>
      <c r="M148" s="39"/>
      <c r="W148" s="7">
        <f>W146+W147</f>
        <v>-52878</v>
      </c>
      <c r="X148" s="7">
        <f>X146+X147</f>
        <v>-97490</v>
      </c>
      <c r="Y148" s="7">
        <f>Y146+Y147</f>
        <v>-148950</v>
      </c>
    </row>
    <row r="150" spans="2:25" s="6" customFormat="1" x14ac:dyDescent="0.35">
      <c r="B150" s="6" t="s">
        <v>371</v>
      </c>
      <c r="E150" s="57"/>
      <c r="I150" s="57"/>
      <c r="M150" s="57"/>
    </row>
    <row r="151" spans="2:25" x14ac:dyDescent="0.35">
      <c r="B151" s="7" t="s">
        <v>374</v>
      </c>
    </row>
    <row r="154" spans="2:25" x14ac:dyDescent="0.35">
      <c r="M154" s="58"/>
      <c r="N154" s="59"/>
      <c r="O154" s="7"/>
      <c r="P154" s="7"/>
      <c r="R154" s="7"/>
      <c r="S154" s="7"/>
    </row>
    <row r="155" spans="2:25" s="11" customFormat="1" x14ac:dyDescent="0.35">
      <c r="B155" s="11" t="s">
        <v>372</v>
      </c>
      <c r="C155" s="11" t="e">
        <f>C90/C67</f>
        <v>#DIV/0!</v>
      </c>
      <c r="D155" s="11">
        <f t="shared" ref="D155:J155" si="102">D90/D67</f>
        <v>11.481857534549411</v>
      </c>
      <c r="E155" s="11">
        <f t="shared" si="102"/>
        <v>5.3973637530474532</v>
      </c>
      <c r="F155" s="11">
        <f t="shared" si="102"/>
        <v>0.567950576572544</v>
      </c>
      <c r="G155" s="11">
        <f t="shared" si="102"/>
        <v>3.4725178225446141</v>
      </c>
      <c r="H155" s="11">
        <f t="shared" si="102"/>
        <v>-3.9223639659071736</v>
      </c>
      <c r="I155" s="11">
        <f t="shared" si="102"/>
        <v>1.3212491253578942</v>
      </c>
      <c r="J155" s="11">
        <f t="shared" si="102"/>
        <v>1.1673934599799942</v>
      </c>
      <c r="K155" s="11">
        <f>K90/K67</f>
        <v>0.70945325046780405</v>
      </c>
      <c r="M155" s="58"/>
      <c r="N155" s="60"/>
      <c r="O155" s="7"/>
      <c r="P155" s="7"/>
      <c r="R155" s="7"/>
      <c r="S155" s="7"/>
      <c r="W155" s="11">
        <f>W90/W67</f>
        <v>0.70002092955438711</v>
      </c>
      <c r="X155" s="11">
        <f t="shared" ref="X155:Y155" si="103">X90/X67</f>
        <v>3.291926915838872</v>
      </c>
      <c r="Y155" s="11">
        <f t="shared" si="103"/>
        <v>0.52017946819046734</v>
      </c>
    </row>
    <row r="156" spans="2:25" s="11" customFormat="1" x14ac:dyDescent="0.35">
      <c r="B156" s="11" t="s">
        <v>373</v>
      </c>
      <c r="C156" s="11" t="e">
        <f>(C114+C121)/C67</f>
        <v>#DIV/0!</v>
      </c>
      <c r="D156" s="11">
        <f t="shared" ref="D156:J156" si="104">(D114+D121)/D67</f>
        <v>0</v>
      </c>
      <c r="E156" s="11">
        <f t="shared" si="104"/>
        <v>0</v>
      </c>
      <c r="F156" s="11">
        <f t="shared" si="104"/>
        <v>0</v>
      </c>
      <c r="G156" s="11">
        <f t="shared" si="104"/>
        <v>0.3376665010547949</v>
      </c>
      <c r="H156" s="11">
        <f t="shared" si="104"/>
        <v>-0.49983873075260982</v>
      </c>
      <c r="I156" s="11">
        <f t="shared" si="104"/>
        <v>0.28350566457544685</v>
      </c>
      <c r="J156" s="11">
        <f t="shared" si="104"/>
        <v>0.26043428256370604</v>
      </c>
      <c r="K156" s="11">
        <f>(K114+K121)/K67</f>
        <v>0.30703827270162432</v>
      </c>
      <c r="M156" s="58"/>
      <c r="N156" s="60"/>
      <c r="O156" s="7"/>
      <c r="P156" s="7"/>
      <c r="R156" s="7"/>
      <c r="W156" s="11">
        <f>(W114+W121)/W67</f>
        <v>0.70849405756592776</v>
      </c>
      <c r="X156" s="11">
        <f t="shared" ref="X156:Y156" si="105">(X114+X121)/X67</f>
        <v>0.41950022630362799</v>
      </c>
      <c r="Y156" s="11">
        <f t="shared" si="105"/>
        <v>0.30588950769495721</v>
      </c>
    </row>
    <row r="157" spans="2:25" x14ac:dyDescent="0.35">
      <c r="N157" s="60"/>
      <c r="O157" s="7"/>
      <c r="P157" s="7"/>
    </row>
    <row r="158" spans="2:25" x14ac:dyDescent="0.35">
      <c r="N158" s="60"/>
      <c r="O158" s="7"/>
      <c r="P158" s="7"/>
    </row>
    <row r="159" spans="2:25" x14ac:dyDescent="0.35">
      <c r="N159" s="60"/>
    </row>
    <row r="160" spans="2:25" x14ac:dyDescent="0.35">
      <c r="R160" s="39"/>
    </row>
    <row r="161" spans="5:19" x14ac:dyDescent="0.35">
      <c r="R161" s="39"/>
    </row>
    <row r="162" spans="5:19" x14ac:dyDescent="0.35">
      <c r="S162" s="7">
        <f t="shared" ref="S162:S167" si="106">R162-R161</f>
        <v>0</v>
      </c>
    </row>
    <row r="163" spans="5:19" s="7" customFormat="1" x14ac:dyDescent="0.35">
      <c r="E163" s="39"/>
      <c r="I163" s="39"/>
      <c r="M163" s="39"/>
      <c r="S163" s="7">
        <f t="shared" si="106"/>
        <v>0</v>
      </c>
    </row>
    <row r="164" spans="5:19" s="7" customFormat="1" x14ac:dyDescent="0.35">
      <c r="E164" s="39"/>
      <c r="I164" s="39"/>
      <c r="M164" s="39"/>
      <c r="S164" s="7">
        <f t="shared" si="106"/>
        <v>0</v>
      </c>
    </row>
    <row r="165" spans="5:19" s="7" customFormat="1" x14ac:dyDescent="0.35">
      <c r="E165" s="39"/>
      <c r="I165" s="39"/>
      <c r="M165" s="39"/>
      <c r="S165" s="7">
        <f t="shared" si="106"/>
        <v>0</v>
      </c>
    </row>
    <row r="166" spans="5:19" s="7" customFormat="1" x14ac:dyDescent="0.35">
      <c r="E166" s="39"/>
      <c r="I166" s="39"/>
      <c r="M166" s="39"/>
      <c r="S166" s="7">
        <f t="shared" si="106"/>
        <v>0</v>
      </c>
    </row>
    <row r="167" spans="5:19" s="7" customFormat="1" x14ac:dyDescent="0.35">
      <c r="E167" s="39"/>
      <c r="I167" s="39"/>
      <c r="M167" s="39"/>
      <c r="S167" s="7">
        <f t="shared" si="106"/>
        <v>0</v>
      </c>
    </row>
    <row r="168" spans="5:19" s="7" customFormat="1" x14ac:dyDescent="0.35">
      <c r="E168" s="39"/>
      <c r="I168" s="39"/>
      <c r="M168" s="39"/>
    </row>
  </sheetData>
  <pageMargins left="0.7" right="0.7" top="0.75" bottom="0.75" header="0.3" footer="0.3"/>
  <pageSetup orientation="portrait" r:id="rId1"/>
  <ignoredErrors>
    <ignoredError sqref="H60:H65" formula="1"/>
    <ignoredError sqref="W34:Y35" formulaRange="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FB4E4-DCFC-493A-A757-067ACB0ACC13}">
  <dimension ref="A1:P140"/>
  <sheetViews>
    <sheetView tabSelected="1" zoomScale="85" zoomScaleNormal="85" workbookViewId="0">
      <pane xSplit="2" ySplit="3" topLeftCell="C58" activePane="bottomRight" state="frozen"/>
      <selection pane="topRight" activeCell="C1" sqref="C1"/>
      <selection pane="bottomLeft" activeCell="A4" sqref="A4"/>
      <selection pane="bottomRight" activeCell="C83" sqref="C83"/>
    </sheetView>
  </sheetViews>
  <sheetFormatPr defaultRowHeight="14.5" x14ac:dyDescent="0.35"/>
  <cols>
    <col min="2" max="2" width="18.453125" customWidth="1"/>
    <col min="3" max="3" width="10.453125" style="66" bestFit="1" customWidth="1"/>
    <col min="5" max="5" width="10.26953125" customWidth="1"/>
  </cols>
  <sheetData>
    <row r="1" spans="1:16" x14ac:dyDescent="0.35">
      <c r="A1" s="65" t="s">
        <v>427</v>
      </c>
    </row>
    <row r="2" spans="1:16" x14ac:dyDescent="0.35">
      <c r="E2" s="5">
        <v>43450</v>
      </c>
      <c r="F2" s="70">
        <v>0.27291666666666664</v>
      </c>
      <c r="G2" t="s">
        <v>342</v>
      </c>
      <c r="H2" s="5" t="s">
        <v>419</v>
      </c>
      <c r="I2" t="s">
        <v>422</v>
      </c>
      <c r="J2">
        <v>78</v>
      </c>
      <c r="K2" t="s">
        <v>408</v>
      </c>
      <c r="L2" t="s">
        <v>414</v>
      </c>
      <c r="M2" t="b">
        <v>0</v>
      </c>
      <c r="N2">
        <v>1</v>
      </c>
      <c r="O2" t="s">
        <v>423</v>
      </c>
      <c r="P2" t="s">
        <v>425</v>
      </c>
    </row>
    <row r="4" spans="1:16" s="6" customFormat="1" x14ac:dyDescent="0.35">
      <c r="B4" s="6" t="s">
        <v>426</v>
      </c>
      <c r="C4" s="67"/>
    </row>
    <row r="5" spans="1:16" s="30" customFormat="1" x14ac:dyDescent="0.35">
      <c r="B5" s="30" t="s">
        <v>432</v>
      </c>
      <c r="C5" s="68"/>
    </row>
    <row r="6" spans="1:16" x14ac:dyDescent="0.35">
      <c r="B6" t="s">
        <v>398</v>
      </c>
      <c r="C6" s="69">
        <v>42882</v>
      </c>
    </row>
    <row r="7" spans="1:16" x14ac:dyDescent="0.35">
      <c r="B7" t="s">
        <v>397</v>
      </c>
      <c r="C7" s="70">
        <v>0.18055555555555555</v>
      </c>
    </row>
    <row r="8" spans="1:16" x14ac:dyDescent="0.35">
      <c r="B8" t="s">
        <v>399</v>
      </c>
      <c r="C8" s="66" t="s">
        <v>342</v>
      </c>
    </row>
    <row r="9" spans="1:16" x14ac:dyDescent="0.35">
      <c r="B9" t="s">
        <v>385</v>
      </c>
      <c r="C9" s="66" t="s">
        <v>419</v>
      </c>
    </row>
    <row r="10" spans="1:16" x14ac:dyDescent="0.35">
      <c r="B10" t="s">
        <v>400</v>
      </c>
      <c r="C10" s="66" t="s">
        <v>407</v>
      </c>
    </row>
    <row r="11" spans="1:16" x14ac:dyDescent="0.35">
      <c r="B11" t="s">
        <v>440</v>
      </c>
      <c r="C11" s="66">
        <v>0</v>
      </c>
    </row>
    <row r="12" spans="1:16" x14ac:dyDescent="0.35">
      <c r="B12" t="s">
        <v>402</v>
      </c>
      <c r="C12" s="66" t="s">
        <v>428</v>
      </c>
    </row>
    <row r="13" spans="1:16" x14ac:dyDescent="0.35">
      <c r="B13" t="s">
        <v>404</v>
      </c>
      <c r="C13" s="66" t="s">
        <v>413</v>
      </c>
    </row>
    <row r="14" spans="1:16" x14ac:dyDescent="0.35">
      <c r="B14" t="s">
        <v>405</v>
      </c>
      <c r="C14" s="66" t="b">
        <v>0</v>
      </c>
    </row>
    <row r="15" spans="1:16" x14ac:dyDescent="0.35">
      <c r="B15" t="s">
        <v>403</v>
      </c>
      <c r="C15" s="66" t="s">
        <v>429</v>
      </c>
    </row>
    <row r="16" spans="1:16" x14ac:dyDescent="0.35">
      <c r="B16" t="s">
        <v>424</v>
      </c>
      <c r="C16" s="66" t="s">
        <v>430</v>
      </c>
    </row>
    <row r="17" spans="2:3" s="30" customFormat="1" x14ac:dyDescent="0.35">
      <c r="B17" s="30" t="s">
        <v>416</v>
      </c>
      <c r="C17" s="68"/>
    </row>
    <row r="18" spans="2:3" x14ac:dyDescent="0.35">
      <c r="B18" t="s">
        <v>398</v>
      </c>
      <c r="C18" s="69">
        <v>43121</v>
      </c>
    </row>
    <row r="19" spans="2:3" x14ac:dyDescent="0.35">
      <c r="B19" t="s">
        <v>397</v>
      </c>
      <c r="C19" s="70">
        <v>7.1527777777777787E-2</v>
      </c>
    </row>
    <row r="20" spans="2:3" x14ac:dyDescent="0.35">
      <c r="B20" t="s">
        <v>399</v>
      </c>
      <c r="C20" s="66" t="s">
        <v>342</v>
      </c>
    </row>
    <row r="21" spans="2:3" x14ac:dyDescent="0.35">
      <c r="B21" t="s">
        <v>385</v>
      </c>
      <c r="C21" s="66" t="s">
        <v>419</v>
      </c>
    </row>
    <row r="22" spans="2:3" x14ac:dyDescent="0.35">
      <c r="B22" t="s">
        <v>400</v>
      </c>
      <c r="C22" s="66" t="s">
        <v>420</v>
      </c>
    </row>
    <row r="23" spans="2:3" x14ac:dyDescent="0.35">
      <c r="B23" t="s">
        <v>440</v>
      </c>
      <c r="C23" s="66">
        <v>13</v>
      </c>
    </row>
    <row r="24" spans="2:3" x14ac:dyDescent="0.35">
      <c r="B24" t="s">
        <v>402</v>
      </c>
      <c r="C24" s="66" t="s">
        <v>431</v>
      </c>
    </row>
    <row r="25" spans="2:3" x14ac:dyDescent="0.35">
      <c r="B25" t="s">
        <v>404</v>
      </c>
      <c r="C25" s="66" t="s">
        <v>414</v>
      </c>
    </row>
    <row r="26" spans="2:3" x14ac:dyDescent="0.35">
      <c r="B26" t="s">
        <v>405</v>
      </c>
      <c r="C26" s="66" t="b">
        <v>0</v>
      </c>
    </row>
    <row r="27" spans="2:3" x14ac:dyDescent="0.35">
      <c r="B27" t="s">
        <v>403</v>
      </c>
      <c r="C27" s="66" t="s">
        <v>411</v>
      </c>
    </row>
    <row r="28" spans="2:3" x14ac:dyDescent="0.35">
      <c r="B28" t="s">
        <v>424</v>
      </c>
    </row>
    <row r="29" spans="2:3" s="30" customFormat="1" x14ac:dyDescent="0.35">
      <c r="B29" s="30" t="s">
        <v>417</v>
      </c>
      <c r="C29" s="68"/>
    </row>
    <row r="30" spans="2:3" x14ac:dyDescent="0.35">
      <c r="B30" t="s">
        <v>398</v>
      </c>
      <c r="C30" s="69">
        <v>43415</v>
      </c>
    </row>
    <row r="31" spans="2:3" x14ac:dyDescent="0.35">
      <c r="B31" t="s">
        <v>397</v>
      </c>
      <c r="C31" s="70">
        <v>0.15972222222222224</v>
      </c>
    </row>
    <row r="32" spans="2:3" x14ac:dyDescent="0.35">
      <c r="B32" t="s">
        <v>399</v>
      </c>
      <c r="C32" s="66" t="s">
        <v>342</v>
      </c>
    </row>
    <row r="33" spans="2:3" x14ac:dyDescent="0.35">
      <c r="B33" t="s">
        <v>385</v>
      </c>
      <c r="C33" s="66" t="s">
        <v>419</v>
      </c>
    </row>
    <row r="34" spans="2:3" x14ac:dyDescent="0.35">
      <c r="B34" t="s">
        <v>400</v>
      </c>
      <c r="C34" s="66" t="s">
        <v>421</v>
      </c>
    </row>
    <row r="35" spans="2:3" x14ac:dyDescent="0.35">
      <c r="B35" t="s">
        <v>440</v>
      </c>
      <c r="C35" s="66">
        <v>45</v>
      </c>
    </row>
    <row r="36" spans="2:3" x14ac:dyDescent="0.35">
      <c r="B36" t="s">
        <v>402</v>
      </c>
      <c r="C36" s="66" t="s">
        <v>408</v>
      </c>
    </row>
    <row r="37" spans="2:3" x14ac:dyDescent="0.35">
      <c r="B37" t="s">
        <v>404</v>
      </c>
      <c r="C37" s="66" t="s">
        <v>414</v>
      </c>
    </row>
    <row r="38" spans="2:3" x14ac:dyDescent="0.35">
      <c r="B38" t="s">
        <v>405</v>
      </c>
      <c r="C38" s="66" t="b">
        <v>0</v>
      </c>
    </row>
    <row r="39" spans="2:3" x14ac:dyDescent="0.35">
      <c r="B39" t="s">
        <v>403</v>
      </c>
      <c r="C39" s="66" t="s">
        <v>412</v>
      </c>
    </row>
    <row r="40" spans="2:3" x14ac:dyDescent="0.35">
      <c r="B40" t="s">
        <v>424</v>
      </c>
      <c r="C40" s="66" t="s">
        <v>407</v>
      </c>
    </row>
    <row r="41" spans="2:3" s="30" customFormat="1" x14ac:dyDescent="0.35">
      <c r="B41" s="30" t="s">
        <v>418</v>
      </c>
      <c r="C41" s="68"/>
    </row>
    <row r="42" spans="2:3" x14ac:dyDescent="0.35">
      <c r="B42" t="s">
        <v>398</v>
      </c>
      <c r="C42" s="69">
        <v>43450</v>
      </c>
    </row>
    <row r="43" spans="2:3" x14ac:dyDescent="0.35">
      <c r="B43" t="s">
        <v>397</v>
      </c>
      <c r="C43" s="70">
        <v>0.27291666666666664</v>
      </c>
    </row>
    <row r="44" spans="2:3" x14ac:dyDescent="0.35">
      <c r="B44" t="s">
        <v>399</v>
      </c>
      <c r="C44" s="66" t="s">
        <v>342</v>
      </c>
    </row>
    <row r="45" spans="2:3" x14ac:dyDescent="0.35">
      <c r="B45" t="s">
        <v>385</v>
      </c>
      <c r="C45" s="66" t="s">
        <v>419</v>
      </c>
    </row>
    <row r="46" spans="2:3" x14ac:dyDescent="0.35">
      <c r="B46" t="s">
        <v>400</v>
      </c>
      <c r="C46" s="66" t="s">
        <v>422</v>
      </c>
    </row>
    <row r="47" spans="2:3" x14ac:dyDescent="0.35">
      <c r="B47" t="s">
        <v>440</v>
      </c>
      <c r="C47" s="66">
        <v>78</v>
      </c>
    </row>
    <row r="48" spans="2:3" x14ac:dyDescent="0.35">
      <c r="B48" t="s">
        <v>402</v>
      </c>
      <c r="C48" s="66" t="s">
        <v>408</v>
      </c>
    </row>
    <row r="49" spans="2:3" x14ac:dyDescent="0.35">
      <c r="B49" t="s">
        <v>404</v>
      </c>
      <c r="C49" s="66" t="s">
        <v>414</v>
      </c>
    </row>
    <row r="50" spans="2:3" x14ac:dyDescent="0.35">
      <c r="B50" t="s">
        <v>405</v>
      </c>
      <c r="C50" s="66" t="b">
        <v>0</v>
      </c>
    </row>
    <row r="51" spans="2:3" x14ac:dyDescent="0.35">
      <c r="B51" t="s">
        <v>403</v>
      </c>
      <c r="C51" s="66" t="s">
        <v>423</v>
      </c>
    </row>
    <row r="52" spans="2:3" x14ac:dyDescent="0.35">
      <c r="B52" t="s">
        <v>424</v>
      </c>
      <c r="C52" s="66" t="s">
        <v>425</v>
      </c>
    </row>
    <row r="53" spans="2:3" s="30" customFormat="1" x14ac:dyDescent="0.35">
      <c r="B53" s="30" t="s">
        <v>433</v>
      </c>
      <c r="C53" s="68"/>
    </row>
    <row r="54" spans="2:3" x14ac:dyDescent="0.35">
      <c r="B54" t="s">
        <v>398</v>
      </c>
      <c r="C54" s="69">
        <v>43552</v>
      </c>
    </row>
    <row r="55" spans="2:3" x14ac:dyDescent="0.35">
      <c r="B55" t="s">
        <v>397</v>
      </c>
      <c r="C55" s="70">
        <v>0.9770833333333333</v>
      </c>
    </row>
    <row r="56" spans="2:3" x14ac:dyDescent="0.35">
      <c r="B56" t="s">
        <v>399</v>
      </c>
      <c r="C56" s="66" t="s">
        <v>342</v>
      </c>
    </row>
    <row r="57" spans="2:3" x14ac:dyDescent="0.35">
      <c r="B57" t="s">
        <v>385</v>
      </c>
      <c r="C57" s="66" t="s">
        <v>419</v>
      </c>
    </row>
    <row r="58" spans="2:3" x14ac:dyDescent="0.35">
      <c r="B58" t="s">
        <v>400</v>
      </c>
      <c r="C58" s="66" t="s">
        <v>436</v>
      </c>
    </row>
    <row r="59" spans="2:3" x14ac:dyDescent="0.35">
      <c r="B59" t="s">
        <v>440</v>
      </c>
      <c r="C59" s="66">
        <v>150</v>
      </c>
    </row>
    <row r="60" spans="2:3" x14ac:dyDescent="0.35">
      <c r="B60" t="s">
        <v>402</v>
      </c>
      <c r="C60" s="66" t="s">
        <v>438</v>
      </c>
    </row>
    <row r="61" spans="2:3" x14ac:dyDescent="0.35">
      <c r="B61" t="s">
        <v>404</v>
      </c>
      <c r="C61" s="66" t="s">
        <v>414</v>
      </c>
    </row>
    <row r="62" spans="2:3" x14ac:dyDescent="0.35">
      <c r="B62" t="s">
        <v>405</v>
      </c>
      <c r="C62" s="66" t="b">
        <v>0</v>
      </c>
    </row>
    <row r="63" spans="2:3" x14ac:dyDescent="0.35">
      <c r="B63" t="s">
        <v>403</v>
      </c>
      <c r="C63" s="66" t="s">
        <v>434</v>
      </c>
    </row>
    <row r="64" spans="2:3" x14ac:dyDescent="0.35">
      <c r="B64" t="s">
        <v>424</v>
      </c>
      <c r="C64" s="66" t="s">
        <v>407</v>
      </c>
    </row>
    <row r="65" spans="2:3" s="30" customFormat="1" x14ac:dyDescent="0.35">
      <c r="B65" s="30" t="s">
        <v>435</v>
      </c>
      <c r="C65" s="68"/>
    </row>
    <row r="66" spans="2:3" x14ac:dyDescent="0.35">
      <c r="B66" t="s">
        <v>398</v>
      </c>
      <c r="C66" s="69">
        <v>43590</v>
      </c>
    </row>
    <row r="67" spans="2:3" x14ac:dyDescent="0.35">
      <c r="B67" t="s">
        <v>397</v>
      </c>
      <c r="C67" s="70">
        <v>0.25</v>
      </c>
    </row>
    <row r="68" spans="2:3" x14ac:dyDescent="0.35">
      <c r="B68" t="s">
        <v>399</v>
      </c>
      <c r="C68" s="66" t="s">
        <v>342</v>
      </c>
    </row>
    <row r="69" spans="2:3" x14ac:dyDescent="0.35">
      <c r="B69" t="s">
        <v>385</v>
      </c>
      <c r="C69" s="66" t="s">
        <v>419</v>
      </c>
    </row>
    <row r="70" spans="2:3" x14ac:dyDescent="0.35">
      <c r="B70" t="s">
        <v>400</v>
      </c>
      <c r="C70" s="66" t="s">
        <v>437</v>
      </c>
    </row>
    <row r="71" spans="2:3" x14ac:dyDescent="0.35">
      <c r="B71" t="s">
        <v>440</v>
      </c>
      <c r="C71" s="66">
        <v>180</v>
      </c>
    </row>
    <row r="72" spans="2:3" x14ac:dyDescent="0.35">
      <c r="B72" t="s">
        <v>402</v>
      </c>
      <c r="C72" s="66" t="s">
        <v>439</v>
      </c>
    </row>
    <row r="73" spans="2:3" x14ac:dyDescent="0.35">
      <c r="B73" t="s">
        <v>404</v>
      </c>
      <c r="C73" s="66" t="s">
        <v>414</v>
      </c>
    </row>
    <row r="74" spans="2:3" x14ac:dyDescent="0.35">
      <c r="B74" t="s">
        <v>405</v>
      </c>
      <c r="C74" s="66" t="b">
        <v>0</v>
      </c>
    </row>
    <row r="75" spans="2:3" x14ac:dyDescent="0.35">
      <c r="B75" t="s">
        <v>403</v>
      </c>
      <c r="C75" s="66" t="s">
        <v>441</v>
      </c>
    </row>
    <row r="76" spans="2:3" x14ac:dyDescent="0.35">
      <c r="B76" t="s">
        <v>424</v>
      </c>
      <c r="C76" s="66" t="s">
        <v>407</v>
      </c>
    </row>
    <row r="77" spans="2:3" s="30" customFormat="1" x14ac:dyDescent="0.35">
      <c r="B77" s="30" t="s">
        <v>442</v>
      </c>
      <c r="C77" s="68"/>
    </row>
    <row r="78" spans="2:3" x14ac:dyDescent="0.35">
      <c r="B78" t="s">
        <v>398</v>
      </c>
      <c r="C78" s="69">
        <v>43645</v>
      </c>
    </row>
    <row r="79" spans="2:3" x14ac:dyDescent="0.35">
      <c r="B79" t="s">
        <v>397</v>
      </c>
      <c r="C79" s="70">
        <v>0.1875</v>
      </c>
    </row>
    <row r="80" spans="2:3" x14ac:dyDescent="0.35">
      <c r="B80" t="s">
        <v>399</v>
      </c>
      <c r="C80" s="66" t="s">
        <v>342</v>
      </c>
    </row>
    <row r="81" spans="2:3" x14ac:dyDescent="0.35">
      <c r="B81" t="s">
        <v>385</v>
      </c>
      <c r="C81" s="66" t="s">
        <v>419</v>
      </c>
    </row>
    <row r="82" spans="2:3" x14ac:dyDescent="0.35">
      <c r="B82" t="s">
        <v>400</v>
      </c>
      <c r="C82" s="66" t="s">
        <v>445</v>
      </c>
    </row>
    <row r="83" spans="2:3" x14ac:dyDescent="0.35">
      <c r="B83" t="s">
        <v>440</v>
      </c>
      <c r="C83" s="66">
        <v>80</v>
      </c>
    </row>
    <row r="84" spans="2:3" x14ac:dyDescent="0.35">
      <c r="B84" t="s">
        <v>402</v>
      </c>
      <c r="C84" s="66" t="s">
        <v>443</v>
      </c>
    </row>
    <row r="85" spans="2:3" x14ac:dyDescent="0.35">
      <c r="B85" t="s">
        <v>404</v>
      </c>
      <c r="C85" s="66" t="s">
        <v>414</v>
      </c>
    </row>
    <row r="86" spans="2:3" x14ac:dyDescent="0.35">
      <c r="B86" t="s">
        <v>405</v>
      </c>
      <c r="C86" s="66" t="b">
        <v>0</v>
      </c>
    </row>
    <row r="87" spans="2:3" x14ac:dyDescent="0.35">
      <c r="B87" t="s">
        <v>403</v>
      </c>
      <c r="C87" s="66" t="s">
        <v>444</v>
      </c>
    </row>
    <row r="88" spans="2:3" x14ac:dyDescent="0.35">
      <c r="B88" t="s">
        <v>424</v>
      </c>
    </row>
    <row r="89" spans="2:3" s="30" customFormat="1" x14ac:dyDescent="0.35">
      <c r="C89" s="68"/>
    </row>
    <row r="90" spans="2:3" x14ac:dyDescent="0.35">
      <c r="B90" t="s">
        <v>398</v>
      </c>
    </row>
    <row r="91" spans="2:3" x14ac:dyDescent="0.35">
      <c r="B91" t="s">
        <v>397</v>
      </c>
    </row>
    <row r="92" spans="2:3" x14ac:dyDescent="0.35">
      <c r="B92" t="s">
        <v>399</v>
      </c>
    </row>
    <row r="93" spans="2:3" x14ac:dyDescent="0.35">
      <c r="B93" t="s">
        <v>385</v>
      </c>
    </row>
    <row r="94" spans="2:3" x14ac:dyDescent="0.35">
      <c r="B94" t="s">
        <v>400</v>
      </c>
    </row>
    <row r="95" spans="2:3" x14ac:dyDescent="0.35">
      <c r="B95" t="s">
        <v>402</v>
      </c>
    </row>
    <row r="96" spans="2:3" x14ac:dyDescent="0.35">
      <c r="B96" t="s">
        <v>404</v>
      </c>
    </row>
    <row r="97" spans="2:3" x14ac:dyDescent="0.35">
      <c r="B97" t="s">
        <v>405</v>
      </c>
    </row>
    <row r="98" spans="2:3" x14ac:dyDescent="0.35">
      <c r="B98" t="s">
        <v>403</v>
      </c>
    </row>
    <row r="99" spans="2:3" x14ac:dyDescent="0.35">
      <c r="B99" t="s">
        <v>424</v>
      </c>
    </row>
    <row r="100" spans="2:3" s="30" customFormat="1" x14ac:dyDescent="0.35">
      <c r="C100" s="68"/>
    </row>
    <row r="101" spans="2:3" x14ac:dyDescent="0.35">
      <c r="B101" t="s">
        <v>398</v>
      </c>
    </row>
    <row r="102" spans="2:3" x14ac:dyDescent="0.35">
      <c r="B102" t="s">
        <v>397</v>
      </c>
    </row>
    <row r="103" spans="2:3" x14ac:dyDescent="0.35">
      <c r="B103" t="s">
        <v>399</v>
      </c>
    </row>
    <row r="104" spans="2:3" x14ac:dyDescent="0.35">
      <c r="B104" t="s">
        <v>385</v>
      </c>
    </row>
    <row r="105" spans="2:3" x14ac:dyDescent="0.35">
      <c r="B105" t="s">
        <v>400</v>
      </c>
    </row>
    <row r="106" spans="2:3" x14ac:dyDescent="0.35">
      <c r="B106" t="s">
        <v>402</v>
      </c>
    </row>
    <row r="107" spans="2:3" x14ac:dyDescent="0.35">
      <c r="B107" t="s">
        <v>404</v>
      </c>
    </row>
    <row r="108" spans="2:3" x14ac:dyDescent="0.35">
      <c r="B108" t="s">
        <v>405</v>
      </c>
    </row>
    <row r="109" spans="2:3" x14ac:dyDescent="0.35">
      <c r="B109" t="s">
        <v>403</v>
      </c>
    </row>
    <row r="110" spans="2:3" x14ac:dyDescent="0.35">
      <c r="B110" t="s">
        <v>424</v>
      </c>
    </row>
    <row r="111" spans="2:3" s="30" customFormat="1" x14ac:dyDescent="0.35">
      <c r="C111" s="68"/>
    </row>
    <row r="112" spans="2:3" x14ac:dyDescent="0.35">
      <c r="B112" t="s">
        <v>398</v>
      </c>
    </row>
    <row r="113" spans="2:3" x14ac:dyDescent="0.35">
      <c r="B113" t="s">
        <v>397</v>
      </c>
    </row>
    <row r="114" spans="2:3" x14ac:dyDescent="0.35">
      <c r="B114" t="s">
        <v>399</v>
      </c>
    </row>
    <row r="115" spans="2:3" x14ac:dyDescent="0.35">
      <c r="B115" t="s">
        <v>385</v>
      </c>
    </row>
    <row r="116" spans="2:3" x14ac:dyDescent="0.35">
      <c r="B116" t="s">
        <v>400</v>
      </c>
    </row>
    <row r="117" spans="2:3" x14ac:dyDescent="0.35">
      <c r="B117" t="s">
        <v>402</v>
      </c>
    </row>
    <row r="118" spans="2:3" x14ac:dyDescent="0.35">
      <c r="B118" t="s">
        <v>404</v>
      </c>
    </row>
    <row r="119" spans="2:3" x14ac:dyDescent="0.35">
      <c r="B119" t="s">
        <v>405</v>
      </c>
    </row>
    <row r="120" spans="2:3" x14ac:dyDescent="0.35">
      <c r="B120" t="s">
        <v>403</v>
      </c>
    </row>
    <row r="121" spans="2:3" x14ac:dyDescent="0.35">
      <c r="B121" t="s">
        <v>424</v>
      </c>
    </row>
    <row r="122" spans="2:3" s="30" customFormat="1" x14ac:dyDescent="0.35">
      <c r="C122" s="68"/>
    </row>
    <row r="123" spans="2:3" x14ac:dyDescent="0.35">
      <c r="B123" t="s">
        <v>398</v>
      </c>
    </row>
    <row r="124" spans="2:3" x14ac:dyDescent="0.35">
      <c r="B124" t="s">
        <v>397</v>
      </c>
    </row>
    <row r="125" spans="2:3" x14ac:dyDescent="0.35">
      <c r="B125" t="s">
        <v>399</v>
      </c>
    </row>
    <row r="126" spans="2:3" x14ac:dyDescent="0.35">
      <c r="B126" t="s">
        <v>385</v>
      </c>
    </row>
    <row r="127" spans="2:3" x14ac:dyDescent="0.35">
      <c r="B127" t="s">
        <v>400</v>
      </c>
    </row>
    <row r="128" spans="2:3" x14ac:dyDescent="0.35">
      <c r="B128" t="s">
        <v>402</v>
      </c>
    </row>
    <row r="129" spans="1:13" x14ac:dyDescent="0.35">
      <c r="B129" t="s">
        <v>404</v>
      </c>
    </row>
    <row r="130" spans="1:13" x14ac:dyDescent="0.35">
      <c r="B130" t="s">
        <v>405</v>
      </c>
    </row>
    <row r="131" spans="1:13" x14ac:dyDescent="0.35">
      <c r="B131" t="s">
        <v>403</v>
      </c>
    </row>
    <row r="132" spans="1:13" x14ac:dyDescent="0.35">
      <c r="B132" t="s">
        <v>424</v>
      </c>
    </row>
    <row r="136" spans="1:13" x14ac:dyDescent="0.35">
      <c r="A136" t="s">
        <v>406</v>
      </c>
      <c r="B136" s="5">
        <v>42880</v>
      </c>
      <c r="C136" s="70">
        <v>0.18055555555555555</v>
      </c>
      <c r="D136" t="s">
        <v>342</v>
      </c>
      <c r="E136" s="5" t="s">
        <v>419</v>
      </c>
      <c r="F136" t="s">
        <v>407</v>
      </c>
      <c r="G136">
        <v>0</v>
      </c>
      <c r="H136" t="s">
        <v>408</v>
      </c>
      <c r="I136" t="s">
        <v>413</v>
      </c>
      <c r="J136" t="b">
        <v>0</v>
      </c>
      <c r="K136">
        <v>1</v>
      </c>
      <c r="L136" t="s">
        <v>410</v>
      </c>
    </row>
    <row r="137" spans="1:13" x14ac:dyDescent="0.35">
      <c r="A137" t="s">
        <v>416</v>
      </c>
      <c r="B137" s="5">
        <v>43121</v>
      </c>
      <c r="C137" s="70">
        <v>7.1527777777777787E-2</v>
      </c>
      <c r="D137" t="s">
        <v>342</v>
      </c>
      <c r="E137" s="5" t="s">
        <v>419</v>
      </c>
      <c r="F137" t="s">
        <v>420</v>
      </c>
      <c r="G137">
        <v>13</v>
      </c>
      <c r="H137" t="s">
        <v>409</v>
      </c>
      <c r="I137" t="s">
        <v>414</v>
      </c>
      <c r="J137" t="b">
        <v>0</v>
      </c>
      <c r="K137">
        <v>2</v>
      </c>
      <c r="L137" t="s">
        <v>411</v>
      </c>
    </row>
    <row r="138" spans="1:13" x14ac:dyDescent="0.35">
      <c r="A138" t="s">
        <v>417</v>
      </c>
      <c r="B138" s="5">
        <v>43415</v>
      </c>
      <c r="C138" s="70">
        <v>0.15972222222222224</v>
      </c>
      <c r="D138" t="s">
        <v>342</v>
      </c>
      <c r="E138" s="5" t="s">
        <v>419</v>
      </c>
      <c r="F138" t="s">
        <v>421</v>
      </c>
      <c r="G138">
        <v>45</v>
      </c>
      <c r="H138" t="s">
        <v>408</v>
      </c>
      <c r="I138" t="s">
        <v>414</v>
      </c>
      <c r="J138" t="b">
        <v>0</v>
      </c>
      <c r="K138">
        <v>4</v>
      </c>
      <c r="L138" t="s">
        <v>412</v>
      </c>
    </row>
    <row r="139" spans="1:13" x14ac:dyDescent="0.35">
      <c r="A139" t="s">
        <v>418</v>
      </c>
      <c r="B139" s="5">
        <v>43450</v>
      </c>
      <c r="C139" s="70">
        <v>0.27291666666666664</v>
      </c>
      <c r="D139" t="s">
        <v>342</v>
      </c>
      <c r="E139" s="5" t="s">
        <v>419</v>
      </c>
      <c r="F139" t="s">
        <v>422</v>
      </c>
      <c r="G139">
        <v>78</v>
      </c>
      <c r="H139" t="s">
        <v>408</v>
      </c>
      <c r="I139" t="s">
        <v>414</v>
      </c>
      <c r="J139" t="b">
        <v>0</v>
      </c>
      <c r="K139">
        <v>1</v>
      </c>
      <c r="L139" t="s">
        <v>423</v>
      </c>
      <c r="M139" t="s">
        <v>425</v>
      </c>
    </row>
    <row r="140" spans="1:13" x14ac:dyDescent="0.35">
      <c r="D140" t="s">
        <v>342</v>
      </c>
      <c r="E140" s="5"/>
    </row>
  </sheetData>
  <hyperlinks>
    <hyperlink ref="A1" r:id="rId1" display="Launches" xr:uid="{150C44E6-114D-433C-B6DD-97B7D35EAC7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workbookViewId="0">
      <selection activeCell="I37" sqref="I37"/>
    </sheetView>
  </sheetViews>
  <sheetFormatPr defaultRowHeight="14.5" x14ac:dyDescent="0.35"/>
  <cols>
    <col min="1" max="1" width="20.9062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0</v>
      </c>
      <c r="B2" t="s">
        <v>24</v>
      </c>
      <c r="C2" t="s">
        <v>24</v>
      </c>
      <c r="D2" t="s">
        <v>24</v>
      </c>
      <c r="E2" t="s">
        <v>24</v>
      </c>
      <c r="F2" t="s">
        <v>24</v>
      </c>
      <c r="G2" t="s">
        <v>24</v>
      </c>
      <c r="H2" t="s">
        <v>24</v>
      </c>
      <c r="I2" t="s">
        <v>24</v>
      </c>
      <c r="J2" t="s">
        <v>24</v>
      </c>
      <c r="K2" t="s">
        <v>24</v>
      </c>
      <c r="L2" t="s">
        <v>24</v>
      </c>
      <c r="M2" t="s">
        <v>24</v>
      </c>
      <c r="N2" t="s">
        <v>24</v>
      </c>
      <c r="O2" t="s">
        <v>24</v>
      </c>
      <c r="P2" t="s">
        <v>24</v>
      </c>
      <c r="Q2" t="s">
        <v>25</v>
      </c>
      <c r="R2" t="s">
        <v>45</v>
      </c>
    </row>
    <row r="3" spans="1:18" x14ac:dyDescent="0.35">
      <c r="A3" s="1" t="s">
        <v>1</v>
      </c>
      <c r="B3" t="s">
        <v>24</v>
      </c>
      <c r="C3" t="s">
        <v>24</v>
      </c>
      <c r="D3" t="s">
        <v>24</v>
      </c>
      <c r="E3" t="s">
        <v>24</v>
      </c>
      <c r="F3" t="s">
        <v>24</v>
      </c>
      <c r="G3" t="s">
        <v>24</v>
      </c>
      <c r="H3" t="s">
        <v>24</v>
      </c>
      <c r="I3" t="s">
        <v>24</v>
      </c>
      <c r="J3" t="s">
        <v>24</v>
      </c>
      <c r="K3" t="s">
        <v>24</v>
      </c>
      <c r="L3" t="s">
        <v>24</v>
      </c>
      <c r="M3" t="s">
        <v>24</v>
      </c>
      <c r="N3" t="s">
        <v>24</v>
      </c>
      <c r="O3" t="s">
        <v>24</v>
      </c>
      <c r="P3" t="s">
        <v>24</v>
      </c>
      <c r="Q3" t="s">
        <v>26</v>
      </c>
      <c r="R3" t="s">
        <v>46</v>
      </c>
    </row>
    <row r="4" spans="1:18" x14ac:dyDescent="0.35">
      <c r="A4" s="1" t="s">
        <v>2</v>
      </c>
      <c r="B4" t="s">
        <v>24</v>
      </c>
      <c r="C4" t="s">
        <v>24</v>
      </c>
      <c r="D4" t="s">
        <v>24</v>
      </c>
      <c r="E4" t="s">
        <v>24</v>
      </c>
      <c r="F4" t="s">
        <v>24</v>
      </c>
      <c r="G4" t="s">
        <v>24</v>
      </c>
      <c r="H4" t="s">
        <v>24</v>
      </c>
      <c r="I4" t="s">
        <v>24</v>
      </c>
      <c r="J4" t="s">
        <v>24</v>
      </c>
      <c r="K4" t="s">
        <v>24</v>
      </c>
      <c r="L4" t="s">
        <v>24</v>
      </c>
      <c r="M4" t="s">
        <v>24</v>
      </c>
      <c r="N4" t="s">
        <v>24</v>
      </c>
      <c r="O4" t="s">
        <v>24</v>
      </c>
      <c r="P4" t="s">
        <v>24</v>
      </c>
      <c r="Q4" t="s">
        <v>27</v>
      </c>
      <c r="R4" t="s">
        <v>47</v>
      </c>
    </row>
    <row r="5" spans="1:18" x14ac:dyDescent="0.35">
      <c r="A5" s="1" t="s">
        <v>3</v>
      </c>
      <c r="B5" t="s">
        <v>24</v>
      </c>
      <c r="C5" t="s">
        <v>24</v>
      </c>
      <c r="D5" t="s">
        <v>24</v>
      </c>
      <c r="E5" t="s">
        <v>24</v>
      </c>
      <c r="F5" t="s">
        <v>24</v>
      </c>
      <c r="G5" t="s">
        <v>24</v>
      </c>
      <c r="H5" t="s">
        <v>24</v>
      </c>
      <c r="I5" t="s">
        <v>24</v>
      </c>
      <c r="J5" t="s">
        <v>24</v>
      </c>
      <c r="K5" t="s">
        <v>24</v>
      </c>
      <c r="L5" t="s">
        <v>24</v>
      </c>
      <c r="M5" t="s">
        <v>24</v>
      </c>
      <c r="N5" t="s">
        <v>24</v>
      </c>
      <c r="O5" t="s">
        <v>24</v>
      </c>
      <c r="P5" t="s">
        <v>24</v>
      </c>
      <c r="Q5" t="s">
        <v>24</v>
      </c>
      <c r="R5" t="s">
        <v>24</v>
      </c>
    </row>
    <row r="6" spans="1:18" x14ac:dyDescent="0.35">
      <c r="A6" s="1" t="s">
        <v>4</v>
      </c>
      <c r="B6" t="s">
        <v>24</v>
      </c>
      <c r="C6" t="s">
        <v>24</v>
      </c>
      <c r="D6" t="s">
        <v>24</v>
      </c>
      <c r="E6" t="s">
        <v>24</v>
      </c>
      <c r="F6" t="s">
        <v>24</v>
      </c>
      <c r="G6" t="s">
        <v>24</v>
      </c>
      <c r="H6" t="s">
        <v>24</v>
      </c>
      <c r="I6" t="s">
        <v>24</v>
      </c>
      <c r="J6" t="s">
        <v>24</v>
      </c>
      <c r="K6" t="s">
        <v>24</v>
      </c>
      <c r="L6" t="s">
        <v>24</v>
      </c>
      <c r="M6" t="s">
        <v>24</v>
      </c>
      <c r="N6" t="s">
        <v>24</v>
      </c>
      <c r="O6" t="s">
        <v>24</v>
      </c>
      <c r="P6" t="s">
        <v>24</v>
      </c>
      <c r="Q6" t="s">
        <v>28</v>
      </c>
      <c r="R6" t="s">
        <v>25</v>
      </c>
    </row>
    <row r="7" spans="1:18" x14ac:dyDescent="0.35">
      <c r="A7" s="1" t="s">
        <v>5</v>
      </c>
      <c r="B7" t="s">
        <v>24</v>
      </c>
      <c r="C7" t="s">
        <v>24</v>
      </c>
      <c r="D7" t="s">
        <v>24</v>
      </c>
      <c r="E7" t="s">
        <v>24</v>
      </c>
      <c r="F7" t="s">
        <v>24</v>
      </c>
      <c r="G7" t="s">
        <v>24</v>
      </c>
      <c r="H7" t="s">
        <v>24</v>
      </c>
      <c r="I7" t="s">
        <v>24</v>
      </c>
      <c r="J7" t="s">
        <v>24</v>
      </c>
      <c r="K7" t="s">
        <v>24</v>
      </c>
      <c r="L7" t="s">
        <v>24</v>
      </c>
      <c r="M7" t="s">
        <v>24</v>
      </c>
      <c r="N7" t="s">
        <v>24</v>
      </c>
      <c r="O7" t="s">
        <v>24</v>
      </c>
      <c r="P7" t="s">
        <v>24</v>
      </c>
      <c r="Q7" t="s">
        <v>29</v>
      </c>
      <c r="R7" t="s">
        <v>48</v>
      </c>
    </row>
    <row r="8" spans="1:18" x14ac:dyDescent="0.35">
      <c r="A8" s="1" t="s">
        <v>6</v>
      </c>
      <c r="B8" t="s">
        <v>24</v>
      </c>
      <c r="C8" t="s">
        <v>24</v>
      </c>
      <c r="D8" t="s">
        <v>24</v>
      </c>
      <c r="E8" t="s">
        <v>24</v>
      </c>
      <c r="F8" t="s">
        <v>24</v>
      </c>
      <c r="G8" t="s">
        <v>24</v>
      </c>
      <c r="H8" t="s">
        <v>24</v>
      </c>
      <c r="I8" t="s">
        <v>24</v>
      </c>
      <c r="J8" t="s">
        <v>24</v>
      </c>
      <c r="K8" t="s">
        <v>24</v>
      </c>
      <c r="L8" t="s">
        <v>24</v>
      </c>
      <c r="M8" t="s">
        <v>24</v>
      </c>
      <c r="N8" t="s">
        <v>24</v>
      </c>
      <c r="O8" t="s">
        <v>24</v>
      </c>
      <c r="P8" t="s">
        <v>24</v>
      </c>
      <c r="Q8" t="s">
        <v>30</v>
      </c>
      <c r="R8" t="s">
        <v>49</v>
      </c>
    </row>
    <row r="9" spans="1:18" x14ac:dyDescent="0.35">
      <c r="A9" s="1" t="s">
        <v>7</v>
      </c>
      <c r="B9" t="s">
        <v>24</v>
      </c>
      <c r="C9" t="s">
        <v>24</v>
      </c>
      <c r="D9" t="s">
        <v>24</v>
      </c>
      <c r="E9" t="s">
        <v>24</v>
      </c>
      <c r="F9" t="s">
        <v>24</v>
      </c>
      <c r="G9" t="s">
        <v>24</v>
      </c>
      <c r="H9" t="s">
        <v>24</v>
      </c>
      <c r="I9" t="s">
        <v>24</v>
      </c>
      <c r="J9" t="s">
        <v>24</v>
      </c>
      <c r="K9" t="s">
        <v>24</v>
      </c>
      <c r="L9" t="s">
        <v>24</v>
      </c>
      <c r="M9" t="s">
        <v>24</v>
      </c>
      <c r="N9" t="s">
        <v>24</v>
      </c>
      <c r="O9" t="s">
        <v>24</v>
      </c>
      <c r="P9" t="s">
        <v>24</v>
      </c>
      <c r="Q9" t="s">
        <v>31</v>
      </c>
      <c r="R9" t="s">
        <v>50</v>
      </c>
    </row>
    <row r="10" spans="1:18" x14ac:dyDescent="0.35">
      <c r="A10" s="1" t="s">
        <v>8</v>
      </c>
      <c r="B10" t="s">
        <v>24</v>
      </c>
      <c r="C10" t="s">
        <v>24</v>
      </c>
      <c r="D10" t="s">
        <v>24</v>
      </c>
      <c r="E10" t="s">
        <v>24</v>
      </c>
      <c r="F10" t="s">
        <v>24</v>
      </c>
      <c r="G10" t="s">
        <v>24</v>
      </c>
      <c r="H10" t="s">
        <v>24</v>
      </c>
      <c r="I10" t="s">
        <v>24</v>
      </c>
      <c r="J10" t="s">
        <v>24</v>
      </c>
      <c r="K10" t="s">
        <v>24</v>
      </c>
      <c r="L10" t="s">
        <v>24</v>
      </c>
      <c r="M10" t="s">
        <v>24</v>
      </c>
      <c r="N10" t="s">
        <v>24</v>
      </c>
      <c r="O10" t="s">
        <v>24</v>
      </c>
      <c r="P10" t="s">
        <v>24</v>
      </c>
      <c r="Q10" t="s">
        <v>32</v>
      </c>
      <c r="R10" t="s">
        <v>51</v>
      </c>
    </row>
    <row r="11" spans="1:18" x14ac:dyDescent="0.35">
      <c r="A11" s="1" t="s">
        <v>9</v>
      </c>
      <c r="B11" t="s">
        <v>24</v>
      </c>
      <c r="C11" t="s">
        <v>24</v>
      </c>
      <c r="D11" t="s">
        <v>24</v>
      </c>
      <c r="E11" t="s">
        <v>24</v>
      </c>
      <c r="F11" t="s">
        <v>24</v>
      </c>
      <c r="G11" t="s">
        <v>24</v>
      </c>
      <c r="H11" t="s">
        <v>24</v>
      </c>
      <c r="I11" t="s">
        <v>24</v>
      </c>
      <c r="J11" t="s">
        <v>24</v>
      </c>
      <c r="K11" t="s">
        <v>24</v>
      </c>
      <c r="L11" t="s">
        <v>24</v>
      </c>
      <c r="M11" t="s">
        <v>24</v>
      </c>
      <c r="N11" t="s">
        <v>24</v>
      </c>
      <c r="O11" t="s">
        <v>24</v>
      </c>
      <c r="P11" t="s">
        <v>24</v>
      </c>
      <c r="Q11" t="s">
        <v>24</v>
      </c>
      <c r="R11" t="s">
        <v>24</v>
      </c>
    </row>
    <row r="12" spans="1:18" x14ac:dyDescent="0.35">
      <c r="A12" s="1" t="s">
        <v>10</v>
      </c>
      <c r="B12" t="s">
        <v>24</v>
      </c>
      <c r="C12" t="s">
        <v>24</v>
      </c>
      <c r="D12" t="s">
        <v>24</v>
      </c>
      <c r="E12" t="s">
        <v>24</v>
      </c>
      <c r="F12" t="s">
        <v>24</v>
      </c>
      <c r="G12" t="s">
        <v>24</v>
      </c>
      <c r="H12" t="s">
        <v>24</v>
      </c>
      <c r="I12" t="s">
        <v>24</v>
      </c>
      <c r="J12" t="s">
        <v>24</v>
      </c>
      <c r="K12" t="s">
        <v>24</v>
      </c>
      <c r="L12" t="s">
        <v>24</v>
      </c>
      <c r="M12" t="s">
        <v>24</v>
      </c>
      <c r="N12" t="s">
        <v>24</v>
      </c>
      <c r="O12" t="s">
        <v>24</v>
      </c>
      <c r="P12" t="s">
        <v>24</v>
      </c>
      <c r="Q12" t="s">
        <v>33</v>
      </c>
      <c r="R12" t="s">
        <v>52</v>
      </c>
    </row>
    <row r="13" spans="1:18" x14ac:dyDescent="0.35">
      <c r="A13" s="1" t="s">
        <v>11</v>
      </c>
      <c r="B13" t="s">
        <v>24</v>
      </c>
      <c r="C13" t="s">
        <v>24</v>
      </c>
      <c r="D13" t="s">
        <v>24</v>
      </c>
      <c r="E13" t="s">
        <v>24</v>
      </c>
      <c r="F13" t="s">
        <v>24</v>
      </c>
      <c r="G13" t="s">
        <v>24</v>
      </c>
      <c r="H13" t="s">
        <v>24</v>
      </c>
      <c r="I13" t="s">
        <v>24</v>
      </c>
      <c r="J13" t="s">
        <v>24</v>
      </c>
      <c r="K13" t="s">
        <v>24</v>
      </c>
      <c r="L13" t="s">
        <v>24</v>
      </c>
      <c r="M13" t="s">
        <v>24</v>
      </c>
      <c r="N13" t="s">
        <v>24</v>
      </c>
      <c r="O13" t="s">
        <v>24</v>
      </c>
      <c r="P13" t="s">
        <v>24</v>
      </c>
      <c r="Q13" t="s">
        <v>34</v>
      </c>
      <c r="R13" t="s">
        <v>53</v>
      </c>
    </row>
    <row r="14" spans="1:18" x14ac:dyDescent="0.35">
      <c r="A14" s="1" t="s">
        <v>12</v>
      </c>
      <c r="B14" t="s">
        <v>24</v>
      </c>
      <c r="C14" t="s">
        <v>24</v>
      </c>
      <c r="D14" t="s">
        <v>24</v>
      </c>
      <c r="E14" t="s">
        <v>24</v>
      </c>
      <c r="F14" t="s">
        <v>24</v>
      </c>
      <c r="G14" t="s">
        <v>24</v>
      </c>
      <c r="H14" t="s">
        <v>24</v>
      </c>
      <c r="I14" t="s">
        <v>24</v>
      </c>
      <c r="J14" t="s">
        <v>24</v>
      </c>
      <c r="K14" t="s">
        <v>24</v>
      </c>
      <c r="L14" t="s">
        <v>24</v>
      </c>
      <c r="M14" t="s">
        <v>24</v>
      </c>
      <c r="N14" t="s">
        <v>24</v>
      </c>
      <c r="O14" t="s">
        <v>24</v>
      </c>
      <c r="P14" t="s">
        <v>24</v>
      </c>
      <c r="Q14" t="s">
        <v>35</v>
      </c>
      <c r="R14" t="s">
        <v>54</v>
      </c>
    </row>
    <row r="15" spans="1:18" x14ac:dyDescent="0.35">
      <c r="A15" s="1" t="s">
        <v>13</v>
      </c>
      <c r="B15" t="s">
        <v>24</v>
      </c>
      <c r="C15" t="s">
        <v>24</v>
      </c>
      <c r="D15" t="s">
        <v>24</v>
      </c>
      <c r="E15" t="s">
        <v>24</v>
      </c>
      <c r="F15" t="s">
        <v>24</v>
      </c>
      <c r="G15" t="s">
        <v>24</v>
      </c>
      <c r="H15" t="s">
        <v>24</v>
      </c>
      <c r="I15" t="s">
        <v>24</v>
      </c>
      <c r="J15" t="s">
        <v>24</v>
      </c>
      <c r="K15" t="s">
        <v>24</v>
      </c>
      <c r="L15" t="s">
        <v>24</v>
      </c>
      <c r="M15" t="s">
        <v>24</v>
      </c>
      <c r="N15" t="s">
        <v>24</v>
      </c>
      <c r="O15" t="s">
        <v>24</v>
      </c>
      <c r="P15" t="s">
        <v>24</v>
      </c>
      <c r="Q15" t="s">
        <v>36</v>
      </c>
      <c r="R15" t="s">
        <v>55</v>
      </c>
    </row>
    <row r="16" spans="1:18" x14ac:dyDescent="0.35">
      <c r="A16" s="1" t="s">
        <v>14</v>
      </c>
      <c r="B16" t="s">
        <v>24</v>
      </c>
      <c r="C16" t="s">
        <v>24</v>
      </c>
      <c r="D16" t="s">
        <v>24</v>
      </c>
      <c r="E16" t="s">
        <v>24</v>
      </c>
      <c r="F16" t="s">
        <v>24</v>
      </c>
      <c r="G16" t="s">
        <v>24</v>
      </c>
      <c r="H16" t="s">
        <v>24</v>
      </c>
      <c r="I16" t="s">
        <v>24</v>
      </c>
      <c r="J16" t="s">
        <v>24</v>
      </c>
      <c r="K16" t="s">
        <v>24</v>
      </c>
      <c r="L16" t="s">
        <v>24</v>
      </c>
      <c r="M16" t="s">
        <v>24</v>
      </c>
      <c r="N16" t="s">
        <v>24</v>
      </c>
      <c r="O16" t="s">
        <v>24</v>
      </c>
      <c r="P16" t="s">
        <v>24</v>
      </c>
      <c r="Q16" t="s">
        <v>37</v>
      </c>
      <c r="R16" t="s">
        <v>56</v>
      </c>
    </row>
    <row r="17" spans="1:18" x14ac:dyDescent="0.35">
      <c r="A17" s="1" t="s">
        <v>15</v>
      </c>
      <c r="B17" t="s">
        <v>24</v>
      </c>
      <c r="C17" t="s">
        <v>24</v>
      </c>
      <c r="D17" t="s">
        <v>24</v>
      </c>
      <c r="E17" t="s">
        <v>24</v>
      </c>
      <c r="F17" t="s">
        <v>24</v>
      </c>
      <c r="G17" t="s">
        <v>24</v>
      </c>
      <c r="H17" t="s">
        <v>24</v>
      </c>
      <c r="I17" t="s">
        <v>24</v>
      </c>
      <c r="J17" t="s">
        <v>24</v>
      </c>
      <c r="K17" t="s">
        <v>24</v>
      </c>
      <c r="L17" t="s">
        <v>24</v>
      </c>
      <c r="M17" t="s">
        <v>24</v>
      </c>
      <c r="N17" t="s">
        <v>24</v>
      </c>
      <c r="O17" t="s">
        <v>24</v>
      </c>
      <c r="P17" t="s">
        <v>24</v>
      </c>
      <c r="Q17" t="s">
        <v>38</v>
      </c>
      <c r="R17" t="s">
        <v>57</v>
      </c>
    </row>
    <row r="18" spans="1:18" x14ac:dyDescent="0.35">
      <c r="A18" s="1" t="s">
        <v>16</v>
      </c>
      <c r="B18" t="s">
        <v>24</v>
      </c>
      <c r="C18" t="s">
        <v>24</v>
      </c>
      <c r="D18" t="s">
        <v>24</v>
      </c>
      <c r="E18" t="s">
        <v>24</v>
      </c>
      <c r="F18" t="s">
        <v>24</v>
      </c>
      <c r="G18" t="s">
        <v>24</v>
      </c>
      <c r="H18" t="s">
        <v>24</v>
      </c>
      <c r="I18" t="s">
        <v>24</v>
      </c>
      <c r="J18" t="s">
        <v>24</v>
      </c>
      <c r="K18" t="s">
        <v>24</v>
      </c>
      <c r="L18" t="s">
        <v>24</v>
      </c>
      <c r="M18" t="s">
        <v>24</v>
      </c>
      <c r="N18" t="s">
        <v>24</v>
      </c>
      <c r="O18" t="s">
        <v>24</v>
      </c>
      <c r="P18" t="s">
        <v>24</v>
      </c>
      <c r="Q18" t="s">
        <v>39</v>
      </c>
      <c r="R18" t="s">
        <v>58</v>
      </c>
    </row>
    <row r="19" spans="1:18" x14ac:dyDescent="0.35">
      <c r="A19" s="1" t="s">
        <v>17</v>
      </c>
      <c r="B19" t="s">
        <v>24</v>
      </c>
      <c r="C19" t="s">
        <v>24</v>
      </c>
      <c r="D19" t="s">
        <v>24</v>
      </c>
      <c r="E19" t="s">
        <v>24</v>
      </c>
      <c r="F19" t="s">
        <v>24</v>
      </c>
      <c r="G19" t="s">
        <v>24</v>
      </c>
      <c r="H19" t="s">
        <v>24</v>
      </c>
      <c r="I19" t="s">
        <v>24</v>
      </c>
      <c r="J19" t="s">
        <v>24</v>
      </c>
      <c r="K19" t="s">
        <v>24</v>
      </c>
      <c r="L19" t="s">
        <v>24</v>
      </c>
      <c r="M19" t="s">
        <v>24</v>
      </c>
      <c r="N19" t="s">
        <v>24</v>
      </c>
      <c r="O19" t="s">
        <v>24</v>
      </c>
      <c r="P19" t="s">
        <v>24</v>
      </c>
      <c r="Q19" t="s">
        <v>24</v>
      </c>
      <c r="R19" t="s">
        <v>59</v>
      </c>
    </row>
    <row r="20" spans="1:18" x14ac:dyDescent="0.35">
      <c r="A20" s="1" t="s">
        <v>18</v>
      </c>
      <c r="B20" t="s">
        <v>24</v>
      </c>
      <c r="C20" t="s">
        <v>24</v>
      </c>
      <c r="D20" t="s">
        <v>24</v>
      </c>
      <c r="E20" t="s">
        <v>24</v>
      </c>
      <c r="F20" t="s">
        <v>24</v>
      </c>
      <c r="G20" t="s">
        <v>24</v>
      </c>
      <c r="H20" t="s">
        <v>24</v>
      </c>
      <c r="I20" t="s">
        <v>24</v>
      </c>
      <c r="J20" t="s">
        <v>24</v>
      </c>
      <c r="K20" t="s">
        <v>24</v>
      </c>
      <c r="L20" t="s">
        <v>24</v>
      </c>
      <c r="M20" t="s">
        <v>24</v>
      </c>
      <c r="N20" t="s">
        <v>24</v>
      </c>
      <c r="O20" t="s">
        <v>24</v>
      </c>
      <c r="P20" t="s">
        <v>24</v>
      </c>
      <c r="Q20" t="s">
        <v>40</v>
      </c>
      <c r="R20" t="s">
        <v>60</v>
      </c>
    </row>
    <row r="21" spans="1:18" x14ac:dyDescent="0.35">
      <c r="A21" s="1" t="s">
        <v>19</v>
      </c>
      <c r="B21" t="s">
        <v>24</v>
      </c>
      <c r="C21" t="s">
        <v>24</v>
      </c>
      <c r="D21" t="s">
        <v>24</v>
      </c>
      <c r="E21" t="s">
        <v>24</v>
      </c>
      <c r="F21" t="s">
        <v>24</v>
      </c>
      <c r="G21" t="s">
        <v>24</v>
      </c>
      <c r="H21" t="s">
        <v>24</v>
      </c>
      <c r="I21" t="s">
        <v>24</v>
      </c>
      <c r="J21" t="s">
        <v>24</v>
      </c>
      <c r="K21" t="s">
        <v>24</v>
      </c>
      <c r="L21" t="s">
        <v>24</v>
      </c>
      <c r="M21" t="s">
        <v>24</v>
      </c>
      <c r="N21" t="s">
        <v>24</v>
      </c>
      <c r="O21" t="s">
        <v>24</v>
      </c>
      <c r="P21" t="s">
        <v>24</v>
      </c>
      <c r="Q21" t="s">
        <v>41</v>
      </c>
      <c r="R21" t="s">
        <v>61</v>
      </c>
    </row>
    <row r="22" spans="1:18" x14ac:dyDescent="0.35">
      <c r="A22" s="1" t="s">
        <v>20</v>
      </c>
      <c r="B22" t="s">
        <v>24</v>
      </c>
      <c r="C22" t="s">
        <v>24</v>
      </c>
      <c r="D22" t="s">
        <v>24</v>
      </c>
      <c r="E22" t="s">
        <v>24</v>
      </c>
      <c r="F22" t="s">
        <v>24</v>
      </c>
      <c r="G22" t="s">
        <v>24</v>
      </c>
      <c r="H22" t="s">
        <v>24</v>
      </c>
      <c r="I22" t="s">
        <v>24</v>
      </c>
      <c r="J22" t="s">
        <v>24</v>
      </c>
      <c r="K22" t="s">
        <v>24</v>
      </c>
      <c r="L22" t="s">
        <v>24</v>
      </c>
      <c r="M22" t="s">
        <v>24</v>
      </c>
      <c r="N22" t="s">
        <v>24</v>
      </c>
      <c r="O22" t="s">
        <v>24</v>
      </c>
      <c r="P22" t="s">
        <v>24</v>
      </c>
      <c r="Q22" t="s">
        <v>42</v>
      </c>
      <c r="R22" t="s">
        <v>62</v>
      </c>
    </row>
    <row r="23" spans="1:18" x14ac:dyDescent="0.35">
      <c r="A23" s="1" t="s">
        <v>21</v>
      </c>
      <c r="B23" t="s">
        <v>24</v>
      </c>
      <c r="C23" t="s">
        <v>24</v>
      </c>
      <c r="D23" t="s">
        <v>24</v>
      </c>
      <c r="E23" t="s">
        <v>24</v>
      </c>
      <c r="F23" t="s">
        <v>24</v>
      </c>
      <c r="G23" t="s">
        <v>24</v>
      </c>
      <c r="H23" t="s">
        <v>24</v>
      </c>
      <c r="I23" t="s">
        <v>24</v>
      </c>
      <c r="J23" t="s">
        <v>24</v>
      </c>
      <c r="K23" t="s">
        <v>24</v>
      </c>
      <c r="L23" t="s">
        <v>24</v>
      </c>
      <c r="M23" t="s">
        <v>24</v>
      </c>
      <c r="N23" t="s">
        <v>24</v>
      </c>
      <c r="O23" t="s">
        <v>24</v>
      </c>
      <c r="P23" t="s">
        <v>24</v>
      </c>
      <c r="Q23" t="s">
        <v>43</v>
      </c>
      <c r="R23" t="s">
        <v>63</v>
      </c>
    </row>
    <row r="24" spans="1:18" x14ac:dyDescent="0.35">
      <c r="A24" s="1" t="s">
        <v>22</v>
      </c>
      <c r="B24" t="s">
        <v>24</v>
      </c>
      <c r="C24" t="s">
        <v>24</v>
      </c>
      <c r="D24" t="s">
        <v>24</v>
      </c>
      <c r="E24" t="s">
        <v>24</v>
      </c>
      <c r="F24" t="s">
        <v>24</v>
      </c>
      <c r="G24" t="s">
        <v>24</v>
      </c>
      <c r="H24" t="s">
        <v>24</v>
      </c>
      <c r="I24" t="s">
        <v>24</v>
      </c>
      <c r="J24" t="s">
        <v>24</v>
      </c>
      <c r="K24" t="s">
        <v>24</v>
      </c>
      <c r="L24" t="s">
        <v>24</v>
      </c>
      <c r="M24" t="s">
        <v>24</v>
      </c>
      <c r="N24" t="s">
        <v>24</v>
      </c>
      <c r="O24" t="s">
        <v>24</v>
      </c>
      <c r="P24" t="s">
        <v>24</v>
      </c>
      <c r="Q24" t="s">
        <v>44</v>
      </c>
      <c r="R24" t="s">
        <v>44</v>
      </c>
    </row>
    <row r="25" spans="1:18" x14ac:dyDescent="0.35">
      <c r="A25" s="1" t="s">
        <v>23</v>
      </c>
      <c r="B25" t="s">
        <v>24</v>
      </c>
      <c r="C25" t="s">
        <v>24</v>
      </c>
      <c r="D25" t="s">
        <v>24</v>
      </c>
      <c r="E25" t="s">
        <v>24</v>
      </c>
      <c r="F25" t="s">
        <v>24</v>
      </c>
      <c r="G25" t="s">
        <v>24</v>
      </c>
      <c r="H25" t="s">
        <v>24</v>
      </c>
      <c r="I25" t="s">
        <v>24</v>
      </c>
      <c r="J25" t="s">
        <v>24</v>
      </c>
      <c r="K25" t="s">
        <v>24</v>
      </c>
      <c r="L25" t="s">
        <v>24</v>
      </c>
      <c r="M25" t="s">
        <v>24</v>
      </c>
      <c r="N25" t="s">
        <v>24</v>
      </c>
      <c r="O25" t="s">
        <v>24</v>
      </c>
      <c r="P25" t="s">
        <v>24</v>
      </c>
      <c r="Q25" t="s">
        <v>24</v>
      </c>
      <c r="R25"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workbookViewId="0">
      <selection activeCell="B24" sqref="B24"/>
    </sheetView>
  </sheetViews>
  <sheetFormatPr defaultRowHeight="14.5" x14ac:dyDescent="0.35"/>
  <cols>
    <col min="1" max="1" width="17.54296875" customWidth="1"/>
  </cols>
  <sheetData>
    <row r="1" spans="1:2" x14ac:dyDescent="0.35">
      <c r="B1" s="1" t="s">
        <v>64</v>
      </c>
    </row>
    <row r="2" spans="1:2" x14ac:dyDescent="0.35">
      <c r="A2" s="1" t="s">
        <v>65</v>
      </c>
      <c r="B2" t="s">
        <v>33</v>
      </c>
    </row>
    <row r="3" spans="1:2" x14ac:dyDescent="0.35">
      <c r="A3" s="1" t="s">
        <v>66</v>
      </c>
      <c r="B3" t="s">
        <v>93</v>
      </c>
    </row>
    <row r="4" spans="1:2" x14ac:dyDescent="0.35">
      <c r="A4" s="1" t="s">
        <v>67</v>
      </c>
      <c r="B4" t="s">
        <v>94</v>
      </c>
    </row>
    <row r="5" spans="1:2" x14ac:dyDescent="0.35">
      <c r="A5" s="1" t="s">
        <v>68</v>
      </c>
      <c r="B5" t="s">
        <v>95</v>
      </c>
    </row>
    <row r="6" spans="1:2" x14ac:dyDescent="0.35">
      <c r="A6" s="1" t="s">
        <v>69</v>
      </c>
      <c r="B6" t="s">
        <v>96</v>
      </c>
    </row>
    <row r="7" spans="1:2" x14ac:dyDescent="0.35">
      <c r="A7" s="1" t="s">
        <v>70</v>
      </c>
      <c r="B7" t="s">
        <v>97</v>
      </c>
    </row>
    <row r="8" spans="1:2" x14ac:dyDescent="0.35">
      <c r="A8" s="1" t="s">
        <v>71</v>
      </c>
      <c r="B8" t="s">
        <v>98</v>
      </c>
    </row>
    <row r="9" spans="1:2" x14ac:dyDescent="0.35">
      <c r="A9" s="1" t="s">
        <v>72</v>
      </c>
      <c r="B9" t="s">
        <v>24</v>
      </c>
    </row>
    <row r="10" spans="1:2" x14ac:dyDescent="0.35">
      <c r="A10" s="1" t="s">
        <v>73</v>
      </c>
      <c r="B10" t="s">
        <v>24</v>
      </c>
    </row>
    <row r="11" spans="1:2" x14ac:dyDescent="0.35">
      <c r="A11" s="1" t="s">
        <v>74</v>
      </c>
      <c r="B11" t="s">
        <v>24</v>
      </c>
    </row>
    <row r="12" spans="1:2" x14ac:dyDescent="0.35">
      <c r="A12" s="1" t="s">
        <v>75</v>
      </c>
      <c r="B12" t="s">
        <v>99</v>
      </c>
    </row>
    <row r="13" spans="1:2" x14ac:dyDescent="0.35">
      <c r="A13" s="1" t="s">
        <v>76</v>
      </c>
      <c r="B13" t="s">
        <v>24</v>
      </c>
    </row>
    <row r="14" spans="1:2" x14ac:dyDescent="0.35">
      <c r="A14" s="1" t="s">
        <v>77</v>
      </c>
      <c r="B14" t="s">
        <v>100</v>
      </c>
    </row>
    <row r="15" spans="1:2" x14ac:dyDescent="0.35">
      <c r="A15" s="1" t="s">
        <v>78</v>
      </c>
      <c r="B15" t="s">
        <v>35</v>
      </c>
    </row>
    <row r="16" spans="1:2" x14ac:dyDescent="0.35">
      <c r="A16" s="1" t="s">
        <v>79</v>
      </c>
      <c r="B16" t="s">
        <v>101</v>
      </c>
    </row>
    <row r="17" spans="1:2" x14ac:dyDescent="0.35">
      <c r="A17" s="1" t="s">
        <v>80</v>
      </c>
      <c r="B17" t="s">
        <v>102</v>
      </c>
    </row>
    <row r="18" spans="1:2" x14ac:dyDescent="0.35">
      <c r="A18" s="1" t="s">
        <v>81</v>
      </c>
      <c r="B18" t="s">
        <v>103</v>
      </c>
    </row>
    <row r="19" spans="1:2" x14ac:dyDescent="0.35">
      <c r="A19" s="1" t="s">
        <v>82</v>
      </c>
      <c r="B19" t="s">
        <v>104</v>
      </c>
    </row>
    <row r="20" spans="1:2" x14ac:dyDescent="0.35">
      <c r="A20" s="1" t="s">
        <v>83</v>
      </c>
      <c r="B20" t="s">
        <v>105</v>
      </c>
    </row>
    <row r="21" spans="1:2" x14ac:dyDescent="0.35">
      <c r="A21" s="1" t="s">
        <v>84</v>
      </c>
      <c r="B21" t="s">
        <v>106</v>
      </c>
    </row>
    <row r="22" spans="1:2" x14ac:dyDescent="0.35">
      <c r="A22" s="1" t="s">
        <v>85</v>
      </c>
      <c r="B22" t="s">
        <v>107</v>
      </c>
    </row>
    <row r="23" spans="1:2" x14ac:dyDescent="0.35">
      <c r="A23" s="1" t="s">
        <v>86</v>
      </c>
      <c r="B23" t="s">
        <v>108</v>
      </c>
    </row>
    <row r="24" spans="1:2" x14ac:dyDescent="0.35">
      <c r="A24" s="1" t="s">
        <v>87</v>
      </c>
      <c r="B24">
        <v>-117</v>
      </c>
    </row>
    <row r="25" spans="1:2" x14ac:dyDescent="0.35">
      <c r="A25" s="1" t="s">
        <v>88</v>
      </c>
      <c r="B25" t="s">
        <v>109</v>
      </c>
    </row>
    <row r="26" spans="1:2" x14ac:dyDescent="0.35">
      <c r="A26" s="1" t="s">
        <v>89</v>
      </c>
      <c r="B26" t="s">
        <v>110</v>
      </c>
    </row>
    <row r="27" spans="1:2" x14ac:dyDescent="0.35">
      <c r="A27" s="1" t="s">
        <v>90</v>
      </c>
      <c r="B27" t="s">
        <v>110</v>
      </c>
    </row>
    <row r="28" spans="1:2" x14ac:dyDescent="0.35">
      <c r="A28" s="1" t="s">
        <v>91</v>
      </c>
      <c r="B28" t="s">
        <v>30</v>
      </c>
    </row>
    <row r="29" spans="1:2" x14ac:dyDescent="0.35">
      <c r="A29" s="1" t="s">
        <v>92</v>
      </c>
      <c r="B29" t="s">
        <v>30</v>
      </c>
    </row>
    <row r="31" spans="1:2" x14ac:dyDescent="0.35">
      <c r="A31" s="3" t="s">
        <v>210</v>
      </c>
      <c r="B31" s="2">
        <f>B4/B2</f>
        <v>-3.2258064516129031E-2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
  <sheetViews>
    <sheetView workbookViewId="0"/>
  </sheetViews>
  <sheetFormatPr defaultRowHeight="14.5" x14ac:dyDescent="0.35"/>
  <sheetData>
    <row r="1" spans="1:2" x14ac:dyDescent="0.35">
      <c r="B1" s="1" t="s">
        <v>64</v>
      </c>
    </row>
    <row r="2" spans="1:2" x14ac:dyDescent="0.35">
      <c r="A2" s="1" t="s">
        <v>111</v>
      </c>
      <c r="B2" t="s">
        <v>150</v>
      </c>
    </row>
    <row r="3" spans="1:2" x14ac:dyDescent="0.35">
      <c r="A3" s="1" t="s">
        <v>112</v>
      </c>
      <c r="B3" t="s">
        <v>24</v>
      </c>
    </row>
    <row r="4" spans="1:2" x14ac:dyDescent="0.35">
      <c r="A4" s="1" t="s">
        <v>113</v>
      </c>
      <c r="B4" t="s">
        <v>150</v>
      </c>
    </row>
    <row r="5" spans="1:2" x14ac:dyDescent="0.35">
      <c r="A5" s="1" t="s">
        <v>114</v>
      </c>
      <c r="B5" t="s">
        <v>151</v>
      </c>
    </row>
    <row r="6" spans="1:2" x14ac:dyDescent="0.35">
      <c r="A6" s="1" t="s">
        <v>115</v>
      </c>
      <c r="B6" t="s">
        <v>152</v>
      </c>
    </row>
    <row r="7" spans="1:2" x14ac:dyDescent="0.35">
      <c r="A7" s="1" t="s">
        <v>116</v>
      </c>
      <c r="B7" t="s">
        <v>153</v>
      </c>
    </row>
    <row r="8" spans="1:2" x14ac:dyDescent="0.35">
      <c r="A8" s="1" t="s">
        <v>117</v>
      </c>
      <c r="B8" t="s">
        <v>154</v>
      </c>
    </row>
    <row r="9" spans="1:2" x14ac:dyDescent="0.35">
      <c r="A9" s="1" t="s">
        <v>118</v>
      </c>
      <c r="B9" t="s">
        <v>155</v>
      </c>
    </row>
    <row r="10" spans="1:2" x14ac:dyDescent="0.35">
      <c r="A10" s="1" t="s">
        <v>119</v>
      </c>
      <c r="B10" t="s">
        <v>156</v>
      </c>
    </row>
    <row r="11" spans="1:2" x14ac:dyDescent="0.35">
      <c r="A11" s="1" t="s">
        <v>120</v>
      </c>
      <c r="B11" t="s">
        <v>157</v>
      </c>
    </row>
    <row r="12" spans="1:2" x14ac:dyDescent="0.35">
      <c r="A12" s="1" t="s">
        <v>121</v>
      </c>
      <c r="B12" t="s">
        <v>158</v>
      </c>
    </row>
    <row r="13" spans="1:2" x14ac:dyDescent="0.35">
      <c r="A13" s="1" t="s">
        <v>122</v>
      </c>
      <c r="B13" t="s">
        <v>24</v>
      </c>
    </row>
    <row r="14" spans="1:2" x14ac:dyDescent="0.35">
      <c r="A14" s="1" t="s">
        <v>123</v>
      </c>
      <c r="B14" t="s">
        <v>100</v>
      </c>
    </row>
    <row r="15" spans="1:2" x14ac:dyDescent="0.35">
      <c r="A15" s="1" t="s">
        <v>124</v>
      </c>
      <c r="B15" t="s">
        <v>100</v>
      </c>
    </row>
    <row r="16" spans="1:2" x14ac:dyDescent="0.35">
      <c r="A16" s="1" t="s">
        <v>125</v>
      </c>
      <c r="B16" t="s">
        <v>159</v>
      </c>
    </row>
    <row r="17" spans="1:2" x14ac:dyDescent="0.35">
      <c r="A17" s="1" t="s">
        <v>126</v>
      </c>
      <c r="B17" t="s">
        <v>24</v>
      </c>
    </row>
    <row r="18" spans="1:2" x14ac:dyDescent="0.35">
      <c r="A18" s="1" t="s">
        <v>127</v>
      </c>
      <c r="B18" t="s">
        <v>160</v>
      </c>
    </row>
    <row r="19" spans="1:2" x14ac:dyDescent="0.35">
      <c r="A19" s="1" t="s">
        <v>128</v>
      </c>
      <c r="B19" t="s">
        <v>161</v>
      </c>
    </row>
    <row r="20" spans="1:2" x14ac:dyDescent="0.35">
      <c r="A20" s="1" t="s">
        <v>129</v>
      </c>
      <c r="B20" t="s">
        <v>161</v>
      </c>
    </row>
    <row r="21" spans="1:2" x14ac:dyDescent="0.35">
      <c r="A21" s="1" t="s">
        <v>130</v>
      </c>
      <c r="B21" t="s">
        <v>24</v>
      </c>
    </row>
    <row r="22" spans="1:2" x14ac:dyDescent="0.35">
      <c r="A22" s="1" t="s">
        <v>131</v>
      </c>
      <c r="B22" t="s">
        <v>24</v>
      </c>
    </row>
    <row r="23" spans="1:2" x14ac:dyDescent="0.35">
      <c r="A23" s="1" t="s">
        <v>132</v>
      </c>
      <c r="B23" t="s">
        <v>162</v>
      </c>
    </row>
    <row r="24" spans="1:2" x14ac:dyDescent="0.35">
      <c r="A24" s="1" t="s">
        <v>133</v>
      </c>
      <c r="B24" t="s">
        <v>163</v>
      </c>
    </row>
    <row r="25" spans="1:2" x14ac:dyDescent="0.35">
      <c r="A25" s="1" t="s">
        <v>134</v>
      </c>
      <c r="B25" t="s">
        <v>24</v>
      </c>
    </row>
    <row r="26" spans="1:2" x14ac:dyDescent="0.35">
      <c r="A26" s="1" t="s">
        <v>135</v>
      </c>
      <c r="B26" t="s">
        <v>164</v>
      </c>
    </row>
    <row r="27" spans="1:2" x14ac:dyDescent="0.35">
      <c r="A27" s="1" t="s">
        <v>136</v>
      </c>
      <c r="B27" t="s">
        <v>165</v>
      </c>
    </row>
    <row r="28" spans="1:2" x14ac:dyDescent="0.35">
      <c r="A28" s="1" t="s">
        <v>137</v>
      </c>
      <c r="B28" t="s">
        <v>165</v>
      </c>
    </row>
    <row r="29" spans="1:2" x14ac:dyDescent="0.35">
      <c r="A29" s="1" t="s">
        <v>138</v>
      </c>
      <c r="B29" t="s">
        <v>24</v>
      </c>
    </row>
    <row r="30" spans="1:2" x14ac:dyDescent="0.35">
      <c r="A30" s="1" t="s">
        <v>139</v>
      </c>
      <c r="B30" t="s">
        <v>24</v>
      </c>
    </row>
    <row r="31" spans="1:2" x14ac:dyDescent="0.35">
      <c r="A31" s="1" t="s">
        <v>140</v>
      </c>
      <c r="B31" t="s">
        <v>166</v>
      </c>
    </row>
    <row r="32" spans="1:2" x14ac:dyDescent="0.35">
      <c r="A32" s="1" t="s">
        <v>141</v>
      </c>
      <c r="B32" t="s">
        <v>24</v>
      </c>
    </row>
    <row r="33" spans="1:2" x14ac:dyDescent="0.35">
      <c r="A33" s="1" t="s">
        <v>142</v>
      </c>
      <c r="B33" t="s">
        <v>164</v>
      </c>
    </row>
    <row r="34" spans="1:2" x14ac:dyDescent="0.35">
      <c r="A34" s="1" t="s">
        <v>143</v>
      </c>
      <c r="B34" t="s">
        <v>167</v>
      </c>
    </row>
    <row r="35" spans="1:2" x14ac:dyDescent="0.35">
      <c r="A35" s="1" t="s">
        <v>144</v>
      </c>
      <c r="B35" t="s">
        <v>168</v>
      </c>
    </row>
    <row r="36" spans="1:2" x14ac:dyDescent="0.35">
      <c r="A36" s="1" t="s">
        <v>145</v>
      </c>
      <c r="B36" t="s">
        <v>169</v>
      </c>
    </row>
    <row r="37" spans="1:2" x14ac:dyDescent="0.35">
      <c r="A37" s="1" t="s">
        <v>146</v>
      </c>
      <c r="B37" t="s">
        <v>40</v>
      </c>
    </row>
    <row r="38" spans="1:2" x14ac:dyDescent="0.35">
      <c r="A38" s="1" t="s">
        <v>147</v>
      </c>
      <c r="B38" t="s">
        <v>160</v>
      </c>
    </row>
    <row r="39" spans="1:2" x14ac:dyDescent="0.35">
      <c r="A39" s="1" t="s">
        <v>148</v>
      </c>
      <c r="B39" t="s">
        <v>24</v>
      </c>
    </row>
    <row r="40" spans="1:2" x14ac:dyDescent="0.35">
      <c r="A40" s="1" t="s">
        <v>149</v>
      </c>
      <c r="B40" t="s">
        <v>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9"/>
  <sheetViews>
    <sheetView workbookViewId="0"/>
  </sheetViews>
  <sheetFormatPr defaultRowHeight="14.5" x14ac:dyDescent="0.35"/>
  <sheetData>
    <row r="1" spans="1:2" x14ac:dyDescent="0.35">
      <c r="B1" s="1" t="s">
        <v>64</v>
      </c>
    </row>
    <row r="2" spans="1:2" x14ac:dyDescent="0.35">
      <c r="A2" s="1" t="s">
        <v>87</v>
      </c>
      <c r="B2" t="s">
        <v>36</v>
      </c>
    </row>
    <row r="3" spans="1:2" x14ac:dyDescent="0.35">
      <c r="A3" s="1" t="s">
        <v>78</v>
      </c>
      <c r="B3" t="s">
        <v>35</v>
      </c>
    </row>
    <row r="4" spans="1:2" x14ac:dyDescent="0.35">
      <c r="A4" s="1" t="s">
        <v>170</v>
      </c>
      <c r="B4" t="s">
        <v>194</v>
      </c>
    </row>
    <row r="5" spans="1:2" x14ac:dyDescent="0.35">
      <c r="A5" s="1" t="s">
        <v>171</v>
      </c>
      <c r="B5" t="s">
        <v>195</v>
      </c>
    </row>
    <row r="6" spans="1:2" x14ac:dyDescent="0.35">
      <c r="A6" s="1" t="s">
        <v>172</v>
      </c>
      <c r="B6" t="s">
        <v>196</v>
      </c>
    </row>
    <row r="7" spans="1:2" x14ac:dyDescent="0.35">
      <c r="A7" s="1" t="s">
        <v>173</v>
      </c>
      <c r="B7" t="s">
        <v>196</v>
      </c>
    </row>
    <row r="8" spans="1:2" x14ac:dyDescent="0.35">
      <c r="A8" s="1" t="s">
        <v>115</v>
      </c>
      <c r="B8" t="s">
        <v>197</v>
      </c>
    </row>
    <row r="9" spans="1:2" x14ac:dyDescent="0.35">
      <c r="A9" s="1" t="s">
        <v>128</v>
      </c>
      <c r="B9" t="s">
        <v>24</v>
      </c>
    </row>
    <row r="10" spans="1:2" x14ac:dyDescent="0.35">
      <c r="A10" s="1" t="s">
        <v>174</v>
      </c>
      <c r="B10" t="s">
        <v>198</v>
      </c>
    </row>
    <row r="11" spans="1:2" x14ac:dyDescent="0.35">
      <c r="A11" s="1" t="s">
        <v>175</v>
      </c>
      <c r="B11" t="s">
        <v>199</v>
      </c>
    </row>
    <row r="12" spans="1:2" x14ac:dyDescent="0.35">
      <c r="A12" s="1" t="s">
        <v>176</v>
      </c>
      <c r="B12" t="s">
        <v>200</v>
      </c>
    </row>
    <row r="13" spans="1:2" x14ac:dyDescent="0.35">
      <c r="A13" s="1" t="s">
        <v>177</v>
      </c>
      <c r="B13" t="s">
        <v>201</v>
      </c>
    </row>
    <row r="14" spans="1:2" x14ac:dyDescent="0.35">
      <c r="A14" s="1" t="s">
        <v>178</v>
      </c>
      <c r="B14" t="s">
        <v>24</v>
      </c>
    </row>
    <row r="15" spans="1:2" x14ac:dyDescent="0.35">
      <c r="A15" s="1" t="s">
        <v>179</v>
      </c>
      <c r="B15" t="s">
        <v>24</v>
      </c>
    </row>
    <row r="16" spans="1:2" x14ac:dyDescent="0.35">
      <c r="A16" s="1" t="s">
        <v>180</v>
      </c>
      <c r="B16" t="s">
        <v>24</v>
      </c>
    </row>
    <row r="17" spans="1:2" x14ac:dyDescent="0.35">
      <c r="A17" s="1" t="s">
        <v>181</v>
      </c>
      <c r="B17" t="s">
        <v>202</v>
      </c>
    </row>
    <row r="18" spans="1:2" x14ac:dyDescent="0.35">
      <c r="A18" s="1" t="s">
        <v>182</v>
      </c>
      <c r="B18" t="s">
        <v>203</v>
      </c>
    </row>
    <row r="19" spans="1:2" x14ac:dyDescent="0.35">
      <c r="A19" s="1" t="s">
        <v>183</v>
      </c>
      <c r="B19" t="s">
        <v>24</v>
      </c>
    </row>
    <row r="20" spans="1:2" x14ac:dyDescent="0.35">
      <c r="A20" s="1" t="s">
        <v>184</v>
      </c>
      <c r="B20" t="s">
        <v>161</v>
      </c>
    </row>
    <row r="21" spans="1:2" x14ac:dyDescent="0.35">
      <c r="A21" s="1" t="s">
        <v>185</v>
      </c>
      <c r="B21" t="s">
        <v>24</v>
      </c>
    </row>
    <row r="22" spans="1:2" x14ac:dyDescent="0.35">
      <c r="A22" s="1" t="s">
        <v>186</v>
      </c>
      <c r="B22" t="s">
        <v>24</v>
      </c>
    </row>
    <row r="23" spans="1:2" x14ac:dyDescent="0.35">
      <c r="A23" s="1" t="s">
        <v>187</v>
      </c>
      <c r="B23" t="s">
        <v>204</v>
      </c>
    </row>
    <row r="24" spans="1:2" x14ac:dyDescent="0.35">
      <c r="A24" s="1" t="s">
        <v>188</v>
      </c>
      <c r="B24" t="s">
        <v>205</v>
      </c>
    </row>
    <row r="25" spans="1:2" x14ac:dyDescent="0.35">
      <c r="A25" s="1" t="s">
        <v>189</v>
      </c>
      <c r="B25" t="s">
        <v>206</v>
      </c>
    </row>
    <row r="26" spans="1:2" x14ac:dyDescent="0.35">
      <c r="A26" s="1" t="s">
        <v>190</v>
      </c>
      <c r="B26" t="s">
        <v>207</v>
      </c>
    </row>
    <row r="27" spans="1:2" x14ac:dyDescent="0.35">
      <c r="A27" s="1" t="s">
        <v>191</v>
      </c>
      <c r="B27" t="s">
        <v>208</v>
      </c>
    </row>
    <row r="28" spans="1:2" x14ac:dyDescent="0.35">
      <c r="A28" s="1" t="s">
        <v>192</v>
      </c>
      <c r="B28" t="s">
        <v>24</v>
      </c>
    </row>
    <row r="29" spans="1:2" x14ac:dyDescent="0.35">
      <c r="A29" s="1" t="s">
        <v>193</v>
      </c>
      <c r="B29"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Missions</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cp:lastModifiedBy>
  <dcterms:created xsi:type="dcterms:W3CDTF">2022-08-14T22:27:05Z</dcterms:created>
  <dcterms:modified xsi:type="dcterms:W3CDTF">2023-03-13T13:49:20Z</dcterms:modified>
</cp:coreProperties>
</file>